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7"/>
  <workbookPr/>
  <mc:AlternateContent xmlns:mc="http://schemas.openxmlformats.org/markup-compatibility/2006">
    <mc:Choice Requires="x15">
      <x15ac:absPath xmlns:x15ac="http://schemas.microsoft.com/office/spreadsheetml/2010/11/ac" url="/Users/hungdv-mac/Downloads/ai_assistant_personal/task/"/>
    </mc:Choice>
  </mc:AlternateContent>
  <xr:revisionPtr revIDLastSave="0" documentId="13_ncr:1_{DDB82EC6-DE8C-E64C-9B29-361E93F0EAD6}" xr6:coauthVersionLast="47" xr6:coauthVersionMax="47" xr10:uidLastSave="{00000000-0000-0000-0000-000000000000}"/>
  <bookViews>
    <workbookView xWindow="51200" yWindow="600" windowWidth="51200" windowHeight="28200" xr2:uid="{00000000-000D-0000-FFFF-FFFF00000000}"/>
  </bookViews>
  <sheets>
    <sheet name="Jira Tickets" sheetId="1" r:id="rId1"/>
    <sheet name="Sumary" sheetId="2" r:id="rId2"/>
    <sheet name="Dashboard" sheetId="3" r:id="rId3"/>
  </sheets>
  <definedNames>
    <definedName name="_xlnm._FilterDatabase" localSheetId="0" hidden="1">'Jira Tickets'!$A$1:$M$4120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A4120" i="1" l="1"/>
  <c r="A4119" i="1"/>
  <c r="A4118" i="1"/>
  <c r="A4117" i="1"/>
  <c r="B4116" i="1"/>
  <c r="A4116" i="1"/>
  <c r="B4115" i="1"/>
  <c r="A4115" i="1"/>
  <c r="B4114" i="1"/>
  <c r="A4114" i="1"/>
  <c r="B4113" i="1"/>
  <c r="A4113" i="1"/>
  <c r="B4112" i="1"/>
  <c r="A4112" i="1"/>
  <c r="B4111" i="1"/>
  <c r="A4111" i="1"/>
  <c r="B4110" i="1"/>
  <c r="A4110" i="1"/>
  <c r="A4109" i="1"/>
  <c r="B4108" i="1"/>
  <c r="A4108" i="1"/>
  <c r="B4107" i="1"/>
  <c r="A4107" i="1"/>
  <c r="B4106" i="1"/>
  <c r="A4106" i="1"/>
  <c r="A4105" i="1"/>
  <c r="B4104" i="1"/>
  <c r="A4104" i="1"/>
  <c r="B4103" i="1"/>
  <c r="A4103" i="1"/>
  <c r="A4102" i="1"/>
  <c r="B4101" i="1"/>
  <c r="A4101" i="1"/>
  <c r="A4100" i="1"/>
  <c r="A4099" i="1"/>
  <c r="A4098" i="1"/>
  <c r="A4097" i="1"/>
  <c r="A4096" i="1"/>
  <c r="A4095" i="1"/>
  <c r="A4094" i="1"/>
  <c r="A4093" i="1"/>
  <c r="A4092" i="1"/>
  <c r="A4091" i="1"/>
  <c r="A4090" i="1"/>
  <c r="A4089" i="1"/>
  <c r="B4088" i="1"/>
  <c r="A4088" i="1"/>
  <c r="A4087" i="1"/>
  <c r="A4086" i="1"/>
  <c r="A4085" i="1"/>
  <c r="A4084" i="1"/>
  <c r="A4083" i="1"/>
  <c r="A4082" i="1"/>
  <c r="A4081" i="1"/>
  <c r="A4080" i="1"/>
  <c r="A4079" i="1"/>
  <c r="A4078" i="1"/>
  <c r="A4077" i="1"/>
  <c r="A4076" i="1"/>
  <c r="A4075" i="1"/>
  <c r="A4074" i="1"/>
  <c r="A4073" i="1"/>
  <c r="A4072" i="1"/>
  <c r="A4071" i="1"/>
  <c r="A4070" i="1"/>
  <c r="A4069" i="1"/>
  <c r="A4068" i="1"/>
  <c r="A4067" i="1"/>
  <c r="A4066" i="1"/>
  <c r="A4065" i="1"/>
  <c r="A4064" i="1"/>
  <c r="A4063" i="1"/>
  <c r="A4062" i="1"/>
  <c r="A4061" i="1"/>
  <c r="A4060" i="1"/>
  <c r="A4059" i="1"/>
  <c r="A4058" i="1"/>
  <c r="A4057" i="1"/>
  <c r="A4056" i="1"/>
  <c r="A4055" i="1"/>
  <c r="A4054" i="1"/>
  <c r="A4053" i="1"/>
  <c r="A4052" i="1"/>
  <c r="A4051" i="1"/>
  <c r="A4050" i="1"/>
  <c r="A4049" i="1"/>
  <c r="A4048" i="1"/>
  <c r="A4047" i="1"/>
  <c r="A4046" i="1"/>
  <c r="A4045" i="1"/>
  <c r="A4044" i="1"/>
  <c r="A4043" i="1"/>
  <c r="A4042" i="1"/>
  <c r="A4041" i="1"/>
  <c r="A4040" i="1"/>
  <c r="A4039" i="1"/>
  <c r="A4038" i="1"/>
  <c r="A4037" i="1"/>
  <c r="A4036" i="1"/>
  <c r="A4035" i="1"/>
  <c r="A4034" i="1"/>
  <c r="A4033" i="1"/>
  <c r="A4032" i="1"/>
  <c r="A4031" i="1"/>
  <c r="A4030" i="1"/>
  <c r="A4029" i="1"/>
  <c r="A4028" i="1"/>
  <c r="A4027" i="1"/>
  <c r="A4026" i="1"/>
  <c r="A4025" i="1"/>
  <c r="A4024" i="1"/>
  <c r="A4023" i="1"/>
  <c r="A4022" i="1"/>
  <c r="A4021" i="1"/>
  <c r="A4020" i="1"/>
  <c r="A4019" i="1"/>
  <c r="A4018" i="1"/>
  <c r="A4017" i="1"/>
  <c r="A4016" i="1"/>
  <c r="A4015" i="1"/>
  <c r="A4014" i="1"/>
  <c r="A4013" i="1"/>
  <c r="A4012" i="1"/>
  <c r="A4011" i="1"/>
  <c r="A4010" i="1"/>
  <c r="A4009" i="1"/>
  <c r="A4008" i="1"/>
  <c r="A4007" i="1"/>
  <c r="A4006" i="1"/>
  <c r="A4005" i="1"/>
  <c r="A4004" i="1"/>
  <c r="A4003" i="1"/>
  <c r="A4002" i="1"/>
  <c r="A4001" i="1"/>
  <c r="A4000" i="1"/>
  <c r="A3999" i="1"/>
  <c r="A3998" i="1"/>
  <c r="A3997" i="1"/>
  <c r="A3996" i="1"/>
  <c r="A3995" i="1"/>
  <c r="A3994" i="1"/>
  <c r="A3993" i="1"/>
  <c r="A3992" i="1"/>
  <c r="A3991" i="1"/>
  <c r="A3990" i="1"/>
  <c r="A3989" i="1"/>
  <c r="A3988" i="1"/>
  <c r="A3987" i="1"/>
  <c r="A3986" i="1"/>
  <c r="A3985" i="1"/>
  <c r="A3984" i="1"/>
  <c r="A3983" i="1"/>
  <c r="A3982" i="1"/>
  <c r="A3981" i="1"/>
  <c r="A3980" i="1"/>
  <c r="A3979" i="1"/>
  <c r="A3978" i="1"/>
  <c r="A3977" i="1"/>
  <c r="A3976" i="1"/>
  <c r="A3975" i="1"/>
  <c r="A3974" i="1"/>
  <c r="A3973" i="1"/>
  <c r="A3972" i="1"/>
  <c r="A3971" i="1"/>
  <c r="B3970" i="1"/>
  <c r="A3970" i="1"/>
  <c r="B3969" i="1"/>
  <c r="A3969" i="1"/>
  <c r="B3968" i="1"/>
  <c r="A3968" i="1"/>
  <c r="B3967" i="1"/>
  <c r="A3967" i="1"/>
  <c r="B3966" i="1"/>
  <c r="A3966" i="1"/>
  <c r="B3965" i="1"/>
  <c r="A3965" i="1"/>
  <c r="A3964" i="1"/>
  <c r="A3963" i="1"/>
  <c r="A3962" i="1"/>
  <c r="A3961" i="1"/>
  <c r="A3960" i="1"/>
  <c r="A3959" i="1"/>
  <c r="A3958" i="1"/>
  <c r="A3957" i="1"/>
  <c r="A3956" i="1"/>
  <c r="A3955" i="1"/>
  <c r="A3954" i="1"/>
  <c r="A3953" i="1"/>
  <c r="A3952" i="1"/>
  <c r="A3951" i="1"/>
  <c r="A3950" i="1"/>
  <c r="A3949" i="1"/>
  <c r="A3948" i="1"/>
  <c r="A3947" i="1"/>
  <c r="A3946" i="1"/>
  <c r="A3945" i="1"/>
  <c r="A3944" i="1"/>
  <c r="A3943" i="1"/>
  <c r="A3942" i="1"/>
  <c r="A3941" i="1"/>
  <c r="A3940" i="1"/>
  <c r="A3939" i="1"/>
  <c r="A3938" i="1"/>
  <c r="A3937" i="1"/>
  <c r="A3936" i="1"/>
  <c r="A3935" i="1"/>
  <c r="A3934" i="1"/>
  <c r="A3933" i="1"/>
  <c r="A3932" i="1"/>
  <c r="A3931" i="1"/>
  <c r="A3930" i="1"/>
  <c r="A3929" i="1"/>
  <c r="A3928" i="1"/>
  <c r="A3927" i="1"/>
  <c r="A3926" i="1"/>
  <c r="A3925" i="1"/>
  <c r="A3924" i="1"/>
  <c r="A3923" i="1"/>
  <c r="A3922" i="1"/>
  <c r="A3921" i="1"/>
  <c r="A3920" i="1"/>
  <c r="A3919" i="1"/>
  <c r="A3918" i="1"/>
  <c r="A3917" i="1"/>
  <c r="A3916" i="1"/>
  <c r="A3915" i="1"/>
  <c r="A3914" i="1"/>
  <c r="A3913" i="1"/>
  <c r="A3912" i="1"/>
  <c r="A3911" i="1"/>
  <c r="A3910" i="1"/>
  <c r="A3909" i="1"/>
  <c r="A3908" i="1"/>
  <c r="A3907" i="1"/>
  <c r="A3906" i="1"/>
  <c r="A3905" i="1"/>
  <c r="A3904" i="1"/>
  <c r="A3903" i="1"/>
  <c r="A3902" i="1"/>
  <c r="A3901" i="1"/>
  <c r="A3900" i="1"/>
  <c r="A3899" i="1"/>
  <c r="A3898" i="1"/>
  <c r="A3897" i="1"/>
  <c r="A3896" i="1"/>
  <c r="A3895" i="1"/>
  <c r="A3894" i="1"/>
  <c r="A3893" i="1"/>
  <c r="A3892" i="1"/>
  <c r="A3891" i="1"/>
  <c r="A3890" i="1"/>
  <c r="A3889" i="1"/>
  <c r="A3888" i="1"/>
  <c r="A3887" i="1"/>
  <c r="A3886" i="1"/>
  <c r="A3885" i="1"/>
  <c r="A3884" i="1"/>
  <c r="A3883" i="1"/>
  <c r="A3882" i="1"/>
  <c r="A3881" i="1"/>
  <c r="A3880" i="1"/>
  <c r="A3879" i="1"/>
  <c r="A3878" i="1"/>
  <c r="A3877" i="1"/>
  <c r="A3876" i="1"/>
  <c r="A3875" i="1"/>
  <c r="A3874" i="1"/>
  <c r="A3873" i="1"/>
  <c r="A3872" i="1"/>
  <c r="A3871" i="1"/>
  <c r="A3870" i="1"/>
  <c r="A3869" i="1"/>
  <c r="A3868" i="1"/>
  <c r="A3867" i="1"/>
  <c r="A3866" i="1"/>
  <c r="A3865" i="1"/>
  <c r="A3864" i="1"/>
  <c r="A3863" i="1"/>
  <c r="A3862" i="1"/>
  <c r="A3861" i="1"/>
  <c r="A3860" i="1"/>
  <c r="A3859" i="1"/>
  <c r="A3858" i="1"/>
  <c r="A3857" i="1"/>
  <c r="A3856" i="1"/>
  <c r="A3855" i="1"/>
  <c r="A3854" i="1"/>
  <c r="A3853" i="1"/>
  <c r="A3852" i="1"/>
  <c r="A3851" i="1"/>
  <c r="A3850" i="1"/>
  <c r="A3849" i="1"/>
  <c r="A3848" i="1"/>
  <c r="A3847" i="1"/>
  <c r="A3846" i="1"/>
  <c r="A3845" i="1"/>
  <c r="A3844" i="1"/>
  <c r="A3843" i="1"/>
  <c r="A3842" i="1"/>
  <c r="A3841" i="1"/>
  <c r="A3840" i="1"/>
  <c r="A3839" i="1"/>
  <c r="A3838" i="1"/>
  <c r="A3837" i="1"/>
  <c r="A3836" i="1"/>
  <c r="A3835" i="1"/>
  <c r="A3834" i="1"/>
  <c r="A3833" i="1"/>
  <c r="A3832" i="1"/>
  <c r="A3831" i="1"/>
  <c r="A3830" i="1"/>
  <c r="A3829" i="1"/>
  <c r="A3828" i="1"/>
  <c r="A3827" i="1"/>
  <c r="A3826" i="1"/>
  <c r="A3825" i="1"/>
  <c r="A3824" i="1"/>
  <c r="A3823" i="1"/>
  <c r="A3822" i="1"/>
  <c r="A3821" i="1"/>
  <c r="A3820" i="1"/>
  <c r="A3819" i="1"/>
  <c r="A3818" i="1"/>
  <c r="A3817" i="1"/>
  <c r="A3816" i="1"/>
  <c r="B3815" i="1"/>
  <c r="A3815" i="1"/>
  <c r="A3814" i="1"/>
  <c r="A3813" i="1"/>
  <c r="A3812" i="1"/>
  <c r="A3811" i="1"/>
  <c r="A3810" i="1"/>
  <c r="A3809" i="1"/>
  <c r="A3808" i="1"/>
  <c r="A3807" i="1"/>
  <c r="A3806" i="1"/>
  <c r="A3805" i="1"/>
  <c r="A3804" i="1"/>
  <c r="A3803" i="1"/>
  <c r="A3802" i="1"/>
  <c r="A3801" i="1"/>
  <c r="A3800" i="1"/>
  <c r="A3799" i="1"/>
  <c r="A3798" i="1"/>
  <c r="A3797" i="1"/>
  <c r="A3796" i="1"/>
  <c r="A3795" i="1"/>
  <c r="A3794" i="1"/>
  <c r="A3793" i="1"/>
  <c r="A3792" i="1"/>
  <c r="A3791" i="1"/>
  <c r="A3790" i="1"/>
  <c r="B3789" i="1"/>
  <c r="A3789" i="1"/>
  <c r="A3788" i="1"/>
  <c r="A3787" i="1"/>
  <c r="A3786" i="1"/>
  <c r="A3785" i="1"/>
  <c r="A3784" i="1"/>
  <c r="A3783" i="1"/>
  <c r="A3782" i="1"/>
  <c r="A3781" i="1"/>
  <c r="B3780" i="1"/>
  <c r="A3780" i="1"/>
  <c r="A3779" i="1"/>
  <c r="B3778" i="1"/>
  <c r="A3778" i="1"/>
  <c r="B3777" i="1"/>
  <c r="A3777" i="1"/>
  <c r="A3776" i="1"/>
  <c r="B3775" i="1"/>
  <c r="A3775" i="1"/>
  <c r="A3774" i="1"/>
  <c r="A3773" i="1"/>
  <c r="A3772" i="1"/>
  <c r="A3771" i="1"/>
  <c r="A3770" i="1"/>
  <c r="A3769" i="1"/>
  <c r="A3768" i="1"/>
  <c r="A3767" i="1"/>
  <c r="A3766" i="1"/>
  <c r="A3765" i="1"/>
  <c r="A3764" i="1"/>
  <c r="A3763" i="1"/>
  <c r="A3762" i="1"/>
  <c r="A3761" i="1"/>
  <c r="A3760" i="1"/>
  <c r="A3759" i="1"/>
  <c r="A3758" i="1"/>
  <c r="A3757" i="1"/>
  <c r="A3756" i="1"/>
  <c r="A3755" i="1"/>
  <c r="A3754" i="1"/>
  <c r="A3753" i="1"/>
  <c r="A3752" i="1"/>
  <c r="A3751" i="1"/>
  <c r="A3750" i="1"/>
  <c r="A3749" i="1"/>
  <c r="A3748" i="1"/>
  <c r="A3747" i="1"/>
  <c r="A3746" i="1"/>
  <c r="A3745" i="1"/>
  <c r="A3744" i="1"/>
  <c r="A3743" i="1"/>
  <c r="A3742" i="1"/>
  <c r="A3741" i="1"/>
  <c r="A3740" i="1"/>
  <c r="A3739" i="1"/>
  <c r="A3738" i="1"/>
  <c r="A3737" i="1"/>
  <c r="A3736" i="1"/>
  <c r="A3735" i="1"/>
  <c r="A3734" i="1"/>
  <c r="A3733" i="1"/>
  <c r="A3732" i="1"/>
  <c r="A3731" i="1"/>
  <c r="A3730" i="1"/>
  <c r="A3729" i="1"/>
  <c r="A3728" i="1"/>
  <c r="A3727" i="1"/>
  <c r="A3726" i="1"/>
  <c r="A3725" i="1"/>
  <c r="A3724" i="1"/>
  <c r="A3723" i="1"/>
  <c r="A3722" i="1"/>
  <c r="A3721" i="1"/>
  <c r="A3720" i="1"/>
  <c r="A3719" i="1"/>
  <c r="A3718" i="1"/>
  <c r="A3717" i="1"/>
  <c r="A3716" i="1"/>
  <c r="A3715" i="1"/>
  <c r="A3714" i="1"/>
  <c r="A3713" i="1"/>
  <c r="A3712" i="1"/>
  <c r="A3711" i="1"/>
  <c r="A3710" i="1"/>
  <c r="A3709" i="1"/>
  <c r="A3708" i="1"/>
  <c r="A3707" i="1"/>
  <c r="A3706" i="1"/>
  <c r="B3705" i="1"/>
  <c r="A3705" i="1"/>
  <c r="A3704" i="1"/>
  <c r="A3703" i="1"/>
  <c r="A3702" i="1"/>
  <c r="A3701" i="1"/>
  <c r="A3700" i="1"/>
  <c r="A3699" i="1"/>
  <c r="A3698" i="1"/>
  <c r="A3697" i="1"/>
  <c r="A3696" i="1"/>
  <c r="A3695" i="1"/>
  <c r="A3694" i="1"/>
  <c r="A3693" i="1"/>
  <c r="A3692" i="1"/>
  <c r="A3691" i="1"/>
  <c r="A3690" i="1"/>
  <c r="A3689" i="1"/>
  <c r="A3688" i="1"/>
  <c r="B3687" i="1"/>
  <c r="A3687" i="1"/>
  <c r="A3686" i="1"/>
  <c r="A3685" i="1"/>
  <c r="A3684" i="1"/>
  <c r="A3683" i="1"/>
  <c r="A3682" i="1"/>
  <c r="A3681" i="1"/>
  <c r="A3680" i="1"/>
  <c r="A3679" i="1"/>
  <c r="A3678" i="1"/>
  <c r="A3677" i="1"/>
  <c r="A3676" i="1"/>
  <c r="A3675" i="1"/>
  <c r="A3674" i="1"/>
  <c r="A3673" i="1"/>
  <c r="A3672" i="1"/>
  <c r="A3671" i="1"/>
  <c r="A3670" i="1"/>
  <c r="A3669" i="1"/>
  <c r="A3668" i="1"/>
  <c r="A3667" i="1"/>
  <c r="A3666" i="1"/>
  <c r="A3665" i="1"/>
  <c r="A3664" i="1"/>
  <c r="A3663" i="1"/>
  <c r="A3662" i="1"/>
  <c r="A3661" i="1"/>
  <c r="A3660" i="1"/>
  <c r="A3659" i="1"/>
  <c r="A3658" i="1"/>
  <c r="A3657" i="1"/>
  <c r="A3656" i="1"/>
  <c r="A3655" i="1"/>
  <c r="A3654" i="1"/>
  <c r="A3653" i="1"/>
  <c r="A3652" i="1"/>
  <c r="A3651" i="1"/>
  <c r="A3650" i="1"/>
  <c r="A3649" i="1"/>
  <c r="A3648" i="1"/>
  <c r="A3647" i="1"/>
  <c r="A3646" i="1"/>
  <c r="A3645" i="1"/>
  <c r="A3644" i="1"/>
  <c r="A3643" i="1"/>
  <c r="A3642" i="1"/>
  <c r="A3641" i="1"/>
  <c r="A3640" i="1"/>
  <c r="A3639" i="1"/>
  <c r="A3638" i="1"/>
  <c r="A3637" i="1"/>
  <c r="A3636" i="1"/>
  <c r="A3635" i="1"/>
  <c r="A3634" i="1"/>
  <c r="A3633" i="1"/>
  <c r="A3632" i="1"/>
  <c r="A3631" i="1"/>
  <c r="A3630" i="1"/>
  <c r="A3629" i="1"/>
  <c r="A3628" i="1"/>
  <c r="A3627" i="1"/>
  <c r="B3626" i="1"/>
  <c r="A3626" i="1"/>
  <c r="B3625" i="1"/>
  <c r="A3625" i="1"/>
  <c r="B3624" i="1"/>
  <c r="A3624" i="1"/>
  <c r="B3623" i="1"/>
  <c r="A3623" i="1"/>
  <c r="B3622" i="1"/>
  <c r="A3622" i="1"/>
  <c r="B3621" i="1"/>
  <c r="A3621" i="1"/>
  <c r="A3620" i="1"/>
  <c r="A3619" i="1"/>
  <c r="B3618" i="1"/>
  <c r="A3618" i="1"/>
  <c r="B3617" i="1"/>
  <c r="A3617" i="1"/>
  <c r="B3616" i="1"/>
  <c r="A3616" i="1"/>
  <c r="B3615" i="1"/>
  <c r="A3615" i="1"/>
  <c r="B3614" i="1"/>
  <c r="A3614" i="1"/>
  <c r="B3613" i="1"/>
  <c r="A3613" i="1"/>
  <c r="A3612" i="1"/>
  <c r="B3611" i="1"/>
  <c r="A3611" i="1"/>
  <c r="B3610" i="1"/>
  <c r="A3610" i="1"/>
  <c r="A3609" i="1"/>
  <c r="A3608" i="1"/>
  <c r="A3607" i="1"/>
  <c r="A3606" i="1"/>
  <c r="A3605" i="1"/>
  <c r="A3604" i="1"/>
  <c r="A3603" i="1"/>
  <c r="A3602" i="1"/>
  <c r="A3601" i="1"/>
  <c r="A3600" i="1"/>
  <c r="A3599" i="1"/>
  <c r="A3598" i="1"/>
  <c r="A3597" i="1"/>
  <c r="A3596" i="1"/>
  <c r="A3595" i="1"/>
  <c r="A3594" i="1"/>
  <c r="A3593" i="1"/>
  <c r="A3592" i="1"/>
  <c r="A3591" i="1"/>
  <c r="A3590" i="1"/>
  <c r="A3589" i="1"/>
  <c r="A3588" i="1"/>
  <c r="A3587" i="1"/>
  <c r="A3586" i="1"/>
  <c r="A3585" i="1"/>
  <c r="A3584" i="1"/>
  <c r="A3583" i="1"/>
  <c r="A3582" i="1"/>
  <c r="A3581" i="1"/>
  <c r="B3580" i="1"/>
  <c r="A3580" i="1"/>
  <c r="B3579" i="1"/>
  <c r="A3579" i="1"/>
  <c r="B3578" i="1"/>
  <c r="A3578" i="1"/>
  <c r="B3577" i="1"/>
  <c r="A3577" i="1"/>
  <c r="A3576" i="1"/>
  <c r="A3575" i="1"/>
  <c r="A3574" i="1"/>
  <c r="A3573" i="1"/>
  <c r="A3572" i="1"/>
  <c r="A3571" i="1"/>
  <c r="A3570" i="1"/>
  <c r="A3569" i="1"/>
  <c r="A3568" i="1"/>
  <c r="A3567" i="1"/>
  <c r="A3566" i="1"/>
  <c r="A3565" i="1"/>
  <c r="A3564" i="1"/>
  <c r="A3563" i="1"/>
  <c r="A3562" i="1"/>
  <c r="A3561" i="1"/>
  <c r="A3560" i="1"/>
  <c r="A3559" i="1"/>
  <c r="A3558" i="1"/>
  <c r="A3557" i="1"/>
  <c r="A3556" i="1"/>
  <c r="A3555" i="1"/>
  <c r="A3554" i="1"/>
  <c r="A3553" i="1"/>
  <c r="A3552" i="1"/>
  <c r="A3551" i="1"/>
  <c r="A3550" i="1"/>
  <c r="A3549" i="1"/>
  <c r="A3548" i="1"/>
  <c r="A3547" i="1"/>
  <c r="A3546" i="1"/>
  <c r="A3545" i="1"/>
  <c r="A3544" i="1"/>
  <c r="A3543" i="1"/>
  <c r="A3542" i="1"/>
  <c r="A3541" i="1"/>
  <c r="A3540" i="1"/>
  <c r="A3539" i="1"/>
  <c r="A3538" i="1"/>
  <c r="A3537" i="1"/>
  <c r="A3536" i="1"/>
  <c r="A3535" i="1"/>
  <c r="A3534" i="1"/>
  <c r="A3533" i="1"/>
  <c r="A3532" i="1"/>
  <c r="A3531" i="1"/>
  <c r="A3530" i="1"/>
  <c r="A3529" i="1"/>
  <c r="A3528" i="1"/>
  <c r="A3527" i="1"/>
  <c r="A3526" i="1"/>
  <c r="A3525" i="1"/>
  <c r="A3524" i="1"/>
  <c r="A3523" i="1"/>
  <c r="A3522" i="1"/>
  <c r="A3521" i="1"/>
  <c r="A3520" i="1"/>
  <c r="B3519" i="1"/>
  <c r="A3519" i="1"/>
  <c r="A3518" i="1"/>
  <c r="A3517" i="1"/>
  <c r="A3516" i="1"/>
  <c r="A3515" i="1"/>
  <c r="A3514" i="1"/>
  <c r="A3513" i="1"/>
  <c r="A3512" i="1"/>
  <c r="A3511" i="1"/>
  <c r="A3510" i="1"/>
  <c r="A3509" i="1"/>
  <c r="A3508" i="1"/>
  <c r="A3507" i="1"/>
  <c r="A3506" i="1"/>
  <c r="A3505" i="1"/>
  <c r="A3504" i="1"/>
  <c r="A3503" i="1"/>
  <c r="A3502" i="1"/>
  <c r="A3501" i="1"/>
  <c r="A3500" i="1"/>
  <c r="A3499" i="1"/>
  <c r="A3498" i="1"/>
  <c r="A3497" i="1"/>
  <c r="A3496" i="1"/>
  <c r="A3495" i="1"/>
  <c r="A3494" i="1"/>
  <c r="A3493" i="1"/>
  <c r="A3492" i="1"/>
  <c r="A3491" i="1"/>
  <c r="A3490" i="1"/>
  <c r="A3489" i="1"/>
  <c r="A3488" i="1"/>
  <c r="A3487" i="1"/>
  <c r="A3486" i="1"/>
  <c r="A3485" i="1"/>
  <c r="A3484" i="1"/>
  <c r="A3483" i="1"/>
  <c r="A3482" i="1"/>
  <c r="A3481" i="1"/>
  <c r="A3480" i="1"/>
  <c r="A3479" i="1"/>
  <c r="A3478" i="1"/>
  <c r="A3477" i="1"/>
  <c r="A3476" i="1"/>
  <c r="A3475" i="1"/>
  <c r="A3474" i="1"/>
  <c r="A3473" i="1"/>
  <c r="A3472" i="1"/>
  <c r="A3471" i="1"/>
  <c r="A3470" i="1"/>
  <c r="A3469" i="1"/>
  <c r="A3468" i="1"/>
  <c r="A3467" i="1"/>
  <c r="A3466" i="1"/>
  <c r="A3465" i="1"/>
  <c r="A3464" i="1"/>
  <c r="A3463" i="1"/>
  <c r="A3462" i="1"/>
  <c r="A3461" i="1"/>
  <c r="A3460" i="1"/>
  <c r="A3459" i="1"/>
  <c r="A3458" i="1"/>
  <c r="A3457" i="1"/>
  <c r="A3456" i="1"/>
  <c r="A3455" i="1"/>
  <c r="A3454" i="1"/>
  <c r="A3453" i="1"/>
  <c r="A3452" i="1"/>
  <c r="A3451" i="1"/>
  <c r="A3450" i="1"/>
  <c r="A3449" i="1"/>
  <c r="A3448" i="1"/>
  <c r="A3447" i="1"/>
  <c r="A3446" i="1"/>
  <c r="A3445" i="1"/>
  <c r="A3444" i="1"/>
  <c r="A3443" i="1"/>
  <c r="A3442" i="1"/>
  <c r="A3441" i="1"/>
  <c r="A3440" i="1"/>
  <c r="A3439" i="1"/>
  <c r="A3438" i="1"/>
  <c r="A3437" i="1"/>
  <c r="A3436" i="1"/>
  <c r="A3435" i="1"/>
  <c r="A3434" i="1"/>
  <c r="A3433" i="1"/>
  <c r="A3432" i="1"/>
  <c r="B3431" i="1"/>
  <c r="A3431" i="1"/>
  <c r="B3430" i="1"/>
  <c r="A3430" i="1"/>
  <c r="A3429" i="1"/>
  <c r="B3428" i="1"/>
  <c r="A3428" i="1"/>
  <c r="A3427" i="1"/>
  <c r="A3426" i="1"/>
  <c r="A3425" i="1"/>
  <c r="A3424" i="1"/>
  <c r="A3423" i="1"/>
  <c r="B3422" i="1"/>
  <c r="A3422" i="1"/>
  <c r="A3421" i="1"/>
  <c r="A3420" i="1"/>
  <c r="A3419" i="1"/>
  <c r="A3418" i="1"/>
  <c r="A3417" i="1"/>
  <c r="A3416" i="1"/>
  <c r="A3415" i="1"/>
  <c r="A3414" i="1"/>
  <c r="A3413" i="1"/>
  <c r="A3412" i="1"/>
  <c r="A3411" i="1"/>
  <c r="A3410" i="1"/>
  <c r="A3409" i="1"/>
  <c r="A3408" i="1"/>
  <c r="A3407" i="1"/>
  <c r="A3406" i="1"/>
  <c r="A3405" i="1"/>
  <c r="A3404" i="1"/>
  <c r="A3403" i="1"/>
  <c r="A3402" i="1"/>
  <c r="A3401" i="1"/>
  <c r="A3400" i="1"/>
  <c r="A3399" i="1"/>
  <c r="A3398" i="1"/>
  <c r="A3397" i="1"/>
  <c r="A3396" i="1"/>
  <c r="A3395" i="1"/>
  <c r="A3394" i="1"/>
  <c r="A3393" i="1"/>
  <c r="A3392" i="1"/>
  <c r="A3391" i="1"/>
  <c r="A3390" i="1"/>
  <c r="A3389" i="1"/>
  <c r="A3388" i="1"/>
  <c r="A3387" i="1"/>
  <c r="A3386" i="1"/>
  <c r="A3385" i="1"/>
  <c r="A3384" i="1"/>
  <c r="A3383" i="1"/>
  <c r="A3382" i="1"/>
  <c r="A3381" i="1"/>
  <c r="A3380" i="1"/>
  <c r="A3379" i="1"/>
  <c r="A3378" i="1"/>
  <c r="A3377" i="1"/>
  <c r="A3376" i="1"/>
  <c r="A3375" i="1"/>
  <c r="A3374" i="1"/>
  <c r="A3373" i="1"/>
  <c r="A3372" i="1"/>
  <c r="A3371" i="1"/>
  <c r="A3370" i="1"/>
  <c r="A3369" i="1"/>
  <c r="A3368" i="1"/>
  <c r="A3367" i="1"/>
  <c r="A3366" i="1"/>
  <c r="A3365" i="1"/>
  <c r="A3364" i="1"/>
  <c r="A3363" i="1"/>
  <c r="A3362" i="1"/>
  <c r="A3361" i="1"/>
  <c r="A3360" i="1"/>
  <c r="A3359" i="1"/>
  <c r="A3358" i="1"/>
  <c r="A3357" i="1"/>
  <c r="A3356" i="1"/>
  <c r="A3355" i="1"/>
  <c r="A3354" i="1"/>
  <c r="A3353" i="1"/>
  <c r="A3352" i="1"/>
  <c r="A3351" i="1"/>
  <c r="A3350" i="1"/>
  <c r="A3349" i="1"/>
  <c r="A3348" i="1"/>
  <c r="A3347" i="1"/>
  <c r="A3346" i="1"/>
  <c r="A3345" i="1"/>
  <c r="A3344" i="1"/>
  <c r="A3343" i="1"/>
  <c r="A3342" i="1"/>
  <c r="A3341" i="1"/>
  <c r="A3340" i="1"/>
  <c r="A3339" i="1"/>
  <c r="A3338" i="1"/>
  <c r="A3337" i="1"/>
  <c r="A3336" i="1"/>
  <c r="A3335" i="1"/>
  <c r="A3334" i="1"/>
  <c r="A3333" i="1"/>
  <c r="A3332" i="1"/>
  <c r="A3331" i="1"/>
  <c r="A3330" i="1"/>
  <c r="A3329" i="1"/>
  <c r="A3328" i="1"/>
  <c r="A3327" i="1"/>
  <c r="A3326" i="1"/>
  <c r="A3325" i="1"/>
  <c r="B3324" i="1"/>
  <c r="A3324" i="1"/>
  <c r="B3323" i="1"/>
  <c r="A3323" i="1"/>
  <c r="B3322" i="1"/>
  <c r="A3322" i="1"/>
  <c r="A3321" i="1"/>
  <c r="B3320" i="1"/>
  <c r="A3320" i="1"/>
  <c r="A3319" i="1"/>
  <c r="A3318" i="1"/>
  <c r="A3317" i="1"/>
  <c r="A3316" i="1"/>
  <c r="A3315" i="1"/>
  <c r="A3314" i="1"/>
  <c r="A3313" i="1"/>
  <c r="A3312" i="1"/>
  <c r="A3311" i="1"/>
  <c r="A3310" i="1"/>
  <c r="A3309" i="1"/>
  <c r="A3308" i="1"/>
  <c r="A3307" i="1"/>
  <c r="A3306" i="1"/>
  <c r="A3305" i="1"/>
  <c r="A3304" i="1"/>
  <c r="A3303" i="1"/>
  <c r="A3302" i="1"/>
  <c r="A3301" i="1"/>
  <c r="A3300" i="1"/>
  <c r="A3299" i="1"/>
  <c r="A3298" i="1"/>
  <c r="A3297" i="1"/>
  <c r="A3296" i="1"/>
  <c r="A3295" i="1"/>
  <c r="A3294" i="1"/>
  <c r="A3293" i="1"/>
  <c r="A3292" i="1"/>
  <c r="A3291" i="1"/>
  <c r="A3290" i="1"/>
  <c r="A3289" i="1"/>
  <c r="B3288" i="1"/>
  <c r="A3288" i="1"/>
  <c r="B3287" i="1"/>
  <c r="A3287" i="1"/>
  <c r="B3286" i="1"/>
  <c r="A3286" i="1"/>
  <c r="B3285" i="1"/>
  <c r="A3285" i="1"/>
  <c r="B3284" i="1"/>
  <c r="A3284" i="1"/>
  <c r="B3283" i="1"/>
  <c r="A3283" i="1"/>
  <c r="B3282" i="1"/>
  <c r="A3282" i="1"/>
  <c r="B3281" i="1"/>
  <c r="A3281" i="1"/>
  <c r="B3280" i="1"/>
  <c r="A3280" i="1"/>
  <c r="B3279" i="1"/>
  <c r="A3279" i="1"/>
  <c r="B3278" i="1"/>
  <c r="A3278" i="1"/>
  <c r="B3277" i="1"/>
  <c r="A3277" i="1"/>
  <c r="B3276" i="1"/>
  <c r="A3276" i="1"/>
  <c r="B3275" i="1"/>
  <c r="A3275" i="1"/>
  <c r="B3274" i="1"/>
  <c r="A3274" i="1"/>
  <c r="B3273" i="1"/>
  <c r="A3273" i="1"/>
  <c r="B3272" i="1"/>
  <c r="A3272" i="1"/>
  <c r="B3271" i="1"/>
  <c r="A3271" i="1"/>
  <c r="B3270" i="1"/>
  <c r="A3270" i="1"/>
  <c r="B3269" i="1"/>
  <c r="A3269" i="1"/>
  <c r="B3268" i="1"/>
  <c r="A3268" i="1"/>
  <c r="B3267" i="1"/>
  <c r="A3267" i="1"/>
  <c r="B3266" i="1"/>
  <c r="A3266" i="1"/>
  <c r="B3265" i="1"/>
  <c r="A3265" i="1"/>
  <c r="B3264" i="1"/>
  <c r="A3264" i="1"/>
  <c r="A3263" i="1"/>
  <c r="A3262" i="1"/>
  <c r="A3261" i="1"/>
  <c r="A3260" i="1"/>
  <c r="A3259" i="1"/>
  <c r="A3258" i="1"/>
  <c r="B3257" i="1"/>
  <c r="A3257" i="1"/>
  <c r="A3256" i="1"/>
  <c r="A3255" i="1"/>
  <c r="A3254" i="1"/>
  <c r="A3253" i="1"/>
  <c r="A3252" i="1"/>
  <c r="A3251" i="1"/>
  <c r="A3250" i="1"/>
  <c r="A3249" i="1"/>
  <c r="A3248" i="1"/>
  <c r="B3247" i="1"/>
  <c r="A3247" i="1"/>
  <c r="A3246" i="1"/>
  <c r="A3245" i="1"/>
  <c r="A3244" i="1"/>
  <c r="A3243" i="1"/>
  <c r="A3242" i="1"/>
  <c r="A3241" i="1"/>
  <c r="A3240" i="1"/>
  <c r="A3239" i="1"/>
  <c r="A3238" i="1"/>
  <c r="A3237" i="1"/>
  <c r="A3236" i="1"/>
  <c r="A3235" i="1"/>
  <c r="A3234" i="1"/>
  <c r="A3233" i="1"/>
  <c r="A3232" i="1"/>
  <c r="A3231" i="1"/>
  <c r="A3230" i="1"/>
  <c r="A3229" i="1"/>
  <c r="A3228" i="1"/>
  <c r="A3227" i="1"/>
  <c r="A3226" i="1"/>
  <c r="A3225" i="1"/>
  <c r="A3224" i="1"/>
  <c r="A3223" i="1"/>
  <c r="A3222" i="1"/>
  <c r="A3221" i="1"/>
  <c r="A3220" i="1"/>
  <c r="A3219" i="1"/>
  <c r="A3218" i="1"/>
  <c r="A3217" i="1"/>
  <c r="B3216" i="1"/>
  <c r="A3216" i="1"/>
  <c r="A3215" i="1"/>
  <c r="A3214" i="1"/>
  <c r="A3213" i="1"/>
  <c r="A3212" i="1"/>
  <c r="A3211" i="1"/>
  <c r="A3210" i="1"/>
  <c r="A3209" i="1"/>
  <c r="A3208" i="1"/>
  <c r="A3207" i="1"/>
  <c r="A3206" i="1"/>
  <c r="A3205" i="1"/>
  <c r="A3204" i="1"/>
  <c r="A3203" i="1"/>
  <c r="A3202" i="1"/>
  <c r="A3201" i="1"/>
  <c r="A3200" i="1"/>
  <c r="A3199" i="1"/>
  <c r="A3198" i="1"/>
  <c r="A3197" i="1"/>
  <c r="A3196" i="1"/>
  <c r="A3195" i="1"/>
  <c r="A3194" i="1"/>
  <c r="A3193" i="1"/>
  <c r="A3192" i="1"/>
  <c r="A3191" i="1"/>
  <c r="A3190" i="1"/>
  <c r="A3189" i="1"/>
  <c r="A3188" i="1"/>
  <c r="A3187" i="1"/>
  <c r="A3186" i="1"/>
  <c r="A3185" i="1"/>
  <c r="A3184" i="1"/>
  <c r="A3183" i="1"/>
  <c r="A3182" i="1"/>
  <c r="A3181" i="1"/>
  <c r="A3180" i="1"/>
  <c r="A3179" i="1"/>
  <c r="A3178" i="1"/>
  <c r="A3177" i="1"/>
  <c r="A3176" i="1"/>
  <c r="A3175" i="1"/>
  <c r="A3174" i="1"/>
  <c r="A3173" i="1"/>
  <c r="A3172" i="1"/>
  <c r="A3171" i="1"/>
  <c r="A3170" i="1"/>
  <c r="A3169" i="1"/>
  <c r="A3168" i="1"/>
  <c r="A3167" i="1"/>
  <c r="A3166" i="1"/>
  <c r="A3165" i="1"/>
  <c r="A3164" i="1"/>
  <c r="A3163" i="1"/>
  <c r="A3162" i="1"/>
  <c r="A3161" i="1"/>
  <c r="A3160" i="1"/>
  <c r="A3159" i="1"/>
  <c r="A3158" i="1"/>
  <c r="A3157" i="1"/>
  <c r="A3156" i="1"/>
  <c r="A3155" i="1"/>
  <c r="A3154" i="1"/>
  <c r="A3153" i="1"/>
  <c r="A3152" i="1"/>
  <c r="A3151" i="1"/>
  <c r="A3150" i="1"/>
  <c r="A3149" i="1"/>
  <c r="A3148" i="1"/>
  <c r="A3147" i="1"/>
  <c r="A3146" i="1"/>
  <c r="A3145" i="1"/>
  <c r="A3144" i="1"/>
  <c r="A3143" i="1"/>
  <c r="A3142" i="1"/>
  <c r="A3141" i="1"/>
  <c r="A3140" i="1"/>
  <c r="A3139" i="1"/>
  <c r="A3138" i="1"/>
  <c r="A3137" i="1"/>
  <c r="A3136" i="1"/>
  <c r="A3135" i="1"/>
  <c r="A3134" i="1"/>
  <c r="A3133" i="1"/>
  <c r="A3132" i="1"/>
  <c r="A3131" i="1"/>
  <c r="A3130" i="1"/>
  <c r="A3129" i="1"/>
  <c r="A3128" i="1"/>
  <c r="A3127" i="1"/>
  <c r="A3126" i="1"/>
  <c r="A3125" i="1"/>
  <c r="A3124" i="1"/>
  <c r="A3123" i="1"/>
  <c r="A3122" i="1"/>
  <c r="A3121" i="1"/>
  <c r="A3120" i="1"/>
  <c r="A3119" i="1"/>
  <c r="A3118" i="1"/>
  <c r="A3117" i="1"/>
  <c r="A3116" i="1"/>
  <c r="A3115" i="1"/>
  <c r="A3114" i="1"/>
  <c r="A3113" i="1"/>
  <c r="A3112" i="1"/>
  <c r="A3111" i="1"/>
  <c r="A3110" i="1"/>
  <c r="A3109" i="1"/>
  <c r="A3108" i="1"/>
  <c r="A3107" i="1"/>
  <c r="A3106" i="1"/>
  <c r="A3105" i="1"/>
  <c r="A3104" i="1"/>
  <c r="A3103" i="1"/>
  <c r="A3102" i="1"/>
  <c r="A3101" i="1"/>
  <c r="A3100" i="1"/>
  <c r="A3099" i="1"/>
  <c r="A3098" i="1"/>
  <c r="A3097" i="1"/>
  <c r="A3096" i="1"/>
  <c r="A3095" i="1"/>
  <c r="A3094" i="1"/>
  <c r="A3093" i="1"/>
  <c r="A3092" i="1"/>
  <c r="A3091" i="1"/>
  <c r="A3090" i="1"/>
  <c r="A3089" i="1"/>
  <c r="A3088" i="1"/>
  <c r="A3087" i="1"/>
  <c r="A3086" i="1"/>
  <c r="A3085" i="1"/>
  <c r="A3084" i="1"/>
  <c r="A3083" i="1"/>
  <c r="A3082" i="1"/>
  <c r="A3081" i="1"/>
  <c r="A3080" i="1"/>
  <c r="A3079" i="1"/>
  <c r="A3078" i="1"/>
  <c r="A3077" i="1"/>
  <c r="A3076" i="1"/>
  <c r="A3075" i="1"/>
  <c r="A3074" i="1"/>
  <c r="A3073" i="1"/>
  <c r="A3072" i="1"/>
  <c r="A3071" i="1"/>
  <c r="A3070" i="1"/>
  <c r="A3069" i="1"/>
  <c r="A3068" i="1"/>
  <c r="A3067" i="1"/>
  <c r="A3066" i="1"/>
  <c r="A3065" i="1"/>
  <c r="A3064" i="1"/>
  <c r="A3063" i="1"/>
  <c r="A3062" i="1"/>
  <c r="A3061" i="1"/>
  <c r="A3060" i="1"/>
  <c r="A3059" i="1"/>
  <c r="A3058" i="1"/>
  <c r="A3057" i="1"/>
  <c r="A3056" i="1"/>
  <c r="A3055" i="1"/>
  <c r="A3054" i="1"/>
  <c r="A3053" i="1"/>
  <c r="A3052" i="1"/>
  <c r="A3051" i="1"/>
  <c r="A3050" i="1"/>
  <c r="A3049" i="1"/>
  <c r="A3048" i="1"/>
  <c r="A3047" i="1"/>
  <c r="A3046" i="1"/>
  <c r="A3045" i="1"/>
  <c r="A3044" i="1"/>
  <c r="A3043" i="1"/>
  <c r="A3042" i="1"/>
  <c r="A3041" i="1"/>
  <c r="A3040" i="1"/>
  <c r="A3039" i="1"/>
  <c r="A3038" i="1"/>
  <c r="A3037" i="1"/>
  <c r="A3036" i="1"/>
  <c r="A3035" i="1"/>
  <c r="A3034" i="1"/>
  <c r="A3033" i="1"/>
  <c r="B3032" i="1"/>
  <c r="A3032" i="1"/>
  <c r="A3031" i="1"/>
  <c r="A3030" i="1"/>
  <c r="A3029" i="1"/>
  <c r="A3028" i="1"/>
  <c r="A3027" i="1"/>
  <c r="A3026" i="1"/>
  <c r="A3025" i="1"/>
  <c r="A3024" i="1"/>
  <c r="B3023" i="1"/>
  <c r="A3023" i="1"/>
  <c r="B3022" i="1"/>
  <c r="A3022" i="1"/>
  <c r="A3021" i="1"/>
  <c r="B3020" i="1"/>
  <c r="A3020" i="1"/>
  <c r="B3019" i="1"/>
  <c r="A3019" i="1"/>
  <c r="A3018" i="1"/>
  <c r="A3017" i="1"/>
  <c r="A3016" i="1"/>
  <c r="A3015" i="1"/>
  <c r="A3014" i="1"/>
  <c r="A3013" i="1"/>
  <c r="A3012" i="1"/>
  <c r="A3011" i="1"/>
  <c r="A3010" i="1"/>
  <c r="A3009" i="1"/>
  <c r="B3008" i="1"/>
  <c r="A3008" i="1"/>
  <c r="A3007" i="1"/>
  <c r="A3006" i="1"/>
  <c r="B3005" i="1"/>
  <c r="A3005" i="1"/>
  <c r="A3004" i="1"/>
  <c r="A3003" i="1"/>
  <c r="A3002" i="1"/>
  <c r="A3001" i="1"/>
  <c r="A3000" i="1"/>
  <c r="A2999" i="1"/>
  <c r="A2998" i="1"/>
  <c r="A2997" i="1"/>
  <c r="A2996" i="1"/>
  <c r="A2995" i="1"/>
  <c r="B2994" i="1"/>
  <c r="A2994" i="1"/>
  <c r="A2993" i="1"/>
  <c r="A2992" i="1"/>
  <c r="A2991" i="1"/>
  <c r="A2990" i="1"/>
  <c r="A2989" i="1"/>
  <c r="A2988" i="1"/>
  <c r="A2987" i="1"/>
  <c r="A2986" i="1"/>
  <c r="A2985" i="1"/>
  <c r="A2984" i="1"/>
  <c r="A2983" i="1"/>
  <c r="A2982" i="1"/>
  <c r="A2981" i="1"/>
  <c r="A2980" i="1"/>
  <c r="A2979" i="1"/>
  <c r="A2978" i="1"/>
  <c r="A2977" i="1"/>
  <c r="A2976" i="1"/>
  <c r="B2975" i="1"/>
  <c r="A2975" i="1"/>
  <c r="A2974" i="1"/>
  <c r="A2973" i="1"/>
  <c r="A2972" i="1"/>
  <c r="A2971" i="1"/>
  <c r="A2970" i="1"/>
  <c r="A2969" i="1"/>
  <c r="A2968" i="1"/>
  <c r="A2967" i="1"/>
  <c r="A2966" i="1"/>
  <c r="A2965" i="1"/>
  <c r="A2964" i="1"/>
  <c r="A2963" i="1"/>
  <c r="A2962" i="1"/>
  <c r="A2961" i="1"/>
  <c r="A2960" i="1"/>
  <c r="A2959" i="1"/>
  <c r="A2958" i="1"/>
  <c r="A2957" i="1"/>
  <c r="A2956" i="1"/>
  <c r="A2955" i="1"/>
  <c r="A2954" i="1"/>
  <c r="A2953" i="1"/>
  <c r="A2952" i="1"/>
  <c r="A2951" i="1"/>
  <c r="A2950" i="1"/>
  <c r="A2949" i="1"/>
  <c r="A2948" i="1"/>
  <c r="A2947" i="1"/>
  <c r="A2946" i="1"/>
  <c r="A2945" i="1"/>
  <c r="B2944" i="1"/>
  <c r="A2944" i="1"/>
  <c r="A2943" i="1"/>
  <c r="A2942" i="1"/>
  <c r="A2941" i="1"/>
  <c r="A2940" i="1"/>
  <c r="A2939" i="1"/>
  <c r="A2938" i="1"/>
  <c r="A2937" i="1"/>
  <c r="A2936" i="1"/>
  <c r="A2935" i="1"/>
  <c r="A2934" i="1"/>
  <c r="B2933" i="1"/>
  <c r="A2933" i="1"/>
  <c r="B2932" i="1"/>
  <c r="A2932" i="1"/>
  <c r="B2931" i="1"/>
  <c r="A2931" i="1"/>
  <c r="A2930" i="1"/>
  <c r="B2929" i="1"/>
  <c r="A2929" i="1"/>
  <c r="A2928" i="1"/>
  <c r="A2927" i="1"/>
  <c r="A2926" i="1"/>
  <c r="A2925" i="1"/>
  <c r="A2924" i="1"/>
  <c r="A2923" i="1"/>
  <c r="A2922" i="1"/>
  <c r="A2921" i="1"/>
  <c r="A2920" i="1"/>
  <c r="A2919" i="1"/>
  <c r="A2918" i="1"/>
  <c r="A2917" i="1"/>
  <c r="A2916" i="1"/>
  <c r="A2915" i="1"/>
  <c r="A2914" i="1"/>
  <c r="A2913" i="1"/>
  <c r="B2912" i="1"/>
  <c r="A2912" i="1"/>
  <c r="B2911" i="1"/>
  <c r="A2911" i="1"/>
  <c r="B2910" i="1"/>
  <c r="A2910" i="1"/>
  <c r="B2909" i="1"/>
  <c r="A2909" i="1"/>
  <c r="B2908" i="1"/>
  <c r="A2908" i="1"/>
  <c r="A2907" i="1"/>
  <c r="A2906" i="1"/>
  <c r="A2905" i="1"/>
  <c r="A2904" i="1"/>
  <c r="B2903" i="1"/>
  <c r="A2903" i="1"/>
  <c r="A2902" i="1"/>
  <c r="A2901" i="1"/>
  <c r="A2900" i="1"/>
  <c r="A2899" i="1"/>
  <c r="B2898" i="1"/>
  <c r="A2898" i="1"/>
  <c r="B2897" i="1"/>
  <c r="A2897" i="1"/>
  <c r="B2896" i="1"/>
  <c r="A2896" i="1"/>
  <c r="B2895" i="1"/>
  <c r="A2895" i="1"/>
  <c r="A2894" i="1"/>
  <c r="A2893" i="1"/>
  <c r="A2892" i="1"/>
  <c r="B2891" i="1"/>
  <c r="A2891" i="1"/>
  <c r="B2890" i="1"/>
  <c r="A2890" i="1"/>
  <c r="A2889" i="1"/>
  <c r="A2888" i="1"/>
  <c r="A2887" i="1"/>
  <c r="A2886" i="1"/>
  <c r="A2885" i="1"/>
  <c r="A2884" i="1"/>
  <c r="A2883" i="1"/>
  <c r="A2882" i="1"/>
  <c r="B2881" i="1"/>
  <c r="A2881" i="1"/>
  <c r="B2880" i="1"/>
  <c r="A2880" i="1"/>
  <c r="A2879" i="1"/>
  <c r="A2878" i="1"/>
  <c r="A2877" i="1"/>
  <c r="A2876" i="1"/>
  <c r="A2875" i="1"/>
  <c r="A2874" i="1"/>
  <c r="A2873" i="1"/>
  <c r="A2872" i="1"/>
  <c r="A2871" i="1"/>
  <c r="A2870" i="1"/>
  <c r="A2869" i="1"/>
  <c r="A2868" i="1"/>
  <c r="A2867" i="1"/>
  <c r="A2866" i="1"/>
  <c r="A2865" i="1"/>
  <c r="A2864" i="1"/>
  <c r="B2863" i="1"/>
  <c r="A2863" i="1"/>
  <c r="A2862" i="1"/>
  <c r="A2861" i="1"/>
  <c r="B2860" i="1"/>
  <c r="A2860" i="1"/>
  <c r="A2859" i="1"/>
  <c r="A2858" i="1"/>
  <c r="A2857" i="1"/>
  <c r="A2856" i="1"/>
  <c r="A2855" i="1"/>
  <c r="A2854" i="1"/>
  <c r="A2853" i="1"/>
  <c r="A2852" i="1"/>
  <c r="A2851" i="1"/>
  <c r="A2850" i="1"/>
  <c r="A2849" i="1"/>
  <c r="A2848" i="1"/>
  <c r="A2847" i="1"/>
  <c r="A2846" i="1"/>
  <c r="B2845" i="1"/>
  <c r="A2845" i="1"/>
  <c r="B2844" i="1"/>
  <c r="A2844" i="1"/>
  <c r="A2843" i="1"/>
  <c r="A2842" i="1"/>
  <c r="B2841" i="1"/>
  <c r="A2841" i="1"/>
  <c r="A2840" i="1"/>
  <c r="A2839" i="1"/>
  <c r="B2838" i="1"/>
  <c r="A2838" i="1"/>
  <c r="B2837" i="1"/>
  <c r="A2837" i="1"/>
  <c r="A2836" i="1"/>
  <c r="A2835" i="1"/>
  <c r="B2834" i="1"/>
  <c r="A2834" i="1"/>
  <c r="B2833" i="1"/>
  <c r="A2833" i="1"/>
  <c r="B2832" i="1"/>
  <c r="A2832" i="1"/>
  <c r="A2831" i="1"/>
  <c r="A2830" i="1"/>
  <c r="A2829" i="1"/>
  <c r="A2828" i="1"/>
  <c r="A2827" i="1"/>
  <c r="A2826" i="1"/>
  <c r="A2825" i="1"/>
  <c r="A2824" i="1"/>
  <c r="A2823" i="1"/>
  <c r="A2822" i="1"/>
  <c r="A2821" i="1"/>
  <c r="A2820" i="1"/>
  <c r="A2819" i="1"/>
  <c r="A2818" i="1"/>
  <c r="B2817" i="1"/>
  <c r="A2817" i="1"/>
  <c r="B2816" i="1"/>
  <c r="A2816" i="1"/>
  <c r="A2815" i="1"/>
  <c r="A2814" i="1"/>
  <c r="A2813" i="1"/>
  <c r="A2812" i="1"/>
  <c r="A2811" i="1"/>
  <c r="B2810" i="1"/>
  <c r="A2810" i="1"/>
  <c r="A2809" i="1"/>
  <c r="B2808" i="1"/>
  <c r="A2808" i="1"/>
  <c r="B2807" i="1"/>
  <c r="A2807" i="1"/>
  <c r="A2806" i="1"/>
  <c r="A2805" i="1"/>
  <c r="A2804" i="1"/>
  <c r="A2803" i="1"/>
  <c r="A2802" i="1"/>
  <c r="A2801" i="1"/>
  <c r="A2800" i="1"/>
  <c r="A2799" i="1"/>
  <c r="A2798" i="1"/>
  <c r="A2797" i="1"/>
  <c r="A2796" i="1"/>
  <c r="B2795" i="1"/>
  <c r="A2795" i="1"/>
  <c r="B2794" i="1"/>
  <c r="A2794" i="1"/>
  <c r="B2793" i="1"/>
  <c r="A2793" i="1"/>
  <c r="B2792" i="1"/>
  <c r="A2792" i="1"/>
  <c r="B2791" i="1"/>
  <c r="A2791" i="1"/>
  <c r="A2790" i="1"/>
  <c r="A2789" i="1"/>
  <c r="A2788" i="1"/>
  <c r="A2787" i="1"/>
  <c r="A2786" i="1"/>
  <c r="A2785" i="1"/>
  <c r="A2784" i="1"/>
  <c r="A2783" i="1"/>
  <c r="A2782" i="1"/>
  <c r="A2781" i="1"/>
  <c r="A2780" i="1"/>
  <c r="A2779" i="1"/>
  <c r="A2778" i="1"/>
  <c r="A2777" i="1"/>
  <c r="A2776" i="1"/>
  <c r="A2775" i="1"/>
  <c r="A2774" i="1"/>
  <c r="A2773" i="1"/>
  <c r="A2772" i="1"/>
  <c r="B2771" i="1"/>
  <c r="A2771" i="1"/>
  <c r="B2770" i="1"/>
  <c r="A2770" i="1"/>
  <c r="B2769" i="1"/>
  <c r="A2769" i="1"/>
  <c r="B2768" i="1"/>
  <c r="A2768" i="1"/>
  <c r="B2767" i="1"/>
  <c r="A2767" i="1"/>
  <c r="A2766" i="1"/>
  <c r="A2765" i="1"/>
  <c r="A2764" i="1"/>
  <c r="A2763" i="1"/>
  <c r="A2762" i="1"/>
  <c r="A2761" i="1"/>
  <c r="A2760" i="1"/>
  <c r="A2759" i="1"/>
  <c r="B2758" i="1"/>
  <c r="A2758" i="1"/>
  <c r="B2757" i="1"/>
  <c r="A2757" i="1"/>
  <c r="B2756" i="1"/>
  <c r="A2756" i="1"/>
  <c r="B2755" i="1"/>
  <c r="A2755" i="1"/>
  <c r="A2754" i="1"/>
  <c r="A2753" i="1"/>
  <c r="A2752" i="1"/>
  <c r="A2751" i="1"/>
  <c r="A2750" i="1"/>
  <c r="A2749" i="1"/>
  <c r="A2748" i="1"/>
  <c r="A2747" i="1"/>
  <c r="A2746" i="1"/>
  <c r="A2745" i="1"/>
  <c r="A2744" i="1"/>
  <c r="A2743" i="1"/>
  <c r="A2742" i="1"/>
  <c r="A2741" i="1"/>
  <c r="A2740" i="1"/>
  <c r="A2739" i="1"/>
  <c r="A2738" i="1"/>
  <c r="A2737" i="1"/>
  <c r="A2736" i="1"/>
  <c r="A2735" i="1"/>
  <c r="A2734" i="1"/>
  <c r="A2733" i="1"/>
  <c r="A2732" i="1"/>
  <c r="A2731" i="1"/>
  <c r="A2730" i="1"/>
  <c r="B2729" i="1"/>
  <c r="A2729" i="1"/>
  <c r="A2728" i="1"/>
  <c r="A2727" i="1"/>
  <c r="A2726" i="1"/>
  <c r="A2725" i="1"/>
  <c r="A2724" i="1"/>
  <c r="A2723" i="1"/>
  <c r="A2722" i="1"/>
  <c r="A2721" i="1"/>
  <c r="B2720" i="1"/>
  <c r="A2720" i="1"/>
  <c r="A2719" i="1"/>
  <c r="A2718" i="1"/>
  <c r="A2717" i="1"/>
  <c r="A2716" i="1"/>
  <c r="A2715" i="1"/>
  <c r="A2714" i="1"/>
  <c r="A2713" i="1"/>
  <c r="A2712" i="1"/>
  <c r="A2711" i="1"/>
  <c r="A2710" i="1"/>
  <c r="A2709" i="1"/>
  <c r="A2708" i="1"/>
  <c r="A2707" i="1"/>
  <c r="A2706" i="1"/>
  <c r="A2705" i="1"/>
  <c r="A2704" i="1"/>
  <c r="A2703" i="1"/>
  <c r="A2702" i="1"/>
  <c r="A2701" i="1"/>
  <c r="A2700" i="1"/>
  <c r="A2699" i="1"/>
  <c r="A2698" i="1"/>
  <c r="A2697" i="1"/>
  <c r="A2696" i="1"/>
  <c r="A2695" i="1"/>
  <c r="A2694" i="1"/>
  <c r="A2693" i="1"/>
  <c r="A2692" i="1"/>
  <c r="A2691" i="1"/>
  <c r="A2690" i="1"/>
  <c r="B2689" i="1"/>
  <c r="A2689" i="1"/>
  <c r="B2688" i="1"/>
  <c r="A2688" i="1"/>
  <c r="B2687" i="1"/>
  <c r="A2687" i="1"/>
  <c r="A2686" i="1"/>
  <c r="B2685" i="1"/>
  <c r="A2685" i="1"/>
  <c r="B2684" i="1"/>
  <c r="A2684" i="1"/>
  <c r="B2683" i="1"/>
  <c r="A2683" i="1"/>
  <c r="B2682" i="1"/>
  <c r="A2682" i="1"/>
  <c r="A2681" i="1"/>
  <c r="A2680" i="1"/>
  <c r="A2679" i="1"/>
  <c r="A2678" i="1"/>
  <c r="A2677" i="1"/>
  <c r="A2676" i="1"/>
  <c r="A2675" i="1"/>
  <c r="A2674" i="1"/>
  <c r="A2673" i="1"/>
  <c r="A2672" i="1"/>
  <c r="A2671" i="1"/>
  <c r="A2670" i="1"/>
  <c r="A2669" i="1"/>
  <c r="A2668" i="1"/>
  <c r="A2667" i="1"/>
  <c r="A2666" i="1"/>
  <c r="A2665" i="1"/>
  <c r="A2664" i="1"/>
  <c r="A2663" i="1"/>
  <c r="A2662" i="1"/>
  <c r="A2661" i="1"/>
  <c r="A2660" i="1"/>
  <c r="A2659" i="1"/>
  <c r="A2658" i="1"/>
  <c r="A2657" i="1"/>
  <c r="A2656" i="1"/>
  <c r="A2655" i="1"/>
  <c r="A2654" i="1"/>
  <c r="A2653" i="1"/>
  <c r="A2652" i="1"/>
  <c r="A2651" i="1"/>
  <c r="A2650" i="1"/>
  <c r="A2649" i="1"/>
  <c r="B2648" i="1"/>
  <c r="A2648" i="1"/>
  <c r="B2647" i="1"/>
  <c r="A2647" i="1"/>
  <c r="B2646" i="1"/>
  <c r="A2646" i="1"/>
  <c r="B2645" i="1"/>
  <c r="A2645" i="1"/>
  <c r="B2644" i="1"/>
  <c r="A2644" i="1"/>
  <c r="B2643" i="1"/>
  <c r="A2643" i="1"/>
  <c r="B2642" i="1"/>
  <c r="A2642" i="1"/>
  <c r="A2641" i="1"/>
  <c r="A2640" i="1"/>
  <c r="B2639" i="1"/>
  <c r="A2639" i="1"/>
  <c r="B2638" i="1"/>
  <c r="A2638" i="1"/>
  <c r="B2637" i="1"/>
  <c r="A2637" i="1"/>
  <c r="A2636" i="1"/>
  <c r="A2635" i="1"/>
  <c r="B2634" i="1"/>
  <c r="A2634" i="1"/>
  <c r="B2633" i="1"/>
  <c r="A2633" i="1"/>
  <c r="A2632" i="1"/>
  <c r="A2631" i="1"/>
  <c r="A2630" i="1"/>
  <c r="A2629" i="1"/>
  <c r="A2628" i="1"/>
  <c r="A2627" i="1"/>
  <c r="A2626" i="1"/>
  <c r="A2625" i="1"/>
  <c r="A2624" i="1"/>
  <c r="A2623" i="1"/>
  <c r="A2622" i="1"/>
  <c r="A2621" i="1"/>
  <c r="A2620" i="1"/>
  <c r="A2619" i="1"/>
  <c r="A2618" i="1"/>
  <c r="A2617" i="1"/>
  <c r="A2616" i="1"/>
  <c r="B2615" i="1"/>
  <c r="A2615" i="1"/>
  <c r="A2614" i="1"/>
  <c r="A2613" i="1"/>
  <c r="A2612" i="1"/>
  <c r="A2611" i="1"/>
  <c r="A2610" i="1"/>
  <c r="A2609" i="1"/>
  <c r="A2608" i="1"/>
  <c r="A2607" i="1"/>
  <c r="A2606" i="1"/>
  <c r="A2605" i="1"/>
  <c r="A2604" i="1"/>
  <c r="A2603" i="1"/>
  <c r="A2602" i="1"/>
  <c r="A2601" i="1"/>
  <c r="A2600" i="1"/>
  <c r="A2599" i="1"/>
  <c r="A2598" i="1"/>
  <c r="A2597" i="1"/>
  <c r="A2596" i="1"/>
  <c r="A2595" i="1"/>
  <c r="A2594" i="1"/>
  <c r="A2593" i="1"/>
  <c r="A2592" i="1"/>
  <c r="A2591" i="1"/>
  <c r="A2590" i="1"/>
  <c r="A2589" i="1"/>
  <c r="A2588" i="1"/>
  <c r="A2587" i="1"/>
  <c r="A2586" i="1"/>
  <c r="B2585" i="1"/>
  <c r="A2585" i="1"/>
  <c r="A2584" i="1"/>
  <c r="A2583" i="1"/>
  <c r="A2582" i="1"/>
  <c r="A2581" i="1"/>
  <c r="A2580" i="1"/>
  <c r="A2579" i="1"/>
  <c r="A2578" i="1"/>
  <c r="A2577" i="1"/>
  <c r="A2576" i="1"/>
  <c r="A2575" i="1"/>
  <c r="A2574" i="1"/>
  <c r="A2573" i="1"/>
  <c r="A2572" i="1"/>
  <c r="A2571" i="1"/>
  <c r="A2570" i="1"/>
  <c r="A2569" i="1"/>
  <c r="A2568" i="1"/>
  <c r="A2567" i="1"/>
  <c r="A2566" i="1"/>
  <c r="A2565" i="1"/>
  <c r="A2564" i="1"/>
  <c r="A2563" i="1"/>
  <c r="A2562" i="1"/>
  <c r="A2561" i="1"/>
  <c r="B2560" i="1"/>
  <c r="A2560" i="1"/>
  <c r="A2559" i="1"/>
  <c r="B2558" i="1"/>
  <c r="A2558" i="1"/>
  <c r="B2557" i="1"/>
  <c r="A2557" i="1"/>
  <c r="B2556" i="1"/>
  <c r="A2556" i="1"/>
  <c r="B2555" i="1"/>
  <c r="A2555" i="1"/>
  <c r="B2554" i="1"/>
  <c r="A2554" i="1"/>
  <c r="A2553" i="1"/>
  <c r="A2552" i="1"/>
  <c r="A2551" i="1"/>
  <c r="A2550" i="1"/>
  <c r="A2549" i="1"/>
  <c r="B2548" i="1"/>
  <c r="A2548" i="1"/>
  <c r="B2547" i="1"/>
  <c r="A2547" i="1"/>
  <c r="B2546" i="1"/>
  <c r="A2546" i="1"/>
  <c r="B2545" i="1"/>
  <c r="A2545" i="1"/>
  <c r="A2544" i="1"/>
  <c r="A2543" i="1"/>
  <c r="A2542" i="1"/>
  <c r="A2541" i="1"/>
  <c r="A2540" i="1"/>
  <c r="A2539" i="1"/>
  <c r="B2538" i="1"/>
  <c r="A2538" i="1"/>
  <c r="A2537" i="1"/>
  <c r="B2536" i="1"/>
  <c r="A2536" i="1"/>
  <c r="A2535" i="1"/>
  <c r="A2534" i="1"/>
  <c r="A2533" i="1"/>
  <c r="A2532" i="1"/>
  <c r="A2531" i="1"/>
  <c r="A2530" i="1"/>
  <c r="A2529" i="1"/>
  <c r="A2528" i="1"/>
  <c r="A2527" i="1"/>
  <c r="A2526" i="1"/>
  <c r="A2525" i="1"/>
  <c r="A2524" i="1"/>
  <c r="A2523" i="1"/>
  <c r="A2522" i="1"/>
  <c r="A2521" i="1"/>
  <c r="A2520" i="1"/>
  <c r="A2519" i="1"/>
  <c r="A2518" i="1"/>
  <c r="A2517" i="1"/>
  <c r="A2516" i="1"/>
  <c r="B2515" i="1"/>
  <c r="A2515" i="1"/>
  <c r="A2514" i="1"/>
  <c r="A2513" i="1"/>
  <c r="A2512" i="1"/>
  <c r="A2511" i="1"/>
  <c r="A2510" i="1"/>
  <c r="A2509" i="1"/>
  <c r="B2508" i="1"/>
  <c r="A2508" i="1"/>
  <c r="B2507" i="1"/>
  <c r="A2507" i="1"/>
  <c r="B2506" i="1"/>
  <c r="A2506" i="1"/>
  <c r="B2505" i="1"/>
  <c r="A2505" i="1"/>
  <c r="B2504" i="1"/>
  <c r="A2504" i="1"/>
  <c r="B2503" i="1"/>
  <c r="A2503" i="1"/>
  <c r="B2502" i="1"/>
  <c r="A2502" i="1"/>
  <c r="B2501" i="1"/>
  <c r="A2501" i="1"/>
  <c r="B2500" i="1"/>
  <c r="A2500" i="1"/>
  <c r="B2499" i="1"/>
  <c r="A2499" i="1"/>
  <c r="B2498" i="1"/>
  <c r="A2498" i="1"/>
  <c r="B2497" i="1"/>
  <c r="A2497" i="1"/>
  <c r="B2496" i="1"/>
  <c r="A2496" i="1"/>
  <c r="B2495" i="1"/>
  <c r="A2495" i="1"/>
  <c r="B2494" i="1"/>
  <c r="A2494" i="1"/>
  <c r="B2493" i="1"/>
  <c r="A2493" i="1"/>
  <c r="B2492" i="1"/>
  <c r="A2492" i="1"/>
  <c r="B2491" i="1"/>
  <c r="A2491" i="1"/>
  <c r="B2490" i="1"/>
  <c r="A2490" i="1"/>
  <c r="B2489" i="1"/>
  <c r="A2489" i="1"/>
  <c r="B2488" i="1"/>
  <c r="A2488" i="1"/>
  <c r="B2487" i="1"/>
  <c r="A2487" i="1"/>
  <c r="B2486" i="1"/>
  <c r="A2486" i="1"/>
  <c r="B2485" i="1"/>
  <c r="A2485" i="1"/>
  <c r="B2484" i="1"/>
  <c r="A2484" i="1"/>
  <c r="B2483" i="1"/>
  <c r="A2483" i="1"/>
  <c r="B2482" i="1"/>
  <c r="A2482" i="1"/>
  <c r="B2481" i="1"/>
  <c r="A2481" i="1"/>
  <c r="B2480" i="1"/>
  <c r="A2480" i="1"/>
  <c r="B2479" i="1"/>
  <c r="A2479" i="1"/>
  <c r="B2478" i="1"/>
  <c r="A2478" i="1"/>
  <c r="B2477" i="1"/>
  <c r="A2477" i="1"/>
  <c r="B2476" i="1"/>
  <c r="A2476" i="1"/>
  <c r="B2475" i="1"/>
  <c r="A2475" i="1"/>
  <c r="B2474" i="1"/>
  <c r="A2474" i="1"/>
  <c r="B2473" i="1"/>
  <c r="A2473" i="1"/>
  <c r="B2472" i="1"/>
  <c r="A2472" i="1"/>
  <c r="B2471" i="1"/>
  <c r="A2471" i="1"/>
  <c r="B2470" i="1"/>
  <c r="A2470" i="1"/>
  <c r="B2469" i="1"/>
  <c r="A2469" i="1"/>
  <c r="B2468" i="1"/>
  <c r="A2468" i="1"/>
  <c r="B2467" i="1"/>
  <c r="A2467" i="1"/>
  <c r="B2466" i="1"/>
  <c r="A2466" i="1"/>
  <c r="B2465" i="1"/>
  <c r="A2465" i="1"/>
  <c r="B2464" i="1"/>
  <c r="A2464" i="1"/>
  <c r="A2463" i="1"/>
  <c r="A2462" i="1"/>
  <c r="A2461" i="1"/>
  <c r="A2460" i="1"/>
  <c r="A2459" i="1"/>
  <c r="A2458" i="1"/>
  <c r="A2457" i="1"/>
  <c r="A2456" i="1"/>
  <c r="A2455" i="1"/>
  <c r="B2454" i="1"/>
  <c r="A2454" i="1"/>
  <c r="A2453" i="1"/>
  <c r="A2452" i="1"/>
  <c r="A2451" i="1"/>
  <c r="A2450" i="1"/>
  <c r="A2449" i="1"/>
  <c r="A2448" i="1"/>
  <c r="A2447" i="1"/>
  <c r="A2446" i="1"/>
  <c r="A2445" i="1"/>
  <c r="A2444" i="1"/>
  <c r="A2443" i="1"/>
  <c r="A2442" i="1"/>
  <c r="A2441" i="1"/>
  <c r="A2440" i="1"/>
  <c r="A2439" i="1"/>
  <c r="A2438" i="1"/>
  <c r="A2437" i="1"/>
  <c r="A2436" i="1"/>
  <c r="A2435" i="1"/>
  <c r="A2434" i="1"/>
  <c r="A2433" i="1"/>
  <c r="A2432" i="1"/>
  <c r="A2431" i="1"/>
  <c r="A2430" i="1"/>
  <c r="A2429" i="1"/>
  <c r="A2428" i="1"/>
  <c r="A2427" i="1"/>
  <c r="A2426" i="1"/>
  <c r="A2425" i="1"/>
  <c r="A2424" i="1"/>
  <c r="A2423" i="1"/>
  <c r="A2422" i="1"/>
  <c r="A2421" i="1"/>
  <c r="A2420" i="1"/>
  <c r="A2419" i="1"/>
  <c r="A2418" i="1"/>
  <c r="A2417" i="1"/>
  <c r="A2416" i="1"/>
  <c r="A2415" i="1"/>
  <c r="A2414" i="1"/>
  <c r="A2413" i="1"/>
  <c r="A2412" i="1"/>
  <c r="A2411" i="1"/>
  <c r="A2410" i="1"/>
  <c r="A2409" i="1"/>
  <c r="A2408" i="1"/>
  <c r="A2407" i="1"/>
  <c r="A2406" i="1"/>
  <c r="A2405" i="1"/>
  <c r="A2404" i="1"/>
  <c r="A2403" i="1"/>
  <c r="A2402" i="1"/>
  <c r="A2401" i="1"/>
  <c r="A2400" i="1"/>
  <c r="A2399" i="1"/>
  <c r="A2398" i="1"/>
  <c r="A2397" i="1"/>
  <c r="B2396" i="1"/>
  <c r="A2396" i="1"/>
  <c r="A2395" i="1"/>
  <c r="A2394" i="1"/>
  <c r="A2393" i="1"/>
  <c r="A2392" i="1"/>
  <c r="A2391" i="1"/>
  <c r="A2390" i="1"/>
  <c r="A2389" i="1"/>
  <c r="A2388" i="1"/>
  <c r="A2387" i="1"/>
  <c r="A2386" i="1"/>
  <c r="A2385" i="1"/>
  <c r="A2384" i="1"/>
  <c r="A2383" i="1"/>
  <c r="A2382" i="1"/>
  <c r="A2381" i="1"/>
  <c r="A2380" i="1"/>
  <c r="A2379" i="1"/>
  <c r="A2378" i="1"/>
  <c r="A2377" i="1"/>
  <c r="A2376" i="1"/>
  <c r="A2375" i="1"/>
  <c r="A2374" i="1"/>
  <c r="A2373" i="1"/>
  <c r="A2372" i="1"/>
  <c r="A2371" i="1"/>
  <c r="A2370" i="1"/>
  <c r="A2369" i="1"/>
  <c r="A2368" i="1"/>
  <c r="A2367" i="1"/>
  <c r="A2366" i="1"/>
  <c r="A2365" i="1"/>
  <c r="A2364" i="1"/>
  <c r="A2363" i="1"/>
  <c r="A2362" i="1"/>
  <c r="A2361" i="1"/>
  <c r="A2360" i="1"/>
  <c r="A2359" i="1"/>
  <c r="A2358" i="1"/>
  <c r="A2357" i="1"/>
  <c r="A2356" i="1"/>
  <c r="A2355" i="1"/>
  <c r="A2354" i="1"/>
  <c r="A2353" i="1"/>
  <c r="A2352" i="1"/>
  <c r="A2351" i="1"/>
  <c r="A2350" i="1"/>
  <c r="A2349" i="1"/>
  <c r="A2348" i="1"/>
  <c r="A2347" i="1"/>
  <c r="A2346" i="1"/>
  <c r="A2345" i="1"/>
  <c r="A2344" i="1"/>
  <c r="A2343" i="1"/>
  <c r="A2342" i="1"/>
  <c r="A2341" i="1"/>
  <c r="A2340" i="1"/>
  <c r="A2339" i="1"/>
  <c r="A2338" i="1"/>
  <c r="A2337" i="1"/>
  <c r="A2336" i="1"/>
  <c r="A2335" i="1"/>
  <c r="A2334" i="1"/>
  <c r="A2333" i="1"/>
  <c r="A2332" i="1"/>
  <c r="A2331" i="1"/>
  <c r="B2330" i="1"/>
  <c r="A2330" i="1"/>
  <c r="A2329" i="1"/>
  <c r="A2328" i="1"/>
  <c r="A2327" i="1"/>
  <c r="B2326" i="1"/>
  <c r="A2326" i="1"/>
  <c r="B2325" i="1"/>
  <c r="A2325" i="1"/>
  <c r="B2324" i="1"/>
  <c r="A2324" i="1"/>
  <c r="B2323" i="1"/>
  <c r="A2323" i="1"/>
  <c r="B2322" i="1"/>
  <c r="A2322" i="1"/>
  <c r="A2321" i="1"/>
  <c r="A2320" i="1"/>
  <c r="A2319" i="1"/>
  <c r="B2318" i="1"/>
  <c r="A2318" i="1"/>
  <c r="A2317" i="1"/>
  <c r="A2316" i="1"/>
  <c r="A2315" i="1"/>
  <c r="A2314" i="1"/>
  <c r="A2313" i="1"/>
  <c r="A2312" i="1"/>
  <c r="A2311" i="1"/>
  <c r="A2310" i="1"/>
  <c r="A2309" i="1"/>
  <c r="A2308" i="1"/>
  <c r="A2307" i="1"/>
  <c r="A2306" i="1"/>
  <c r="A2305" i="1"/>
  <c r="A2304" i="1"/>
  <c r="A2303" i="1"/>
  <c r="A2302" i="1"/>
  <c r="A2301" i="1"/>
  <c r="A2300" i="1"/>
  <c r="A2299" i="1"/>
  <c r="A2298" i="1"/>
  <c r="A2297" i="1"/>
  <c r="A2296" i="1"/>
  <c r="A2295" i="1"/>
  <c r="A2294" i="1"/>
  <c r="A2293" i="1"/>
  <c r="A2292" i="1"/>
  <c r="A2291" i="1"/>
  <c r="A2290" i="1"/>
  <c r="B2289" i="1"/>
  <c r="A2289" i="1"/>
  <c r="B2288" i="1"/>
  <c r="A2288" i="1"/>
  <c r="B2287" i="1"/>
  <c r="A2287" i="1"/>
  <c r="B2286" i="1"/>
  <c r="A2286" i="1"/>
  <c r="A2285" i="1"/>
  <c r="A2284" i="1"/>
  <c r="B2283" i="1"/>
  <c r="A2283" i="1"/>
  <c r="B2282" i="1"/>
  <c r="A2282" i="1"/>
  <c r="B2281" i="1"/>
  <c r="A2281" i="1"/>
  <c r="A2280" i="1"/>
  <c r="A2279" i="1"/>
  <c r="A2278" i="1"/>
  <c r="A2277" i="1"/>
  <c r="A2276" i="1"/>
  <c r="A2275" i="1"/>
  <c r="A2274" i="1"/>
  <c r="A2273" i="1"/>
  <c r="A2272" i="1"/>
  <c r="A2271" i="1"/>
  <c r="A2270" i="1"/>
  <c r="A2269" i="1"/>
  <c r="A2268" i="1"/>
  <c r="A2267" i="1"/>
  <c r="A2266" i="1"/>
  <c r="A2265" i="1"/>
  <c r="A2264" i="1"/>
  <c r="A2263" i="1"/>
  <c r="A2262" i="1"/>
  <c r="A2261" i="1"/>
  <c r="A2260" i="1"/>
  <c r="B2259" i="1"/>
  <c r="A2259" i="1"/>
  <c r="A2258" i="1"/>
  <c r="B2257" i="1"/>
  <c r="A2257" i="1"/>
  <c r="A2256" i="1"/>
  <c r="B2255" i="1"/>
  <c r="A2255" i="1"/>
  <c r="A2254" i="1"/>
  <c r="A2253" i="1"/>
  <c r="B2252" i="1"/>
  <c r="A2252" i="1"/>
  <c r="A2251" i="1"/>
  <c r="A2250" i="1"/>
  <c r="A2249" i="1"/>
  <c r="A2248" i="1"/>
  <c r="A2247" i="1"/>
  <c r="A2246" i="1"/>
  <c r="A2245" i="1"/>
  <c r="A2244" i="1"/>
  <c r="A2243" i="1"/>
  <c r="A2242" i="1"/>
  <c r="A2241" i="1"/>
  <c r="A2240" i="1"/>
  <c r="A2239" i="1"/>
  <c r="A2238" i="1"/>
  <c r="A2237" i="1"/>
  <c r="A2236" i="1"/>
  <c r="A2235" i="1"/>
  <c r="A2234" i="1"/>
  <c r="A2233" i="1"/>
  <c r="B2232" i="1"/>
  <c r="A2232" i="1"/>
  <c r="A2231" i="1"/>
  <c r="A2230" i="1"/>
  <c r="A2229" i="1"/>
  <c r="A2228" i="1"/>
  <c r="A2227" i="1"/>
  <c r="B2226" i="1"/>
  <c r="A2226" i="1"/>
  <c r="A2225" i="1"/>
  <c r="A2224" i="1"/>
  <c r="A2223" i="1"/>
  <c r="A2222" i="1"/>
  <c r="A2221" i="1"/>
  <c r="A2220" i="1"/>
  <c r="A2219" i="1"/>
  <c r="A2218" i="1"/>
  <c r="A2217" i="1"/>
  <c r="A2216" i="1"/>
  <c r="A2215" i="1"/>
  <c r="A2214" i="1"/>
  <c r="A2213" i="1"/>
  <c r="A2212" i="1"/>
  <c r="A2211" i="1"/>
  <c r="A2210" i="1"/>
  <c r="A2209" i="1"/>
  <c r="A2208" i="1"/>
  <c r="A2207" i="1"/>
  <c r="A2206" i="1"/>
  <c r="A2205" i="1"/>
  <c r="B2204" i="1"/>
  <c r="A2204" i="1"/>
  <c r="A2203" i="1"/>
  <c r="A2202" i="1"/>
  <c r="A2201" i="1"/>
  <c r="A2200" i="1"/>
  <c r="B2199" i="1"/>
  <c r="A2199" i="1"/>
  <c r="A2198" i="1"/>
  <c r="A2197" i="1"/>
  <c r="A2196" i="1"/>
  <c r="A2195" i="1"/>
  <c r="A2194" i="1"/>
  <c r="A2193" i="1"/>
  <c r="A2192" i="1"/>
  <c r="A2191" i="1"/>
  <c r="A2190" i="1"/>
  <c r="A2189" i="1"/>
  <c r="A2188" i="1"/>
  <c r="B2187" i="1"/>
  <c r="A2187" i="1"/>
  <c r="B2186" i="1"/>
  <c r="A2186" i="1"/>
  <c r="A2185" i="1"/>
  <c r="A2184" i="1"/>
  <c r="A2183" i="1"/>
  <c r="A2182" i="1"/>
  <c r="A2181" i="1"/>
  <c r="A2180" i="1"/>
  <c r="A2179" i="1"/>
  <c r="A2178" i="1"/>
  <c r="A2177" i="1"/>
  <c r="A2176" i="1"/>
  <c r="A2175" i="1"/>
  <c r="A2174" i="1"/>
  <c r="A2173" i="1"/>
  <c r="A2172" i="1"/>
  <c r="A2171" i="1"/>
  <c r="A2170" i="1"/>
  <c r="A2169" i="1"/>
  <c r="A2168" i="1"/>
  <c r="A2167" i="1"/>
  <c r="A2166" i="1"/>
  <c r="A2165" i="1"/>
  <c r="A2164" i="1"/>
  <c r="A2163" i="1"/>
  <c r="A2162" i="1"/>
  <c r="A2161" i="1"/>
  <c r="A2160" i="1"/>
  <c r="A2159" i="1"/>
  <c r="A2158" i="1"/>
  <c r="A2157" i="1"/>
  <c r="A2156" i="1"/>
  <c r="A2155" i="1"/>
  <c r="A2154" i="1"/>
  <c r="A2153" i="1"/>
  <c r="A2152" i="1"/>
  <c r="A2151" i="1"/>
  <c r="A2150" i="1"/>
  <c r="A2149" i="1"/>
  <c r="A2148" i="1"/>
  <c r="A2147" i="1"/>
  <c r="A2146" i="1"/>
  <c r="A2145" i="1"/>
  <c r="A2144" i="1"/>
  <c r="A2143" i="1"/>
  <c r="A2142" i="1"/>
  <c r="A2141" i="1"/>
  <c r="A2140" i="1"/>
  <c r="A2139" i="1"/>
  <c r="A2138" i="1"/>
  <c r="A2137" i="1"/>
  <c r="A2136" i="1"/>
  <c r="A2135" i="1"/>
  <c r="A2134" i="1"/>
  <c r="A2133" i="1"/>
  <c r="A2132" i="1"/>
  <c r="A2131" i="1"/>
  <c r="A2130" i="1"/>
  <c r="A2129" i="1"/>
  <c r="A2128" i="1"/>
  <c r="A2127" i="1"/>
  <c r="A2126" i="1"/>
  <c r="A2125" i="1"/>
  <c r="A2124" i="1"/>
  <c r="A2123" i="1"/>
  <c r="A2122" i="1"/>
  <c r="A2121" i="1"/>
  <c r="A2120" i="1"/>
  <c r="A2119" i="1"/>
  <c r="A2118" i="1"/>
  <c r="A2117" i="1"/>
  <c r="A2116" i="1"/>
  <c r="A2115" i="1"/>
  <c r="A2114" i="1"/>
  <c r="A2113" i="1"/>
  <c r="A2112" i="1"/>
  <c r="A2111" i="1"/>
  <c r="A2110" i="1"/>
  <c r="A2109" i="1"/>
  <c r="A2108" i="1"/>
  <c r="A2107" i="1"/>
  <c r="A2106" i="1"/>
  <c r="B2105" i="1"/>
  <c r="A2105" i="1"/>
  <c r="B2104" i="1"/>
  <c r="A2104" i="1"/>
  <c r="A2103" i="1"/>
  <c r="A2102" i="1"/>
  <c r="A2101" i="1"/>
  <c r="A2100" i="1"/>
  <c r="A2099" i="1"/>
  <c r="A2098" i="1"/>
  <c r="A2097" i="1"/>
  <c r="A2096" i="1"/>
  <c r="A2095" i="1"/>
  <c r="A2094" i="1"/>
  <c r="A2093" i="1"/>
  <c r="A2092" i="1"/>
  <c r="A2091" i="1"/>
  <c r="A2090" i="1"/>
  <c r="A2089" i="1"/>
  <c r="A2088" i="1"/>
  <c r="A2087" i="1"/>
  <c r="A2086" i="1"/>
  <c r="A2085" i="1"/>
  <c r="A2084" i="1"/>
  <c r="A2083" i="1"/>
  <c r="A2082" i="1"/>
  <c r="A2081" i="1"/>
  <c r="A2080" i="1"/>
  <c r="A2079" i="1"/>
  <c r="A2078" i="1"/>
  <c r="A2077" i="1"/>
  <c r="A2076" i="1"/>
  <c r="A2075" i="1"/>
  <c r="A2074" i="1"/>
  <c r="A2073" i="1"/>
  <c r="A2072" i="1"/>
  <c r="A2071" i="1"/>
  <c r="B2070" i="1"/>
  <c r="A2070" i="1"/>
  <c r="B2069" i="1"/>
  <c r="A2069" i="1"/>
  <c r="B2068" i="1"/>
  <c r="A2068" i="1"/>
  <c r="B2067" i="1"/>
  <c r="A2067" i="1"/>
  <c r="A2066" i="1"/>
  <c r="A2065" i="1"/>
  <c r="A2064" i="1"/>
  <c r="A2063" i="1"/>
  <c r="A2062" i="1"/>
  <c r="A2061" i="1"/>
  <c r="A2060" i="1"/>
  <c r="A2059" i="1"/>
  <c r="A2058" i="1"/>
  <c r="A2057" i="1"/>
  <c r="A2056" i="1"/>
  <c r="A2055" i="1"/>
  <c r="A2054" i="1"/>
  <c r="A2053" i="1"/>
  <c r="A2052" i="1"/>
  <c r="A2051" i="1"/>
  <c r="A2050" i="1"/>
  <c r="A2049" i="1"/>
  <c r="A2048" i="1"/>
  <c r="A2047" i="1"/>
  <c r="A2046" i="1"/>
  <c r="A2045" i="1"/>
  <c r="A2044" i="1"/>
  <c r="A2043" i="1"/>
  <c r="B2042" i="1"/>
  <c r="A2042" i="1"/>
  <c r="B2041" i="1"/>
  <c r="A2041" i="1"/>
  <c r="A2040" i="1"/>
  <c r="A2039" i="1"/>
  <c r="A2038" i="1"/>
  <c r="A2037" i="1"/>
  <c r="A2036" i="1"/>
  <c r="A2035" i="1"/>
  <c r="A2034" i="1"/>
  <c r="A2033" i="1"/>
  <c r="A2032" i="1"/>
  <c r="A2031" i="1"/>
  <c r="A2030" i="1"/>
  <c r="A2029" i="1"/>
  <c r="A2028" i="1"/>
  <c r="A2027" i="1"/>
  <c r="A2026" i="1"/>
  <c r="A2025" i="1"/>
  <c r="A2024" i="1"/>
  <c r="A2023" i="1"/>
  <c r="A2022" i="1"/>
  <c r="A2021" i="1"/>
  <c r="A2020" i="1"/>
  <c r="A2019" i="1"/>
  <c r="A2018" i="1"/>
  <c r="A2017" i="1"/>
  <c r="A2016" i="1"/>
  <c r="A2015" i="1"/>
  <c r="A2014" i="1"/>
  <c r="A2013" i="1"/>
  <c r="A2012" i="1"/>
  <c r="A2011" i="1"/>
  <c r="A2010" i="1"/>
  <c r="A2009" i="1"/>
  <c r="B2008" i="1"/>
  <c r="A2008" i="1"/>
  <c r="A2007" i="1"/>
  <c r="A2006" i="1"/>
  <c r="A2005" i="1"/>
  <c r="A2004" i="1"/>
  <c r="A2003" i="1"/>
  <c r="A2002" i="1"/>
  <c r="A2001" i="1"/>
  <c r="A2000" i="1"/>
  <c r="A1999" i="1"/>
  <c r="A1998" i="1"/>
  <c r="A1997" i="1"/>
  <c r="A1996" i="1"/>
  <c r="A1995" i="1"/>
  <c r="A1994" i="1"/>
  <c r="A1993" i="1"/>
  <c r="A1992" i="1"/>
  <c r="A1991" i="1"/>
  <c r="A1990" i="1"/>
  <c r="A1989" i="1"/>
  <c r="A1988" i="1"/>
  <c r="A1987" i="1"/>
  <c r="A1986" i="1"/>
  <c r="A1985" i="1"/>
  <c r="A1984" i="1"/>
  <c r="A1983" i="1"/>
  <c r="A1982" i="1"/>
  <c r="A1981" i="1"/>
  <c r="A1980" i="1"/>
  <c r="A1979" i="1"/>
  <c r="A1978" i="1"/>
  <c r="A1977" i="1"/>
  <c r="A1976" i="1"/>
  <c r="A1975" i="1"/>
  <c r="A1974" i="1"/>
  <c r="A1973" i="1"/>
  <c r="A1972" i="1"/>
  <c r="A1971" i="1"/>
  <c r="A1970" i="1"/>
  <c r="A1969" i="1"/>
  <c r="A1968" i="1"/>
  <c r="B1967" i="1"/>
  <c r="A1967" i="1"/>
  <c r="B1966" i="1"/>
  <c r="A1966" i="1"/>
  <c r="A1965" i="1"/>
  <c r="A1964" i="1"/>
  <c r="A1963" i="1"/>
  <c r="A1962" i="1"/>
  <c r="A1961" i="1"/>
  <c r="A1960" i="1"/>
  <c r="A1959" i="1"/>
  <c r="A1958" i="1"/>
  <c r="A1957" i="1"/>
  <c r="A1956" i="1"/>
  <c r="A1955" i="1"/>
  <c r="A1954" i="1"/>
  <c r="A1953" i="1"/>
  <c r="A1952" i="1"/>
  <c r="A1951" i="1"/>
  <c r="A1950" i="1"/>
  <c r="A1949" i="1"/>
  <c r="A1948" i="1"/>
  <c r="A1947" i="1"/>
  <c r="A1946" i="1"/>
  <c r="A1945" i="1"/>
  <c r="A1944" i="1"/>
  <c r="A1943" i="1"/>
  <c r="A1942" i="1"/>
  <c r="A1941" i="1"/>
  <c r="A1940" i="1"/>
  <c r="A1939" i="1"/>
  <c r="A1938" i="1"/>
  <c r="A1937" i="1"/>
  <c r="A1936" i="1"/>
  <c r="A1935" i="1"/>
  <c r="A1934" i="1"/>
  <c r="A1933" i="1"/>
  <c r="A1932" i="1"/>
  <c r="A1931" i="1"/>
  <c r="A1930" i="1"/>
  <c r="A1929" i="1"/>
  <c r="A1928" i="1"/>
  <c r="A1927" i="1"/>
  <c r="A1926" i="1"/>
  <c r="A1925" i="1"/>
  <c r="A1924" i="1"/>
  <c r="A1923" i="1"/>
  <c r="A1922" i="1"/>
  <c r="B1921" i="1"/>
  <c r="A1921" i="1"/>
  <c r="A1920" i="1"/>
  <c r="A1919" i="1"/>
  <c r="A1918" i="1"/>
  <c r="A1917" i="1"/>
  <c r="A1916" i="1"/>
  <c r="A1915" i="1"/>
  <c r="A1914" i="1"/>
  <c r="A1913" i="1"/>
  <c r="A1912" i="1"/>
  <c r="A1911" i="1"/>
  <c r="A1910" i="1"/>
  <c r="A1909" i="1"/>
  <c r="A1908" i="1"/>
  <c r="A1907" i="1"/>
  <c r="A1906" i="1"/>
  <c r="A1905" i="1"/>
  <c r="A1904" i="1"/>
  <c r="A1903" i="1"/>
  <c r="A1902" i="1"/>
  <c r="A1901" i="1"/>
  <c r="A1900" i="1"/>
  <c r="A1899" i="1"/>
  <c r="A1898" i="1"/>
  <c r="A1897" i="1"/>
  <c r="A1896" i="1"/>
  <c r="A1895" i="1"/>
  <c r="A1894" i="1"/>
  <c r="A1893" i="1"/>
  <c r="A1892" i="1"/>
  <c r="A1891" i="1"/>
  <c r="A1890" i="1"/>
  <c r="A1889" i="1"/>
  <c r="A1888" i="1"/>
  <c r="A1887" i="1"/>
  <c r="A1886" i="1"/>
  <c r="A1885" i="1"/>
  <c r="A1884" i="1"/>
  <c r="A1883" i="1"/>
  <c r="B1882" i="1"/>
  <c r="A1882" i="1"/>
  <c r="B1881" i="1"/>
  <c r="A1881" i="1"/>
  <c r="A1880" i="1"/>
  <c r="A1879" i="1"/>
  <c r="A1878" i="1"/>
  <c r="A1877" i="1"/>
  <c r="A1876" i="1"/>
  <c r="A1875" i="1"/>
  <c r="A1874" i="1"/>
  <c r="A1873" i="1"/>
  <c r="B1872" i="1"/>
  <c r="A1872" i="1"/>
  <c r="B1871" i="1"/>
  <c r="A1871" i="1"/>
  <c r="B1870" i="1"/>
  <c r="A1870" i="1"/>
  <c r="B1869" i="1"/>
  <c r="A1869" i="1"/>
  <c r="A1868" i="1"/>
  <c r="A1867" i="1"/>
  <c r="A1866" i="1"/>
  <c r="A1865" i="1"/>
  <c r="A1864" i="1"/>
  <c r="A1863" i="1"/>
  <c r="A1862" i="1"/>
  <c r="A1861" i="1"/>
  <c r="A1860" i="1"/>
  <c r="A1859" i="1"/>
  <c r="B1858" i="1"/>
  <c r="A1858" i="1"/>
  <c r="A1857" i="1"/>
  <c r="A1856" i="1"/>
  <c r="A1855" i="1"/>
  <c r="A1854" i="1"/>
  <c r="A1853" i="1"/>
  <c r="A1852" i="1"/>
  <c r="A1851" i="1"/>
  <c r="A1850" i="1"/>
  <c r="A1849" i="1"/>
  <c r="A1848" i="1"/>
  <c r="A1847" i="1"/>
  <c r="B1846" i="1"/>
  <c r="A1846" i="1"/>
  <c r="A1845" i="1"/>
  <c r="A1844" i="1"/>
  <c r="A1843" i="1"/>
  <c r="A1842" i="1"/>
  <c r="A1841" i="1"/>
  <c r="B1840" i="1"/>
  <c r="A1840" i="1"/>
  <c r="A1839" i="1"/>
  <c r="A1838" i="1"/>
  <c r="A1837" i="1"/>
  <c r="A1836" i="1"/>
  <c r="A1835" i="1"/>
  <c r="A1834" i="1"/>
  <c r="A1833" i="1"/>
  <c r="A1832" i="1"/>
  <c r="A1831" i="1"/>
  <c r="A1830" i="1"/>
  <c r="A1829" i="1"/>
  <c r="A1828" i="1"/>
  <c r="A1827" i="1"/>
  <c r="A1826" i="1"/>
  <c r="A1825" i="1"/>
  <c r="A1824" i="1"/>
  <c r="A1823" i="1"/>
  <c r="A1822" i="1"/>
  <c r="A1821" i="1"/>
  <c r="A1820" i="1"/>
  <c r="A1819" i="1"/>
  <c r="A1818" i="1"/>
  <c r="A1817" i="1"/>
  <c r="A1816" i="1"/>
  <c r="A1815" i="1"/>
  <c r="A1814" i="1"/>
  <c r="B1813" i="1"/>
  <c r="A1813" i="1"/>
  <c r="A1812" i="1"/>
  <c r="A1811" i="1"/>
  <c r="A1810" i="1"/>
  <c r="A1809" i="1"/>
  <c r="A1808" i="1"/>
  <c r="A1807" i="1"/>
  <c r="A1806" i="1"/>
  <c r="A1805" i="1"/>
  <c r="A1804" i="1"/>
  <c r="A1803" i="1"/>
  <c r="A1802" i="1"/>
  <c r="A1801" i="1"/>
  <c r="A1800" i="1"/>
  <c r="A1799" i="1"/>
  <c r="A1798" i="1"/>
  <c r="A1797" i="1"/>
  <c r="A1796" i="1"/>
  <c r="A1795" i="1"/>
  <c r="A1794" i="1"/>
  <c r="A1793" i="1"/>
  <c r="A1792" i="1"/>
  <c r="A1791" i="1"/>
  <c r="A1790" i="1"/>
  <c r="A1789" i="1"/>
  <c r="A1788" i="1"/>
  <c r="A1787" i="1"/>
  <c r="A1786" i="1"/>
  <c r="A1785" i="1"/>
  <c r="A1784" i="1"/>
  <c r="A1783" i="1"/>
  <c r="A1782" i="1"/>
  <c r="A1781" i="1"/>
  <c r="B1780" i="1"/>
  <c r="A1780" i="1"/>
  <c r="B1779" i="1"/>
  <c r="A1779" i="1"/>
  <c r="B1778" i="1"/>
  <c r="A1778" i="1"/>
  <c r="B1777" i="1"/>
  <c r="A1777" i="1"/>
  <c r="B1776" i="1"/>
  <c r="A1776" i="1"/>
  <c r="B1775" i="1"/>
  <c r="A1775" i="1"/>
  <c r="A1774" i="1"/>
  <c r="A1773" i="1"/>
  <c r="A1772" i="1"/>
  <c r="A1771" i="1"/>
  <c r="A1770" i="1"/>
  <c r="A1769" i="1"/>
  <c r="A1768" i="1"/>
  <c r="A1767" i="1"/>
  <c r="A1766" i="1"/>
  <c r="A1765" i="1"/>
  <c r="A1764" i="1"/>
  <c r="A1763" i="1"/>
  <c r="A1762" i="1"/>
  <c r="A1761" i="1"/>
  <c r="A1760" i="1"/>
  <c r="A1759" i="1"/>
  <c r="A1758" i="1"/>
  <c r="A1757" i="1"/>
  <c r="A1756" i="1"/>
  <c r="A1755" i="1"/>
  <c r="A1754" i="1"/>
  <c r="A1753" i="1"/>
  <c r="A1752" i="1"/>
  <c r="A1751" i="1"/>
  <c r="A1750" i="1"/>
  <c r="A1749" i="1"/>
  <c r="A1748" i="1"/>
  <c r="A1747" i="1"/>
  <c r="A1746" i="1"/>
  <c r="A1745" i="1"/>
  <c r="A1744" i="1"/>
  <c r="B1743" i="1"/>
  <c r="A1743" i="1"/>
  <c r="A1742" i="1"/>
  <c r="A1741" i="1"/>
  <c r="A1740" i="1"/>
  <c r="A1739" i="1"/>
  <c r="A1738" i="1"/>
  <c r="A1737" i="1"/>
  <c r="A1736" i="1"/>
  <c r="A1735" i="1"/>
  <c r="B1734" i="1"/>
  <c r="A1734" i="1"/>
  <c r="A1733" i="1"/>
  <c r="A1732" i="1"/>
  <c r="A1731" i="1"/>
  <c r="A1730" i="1"/>
  <c r="A1729" i="1"/>
  <c r="A1728" i="1"/>
  <c r="A1727" i="1"/>
  <c r="A1726" i="1"/>
  <c r="A1725" i="1"/>
  <c r="A1724" i="1"/>
  <c r="A1723" i="1"/>
  <c r="A1722" i="1"/>
  <c r="A1721" i="1"/>
  <c r="A1720" i="1"/>
  <c r="A1719" i="1"/>
  <c r="A1718" i="1"/>
  <c r="A1717" i="1"/>
  <c r="A1716" i="1"/>
  <c r="A1715" i="1"/>
  <c r="A1714" i="1"/>
  <c r="A1713" i="1"/>
  <c r="A1712" i="1"/>
  <c r="A1711" i="1"/>
  <c r="A1710" i="1"/>
  <c r="A1709" i="1"/>
  <c r="A1708" i="1"/>
  <c r="A1707" i="1"/>
  <c r="A1706" i="1"/>
  <c r="A1705" i="1"/>
  <c r="A1704" i="1"/>
  <c r="A1703" i="1"/>
  <c r="A1702" i="1"/>
  <c r="A1701" i="1"/>
  <c r="A1700" i="1"/>
  <c r="A1699" i="1"/>
  <c r="A1698" i="1"/>
  <c r="A1697" i="1"/>
  <c r="A1696" i="1"/>
  <c r="A1695" i="1"/>
  <c r="A1694" i="1"/>
  <c r="A1693" i="1"/>
  <c r="A1692" i="1"/>
  <c r="A1691" i="1"/>
  <c r="A1690" i="1"/>
  <c r="A1689" i="1"/>
  <c r="A1688" i="1"/>
  <c r="A1687" i="1"/>
  <c r="A1686" i="1"/>
  <c r="A1685" i="1"/>
  <c r="A1684" i="1"/>
  <c r="A1683" i="1"/>
  <c r="A1682" i="1"/>
  <c r="B1681" i="1"/>
  <c r="A1681" i="1"/>
  <c r="A1680" i="1"/>
  <c r="A1679" i="1"/>
  <c r="A1678" i="1"/>
  <c r="A1677" i="1"/>
  <c r="A1676" i="1"/>
  <c r="A1675" i="1"/>
  <c r="B1674" i="1"/>
  <c r="A1674" i="1"/>
  <c r="A1673" i="1"/>
  <c r="A1672" i="1"/>
  <c r="A1671" i="1"/>
  <c r="A1670" i="1"/>
  <c r="A1669" i="1"/>
  <c r="A1668" i="1"/>
  <c r="B1667" i="1"/>
  <c r="A1667" i="1"/>
  <c r="B1666" i="1"/>
  <c r="A1666" i="1"/>
  <c r="B1665" i="1"/>
  <c r="A1665" i="1"/>
  <c r="B1664" i="1"/>
  <c r="A1664" i="1"/>
  <c r="B1663" i="1"/>
  <c r="A1663" i="1"/>
  <c r="B1662" i="1"/>
  <c r="A1662" i="1"/>
  <c r="B1661" i="1"/>
  <c r="A1661" i="1"/>
  <c r="B1660" i="1"/>
  <c r="A1660" i="1"/>
  <c r="B1659" i="1"/>
  <c r="A1659" i="1"/>
  <c r="B1658" i="1"/>
  <c r="A1658" i="1"/>
  <c r="B1657" i="1"/>
  <c r="A1657" i="1"/>
  <c r="B1656" i="1"/>
  <c r="A1656" i="1"/>
  <c r="B1655" i="1"/>
  <c r="A1655" i="1"/>
  <c r="B1654" i="1"/>
  <c r="A1654" i="1"/>
  <c r="B1653" i="1"/>
  <c r="A1653" i="1"/>
  <c r="B1652" i="1"/>
  <c r="A1652" i="1"/>
  <c r="B1651" i="1"/>
  <c r="A1651" i="1"/>
  <c r="B1650" i="1"/>
  <c r="A1650" i="1"/>
  <c r="B1649" i="1"/>
  <c r="A1649" i="1"/>
  <c r="B1648" i="1"/>
  <c r="A1648" i="1"/>
  <c r="B1647" i="1"/>
  <c r="A1647" i="1"/>
  <c r="A1646" i="1"/>
  <c r="B1645" i="1"/>
  <c r="A1645" i="1"/>
  <c r="B1644" i="1"/>
  <c r="A1644" i="1"/>
  <c r="B1643" i="1"/>
  <c r="A1643" i="1"/>
  <c r="A1642" i="1"/>
  <c r="A1641" i="1"/>
  <c r="A1640" i="1"/>
  <c r="A1639" i="1"/>
  <c r="A1638" i="1"/>
  <c r="A1637" i="1"/>
  <c r="A1636" i="1"/>
  <c r="A1635" i="1"/>
  <c r="A1634" i="1"/>
  <c r="A1633" i="1"/>
  <c r="A1632" i="1"/>
  <c r="A1631" i="1"/>
  <c r="A1630" i="1"/>
  <c r="A1629" i="1"/>
  <c r="A1628" i="1"/>
  <c r="B1627" i="1"/>
  <c r="A1627" i="1"/>
  <c r="A1626" i="1"/>
  <c r="A1625" i="1"/>
  <c r="A1624" i="1"/>
  <c r="A1623" i="1"/>
  <c r="A1622" i="1"/>
  <c r="A1621" i="1"/>
  <c r="A1620" i="1"/>
  <c r="A1619" i="1"/>
  <c r="A1618" i="1"/>
  <c r="A1617" i="1"/>
  <c r="A1616" i="1"/>
  <c r="A1615" i="1"/>
  <c r="A1614" i="1"/>
  <c r="A1613" i="1"/>
  <c r="A1612" i="1"/>
  <c r="A1611" i="1"/>
  <c r="B1610" i="1"/>
  <c r="A1610" i="1"/>
  <c r="B1609" i="1"/>
  <c r="A1609" i="1"/>
  <c r="B1608" i="1"/>
  <c r="A1608" i="1"/>
  <c r="B1607" i="1"/>
  <c r="A1607" i="1"/>
  <c r="B1606" i="1"/>
  <c r="A1606" i="1"/>
  <c r="B1605" i="1"/>
  <c r="A1605" i="1"/>
  <c r="B1604" i="1"/>
  <c r="A1604" i="1"/>
  <c r="B1603" i="1"/>
  <c r="A1603" i="1"/>
  <c r="B1602" i="1"/>
  <c r="A1602" i="1"/>
  <c r="A1601" i="1"/>
  <c r="A1600" i="1"/>
  <c r="A1599" i="1"/>
  <c r="A1598" i="1"/>
  <c r="A1597" i="1"/>
  <c r="A1596" i="1"/>
  <c r="A1595" i="1"/>
  <c r="A1594" i="1"/>
  <c r="A1593" i="1"/>
  <c r="A1592" i="1"/>
  <c r="A1591" i="1"/>
  <c r="A1590" i="1"/>
  <c r="A1589" i="1"/>
  <c r="A1588" i="1"/>
  <c r="A1587" i="1"/>
  <c r="A1586" i="1"/>
  <c r="A1585" i="1"/>
  <c r="A1584" i="1"/>
  <c r="A1583" i="1"/>
  <c r="A1582" i="1"/>
  <c r="A1581" i="1"/>
  <c r="A1580" i="1"/>
  <c r="A1579" i="1"/>
  <c r="A1578" i="1"/>
  <c r="A1577" i="1"/>
  <c r="A1576" i="1"/>
  <c r="A1575" i="1"/>
  <c r="A1574" i="1"/>
  <c r="A1573" i="1"/>
  <c r="A1572" i="1"/>
  <c r="A1571" i="1"/>
  <c r="A1570" i="1"/>
  <c r="A1569" i="1"/>
  <c r="A1568" i="1"/>
  <c r="A1567" i="1"/>
  <c r="A1566" i="1"/>
  <c r="A1565" i="1"/>
  <c r="B1564" i="1"/>
  <c r="A1564" i="1"/>
  <c r="B1563" i="1"/>
  <c r="A1563" i="1"/>
  <c r="B1562" i="1"/>
  <c r="A1562" i="1"/>
  <c r="B1561" i="1"/>
  <c r="A1561" i="1"/>
  <c r="B1560" i="1"/>
  <c r="A1560" i="1"/>
  <c r="B1559" i="1"/>
  <c r="A1559" i="1"/>
  <c r="B1558" i="1"/>
  <c r="A1558" i="1"/>
  <c r="B1557" i="1"/>
  <c r="A1557" i="1"/>
  <c r="B1556" i="1"/>
  <c r="A1556" i="1"/>
  <c r="B1555" i="1"/>
  <c r="A1555" i="1"/>
  <c r="A1554" i="1"/>
  <c r="A1553" i="1"/>
  <c r="A1552" i="1"/>
  <c r="A1551" i="1"/>
  <c r="A1550" i="1"/>
  <c r="A1549" i="1"/>
  <c r="A1548" i="1"/>
  <c r="A1547" i="1"/>
  <c r="A1546" i="1"/>
  <c r="A1545" i="1"/>
  <c r="A1544" i="1"/>
  <c r="A1543" i="1"/>
  <c r="A1542" i="1"/>
  <c r="A1541" i="1"/>
  <c r="A1540" i="1"/>
  <c r="A1539" i="1"/>
  <c r="A1538" i="1"/>
  <c r="A1537" i="1"/>
  <c r="A1536" i="1"/>
  <c r="A1535" i="1"/>
  <c r="A1534" i="1"/>
  <c r="A1533" i="1"/>
  <c r="A1532" i="1"/>
  <c r="A1531" i="1"/>
  <c r="A1530" i="1"/>
  <c r="A1529" i="1"/>
  <c r="A1528" i="1"/>
  <c r="A1527" i="1"/>
  <c r="A1526" i="1"/>
  <c r="A1525" i="1"/>
  <c r="A1524" i="1"/>
  <c r="A1523" i="1"/>
  <c r="A1522" i="1"/>
  <c r="A1521" i="1"/>
  <c r="A1520" i="1"/>
  <c r="A1519" i="1"/>
  <c r="A1518" i="1"/>
  <c r="A1517" i="1"/>
  <c r="A1516" i="1"/>
  <c r="A1515" i="1"/>
  <c r="A1514" i="1"/>
  <c r="A1513" i="1"/>
  <c r="A1512" i="1"/>
  <c r="A1511" i="1"/>
  <c r="A1510" i="1"/>
  <c r="A1509" i="1"/>
  <c r="A1508" i="1"/>
  <c r="B1507" i="1"/>
  <c r="A1507" i="1"/>
  <c r="A1506" i="1"/>
  <c r="A1505" i="1"/>
  <c r="A1504" i="1"/>
  <c r="A1503" i="1"/>
  <c r="A1502" i="1"/>
  <c r="A1501" i="1"/>
  <c r="A1500" i="1"/>
  <c r="A1499" i="1"/>
  <c r="A1498" i="1"/>
  <c r="A1497" i="1"/>
  <c r="A1496" i="1"/>
  <c r="A1495" i="1"/>
  <c r="A1494" i="1"/>
  <c r="A1493" i="1"/>
  <c r="A1492" i="1"/>
  <c r="A1491" i="1"/>
  <c r="A1490" i="1"/>
  <c r="A1489" i="1"/>
  <c r="A1488" i="1"/>
  <c r="A1487" i="1"/>
  <c r="A1486" i="1"/>
  <c r="A1485" i="1"/>
  <c r="A1484" i="1"/>
  <c r="A1483" i="1"/>
  <c r="A1482" i="1"/>
  <c r="A1481" i="1"/>
  <c r="A1480" i="1"/>
  <c r="A1479" i="1"/>
  <c r="A1478" i="1"/>
  <c r="A1477" i="1"/>
  <c r="A1476" i="1"/>
  <c r="A1475" i="1"/>
  <c r="A1474" i="1"/>
  <c r="A1473" i="1"/>
  <c r="A1472" i="1"/>
  <c r="A1471" i="1"/>
  <c r="A1470" i="1"/>
  <c r="A1469" i="1"/>
  <c r="A1468" i="1"/>
  <c r="A1467" i="1"/>
  <c r="A1466" i="1"/>
  <c r="A1465" i="1"/>
  <c r="A1464" i="1"/>
  <c r="A1463" i="1"/>
  <c r="A1462" i="1"/>
  <c r="A1461" i="1"/>
  <c r="A1460" i="1"/>
  <c r="A1459" i="1"/>
  <c r="A1458" i="1"/>
  <c r="A1457" i="1"/>
  <c r="A1456" i="1"/>
  <c r="A1455" i="1"/>
  <c r="A1454" i="1"/>
  <c r="A1453" i="1"/>
  <c r="A1452" i="1"/>
  <c r="A1451" i="1"/>
  <c r="A1450" i="1"/>
  <c r="A1449" i="1"/>
  <c r="A1448" i="1"/>
  <c r="A1447" i="1"/>
  <c r="A1446" i="1"/>
  <c r="A1445" i="1"/>
  <c r="A1444" i="1"/>
  <c r="A1443" i="1"/>
  <c r="A1442" i="1"/>
  <c r="A1441" i="1"/>
  <c r="A1440" i="1"/>
  <c r="A1439" i="1"/>
  <c r="A1438" i="1"/>
  <c r="A1437" i="1"/>
  <c r="A1436" i="1"/>
  <c r="A1435" i="1"/>
  <c r="A1434" i="1"/>
  <c r="A1433" i="1"/>
  <c r="A1432" i="1"/>
  <c r="A1431" i="1"/>
  <c r="A1430" i="1"/>
  <c r="A1429" i="1"/>
  <c r="A1428" i="1"/>
  <c r="A1427" i="1"/>
  <c r="A1426" i="1"/>
  <c r="A1425" i="1"/>
  <c r="A1424" i="1"/>
  <c r="A1423" i="1"/>
  <c r="A1422" i="1"/>
  <c r="A1421" i="1"/>
  <c r="A1420" i="1"/>
  <c r="A1419" i="1"/>
  <c r="A1418" i="1"/>
  <c r="A1417" i="1"/>
  <c r="A1416" i="1"/>
  <c r="A1415" i="1"/>
  <c r="A1414" i="1"/>
  <c r="A1413" i="1"/>
  <c r="A1412" i="1"/>
  <c r="A1411" i="1"/>
  <c r="A1410" i="1"/>
  <c r="A1409" i="1"/>
  <c r="A1408" i="1"/>
  <c r="A1407" i="1"/>
  <c r="A1406" i="1"/>
  <c r="A1405" i="1"/>
  <c r="A1404" i="1"/>
  <c r="A1403" i="1"/>
  <c r="A1402" i="1"/>
  <c r="A1401" i="1"/>
  <c r="A1400" i="1"/>
  <c r="A1399" i="1"/>
  <c r="A1398" i="1"/>
  <c r="A1397" i="1"/>
  <c r="A1396" i="1"/>
  <c r="A1395" i="1"/>
  <c r="A1394" i="1"/>
  <c r="A1393" i="1"/>
  <c r="A1392" i="1"/>
  <c r="A1391" i="1"/>
  <c r="A1390" i="1"/>
  <c r="A1389" i="1"/>
  <c r="A1388" i="1"/>
  <c r="A1387" i="1"/>
  <c r="A1386" i="1"/>
  <c r="A1385" i="1"/>
  <c r="A1384" i="1"/>
  <c r="A1383" i="1"/>
  <c r="A1382" i="1"/>
  <c r="A1381" i="1"/>
  <c r="A1380" i="1"/>
  <c r="A1379" i="1"/>
  <c r="A1378" i="1"/>
  <c r="A1377" i="1"/>
  <c r="A1376" i="1"/>
  <c r="A1375" i="1"/>
  <c r="A1374" i="1"/>
  <c r="A1373" i="1"/>
  <c r="A1372" i="1"/>
  <c r="A1371" i="1"/>
  <c r="A1370" i="1"/>
  <c r="A1369" i="1"/>
  <c r="A1368" i="1"/>
  <c r="A1367" i="1"/>
  <c r="A1366" i="1"/>
  <c r="A1365" i="1"/>
  <c r="B1364" i="1"/>
  <c r="A1364" i="1"/>
  <c r="B1363" i="1"/>
  <c r="A1363" i="1"/>
  <c r="B1362" i="1"/>
  <c r="A1362" i="1"/>
  <c r="B1361" i="1"/>
  <c r="A1361" i="1"/>
  <c r="A1360" i="1"/>
  <c r="A1359" i="1"/>
  <c r="A1358" i="1"/>
  <c r="A1357" i="1"/>
  <c r="A1356" i="1"/>
  <c r="A1355" i="1"/>
  <c r="A1354" i="1"/>
  <c r="A1353" i="1"/>
  <c r="A1352" i="1"/>
  <c r="A1351" i="1"/>
  <c r="A1350" i="1"/>
  <c r="A1349" i="1"/>
  <c r="B1348" i="1"/>
  <c r="A1348" i="1"/>
  <c r="A1347" i="1"/>
  <c r="A1346" i="1"/>
  <c r="A1345" i="1"/>
  <c r="A1344" i="1"/>
  <c r="A1343" i="1"/>
  <c r="A1342" i="1"/>
  <c r="A1341" i="1"/>
  <c r="A1340" i="1"/>
  <c r="A1339" i="1"/>
  <c r="A1338" i="1"/>
  <c r="A1337" i="1"/>
  <c r="A1336" i="1"/>
  <c r="A1335" i="1"/>
  <c r="A1334" i="1"/>
  <c r="A1333" i="1"/>
  <c r="A1332" i="1"/>
  <c r="A1331" i="1"/>
  <c r="A1330" i="1"/>
  <c r="A1329" i="1"/>
  <c r="A1328" i="1"/>
  <c r="A1327" i="1"/>
  <c r="A1326" i="1"/>
  <c r="A1325" i="1"/>
  <c r="A1324" i="1"/>
  <c r="A1323" i="1"/>
  <c r="A1322" i="1"/>
  <c r="A1321" i="1"/>
  <c r="A1320" i="1"/>
  <c r="A1319" i="1"/>
  <c r="A1318" i="1"/>
  <c r="A1317" i="1"/>
  <c r="A1316" i="1"/>
  <c r="A1315" i="1"/>
  <c r="B1314" i="1"/>
  <c r="A1314" i="1"/>
  <c r="A1313" i="1"/>
  <c r="A1312" i="1"/>
  <c r="A1311" i="1"/>
  <c r="A1310" i="1"/>
  <c r="A1309" i="1"/>
  <c r="A1308" i="1"/>
  <c r="A1307" i="1"/>
  <c r="A1306" i="1"/>
  <c r="A1305" i="1"/>
  <c r="A1304" i="1"/>
  <c r="A1303" i="1"/>
  <c r="A1302" i="1"/>
  <c r="A1301" i="1"/>
  <c r="A1300" i="1"/>
  <c r="A1299" i="1"/>
  <c r="A1298" i="1"/>
  <c r="A1297" i="1"/>
  <c r="A1296" i="1"/>
  <c r="A1295" i="1"/>
  <c r="A1294" i="1"/>
  <c r="B1293" i="1"/>
  <c r="A1293" i="1"/>
  <c r="B1292" i="1"/>
  <c r="A1292" i="1"/>
  <c r="B1291" i="1"/>
  <c r="A1291" i="1"/>
  <c r="A1290" i="1"/>
  <c r="B1289" i="1"/>
  <c r="A1289" i="1"/>
  <c r="B1288" i="1"/>
  <c r="A1288" i="1"/>
  <c r="A1287" i="1"/>
  <c r="A1286" i="1"/>
  <c r="A1285" i="1"/>
  <c r="A1284" i="1"/>
  <c r="A1283" i="1"/>
  <c r="A1282" i="1"/>
  <c r="A1281" i="1"/>
  <c r="A1280" i="1"/>
  <c r="A1279" i="1"/>
  <c r="A1278" i="1"/>
  <c r="A1277" i="1"/>
  <c r="A1276" i="1"/>
  <c r="A1275" i="1"/>
  <c r="A1274" i="1"/>
  <c r="A1273" i="1"/>
  <c r="A1272" i="1"/>
  <c r="A1271" i="1"/>
  <c r="A1270" i="1"/>
  <c r="A1269" i="1"/>
  <c r="A1268" i="1"/>
  <c r="A1267" i="1"/>
  <c r="A1266" i="1"/>
  <c r="A1265" i="1"/>
  <c r="A1264" i="1"/>
  <c r="A1263" i="1"/>
  <c r="A1262" i="1"/>
  <c r="A1261" i="1"/>
  <c r="A1260" i="1"/>
  <c r="A1259" i="1"/>
  <c r="A1258" i="1"/>
  <c r="A1257" i="1"/>
  <c r="A1256" i="1"/>
  <c r="A1255" i="1"/>
  <c r="A1254" i="1"/>
  <c r="A1253" i="1"/>
  <c r="A1252" i="1"/>
  <c r="A1251" i="1"/>
  <c r="A1250" i="1"/>
  <c r="A1249" i="1"/>
  <c r="A1248" i="1"/>
  <c r="A1247" i="1"/>
  <c r="A1246" i="1"/>
  <c r="A1245" i="1"/>
  <c r="A1244" i="1"/>
  <c r="A1243" i="1"/>
  <c r="A1242" i="1"/>
  <c r="A1241" i="1"/>
  <c r="A1240" i="1"/>
  <c r="A1239" i="1"/>
  <c r="A1238" i="1"/>
  <c r="A1237" i="1"/>
  <c r="A1236" i="1"/>
  <c r="A1235" i="1"/>
  <c r="A1234" i="1"/>
  <c r="A1233" i="1"/>
  <c r="A1232" i="1"/>
  <c r="A1231" i="1"/>
  <c r="A1230" i="1"/>
  <c r="A1229" i="1"/>
  <c r="A1228" i="1"/>
  <c r="A1227" i="1"/>
  <c r="A1226" i="1"/>
  <c r="A1225" i="1"/>
  <c r="A1224" i="1"/>
  <c r="A1223" i="1"/>
  <c r="A1222" i="1"/>
  <c r="A1221" i="1"/>
  <c r="A1220" i="1"/>
  <c r="A1219" i="1"/>
  <c r="A1218" i="1"/>
  <c r="A1217" i="1"/>
  <c r="A1216" i="1"/>
  <c r="A1215" i="1"/>
  <c r="A1214" i="1"/>
  <c r="B1213" i="1"/>
  <c r="A1213" i="1"/>
  <c r="A1212" i="1"/>
  <c r="A1211" i="1"/>
  <c r="A1210" i="1"/>
  <c r="A1209" i="1"/>
  <c r="B1208" i="1"/>
  <c r="A1208" i="1"/>
  <c r="A1207" i="1"/>
  <c r="A1206" i="1"/>
  <c r="A1205" i="1"/>
  <c r="A1204" i="1"/>
  <c r="A1203" i="1"/>
  <c r="A1202" i="1"/>
  <c r="A1201" i="1"/>
  <c r="A1200" i="1"/>
  <c r="A1199" i="1"/>
  <c r="A1198" i="1"/>
  <c r="A1197" i="1"/>
  <c r="A1196" i="1"/>
  <c r="A1195" i="1"/>
  <c r="A1194" i="1"/>
  <c r="A1193" i="1"/>
  <c r="A1192" i="1"/>
  <c r="A1191" i="1"/>
  <c r="A1190" i="1"/>
  <c r="A1189" i="1"/>
  <c r="A1188" i="1"/>
  <c r="A1187" i="1"/>
  <c r="A1186" i="1"/>
  <c r="A1185" i="1"/>
  <c r="A1184" i="1"/>
  <c r="A1183" i="1"/>
  <c r="A1182" i="1"/>
  <c r="B1181" i="1"/>
  <c r="A1181" i="1"/>
  <c r="A1180" i="1"/>
  <c r="A1179" i="1"/>
  <c r="A1178" i="1"/>
  <c r="A1177" i="1"/>
  <c r="A1176" i="1"/>
  <c r="A1175" i="1"/>
  <c r="A1174" i="1"/>
  <c r="A1173" i="1"/>
  <c r="A1172" i="1"/>
  <c r="A1171" i="1"/>
  <c r="A1170" i="1"/>
  <c r="A1169" i="1"/>
  <c r="A1168" i="1"/>
  <c r="A1167" i="1"/>
  <c r="A1166" i="1"/>
  <c r="A1165" i="1"/>
  <c r="A1164" i="1"/>
  <c r="A1163" i="1"/>
  <c r="A1162" i="1"/>
  <c r="A1161" i="1"/>
  <c r="A1160" i="1"/>
  <c r="A1159" i="1"/>
  <c r="B1158" i="1"/>
  <c r="A1158" i="1"/>
  <c r="A1157" i="1"/>
  <c r="A1156" i="1"/>
  <c r="A1155" i="1"/>
  <c r="A1154" i="1"/>
  <c r="A1153" i="1"/>
  <c r="A1152" i="1"/>
  <c r="A1151" i="1"/>
  <c r="A1150" i="1"/>
  <c r="B1149" i="1"/>
  <c r="A1149" i="1"/>
  <c r="B1148" i="1"/>
  <c r="A1148" i="1"/>
  <c r="A1147" i="1"/>
  <c r="A1146" i="1"/>
  <c r="A1145" i="1"/>
  <c r="A1144" i="1"/>
  <c r="A1143" i="1"/>
  <c r="A1142" i="1"/>
  <c r="A1141" i="1"/>
  <c r="A1140" i="1"/>
  <c r="A1139" i="1"/>
  <c r="A1138" i="1"/>
  <c r="B1137" i="1"/>
  <c r="A1137" i="1"/>
  <c r="A1136" i="1"/>
  <c r="A1135" i="1"/>
  <c r="A1134" i="1"/>
  <c r="A1133" i="1"/>
  <c r="A1132" i="1"/>
  <c r="A1131" i="1"/>
  <c r="A1130" i="1"/>
  <c r="A1129" i="1"/>
  <c r="A1128" i="1"/>
  <c r="A1127" i="1"/>
  <c r="A1126" i="1"/>
  <c r="B1125" i="1"/>
  <c r="A1125" i="1"/>
  <c r="B1124" i="1"/>
  <c r="A1124" i="1"/>
  <c r="A1123" i="1"/>
  <c r="B1122" i="1"/>
  <c r="A1122" i="1"/>
  <c r="B1121" i="1"/>
  <c r="A1121" i="1"/>
  <c r="A1120" i="1"/>
  <c r="A1119" i="1"/>
  <c r="A1118" i="1"/>
  <c r="B1117" i="1"/>
  <c r="A1117" i="1"/>
  <c r="B1116" i="1"/>
  <c r="A1116" i="1"/>
  <c r="B1115" i="1"/>
  <c r="A1115" i="1"/>
  <c r="B1114" i="1"/>
  <c r="A1114" i="1"/>
  <c r="A1113" i="1"/>
  <c r="A1112" i="1"/>
  <c r="A1111" i="1"/>
  <c r="A1110" i="1"/>
  <c r="A1109" i="1"/>
  <c r="A1108" i="1"/>
  <c r="A1107" i="1"/>
  <c r="A1106" i="1"/>
  <c r="A1105" i="1"/>
  <c r="B1104" i="1"/>
  <c r="A1104" i="1"/>
  <c r="A1103" i="1"/>
  <c r="A1102" i="1"/>
  <c r="A1101" i="1"/>
  <c r="A1100" i="1"/>
  <c r="A1099" i="1"/>
  <c r="A1098" i="1"/>
  <c r="A1097" i="1"/>
  <c r="A1096" i="1"/>
  <c r="A1095" i="1"/>
  <c r="B1094" i="1"/>
  <c r="A1094" i="1"/>
  <c r="A1093" i="1"/>
  <c r="A1092" i="1"/>
  <c r="A1091" i="1"/>
  <c r="A1090" i="1"/>
  <c r="A1089" i="1"/>
  <c r="A1088" i="1"/>
  <c r="A1087" i="1"/>
  <c r="A1086" i="1"/>
  <c r="A1085" i="1"/>
  <c r="A1084" i="1"/>
  <c r="A1083" i="1"/>
  <c r="A1082" i="1"/>
  <c r="A1081" i="1"/>
  <c r="A1080" i="1"/>
  <c r="A1079" i="1"/>
  <c r="A1078" i="1"/>
  <c r="A1077" i="1"/>
  <c r="A1076" i="1"/>
  <c r="A1075" i="1"/>
  <c r="A1074" i="1"/>
  <c r="A1073" i="1"/>
  <c r="A1072" i="1"/>
  <c r="A1071" i="1"/>
  <c r="A1070" i="1"/>
  <c r="A1069" i="1"/>
  <c r="A1068" i="1"/>
  <c r="A1067" i="1"/>
  <c r="A1066" i="1"/>
  <c r="A1065" i="1"/>
  <c r="A1064" i="1"/>
  <c r="A1063" i="1"/>
  <c r="A1062" i="1"/>
  <c r="A1061" i="1"/>
  <c r="A1060" i="1"/>
  <c r="A1059" i="1"/>
  <c r="A1058" i="1"/>
  <c r="A1057" i="1"/>
  <c r="A1056" i="1"/>
  <c r="A1055" i="1"/>
  <c r="A1054" i="1"/>
  <c r="A1053" i="1"/>
  <c r="A1052" i="1"/>
  <c r="A1051" i="1"/>
  <c r="A1050" i="1"/>
  <c r="A1049" i="1"/>
  <c r="A1048" i="1"/>
  <c r="A1047" i="1"/>
  <c r="A1046" i="1"/>
  <c r="A1045" i="1"/>
  <c r="A1044" i="1"/>
  <c r="A1043" i="1"/>
  <c r="A1042" i="1"/>
  <c r="A1041" i="1"/>
  <c r="A1040" i="1"/>
  <c r="A1039" i="1"/>
  <c r="A1038" i="1"/>
  <c r="A1037" i="1"/>
  <c r="A1036" i="1"/>
  <c r="A1035" i="1"/>
  <c r="A1034" i="1"/>
  <c r="A1033" i="1"/>
  <c r="A1032" i="1"/>
  <c r="A1031" i="1"/>
  <c r="A1030" i="1"/>
  <c r="A1029" i="1"/>
  <c r="A1028" i="1"/>
  <c r="A1027" i="1"/>
  <c r="A1026" i="1"/>
  <c r="A1025" i="1"/>
  <c r="A1024" i="1"/>
  <c r="A1023" i="1"/>
  <c r="A1022" i="1"/>
  <c r="A1021" i="1"/>
  <c r="A1020" i="1"/>
  <c r="A1019" i="1"/>
  <c r="A1018" i="1"/>
  <c r="A1017" i="1"/>
  <c r="A1016" i="1"/>
  <c r="A1015" i="1"/>
  <c r="A1014" i="1"/>
  <c r="A1013" i="1"/>
  <c r="A1012" i="1"/>
  <c r="A1011" i="1"/>
  <c r="A1010" i="1"/>
  <c r="A1009" i="1"/>
  <c r="A1008" i="1"/>
  <c r="A1007" i="1"/>
  <c r="A1006" i="1"/>
  <c r="A1005" i="1"/>
  <c r="A1004" i="1"/>
  <c r="A1003" i="1"/>
  <c r="A1002" i="1"/>
  <c r="A1001" i="1"/>
  <c r="A1000" i="1"/>
  <c r="A999" i="1"/>
  <c r="A998" i="1"/>
  <c r="A997" i="1"/>
  <c r="A996" i="1"/>
  <c r="A995" i="1"/>
  <c r="A994" i="1"/>
  <c r="A993" i="1"/>
  <c r="A992" i="1"/>
  <c r="A991" i="1"/>
  <c r="A990" i="1"/>
  <c r="A989" i="1"/>
  <c r="A988" i="1"/>
  <c r="A987" i="1"/>
  <c r="A986" i="1"/>
  <c r="A985" i="1"/>
  <c r="A984" i="1"/>
  <c r="A983" i="1"/>
  <c r="A982" i="1"/>
  <c r="A981" i="1"/>
  <c r="A980" i="1"/>
  <c r="A979" i="1"/>
  <c r="A978" i="1"/>
  <c r="A977" i="1"/>
  <c r="A976" i="1"/>
  <c r="A975" i="1"/>
  <c r="A974" i="1"/>
  <c r="A973" i="1"/>
  <c r="A972" i="1"/>
  <c r="A971" i="1"/>
  <c r="A970" i="1"/>
  <c r="A969" i="1"/>
  <c r="A968" i="1"/>
  <c r="A967" i="1"/>
  <c r="A966" i="1"/>
  <c r="A965" i="1"/>
  <c r="A964" i="1"/>
  <c r="A963" i="1"/>
  <c r="A962" i="1"/>
  <c r="A961" i="1"/>
  <c r="B960" i="1"/>
  <c r="A960" i="1"/>
  <c r="B959" i="1"/>
  <c r="A959" i="1"/>
  <c r="B958" i="1"/>
  <c r="A958" i="1"/>
  <c r="B957" i="1"/>
  <c r="A957" i="1"/>
  <c r="A956" i="1"/>
  <c r="A955" i="1"/>
  <c r="A954" i="1"/>
  <c r="A953" i="1"/>
  <c r="A952" i="1"/>
  <c r="A951" i="1"/>
  <c r="A950" i="1"/>
  <c r="A949" i="1"/>
  <c r="A948" i="1"/>
  <c r="A947" i="1"/>
  <c r="A946" i="1"/>
  <c r="A945" i="1"/>
  <c r="A944" i="1"/>
  <c r="A943" i="1"/>
  <c r="A942" i="1"/>
  <c r="A941" i="1"/>
  <c r="A940" i="1"/>
  <c r="B939" i="1"/>
  <c r="A939" i="1"/>
  <c r="B938" i="1"/>
  <c r="A938" i="1"/>
  <c r="A937" i="1"/>
  <c r="A936" i="1"/>
  <c r="A935" i="1"/>
  <c r="A934" i="1"/>
  <c r="A933" i="1"/>
  <c r="A932" i="1"/>
  <c r="A931" i="1"/>
  <c r="A930" i="1"/>
  <c r="A929" i="1"/>
  <c r="A928" i="1"/>
  <c r="A927" i="1"/>
  <c r="A926" i="1"/>
  <c r="A925" i="1"/>
  <c r="A924" i="1"/>
  <c r="A923" i="1"/>
  <c r="A922" i="1"/>
  <c r="A921" i="1"/>
  <c r="A920" i="1"/>
  <c r="A919" i="1"/>
  <c r="A918" i="1"/>
  <c r="A917" i="1"/>
  <c r="A916" i="1"/>
  <c r="A915" i="1"/>
  <c r="A914" i="1"/>
  <c r="A913" i="1"/>
  <c r="A912" i="1"/>
  <c r="A911" i="1"/>
  <c r="A910" i="1"/>
  <c r="A909" i="1"/>
  <c r="A908" i="1"/>
  <c r="A907" i="1"/>
  <c r="A906" i="1"/>
  <c r="A905" i="1"/>
  <c r="A904" i="1"/>
  <c r="A903" i="1"/>
  <c r="A902" i="1"/>
  <c r="A901" i="1"/>
  <c r="A900" i="1"/>
  <c r="A899" i="1"/>
  <c r="A898" i="1"/>
  <c r="A897" i="1"/>
  <c r="A896" i="1"/>
  <c r="A895" i="1"/>
  <c r="A894" i="1"/>
  <c r="A893" i="1"/>
  <c r="A892" i="1"/>
  <c r="A891" i="1"/>
  <c r="A890" i="1"/>
  <c r="A889" i="1"/>
  <c r="A888" i="1"/>
  <c r="A887" i="1"/>
  <c r="A886" i="1"/>
  <c r="A885" i="1"/>
  <c r="A884" i="1"/>
  <c r="A883" i="1"/>
  <c r="A882" i="1"/>
  <c r="A881" i="1"/>
  <c r="A880" i="1"/>
  <c r="A879" i="1"/>
  <c r="A878" i="1"/>
  <c r="A877" i="1"/>
  <c r="A876" i="1"/>
  <c r="A875" i="1"/>
  <c r="A874" i="1"/>
  <c r="A873" i="1"/>
  <c r="A872" i="1"/>
  <c r="A871" i="1"/>
  <c r="A870" i="1"/>
  <c r="A869" i="1"/>
  <c r="A868" i="1"/>
  <c r="A867" i="1"/>
  <c r="A866" i="1"/>
  <c r="A865" i="1"/>
  <c r="A864" i="1"/>
  <c r="A863" i="1"/>
  <c r="A862" i="1"/>
  <c r="A861" i="1"/>
  <c r="A860" i="1"/>
  <c r="A859" i="1"/>
  <c r="A858" i="1"/>
  <c r="A857" i="1"/>
  <c r="A856" i="1"/>
  <c r="A855" i="1"/>
  <c r="A854" i="1"/>
  <c r="A853" i="1"/>
  <c r="A852" i="1"/>
  <c r="A851" i="1"/>
  <c r="A850" i="1"/>
  <c r="A849" i="1"/>
  <c r="A848" i="1"/>
  <c r="A847" i="1"/>
  <c r="A846" i="1"/>
  <c r="A845" i="1"/>
  <c r="A844" i="1"/>
  <c r="A843" i="1"/>
  <c r="A842" i="1"/>
  <c r="A841" i="1"/>
  <c r="A840" i="1"/>
  <c r="A839" i="1"/>
  <c r="A838" i="1"/>
  <c r="A837" i="1"/>
  <c r="A836" i="1"/>
  <c r="A835" i="1"/>
  <c r="A834" i="1"/>
  <c r="A833" i="1"/>
  <c r="A832" i="1"/>
  <c r="A831" i="1"/>
  <c r="A830" i="1"/>
  <c r="A829" i="1"/>
  <c r="A828" i="1"/>
  <c r="A827" i="1"/>
  <c r="A826" i="1"/>
  <c r="A825" i="1"/>
  <c r="A824" i="1"/>
  <c r="A823" i="1"/>
  <c r="A822" i="1"/>
  <c r="A821" i="1"/>
  <c r="A820" i="1"/>
  <c r="A819" i="1"/>
  <c r="A818" i="1"/>
  <c r="A817" i="1"/>
  <c r="A816" i="1"/>
  <c r="A815" i="1"/>
  <c r="A814" i="1"/>
  <c r="A813" i="1"/>
  <c r="A812" i="1"/>
  <c r="A811" i="1"/>
  <c r="A810" i="1"/>
  <c r="A809" i="1"/>
  <c r="A808" i="1"/>
  <c r="A807" i="1"/>
  <c r="A806" i="1"/>
  <c r="A805" i="1"/>
  <c r="A804" i="1"/>
  <c r="A803" i="1"/>
  <c r="A802" i="1"/>
  <c r="A801" i="1"/>
  <c r="A800" i="1"/>
  <c r="A799" i="1"/>
  <c r="A798" i="1"/>
  <c r="A797" i="1"/>
  <c r="A796" i="1"/>
  <c r="A795" i="1"/>
  <c r="A794" i="1"/>
  <c r="A793" i="1"/>
  <c r="A792" i="1"/>
  <c r="A791" i="1"/>
  <c r="A790" i="1"/>
  <c r="A789" i="1"/>
  <c r="A788" i="1"/>
  <c r="A787" i="1"/>
  <c r="A786" i="1"/>
  <c r="A785" i="1"/>
  <c r="A784" i="1"/>
  <c r="A783" i="1"/>
  <c r="A782" i="1"/>
  <c r="A781" i="1"/>
  <c r="A780" i="1"/>
  <c r="A779" i="1"/>
  <c r="A778" i="1"/>
  <c r="A777" i="1"/>
  <c r="A776" i="1"/>
  <c r="A775" i="1"/>
  <c r="A774" i="1"/>
  <c r="A773" i="1"/>
  <c r="A772" i="1"/>
  <c r="A771" i="1"/>
  <c r="A770" i="1"/>
  <c r="A769" i="1"/>
  <c r="B768" i="1"/>
  <c r="A768" i="1"/>
  <c r="B767" i="1"/>
  <c r="A767" i="1"/>
  <c r="B766" i="1"/>
  <c r="A766" i="1"/>
  <c r="B765" i="1"/>
  <c r="A765" i="1"/>
  <c r="A764" i="1"/>
  <c r="A763" i="1"/>
  <c r="A762" i="1"/>
  <c r="A761" i="1"/>
  <c r="A760" i="1"/>
  <c r="A759" i="1"/>
  <c r="A758" i="1"/>
  <c r="A757" i="1"/>
  <c r="A756" i="1"/>
  <c r="A755" i="1"/>
  <c r="A754" i="1"/>
  <c r="A753" i="1"/>
  <c r="A752" i="1"/>
  <c r="A751" i="1"/>
  <c r="A750" i="1"/>
  <c r="A749" i="1"/>
  <c r="A748" i="1"/>
  <c r="A747" i="1"/>
  <c r="A746" i="1"/>
  <c r="A745" i="1"/>
  <c r="A744" i="1"/>
  <c r="A743" i="1"/>
  <c r="A742" i="1"/>
  <c r="A741" i="1"/>
  <c r="A740" i="1"/>
  <c r="A739" i="1"/>
  <c r="A738" i="1"/>
  <c r="A737" i="1"/>
  <c r="A736" i="1"/>
  <c r="A735" i="1"/>
  <c r="A734" i="1"/>
  <c r="A733" i="1"/>
  <c r="A732" i="1"/>
  <c r="A731" i="1"/>
  <c r="A730" i="1"/>
  <c r="A729" i="1"/>
  <c r="A728" i="1"/>
  <c r="A727" i="1"/>
  <c r="B726" i="1"/>
  <c r="A726" i="1"/>
  <c r="B725" i="1"/>
  <c r="A725" i="1"/>
  <c r="B724" i="1"/>
  <c r="A724" i="1"/>
  <c r="B723" i="1"/>
  <c r="A723" i="1"/>
  <c r="A722" i="1"/>
  <c r="A721" i="1"/>
  <c r="A720" i="1"/>
  <c r="A719" i="1"/>
  <c r="A718" i="1"/>
  <c r="A717" i="1"/>
  <c r="A716" i="1"/>
  <c r="A715" i="1"/>
  <c r="A714" i="1"/>
  <c r="A713" i="1"/>
  <c r="A712" i="1"/>
  <c r="A711" i="1"/>
  <c r="A710" i="1"/>
  <c r="A709" i="1"/>
  <c r="A708" i="1"/>
  <c r="A707" i="1"/>
  <c r="A706" i="1"/>
  <c r="A705" i="1"/>
  <c r="A704" i="1"/>
  <c r="A703" i="1"/>
  <c r="A702" i="1"/>
  <c r="A701" i="1"/>
  <c r="A700" i="1"/>
  <c r="A699" i="1"/>
  <c r="A698" i="1"/>
  <c r="A697" i="1"/>
  <c r="A696" i="1"/>
  <c r="A695" i="1"/>
  <c r="A694" i="1"/>
  <c r="A693" i="1"/>
  <c r="A692" i="1"/>
  <c r="A691" i="1"/>
  <c r="A690" i="1"/>
  <c r="A689" i="1"/>
  <c r="A688" i="1"/>
  <c r="A687" i="1"/>
  <c r="A686" i="1"/>
  <c r="A685" i="1"/>
  <c r="A684" i="1"/>
  <c r="A683" i="1"/>
  <c r="A682" i="1"/>
  <c r="A681" i="1"/>
  <c r="A680" i="1"/>
  <c r="A679" i="1"/>
  <c r="A678" i="1"/>
  <c r="A677" i="1"/>
  <c r="A676" i="1"/>
  <c r="A675" i="1"/>
  <c r="A674" i="1"/>
  <c r="A673" i="1"/>
  <c r="A672" i="1"/>
  <c r="A671" i="1"/>
  <c r="A670" i="1"/>
  <c r="A669" i="1"/>
  <c r="A668" i="1"/>
  <c r="A667" i="1"/>
  <c r="A666" i="1"/>
  <c r="A665" i="1"/>
  <c r="A664" i="1"/>
  <c r="A663" i="1"/>
  <c r="A662" i="1"/>
  <c r="A661" i="1"/>
  <c r="A660" i="1"/>
  <c r="A659" i="1"/>
  <c r="A658" i="1"/>
  <c r="A657" i="1"/>
  <c r="A656" i="1"/>
  <c r="A655" i="1"/>
  <c r="A654" i="1"/>
  <c r="A653" i="1"/>
  <c r="A652" i="1"/>
  <c r="A651" i="1"/>
  <c r="A650" i="1"/>
  <c r="A649" i="1"/>
  <c r="A648" i="1"/>
  <c r="A647" i="1"/>
  <c r="A646" i="1"/>
  <c r="A645" i="1"/>
  <c r="A644" i="1"/>
  <c r="A643" i="1"/>
  <c r="A642" i="1"/>
  <c r="A641" i="1"/>
  <c r="A640" i="1"/>
  <c r="A639" i="1"/>
  <c r="A638" i="1"/>
  <c r="A637" i="1"/>
  <c r="A636" i="1"/>
  <c r="A635" i="1"/>
  <c r="A634" i="1"/>
  <c r="A633" i="1"/>
  <c r="A632" i="1"/>
  <c r="A631" i="1"/>
  <c r="A630" i="1"/>
  <c r="A629" i="1"/>
  <c r="A628" i="1"/>
  <c r="A627" i="1"/>
  <c r="A626" i="1"/>
  <c r="A625" i="1"/>
  <c r="A624" i="1"/>
  <c r="A623" i="1"/>
  <c r="A622" i="1"/>
  <c r="A621" i="1"/>
  <c r="A620" i="1"/>
  <c r="A619" i="1"/>
  <c r="A618" i="1"/>
  <c r="A617" i="1"/>
  <c r="A616" i="1"/>
  <c r="A615" i="1"/>
  <c r="A614" i="1"/>
  <c r="A613" i="1"/>
  <c r="A612" i="1"/>
  <c r="A611" i="1"/>
  <c r="A610" i="1"/>
  <c r="A609" i="1"/>
  <c r="A608" i="1"/>
  <c r="A607" i="1"/>
  <c r="A606" i="1"/>
  <c r="A605" i="1"/>
  <c r="A604" i="1"/>
  <c r="A603" i="1"/>
  <c r="A602" i="1"/>
  <c r="A601" i="1"/>
  <c r="A600" i="1"/>
  <c r="A599" i="1"/>
  <c r="A598" i="1"/>
  <c r="A597" i="1"/>
  <c r="A596" i="1"/>
  <c r="A595" i="1"/>
  <c r="A594" i="1"/>
  <c r="A593" i="1"/>
  <c r="A592" i="1"/>
  <c r="A591" i="1"/>
  <c r="A590" i="1"/>
  <c r="A589" i="1"/>
  <c r="A588" i="1"/>
  <c r="A587" i="1"/>
  <c r="A586" i="1"/>
  <c r="A585" i="1"/>
  <c r="A584" i="1"/>
  <c r="A583" i="1"/>
  <c r="A582" i="1"/>
  <c r="A581" i="1"/>
  <c r="A580" i="1"/>
  <c r="A579" i="1"/>
  <c r="A578" i="1"/>
  <c r="A577" i="1"/>
  <c r="A576" i="1"/>
  <c r="A575" i="1"/>
  <c r="A574" i="1"/>
  <c r="A573" i="1"/>
  <c r="A572" i="1"/>
  <c r="A571" i="1"/>
  <c r="A570" i="1"/>
  <c r="A569" i="1"/>
  <c r="A568" i="1"/>
  <c r="A567" i="1"/>
  <c r="A566" i="1"/>
  <c r="A565" i="1"/>
  <c r="A564" i="1"/>
  <c r="A563" i="1"/>
  <c r="A562" i="1"/>
  <c r="A561" i="1"/>
  <c r="A560" i="1"/>
  <c r="A559" i="1"/>
  <c r="A558" i="1"/>
  <c r="A557" i="1"/>
  <c r="A556" i="1"/>
  <c r="A555" i="1"/>
  <c r="A554" i="1"/>
  <c r="A553" i="1"/>
  <c r="A552" i="1"/>
  <c r="A551" i="1"/>
  <c r="A550" i="1"/>
  <c r="A549" i="1"/>
  <c r="A548" i="1"/>
  <c r="A547" i="1"/>
  <c r="A546" i="1"/>
  <c r="A545" i="1"/>
  <c r="A544" i="1"/>
  <c r="A543" i="1"/>
  <c r="A542" i="1"/>
  <c r="A541" i="1"/>
  <c r="A540" i="1"/>
  <c r="A539" i="1"/>
  <c r="B538" i="1"/>
  <c r="A538" i="1"/>
  <c r="A537" i="1"/>
  <c r="A536" i="1"/>
  <c r="A535" i="1"/>
  <c r="A534" i="1"/>
  <c r="A533" i="1"/>
  <c r="A532" i="1"/>
  <c r="A531" i="1"/>
  <c r="A530" i="1"/>
  <c r="A529" i="1"/>
  <c r="A528" i="1"/>
  <c r="A527" i="1"/>
  <c r="A526" i="1"/>
  <c r="A525" i="1"/>
  <c r="A524" i="1"/>
  <c r="A523" i="1"/>
  <c r="A522" i="1"/>
  <c r="A521" i="1"/>
  <c r="A520" i="1"/>
  <c r="A519" i="1"/>
  <c r="A518" i="1"/>
  <c r="B517" i="1"/>
  <c r="A517" i="1"/>
  <c r="A516" i="1"/>
  <c r="A515" i="1"/>
  <c r="A514" i="1"/>
  <c r="A513" i="1"/>
  <c r="A512" i="1"/>
  <c r="A511" i="1"/>
  <c r="A510" i="1"/>
  <c r="A509" i="1"/>
  <c r="A508" i="1"/>
  <c r="A507" i="1"/>
  <c r="A506" i="1"/>
  <c r="A505" i="1"/>
  <c r="A504" i="1"/>
  <c r="A503" i="1"/>
  <c r="A502" i="1"/>
  <c r="A501" i="1"/>
  <c r="A500" i="1"/>
  <c r="A499" i="1"/>
  <c r="A498" i="1"/>
  <c r="A497" i="1"/>
  <c r="A496" i="1"/>
  <c r="A495" i="1"/>
  <c r="A494" i="1"/>
  <c r="A493" i="1"/>
  <c r="A492" i="1"/>
  <c r="A491" i="1"/>
  <c r="A490" i="1"/>
  <c r="A489" i="1"/>
  <c r="B488" i="1"/>
  <c r="A488" i="1"/>
  <c r="B487" i="1"/>
  <c r="A487" i="1"/>
  <c r="B486" i="1"/>
  <c r="A486" i="1"/>
  <c r="B485" i="1"/>
  <c r="A485" i="1"/>
  <c r="A484" i="1"/>
  <c r="A483" i="1"/>
  <c r="A482" i="1"/>
  <c r="A481" i="1"/>
  <c r="A480" i="1"/>
  <c r="A479" i="1"/>
  <c r="A478" i="1"/>
  <c r="A477" i="1"/>
  <c r="A476" i="1"/>
  <c r="A475" i="1"/>
  <c r="A474" i="1"/>
  <c r="A473" i="1"/>
  <c r="A472" i="1"/>
  <c r="A471" i="1"/>
  <c r="A470" i="1"/>
  <c r="A469" i="1"/>
  <c r="A468" i="1"/>
  <c r="A467" i="1"/>
  <c r="A466" i="1"/>
  <c r="A465" i="1"/>
  <c r="A464" i="1"/>
  <c r="A463" i="1"/>
  <c r="A462" i="1"/>
  <c r="A461" i="1"/>
  <c r="A460" i="1"/>
  <c r="A459" i="1"/>
  <c r="A458" i="1"/>
  <c r="A457" i="1"/>
  <c r="A456" i="1"/>
  <c r="B455" i="1"/>
  <c r="A455" i="1"/>
  <c r="A454" i="1"/>
  <c r="A453" i="1"/>
  <c r="A452" i="1"/>
  <c r="A451" i="1"/>
  <c r="A450" i="1"/>
  <c r="A449" i="1"/>
  <c r="A448" i="1"/>
  <c r="A447" i="1"/>
  <c r="A446" i="1"/>
  <c r="A445" i="1"/>
  <c r="A444" i="1"/>
  <c r="A443" i="1"/>
  <c r="A442" i="1"/>
  <c r="A441" i="1"/>
  <c r="A440" i="1"/>
  <c r="A439" i="1"/>
  <c r="A438" i="1"/>
  <c r="A437" i="1"/>
  <c r="A436" i="1"/>
  <c r="A435" i="1"/>
  <c r="A434" i="1"/>
  <c r="A433" i="1"/>
  <c r="A432" i="1"/>
  <c r="A431" i="1"/>
  <c r="A430" i="1"/>
  <c r="A429" i="1"/>
  <c r="A428" i="1"/>
  <c r="A427" i="1"/>
  <c r="A426" i="1"/>
  <c r="A425" i="1"/>
  <c r="A424" i="1"/>
  <c r="A423" i="1"/>
  <c r="A422" i="1"/>
  <c r="A421" i="1"/>
  <c r="A420" i="1"/>
  <c r="A419" i="1"/>
  <c r="A418" i="1"/>
  <c r="A417" i="1"/>
  <c r="A416" i="1"/>
  <c r="A415" i="1"/>
  <c r="A414" i="1"/>
  <c r="A413" i="1"/>
  <c r="A412" i="1"/>
  <c r="A411" i="1"/>
  <c r="A410" i="1"/>
  <c r="A409" i="1"/>
  <c r="A408" i="1"/>
  <c r="A407" i="1"/>
  <c r="A406" i="1"/>
  <c r="A405" i="1"/>
  <c r="A404" i="1"/>
  <c r="A403" i="1"/>
  <c r="A402" i="1"/>
  <c r="A401" i="1"/>
  <c r="A400" i="1"/>
  <c r="A399" i="1"/>
  <c r="A398" i="1"/>
  <c r="A397" i="1"/>
  <c r="A396" i="1"/>
  <c r="A395" i="1"/>
  <c r="A394" i="1"/>
  <c r="A393" i="1"/>
  <c r="A392" i="1"/>
  <c r="A391" i="1"/>
  <c r="A390" i="1"/>
  <c r="A389" i="1"/>
  <c r="A388" i="1"/>
  <c r="A387" i="1"/>
  <c r="B386" i="1"/>
  <c r="A386" i="1"/>
  <c r="B385" i="1"/>
  <c r="A385" i="1"/>
  <c r="B384" i="1"/>
  <c r="A384" i="1"/>
  <c r="B383" i="1"/>
  <c r="A383" i="1"/>
  <c r="A382" i="1"/>
  <c r="B381" i="1"/>
  <c r="A381" i="1"/>
  <c r="B380" i="1"/>
  <c r="A380" i="1"/>
  <c r="B379" i="1"/>
  <c r="A379" i="1"/>
  <c r="B378" i="1"/>
  <c r="A378" i="1"/>
  <c r="B377" i="1"/>
  <c r="A377" i="1"/>
  <c r="A376" i="1"/>
  <c r="A375" i="1"/>
  <c r="A374" i="1"/>
  <c r="A373" i="1"/>
  <c r="A372" i="1"/>
  <c r="A371" i="1"/>
  <c r="A370" i="1"/>
  <c r="A369" i="1"/>
  <c r="A368" i="1"/>
  <c r="A367" i="1"/>
  <c r="A366" i="1"/>
  <c r="A365" i="1"/>
  <c r="A364" i="1"/>
  <c r="A363" i="1"/>
  <c r="A362" i="1"/>
  <c r="A361" i="1"/>
  <c r="A360" i="1"/>
  <c r="A359" i="1"/>
  <c r="A358" i="1"/>
  <c r="A357" i="1"/>
  <c r="A356" i="1"/>
  <c r="A355" i="1"/>
  <c r="A354" i="1"/>
  <c r="A353" i="1"/>
  <c r="A352" i="1"/>
  <c r="A351" i="1"/>
  <c r="A350" i="1"/>
  <c r="A349" i="1"/>
  <c r="A348" i="1"/>
  <c r="A347" i="1"/>
  <c r="A346" i="1"/>
  <c r="A345" i="1"/>
  <c r="A344" i="1"/>
  <c r="A343" i="1"/>
  <c r="A342" i="1"/>
  <c r="A341" i="1"/>
  <c r="A340" i="1"/>
  <c r="A339" i="1"/>
  <c r="A338" i="1"/>
  <c r="A337" i="1"/>
  <c r="A336" i="1"/>
  <c r="A335" i="1"/>
  <c r="A334" i="1"/>
  <c r="A333" i="1"/>
  <c r="A332" i="1"/>
  <c r="A331" i="1"/>
  <c r="A330" i="1"/>
  <c r="A329" i="1"/>
  <c r="A328" i="1"/>
  <c r="A327" i="1"/>
  <c r="A326" i="1"/>
  <c r="A325" i="1"/>
  <c r="A324" i="1"/>
  <c r="A323" i="1"/>
  <c r="A322" i="1"/>
  <c r="A321" i="1"/>
  <c r="A320" i="1"/>
  <c r="A319" i="1"/>
  <c r="A318" i="1"/>
  <c r="A317" i="1"/>
  <c r="A316" i="1"/>
  <c r="A315" i="1"/>
  <c r="A314" i="1"/>
  <c r="A313" i="1"/>
  <c r="A312" i="1"/>
  <c r="A311" i="1"/>
  <c r="A310" i="1"/>
  <c r="A309" i="1"/>
  <c r="A308" i="1"/>
  <c r="A307" i="1"/>
  <c r="A306" i="1"/>
  <c r="A305" i="1"/>
  <c r="A304" i="1"/>
  <c r="A303" i="1"/>
  <c r="A302" i="1"/>
  <c r="A301" i="1"/>
  <c r="A300" i="1"/>
  <c r="A299" i="1"/>
  <c r="A298" i="1"/>
  <c r="A297" i="1"/>
  <c r="A296" i="1"/>
  <c r="A295" i="1"/>
  <c r="A294" i="1"/>
  <c r="A293" i="1"/>
  <c r="A292" i="1"/>
  <c r="A291" i="1"/>
  <c r="A290" i="1"/>
  <c r="A289" i="1"/>
  <c r="B288" i="1"/>
  <c r="A288" i="1"/>
  <c r="B287" i="1"/>
  <c r="A287" i="1"/>
  <c r="B286" i="1"/>
  <c r="A286" i="1"/>
  <c r="A285" i="1"/>
  <c r="A284" i="1"/>
  <c r="A283" i="1"/>
  <c r="A282" i="1"/>
  <c r="A281" i="1"/>
  <c r="A280" i="1"/>
  <c r="A279" i="1"/>
  <c r="A278" i="1"/>
  <c r="A277" i="1"/>
  <c r="A276" i="1"/>
  <c r="B275" i="1"/>
  <c r="A275" i="1"/>
  <c r="B274" i="1"/>
  <c r="A274" i="1"/>
  <c r="B273" i="1"/>
  <c r="A273" i="1"/>
  <c r="A272" i="1"/>
  <c r="A271" i="1"/>
  <c r="A270" i="1"/>
  <c r="A269" i="1"/>
  <c r="A268" i="1"/>
  <c r="A267" i="1"/>
  <c r="A266" i="1"/>
  <c r="A265" i="1"/>
  <c r="A264" i="1"/>
  <c r="A263" i="1"/>
  <c r="A262" i="1"/>
  <c r="A261" i="1"/>
  <c r="A260" i="1"/>
  <c r="A259" i="1"/>
  <c r="A258" i="1"/>
  <c r="A257" i="1"/>
  <c r="A256" i="1"/>
  <c r="A255" i="1"/>
  <c r="A254" i="1"/>
  <c r="A253" i="1"/>
  <c r="A252" i="1"/>
  <c r="A251" i="1"/>
  <c r="A250" i="1"/>
  <c r="A249" i="1"/>
  <c r="A248" i="1"/>
  <c r="A247" i="1"/>
  <c r="A246" i="1"/>
  <c r="A245" i="1"/>
  <c r="A244" i="1"/>
  <c r="A243" i="1"/>
  <c r="A242" i="1"/>
  <c r="A241" i="1"/>
  <c r="A240" i="1"/>
  <c r="A239" i="1"/>
  <c r="A238" i="1"/>
  <c r="A237" i="1"/>
  <c r="A236" i="1"/>
  <c r="A235" i="1"/>
  <c r="A234" i="1"/>
  <c r="A233" i="1"/>
  <c r="A232" i="1"/>
  <c r="A231" i="1"/>
  <c r="A230" i="1"/>
  <c r="A229" i="1"/>
  <c r="A228" i="1"/>
  <c r="A227" i="1"/>
  <c r="A226" i="1"/>
  <c r="A225" i="1"/>
  <c r="A224" i="1"/>
  <c r="A223" i="1"/>
  <c r="A222" i="1"/>
  <c r="A221" i="1"/>
  <c r="A220" i="1"/>
  <c r="A219" i="1"/>
  <c r="A218" i="1"/>
  <c r="A217" i="1"/>
  <c r="A216" i="1"/>
  <c r="A215" i="1"/>
  <c r="A214" i="1"/>
  <c r="A213" i="1"/>
  <c r="A212" i="1"/>
  <c r="A211" i="1"/>
  <c r="A210" i="1"/>
  <c r="A209" i="1"/>
  <c r="A208" i="1"/>
  <c r="A207" i="1"/>
  <c r="A206" i="1"/>
  <c r="A205" i="1"/>
  <c r="A204" i="1"/>
  <c r="A203" i="1"/>
  <c r="A202" i="1"/>
  <c r="A201" i="1"/>
  <c r="B200" i="1"/>
  <c r="A200" i="1"/>
  <c r="B199" i="1"/>
  <c r="A199" i="1"/>
  <c r="B198" i="1"/>
  <c r="A198" i="1"/>
  <c r="B197" i="1"/>
  <c r="A197" i="1"/>
  <c r="A196" i="1"/>
  <c r="A195" i="1"/>
  <c r="A194" i="1"/>
  <c r="A193" i="1"/>
  <c r="A192" i="1"/>
  <c r="A191" i="1"/>
  <c r="A190" i="1"/>
  <c r="A189" i="1"/>
  <c r="A188" i="1"/>
  <c r="A187" i="1"/>
  <c r="A186" i="1"/>
  <c r="A185" i="1"/>
  <c r="A184" i="1"/>
  <c r="A183" i="1"/>
  <c r="A182" i="1"/>
  <c r="A181" i="1"/>
  <c r="A180" i="1"/>
  <c r="A179" i="1"/>
  <c r="A178" i="1"/>
  <c r="A177" i="1"/>
  <c r="A176" i="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B61" i="1"/>
  <c r="A61" i="1"/>
  <c r="B60" i="1"/>
  <c r="A60" i="1"/>
  <c r="B59" i="1"/>
  <c r="A59" i="1"/>
  <c r="B58"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7" i="1"/>
  <c r="A6" i="1"/>
  <c r="A5" i="1"/>
  <c r="A4" i="1"/>
  <c r="A3" i="1"/>
  <c r="A2" i="1"/>
</calcChain>
</file>

<file path=xl/sharedStrings.xml><?xml version="1.0" encoding="utf-8"?>
<sst xmlns="http://schemas.openxmlformats.org/spreadsheetml/2006/main" count="45958" uniqueCount="16892">
  <si>
    <t>Status Table</t>
  </si>
  <si>
    <t>Company &amp; Projects</t>
  </si>
  <si>
    <t>Issue Key</t>
  </si>
  <si>
    <t>Ticket chưa close</t>
  </si>
  <si>
    <t>Parent</t>
  </si>
  <si>
    <t>Summary</t>
  </si>
  <si>
    <t>Status</t>
  </si>
  <si>
    <t>Issue Type</t>
  </si>
  <si>
    <t>Assignee</t>
  </si>
  <si>
    <t>Created Date</t>
  </si>
  <si>
    <t>Due Date</t>
  </si>
  <si>
    <t>Closed Date</t>
  </si>
  <si>
    <t>Labels</t>
  </si>
  <si>
    <t>Company</t>
  </si>
  <si>
    <t>Projects</t>
  </si>
  <si>
    <t>Description</t>
  </si>
  <si>
    <t>Count</t>
  </si>
  <si>
    <t>Closed</t>
  </si>
  <si>
    <t>In Progress</t>
  </si>
  <si>
    <t>To Do</t>
  </si>
  <si>
    <t>Total</t>
  </si>
  <si>
    <t>no parent</t>
  </si>
  <si>
    <t>[OMRE][CBP] Update database listing prod</t>
  </si>
  <si>
    <t>Task</t>
  </si>
  <si>
    <t>Phạm Tuấn Linh</t>
  </si>
  <si>
    <t>2026-10-01T18:22:05.573+0700</t>
  </si>
  <si>
    <t>2026-10-01T18:22:14.122+0700</t>
  </si>
  <si>
    <t>CBP</t>
  </si>
  <si>
    <t>OMRE</t>
  </si>
  <si>
    <t>Dear a/c, hiện CBP team cần update data trên môi trường prod của listing để correct data nghiệp vụ. Nhờ a/c support thực hiện giúp team câu query với ạ: db.listings.updateMany(
  {
    _id: {
      $in: [
        "bf088aaa-1a8b-45ea-95aa-dabda7129c1e",
        "2cdf795d-fd3a-4a5d-9b96-eb40f2888504",
        "5177c394-01c7-4f22-bc12-d8ca40a773be",
        "92849a3b-5924-4bad-9c74-7adf860b193e"
      ]
    }
  },
  {
    $set: {
      "metadata.approval_status": "APPROVED"
    }
  }
)</t>
  </si>
  <si>
    <t>[NON-PROD] [UPay] Support tác động DB môi trường staging</t>
  </si>
  <si>
    <t>Nguyễn Văn Dũng</t>
  </si>
  <si>
    <t>2026-10-01T15:32:46.025+0700</t>
  </si>
  <si>
    <t>2026-10-01T15:32:54.231+0700</t>
  </si>
  <si>
    <t>VinPay</t>
  </si>
  <si>
    <t>UPP</t>
  </si>
  <si>
    <t>VINPAY</t>
  </si>
  <si>
    <t>Nhờ các anh giúp em chạy script tác động DB Staging để QC test phục vụ cho golive với ạ thông tin DB: jdbc:mysql://tidb.int.onemount.dev:4000/vinpay_saas_tpay_staging?useSSL=false&amp;useTimezone=true&amp;serverTimezone=GMT ALTER TABLE UNIFIED_MERCHANT_SERVICE
    ADD COLUMN TCB_SETTLEMENT_TYPE VARCHAR(20) NULL;</t>
  </si>
  <si>
    <t>DFS</t>
  </si>
  <si>
    <t>DP</t>
  </si>
  <si>
    <t>Export bảng log của SAP gateway để phục vụ việc trace log</t>
  </si>
  <si>
    <t>Đoàn Việt Hưng</t>
  </si>
  <si>
    <t>2026-10-01T12:06:31.926+0700</t>
  </si>
  <si>
    <t>No Due Date</t>
  </si>
  <si>
    <t>Not Closed</t>
  </si>
  <si>
    <t>Sap-gateway</t>
  </si>
  <si>
    <t>OM</t>
  </si>
  <si>
    <t>MAG_BAU</t>
  </si>
  <si>
    <t>Bảng SAP sap_request</t>
  </si>
  <si>
    <t>Soundbox</t>
  </si>
  <si>
    <t>Total DFS</t>
  </si>
  <si>
    <t>[Prod][OMC][Core] Hỗ trợ thêm cột cho bảng loc_transaction_history, database oneloyalty_checkout</t>
  </si>
  <si>
    <t>Đào Công Nghĩa</t>
  </si>
  <si>
    <t>2026-09-30T23:20:04.431+0700</t>
  </si>
  <si>
    <t>2026-09-30T23:47:33.606+0700</t>
  </si>
  <si>
    <t>OMC</t>
  </si>
  <si>
    <t>PS2</t>
  </si>
  <si>
    <t>Hi team,  Nhờ team chạy câu query add column  store_code  table  loc_transaction_history  phục vụ ghi nhận store_code luồng LOC phía Core: Host: 172.31.7.6 Db: oneloyalty_checkout alter table loc_transaction_history
    add store_code varchar(255) charset utf8 null;</t>
  </si>
  <si>
    <t>Assignee Table</t>
  </si>
  <si>
    <t>IOTek</t>
  </si>
  <si>
    <t>[OMC][PS2][Core] Tạo index cho bảng account_balance</t>
  </si>
  <si>
    <t>CTMS</t>
  </si>
  <si>
    <t>2026-09-30T22:24:04.326+0700</t>
  </si>
  <si>
    <t>2026-09-30T23:48:15.519+0700</t>
  </si>
  <si>
    <t>Loyalty, OMC</t>
  </si>
  <si>
    <t>FINTOPAY</t>
  </si>
  <si>
    <t>Hi team, nhờ team chạy script này trên môi trường PROD của DB Loyalty Oracle giúp team Loyalty ạ. Thời gian dự kiến:  22h ngày 30/09/2026 Thông tin database: IP: 10.255.23.119
Service name: oneloyaltydb
Port: 1521
Schema app: OLOYALTY Các bước cần thực hiện: Bước 0:  Xác nhận PROD đúng là chưa có index nào của ticket này. SELECT index_name, status, visibility
FROM   dba_indexes
WHERE  owner = 'OLOYALTY' AND table_name = 'ACCOUNT_BALANCE'
ORDER  BY index_name; Expect: KHÔNG thấy ACCOUNT_BALANCE_POOL_ID_ID_IDX Bước 1:   ALTER SESSION SET ddl_lock_timeout = 600;
CREATE INDEX oloyalty.account_balance_pool_id_account_id_idx
ON oloyalty.account_balance (pool_id, account_id, expired_date, balance)
TABLESPACE loyaltydata
ONLINE PARALLEL 4 INVISIBLE;
ALTER INDEX oloyalty.account_balance_pool_id_account_id_idx NOPARALLEL LOGGING; Bước 2: BEGIN
    DBMS_STATS.gather_table_stats(
        ownname    =&gt; 'OLOYALTY',
        tabname    =&gt; 'ACCOUNT_BALANCE',
        method_opt =&gt; 'FOR ALL COLUMNS SIZE AUTO, FOR COLUMNS POOL_ID SIZE 254',
        degree     =&gt; 4,
        cascade    =&gt; TRUE
    );
END;
/ Bước 3:  Verify plan SELECT index_name, status, visibility, degree, logging
FROM   dba_indexes
WHERE  owner = 'OLOYALTY'
AND    index_name = 'ACCOUNT_BALANCE_POOL_ID_ACCOUNT_ID_IDX'; Expect: VALID / INVISIBLE / DEGREE = 1 / LOGGING = YES ALTER SESSION SET optimizer_use_invisible_indexes = TRUE;
EXPLAIN PLAN FOR
SELECT   ab.account_id, SUM(ab.balance)
FROM     oloyalty.account_balance ab
WHERE    ab.pool_id      = 486          -- pool lớn nhất
AND      ab.expired_date &lt; TRUNC(SYSDATE)
AND      ab.balance      &gt; 0
AND      ab.account_id   &gt; 0
GROUP BY ab.account_id
ORDER BY ab.account_id
FETCH FIRST 10000 ROWS ONLY;
SELECT * FROM TABLE(DBMS_XPLAN.display); Expect:  – [ ] Dùng ACCOUNT_BALANCE_POOL_ID_ACCOUNT_ID_IDX – [ ] KHÔNG có SORT GROUP BY (phải là GROUP BY NOSORT) – [ ] KHÔNG có TABLE ACCESS BY INDEX ROWID ← truy vấn phải index-only – [ ] Buffer gets hàng nghìn, không phải hàng triệu – Không đạt → DỪNG. Index vẫn INVISIBLE nên chưa ảnh hưởng gì. ALTER SESSION SET optimizer_use_invisible_indexes = FALSE; Bước 4:  Bật index ALTER INDEX oloyalty.account_balance_pool_id_account_id_idx VISIBLE;</t>
  </si>
  <si>
    <t>GBIA</t>
  </si>
  <si>
    <t xml:space="preserve">[Prod][OMC][GL] Hỗ trợ create + alter table để hỗ trợ luồng hạch toán Loyalty TCB </t>
  </si>
  <si>
    <t>2026-09-30T22:23:11.390+0700</t>
  </si>
  <si>
    <t>2026-09-30T23:20:53.775+0700</t>
  </si>
  <si>
    <t>GL</t>
  </si>
  <si>
    <t>MAG</t>
  </si>
  <si>
    <t>Nhờ team chạy giúp e câu insert master data để cấu hình luồng hạch toán ở GL database :  jdbc:mysql://tidb.int.onemount.com:4000/vinpay_vinpay_prod_saas_ps2_general_ledger?allowMultiQueries=true -- add new column
ALTER TABLE gl_unmapped_transactions
    ADD COLUMN IF NOT EXISTS reason TEXT NULL AFTER source_id;
-- add new table
create table if not exists general_ledger_reserve_rate
(
    id              bigint auto_increment primary key,
    cost_category   varchar(50)    not null,
    reward_source   varchar(50)    not null,
    reserve_rate    decimal(10, 4) not null,
    valid_from      date           not null,
    valid_to        date           not null,
    campaign_code   varchar(255)   null,
    service_code    varchar(255)   null,
    created_by      varchar(255)   null,
    created_at      timestamp      null,
    approved_by     varchar(255)   null,
    approved_at     timestamp      null,
    updated_by      varchar(255)   null,
    updated_at      timestamp      null
    );
create index idx_reserve_rate_cost_category
    on general_ledger_reserve_rate (cost_category);
create index idx_reserve_rate_reward_source
    on general_ledger_reserve_rate (reward_source);
create index idx_reserve_rate_campaign_reward_date
    on general_ledger_reserve_rate (campaign_code, reward_source, valid_from, valid_to);
create index idx_reserve_rate_service_reward_date
    on general_ledger_reserve_rate (service_code, reward_source, valid_from, valid_to);
create index idx_reserve_rate_created_at
    on general_ledger_reserve_rate (created_at);
create index idx_reserve_rate_approved_at
    on general_ledger_reserve_rate (approved_at);
create table if not exists general_ledger_reserve_rate_request
(
    id                    bigint auto_increment primary key,
    reserve_rate_id       bigint         null,
    request_type          int            not null,
    request_status        int            not null,
    request_reason        varchar(1000)  null,
    submission_note       varchar(1000)  null,
    approval_note         varchar(1000)  null,
    rejected_reason       varchar(1000)  null,
    send_submission_email int            null,
    send_approval_email   int            null,
    cost_category         varchar(50)    not null,
    reward_source         varchar(50)    not null,
    reserve_rate          decimal(10, 4) not null,
    valid_from            date           not null,
    valid_to              date           not null,
    campaign_code         varchar(255)   null,
    service_code          varchar(255)   null,
    created_by            varchar(255)   null,
    created_at            timestamp      null,
    approved_by           varchar(255)   null,
    approved_at           timestamp      null,
    updated_by            varchar(255)   null,
    updated_at            timestamp      null
    );
create index idx_rr_request_reserve_rate_id
    on general_ledger_reserve_rate_request (reserve_rate_id);
create index idx_rr_request_status_type
    on general_ledger_reserve_rate_request (request_status, request_type);
create index idx_rr_request_campaign_reward_date_status
    on general_ledger_reserve_rate_request (campaign_code, reward_source, valid_from, valid_to, request_status);
create index idx_rr_request_service_reward_date_status
    on general_ledger_reserve_rate_request (service_code, reward_source, valid_from, valid_to, request_status);
create index idx_rr_request_created_at
    on general_ledger_reserve_rate_request (created_at);
create index idx_rr_request_approved_at
    on general_ledger_reserve_rate_request (approved_at);</t>
  </si>
  <si>
    <t>[Merchant-TCB] Hỗ trợ cập nhật dữ liệu 20260930</t>
  </si>
  <si>
    <t>2026-09-30T21:26:09.095+0700</t>
  </si>
  <si>
    <t>2026-09-30T22:28:18.416+0700</t>
  </si>
  <si>
    <t>MerchantHub</t>
  </si>
  <si>
    <t>Trần Đức Thịnh</t>
  </si>
  <si>
    <t>mag-matomo</t>
  </si>
  <si>
    <t>Dear team, Nhờ team chạy giúp câu lệnh bên dưới ạ. Thông tin database https://console.cloud.google.com/sql/instances/merchant-tcb/overview?inv=1&amp;invt=AbsndA&amp;project=vinid-merchant-prod DB_MYSQL_HOST=172.31.4.108
DB_MYSQL_DATABASE=merchant_service_tcb Câu lệnh INSERT INTO `tpay_staff_permission` (`created_at`, `updated_at`, `deleted_at`, `module`, `code`, `name`, `description`) VALUES
('2026-09-30 17:00:00', '2026-09-30 17:00:00', NULL, 'TSHOP Cài đặt', 'view:app_sales_assistant', 'Trợ lý TShop', 'Trợ lý TShop');
ALTER TABLE tpay_staff
  MODIFY tcb_merchant_code VARCHAR(255)
  CHARACTER SET utf8mb4 COLLATE utf8mb4_general_ci NOT NULL;</t>
  </si>
  <si>
    <t>Ticket By Day</t>
  </si>
  <si>
    <t>[VCM] Thực hiện migrate database cho golive ngày 28/09/2026</t>
  </si>
  <si>
    <t>2026-09-30T21:25:36.842+0700</t>
  </si>
  <si>
    <t>2026-09-30T23:20:22.352+0700</t>
  </si>
  <si>
    <t>VCM</t>
  </si>
  <si>
    <t>Theo kế hoạch golive vào ngày 28/09/2026 (22h00) team VCM có migration sau, nhờ team Database Service support team ạ. Thông tin database: vincart_mm_product  (IP:  172.31.1.41) Script cần chạy: INSERT
	INTO
	vincart_mm_product.attributes (name,
	status)
VALUES
    ('get_serial_when_redeem',
'ACTIVE'); Cảm ơn team DBA nhiều ạ.</t>
  </si>
  <si>
    <t>Hà Văn Vượng</t>
  </si>
  <si>
    <t>MCM</t>
  </si>
  <si>
    <t>Ngày</t>
  </si>
  <si>
    <t>[E-Invoice] [Prod] Update trạng thái Invoice Queue ngày 30/09/2026</t>
  </si>
  <si>
    <t>2026-09-30T21:19:20.937+0700</t>
  </si>
  <si>
    <t>2026-09-30T21:19:29.119+0700</t>
  </si>
  <si>
    <t>OneU</t>
  </si>
  <si>
    <t>Nguyễn Văn Duy</t>
  </si>
  <si>
    <t>Hi  @Đào Công Nghĩa Nhờ em chạy giúp anh thông tin bên dưới: IP:  172.31.1.102 Database:  oneu_e_invoice Scripts: UPDATE EInvoiceQueue SET status = 'WAITTING', retryCount = 0 WHERE status = 'FAILED' and createdAt &gt;= '2026-09-30 00:00:00';</t>
  </si>
  <si>
    <t>Trần Trương Dương</t>
  </si>
  <si>
    <t>[LP][Core][TCB] - Insert data phục vụ campaign MKT 102026 (Tháng 10 lần 1)</t>
  </si>
  <si>
    <t>2026-09-30T21:11:21.174+0700</t>
  </si>
  <si>
    <t>MPM</t>
  </si>
  <si>
    <t>2026-09-30T21:11:36.419+0700</t>
  </si>
  <si>
    <t>Total All</t>
  </si>
  <si>
    <t>Dear DBA Team, Nhờ team thực hiện insert data phục vụ campaign MKT 102026 tháng 10 lần 01, theo các bước sau: Thông tin database: IP: 10.255.23.119 Service name: oneloyaltydb Port: 1521 schema app: OLOYALTY Bước 1: Tạo bảng tạm CREATE TABLE OLOYALTY.CST_TARGET_GROUP_102026_01
(
    "ID"             NUMBER(10,0) GENERATED BY DEFAULT ON NULL AS IDENTITY,
    "LOYALTY_ID"           VARCHAR2(32 BYTE) DEFAULT NULL,
    "CST_TARGET_GROUP"           VARCHAR2(256 BYTE) DEFAULT NULL,
    PRIMARY KEY ("ID")
); Bước 02: Load dữ liệu tất cả các files trong thư mục  đính kèm vào bảng tạm Bước 03: Insert data vào bảng Member Attribute từ bảng bảng tạm 3.1. Kiểm số row bảng   CST_TARGET_GROUP_102026_01 SELECT /*+ parallel(16) */ count(*) FROM OLOYALTY.CST_TARGET_GROUP_102026_01; 3.2 Kiểm tra trùng ,  báo lại dự án nếu có SELECT /*+ parallel(16) */ LOYALTY_ID,count(*) FROM OLOYALTY.CST_TARGET_GROUP_102026_01 GROUP BY LOYALTY_ID HAVING count(*) &gt; 1; 3.3 Kiểm tra số dòng dự kiến insert, báo lại dự án nếu số dòng khác với số dòng của bảng   CST_TARGET_GROUP_102026_01 .   Note: Có thể bỏ qua nếu câu lệnh chạy quá lâu SELECT /*+ parallel(16) */ count(*) FROM OLOYALTY.MEMBER m JOIN OLOYALTY.CST_TARGET_GROUP_102026_01 b ON m.PARTNER_CUSTOMER_ID = b.LOYALTY_ID WHERE m.PROGRAM_ID = 426;   3.4 Chạy lệnh insert INSERT INTO OLOYALTY.MEMBER_ATTRIBUTE (PROGRAM_ID, MEMBER_ID, PROGRAM_ATTRIBUTE_ID, VALUE, STATUS,CREATED_BY)
SELECT 426,
    m.id AS MEMBER_ID,
    423 AS PROGRAM_ATTRIBUTE_ID,
    REPLACE(b.CST_TARGET_GROUP, CHR(13) ,'') AS VALUE,
    'A' AS STATUS,
    'MKT_202610_01'
FROM OLOYALTY.MEMBER m JOIN OLOYALTY.CST_TARGET_GROUP_102026_01 b ON m.PARTNER_CUSTOMER_ID = b.LOYALTY_ID WHERE m.PROGRAM_ID = 426
; 3.5 Kiểm tra kết quả cuối cùng SELECT /*+ parallel(16) */ count(*) FROM OLOYALTY.MEMBER_ATTRIBUTE ma 
WHERE ma.PROGRAM_ATTRIBUTE_ID = 423 AND ma.CREATED_BY = 'MKT_202610_01';   Thanks!  </t>
  </si>
  <si>
    <t>Portal</t>
  </si>
  <si>
    <t>2026-10 Total</t>
  </si>
  <si>
    <t xml:space="preserve">[GBIA][NonProd] Xuất dữ liệu Amanda và Staffapp </t>
  </si>
  <si>
    <t>2026-09-30T17:36:41.612+0700</t>
  </si>
  <si>
    <t>2026-10-01T12:06:40.477+0700</t>
  </si>
  <si>
    <t>Xuất dữ liệu của dự án Amanda, Staffapp cho bên Data triển khai data analytics  staffapp: gbia_staffapp_audit_log_dev amanda: gbia_amanda_core_dev gbia_amanda_data_transfer_dev gbia_amanda_document_dev</t>
  </si>
  <si>
    <t>SAP</t>
  </si>
  <si>
    <t>[Merchantdise][PROD] Seeding Bán Merchantdise YeaH1 30/09/2026 lần 2</t>
  </si>
  <si>
    <t>2026-09-30T16:00:43.136+0700</t>
  </si>
  <si>
    <t>2026-10-01</t>
  </si>
  <si>
    <t>2026-09-30T16:00:50.078+0700</t>
  </si>
  <si>
    <t>Nhờ  @Đào Công Nghĩa  chạy giúp thông tin dưới đây: project: vincart-prod instance: main ip: 172.31.1.41 DB: vincart_mm_product Script: UPDATE variants
set stock_type = 'INIT'
WHERE id in (1094673,1094674,1094675,1094676);
UPDATE inventories
set channel_code = 'INIT'
WHERE variant_id in (1094673,1094674,1094675,1094676);
UPDATE variant_prices
set channel_code = 'ONEU'
WHERE variant_id in (1094673,1094674,1094675,1094676); Thời gian thực hiện: Chạy sớm nhất có thể.</t>
  </si>
  <si>
    <t>[PROD] [Merchant-TCB] Reject SMARTPOS store/terminal + xoá hồ sơ SmartPOS trùng — NCCPZSY1L10</t>
  </si>
  <si>
    <t>2026-09-30T14:52:07.557+0700</t>
  </si>
  <si>
    <t>2026-09-30T14:52:16.679+0700</t>
  </si>
  <si>
    <t>Merchant_App</t>
  </si>
  <si>
    <t>Merchant</t>
  </si>
  <si>
    <t>Company Table</t>
  </si>
  <si>
    <t>Total IOTek</t>
  </si>
  <si>
    <t>2026-09 Total</t>
  </si>
  <si>
    <t>Dear team DBA, nhờ team chạy giúp các câu lệnh bên dưới ạ. Thông tin database https://console.cloud.google.com/sql/instances/merchant-tcb/overview?project=vinid-merchant-prod DB_MYSQL_HOST=172.31.4.108 DB_MYSQL_DATABASE=merchant_service_tcb Mục đích Merchant NCCPZSY1L10: cập nhật store CHE4PHUK + store_service, terminal QTT3C7MQA + terminal_service sang REJECTED. KHÔNG cập nhật trạng thái merchant. Merchant NCCPZSY1L10 đang có 2 bộ hồ sơ SMARTPOS nên TCB không duyệt được → xoá bộ thừa HS_SMARTPOS_32982566 (tham khảo  ). 1. Update store/terminal SMARTPOS → REJECTED START TRANSACTION;
UPDATE tpay_store s SET s.status='REJECTED', s.updated_at=NOW(), s.updated_by='SYSTEM'
 WHERE s.tcb_merchant_code='NCCPZSY1L10' AND s.code='CHE4PHUK' AND s.deleted_at IS NULL;
UPDATE tpay_store s JOIN tpay_store_service ss ON ss.store_id=s.id AND ss.deleted_at IS NULL
   SET ss.status='REJECTED', ss.updated_at=NOW()
 WHERE s.tcb_merchant_code='NCCPZSY1L10' AND s.code='CHE4PHUK' AND s.deleted_at IS NULL;
UPDATE tpay_terminal t SET t.status='REJECTED', t.updated_at=NOW(), t.updated_by='SYSTEM'
 WHERE t.tcb_merchant_code='NCCPZSY1L10' AND t.code='QTT3C7MQA' AND t.deleted_at IS NULL;
UPDATE tpay_terminal t JOIN tpay_terminal_service ts ON ts.terminal_code=t.code AND ts.deleted_at IS NULL
   SET ts.status='REJECTED', ts.updated_at=NOW()
 WHERE t.tcb_merchant_code='NCCPZSY1L10' AND t.code='QTT3C7MQA' AND t.deleted_at IS NULL;
COMMIT; 2a. Pre-check hồ sơ (kỳ vọng 2 bộ SMARTPOS, trong đó có HS_SMARTPOS_32982566) SELECT id, code, status, created_at FROM tpay_merchant_documents
 WHERE tcb_merchant_code='NCCPZSY1L10' AND service_type='SMARTPOS'; 2b. Xoá hồ sơ HS_SMARTPOS_32982566 (1 transaction; nếu số dòng tpay_merchant_documents bị xoá ≠ 1 thì ROLLBACK) START TRANSACTION;
DELETE FROM tpay_merchant_document_items WHERE tpay_merchant_document_id IN
 (SELECT id FROM tpay_merchant_documents WHERE code='HS_SMARTPOS_32982566' AND tcb_merchant_code='NCCPZSY1L10' AND service_type='SMARTPOS');
DELETE FROM tpay_merchant_document_requests WHERE tpay_merchant_document_id IN
 (SELECT id FROM tpay_merchant_documents WHERE code='HS_SMARTPOS_32982566' AND tcb_merchant_code='NCCPZSY1L10' AND service_type='SMARTPOS');
DELETE FROM tpay_merchant_documents
 WHERE code='HS_SMARTPOS_32982566' AND tcb_merchant_code='NCCPZSY1L10' AND service_type='SMARTPOS';
COMMIT; 2c. Verify Chạy lại câu 2a — kỳ vọng còn đúng 1 bộ hồ sơ SMARTPOS.</t>
  </si>
  <si>
    <t>Khác</t>
  </si>
  <si>
    <t>[PROD] [UPay] Update trạng thái SMARTPOS sang ACTIVE_FAIL/REJECTED — merchant NCCPZSY1L10</t>
  </si>
  <si>
    <t>2026-09-30T14:34:08.242+0700</t>
  </si>
  <si>
    <t>BRAVOMPD</t>
  </si>
  <si>
    <t>UPAY</t>
  </si>
  <si>
    <t>UPay</t>
  </si>
  <si>
    <t>2026-09-30</t>
  </si>
  <si>
    <t>Dear team DBA, nhờ team chạy giúp câu lệnh bên dưới ạ. Thông tin database jdbc:mysql://pay-tidb.int.onemount.com:4000/saas_tpay Mục đích Cập nhật trạng thái dịch vụ SMARTPOS của merchant NCCPZSY1L10 (store NCCPZSY1L10, terminal HKDCOTUTATTOO) sang ACTIVE_FAIL; contract SMARTPOS sang REJECTED. Câu lệnh START TRANSACTION;
UPDATE UNIFIED_MERCHANT_SERVICE SET status='ACTIVE_FAIL' WHERE merchant_code='NCCPZSY1L10' AND service_code IN ('SMARTPOS_QR','SMARTPOS_CARD');
UPDATE UNIFIED_STORE SET status='ACTIVE_FAIL' WHERE merchant_code='NCCPZSY1L10' AND store_code='NCCPZSY1L10' AND service_code IN ('SMARTPOS_QR','SMARTPOS_CARD');
UPDATE UNIFIED_TERMINAL SET status='ACTIVE_FAIL', om_terminal_id='TM260930YWEAM' WHERE merchant_code='NCCPZSY1L10' AND store_code='NCCPZSY1L10' AND terminal_code='HKDCOTUTATTOO' AND service_code IN ('SMARTPOS_QR','SMARTPOS_CARD');
UPDATE SMARTPOS_MERCHANT_CONTRACT SET status='REJECTED' WHERE merchant_code='NCCPZSY1L10';
COMMIT;</t>
  </si>
  <si>
    <t>MDPC</t>
  </si>
  <si>
    <t>2026-09-29</t>
  </si>
  <si>
    <t xml:space="preserve">[MCM Nonprod] Xin cấp account vào database MCM hệ NonProd </t>
  </si>
  <si>
    <t>2026-09-30T14:29:47.927+0700</t>
  </si>
  <si>
    <t>mag-data-platform</t>
  </si>
  <si>
    <t>One Nexus</t>
  </si>
  <si>
    <t>Dear team DBA, Hiện tại em đang làm dự án MAG Data Platform và có nhu cầu tìm hiểu nguồn MCM để làm data model phục vụ cho báo cáo quản lý xây dựng trên MAG Data Platform. Nhờ team hỗ trợ tạo tài khoản vào MCM (NonProd) theo thông tin sau: IP:  mas-mysql-dev.cr62264i6qsz.ap-southeast-1.rds.amazonaws.com Port: 3306 DB Name: ces_mh_mpm_dev và ces_mh_mpm_stg Username: etl_readonly Quyền: READ ONLY Danh sách bảng: Tất cả các bảng trong ces_mh_mpm_dev và ces_mh_mpm_stg Nhờ team hỗ trợ em.</t>
  </si>
  <si>
    <t>MeetingNote</t>
  </si>
  <si>
    <t>2026-09-28</t>
  </si>
  <si>
    <t xml:space="preserve">[Prod][OPS HUB] Request update database </t>
  </si>
  <si>
    <t>2026-09-30T14:28:42.942+0700</t>
  </si>
  <si>
    <t>2026-09-30T14:42:19.817+0700</t>
  </si>
  <si>
    <t>SCM_MAG</t>
  </si>
  <si>
    <t>SCM</t>
  </si>
  <si>
    <t>Nexa</t>
  </si>
  <si>
    <t>2026-09-26</t>
  </si>
  <si>
    <t>Total Khác</t>
  </si>
  <si>
    <t>2026-09-25</t>
  </si>
  <si>
    <t>Hi  @Phạm Tuấn Linh Nhờ em update sql giúp anh Thông tin database gcp project: onemg-integration-platform-prd
instance: main (172.31.1.118)
db name: hub_ops_prod INSERT INTO OpsNotificationTemplate
(createdAt, createdBy, deleted, lastModifiedAt, lastModifiedBy, version, authConfig, code, isActive, name, noticeType, provider, subject, templateContent, tenantCode)
VALUES( '2026-09-16 16:08:47', '', 0, NULL, NULL, 0, '{"emailSender":"noreply@hub.masterisegroup.com","nameSender":"Masterise Group","templateId":"6abc83b28861d617d1eacab8"}', 'COMMENT_MENTION_EMAIL', 1, 'Mention trong Trao đổi nội bộ - nội dung Email', 'EMAIL', 'ESB_MTP', 'Có bình luận mới liên quan', '&lt;div style="
    margin: 0;
    padding: 0;
    background-color: #ffffff;
    font-family: Arial, Helvetica, sans-serif;
    color: #333333;
"&gt;
&lt;table width="100%" cellpadding="0" cellspacing="0" border="0"
       style="background-color: #ffffff;"&gt;
    &lt;tr&gt;
        &lt;td align="center"&gt;
            &lt;!-- Container --&gt;
            &lt;table width="520" cellpadding="0" cellspacing="0" border="0"
                   style="
                       width: 520px;
                       max-width: 100%;
                       background-color: #ffffff;
                   "&gt;
                &lt;!-- Title --&gt;
                &lt;tr&gt;
                    &lt;td align="center"
                        style="padding: 30px 20px 22px 20px;"&gt;
                        &lt;h1 style="
                            margin: 0;
                            font-size: 21px;
                            line-height: 28px;
                            font-weight: 700;
                            color: #222222;
                        "&gt;
                            CÓ BÌNH LUẬN MỚI LIÊN QUAN
                        &lt;/h1&gt;
                        &lt;!-- Decorative underline --&gt;
                        &lt;div style="
                            width: 56px;
                            height: 3px;
                            background-color: #a17e3c;
                            margin: 10px auto 0 auto;
                        "&gt;&lt;/div&gt;
                    &lt;/td&gt;
                &lt;/tr&gt;
                &lt;!-- Content --&gt;
                &lt;tr&gt;
                    &lt;td style="
                        padding: 0 16px;
                        font-size: 14px;
                        line-height: 23px;
                        color: #444444;
                    "&gt;
                        &lt;!-- Greeting --&gt;
                        &lt;p style="
                            margin: 0 0 20px 0;
                        "&gt;
                            Chào Anh/Chị,
                        &lt;/p&gt;
                        &lt;!-- Mention notification --&gt;
                        &lt;p style="
                            margin: 0 0 16px 0;
                        "&gt;
                            &lt;strong &gt;
                                ${authorName}
                            &lt;/strong&gt;
                            vừa tag thêm bạn vào trao đổi làm rõ câu hỏi
                            của nhà thầu trong HSMT
                            (&lt;span&gt;
                                ${context.get(''tenderName'')}
                            &lt;/span&gt;).
                        &lt;/p&gt;
                        &lt;!-- Related question --&gt;
                        &lt;p style="
                            margin: 0 0 16px 0;
                        "&gt;
                            &lt;strong&gt;Câu hỏi liên quan:&lt;/strong&gt;
                            &lt;span &gt;
                                ${context.get(''questionText'')}
                            &lt;/span&gt;
                        &lt;/p&gt;
                        &lt;!-- Comment label --&gt;
                        &lt;p style="
                            margin: 0 0 8px 0;
                        "&gt;
                            Nội dung bình luận:
                        &lt;/p&gt;
                        &lt;!-- Comment box --&gt;
                        &lt;table width="100%" cellpadding="0" cellspacing="0"
                               border="0"
                               style="
                                   width: 100%;
                                   background-color: #f1f3f4;
                                   border-left: 3px solid #a17e3c;
                               "&gt;
                            &lt;tr&gt;
                                &lt;td style="
                                    padding: 12px 16px;
                                    font-size: 14px;
                                    line-height: 23px;
                                    color: #555555;
                                "&gt;
                                    &lt;p style="
                                        margin: 0 0 4px 0;
                                    "&gt;
                                        &lt;strong style="color: #a17e3c;"&gt;
                                            @${mentionedName}
                                        &lt;/strong&gt;
                                        &lt;span style="font-style: italic;"&gt;
                                            ${commentBody}
                                        &lt;/span&gt;
                                    &lt;/p&gt;
                                    &lt;p style="margin: 0; color: #999999;font-size: 13px;"&gt;
                                        ${commentTime}
                                    &lt;/p&gt;
                                &lt;/td&gt;
                            &lt;/tr&gt;
                        &lt;/table&gt;
                        &lt;!-- Detail instruction --&gt;
                        &lt;p style="
                            margin: 24px 0 0 0;
                        "&gt;
                            Vui lòng truy cập tại liên kết bên dưới để xem
                            chi tiết:
                        &lt;/p&gt;
                    &lt;/td&gt;
                &lt;/tr&gt;
                &lt;!-- CTA Button --&gt;
                &lt;tr&gt;
                    &lt;td align="center"
                        style="padding: 30px 16px 20px 16px;"&gt;
                        &lt;table cellpadding="0" cellspacing="0" border="0"&gt;
                            &lt;tr&gt;
                                &lt;td align="center"
                                    style="
                                        background-color: #a17e3c;
                                        border-radius: 4px;
                                    "&gt;
                                    &lt;a href="https://${domain}/pms/tendering/hsmt/clarification/${objectId}"
                                       target="_blank"
                                       style="
                                           display: inline-block;
                                           padding: 13px 32px;
                                           font-size: 13px;
                                           line-height: 18px;
                                           font-weight: 700;
                                           color: #ffffff;
                                           text-decoration: none;
                                           text-transform: uppercase;
                                           border-radius: 4px;
                                       "&gt;
                                        XEM CHI TIẾT
                                    &lt;/a&gt;
                                &lt;/td&gt;
                            &lt;/tr&gt;
                        &lt;/table&gt;
                    &lt;/td&gt;
                &lt;/tr&gt;
                &lt;!-- Contact --&gt;
                &lt;tr&gt;
                    &lt;td style="
                        padding: 20px 16px 30px 16px;
                        font-size: 14px;
                        line-height: 23px;
                        color: #444444;
                    "&gt;
                        &lt;p style="
                            margin: 0 0 20px 0;
                        "&gt;
                            Nếu có bất kỳ thắc mắc nào, Anh/Chị vui lòng
                            liên hệ với bộ phận hỗ trợ để được giải đáp.
                        &lt;/p&gt;
                        &lt;p style="
                            margin: 0 0 0 0;
                        "&gt;
                            Trân trọng,
                        &lt;/p&gt;
                        &lt;p style="
                            margin: 0;
                            font-weight: 700;
                            color: #333333;
                        "&gt;
                            Đội ngũ Hệ thống Masterise Group
                        &lt;/p&gt;
                    &lt;/td&gt;
                &lt;/tr&gt;
            &lt;/table&gt;
        &lt;/td&gt;
    &lt;/tr&gt;
&lt;/table&gt;
&lt;/div&gt;
', 'MAG');
INSERT INTO OpsNotificationTemplate
( createdAt, createdBy, deleted, lastModifiedAt, lastModifiedBy, version, authConfig, code, isActive, name, noticeType, provider, subject, templateContent, tenantCode)
VALUES( '2026-09-16 16:08:47', '', 0, NULL, NULL, 0, '{"emailSender":"noreply@hub.masterisegroup.com","nameSender":"Masterise Group","templateId":"6a2380bfacce9c633b3c3477"}', 'COMMENT_MENTION_TEAMS', 1, 'Mention trong Trao đổi nội bộ - nội dung Microsoft Teams', 'MICROSOFT_TEAMS', 'MICROSOFT_TEAMS', NULL, '{
    "body": {
        "contentType": "html",
        "content": "&lt;attachment id=\\"card1\\"&gt;&lt;/attachment&gt;"
    },
    "attachments": [
        {
            "id": "card1",
            "contentType": "application/vnd.microsoft.card.adaptive",
            "content": "{    \\"$schema\\": \\"http://adaptivecards.io/schemas/adaptivecard.json\\",  \\"type\\": \\"AdaptiveCard\\", \\"version\\": \\"1.6\\", \\"body\\": [ { \\"type\\": \\"TextBlock\\", \\"text\\": \\"💬 Bạn được nhắc đến trong bình luận!\\", \\"weight\\": \\"Bolder\\",\\"size\\":\\"Medium\\", \\"color\\": \\"Accent\\"}, { \\"type\\": \\"FactSet\\",\\"facts\\": [ { \\"title\\": \\"HSMT:\\",\\"value\\": \\"${context.get(''tenderName'')}\\"},{ \\"title\\": \\"Câu hỏi liên quan:\\",\\"value\\": \\"${context.get(''questionText'')}\\"   }, { \\"title\\": \\"Nhắc bởi:\\",\\"value\\": \\"${authorEmail}\\" }, { \\"title\\": \\"Nội dung bình luận:\\",\\"value\\": \\"${commentBody}\\" }, { \\"title\\": \\"Thời gian:\\", \\"value\\": \\"${commentTime}\\" } ] },{ \\"type\\": \\"TextBlock\\", \\"text\\": \\"Vui lòng truy cập link bên dưới để xem chi tiết.\\",\\"wrap\\": true }],\\"actions\\": [ {\\"type\\": \\"Action.OpenUrl\\", \\"title\\": \\"🔗 Xem bình luận\\", \\"url\\": \\"https://${domain}/pms/tendering/hsmt/clarification/${objectId}\\" } ]}"
        }
    ]
}', 'MAG');</t>
  </si>
  <si>
    <t>AAM</t>
  </si>
  <si>
    <t>2026-09-24</t>
  </si>
  <si>
    <t>[SCM-MAG][HUB-SCC][Prod] Migration vs execute script for Golive HUB-SCC</t>
  </si>
  <si>
    <t>2026-09-30T14:26:22.648+0700</t>
  </si>
  <si>
    <t>2026-10-01T00:10:23.969+0700</t>
  </si>
  <si>
    <t>OM_HUB_SCC</t>
  </si>
  <si>
    <t>CS-PORTAL</t>
  </si>
  <si>
    <t>2026-09-23</t>
  </si>
  <si>
    <t>Để phục vụ việc golive dự án HUB-SCC (SCM-MAG), nhờ team thực hiện migration cho database như sau: Thời gian thực hiện: từ  20h 30/09/2026 Từ database:  gcp project: onemg-integration-platform-prd instance:  main ( 172.31.1.118)   DB:  scc_hub_prod Chạy script:  ALTER TABLE delivery_order ADD COLUMN receipt_contact_id BIGINT NULL; Truncate data các table trong danh sách : truncate table scc_hub_prod.sequences;
truncate table scc_hub_prod.supplier;
truncate table scc_hub_prod.supplier_contact;
truncate table scc_hub_prod.warehouse;
truncate table scc_hub_prod.cm_project;
truncate table scc_hub_prod.product_master;
truncate table scc_hub_prod.product_unit_name;
truncate table scc_hub_prod.product_unit;
truncate table scc_hub_prod.documents;
truncate table scc_hub_prod.purchase_order_master;
truncate table scc_hub_prod.purchase_order_detail;
truncate table scc_hub_prod.purchase_order_event;
truncate table scc_hub_prod.cm_purchase_order_master;
truncate table scc_hub_prod.cm_purchase_order_detail;
truncate table scc_hub_prod.cm_purchase_order_event;
truncate table scc_hub_prod.cm_purchase_order_change_detail;
truncate table scc_hub_prod.cm_pre_purchase_requisition_master;
truncate table scc_hub_prod.cm_pre_purchase_requisition_detail;
truncate table scc_hub_prod.cm_pre_pr_event;
truncate table scc_hub_prod.cm_pre_pr_change_detail;
truncate table scc_hub_prod.purchase_requisition_master;
truncate table scc_hub_prod.purchase_requisition_detail;
truncate table scc_hub_prod.purchase_requisition_create_po_result;
truncate table scc_hub_prod.purchase_requisition_approval_user;
truncate table scc_hub_prod.driver_information;
truncate table scc_hub_prod.delivery_order;
truncate table scc_hub_prod.delivery_order_detail;
truncate table scc_hub_prod.wms_appointment_info;
truncate table scc_hub_prod.purchase_order_good_receipt_master;
truncate table scc_hub_prod.purchase_order_good_receipt_detail;
truncate table scc_hub_prod.upload_template;
truncate table scc_hub_prod.entity_document; Import lại data các table trong danh sách trên từ database:  gcp project: onemg-integration-platform-prd instance:  main-integration(172.31.1.143 ) DB:  sccollab_prod Chạy script:  cm_refactor_data_2.sql ==================================== Truncate 2 table ở db  scc_hub_prod :  cm_purchase_order_master_ext cm_purchase_order_detail_ext Chạy scrip:  migrate_snapshot_popr.sql a  @Chu Văn Châu  review approve hộ e ah cc a  @Phạm Hồng Quang  ntt</t>
  </si>
  <si>
    <t>dataplatform</t>
  </si>
  <si>
    <t>2026-09-22</t>
  </si>
  <si>
    <t>[Cloud SQL – OutSystems DEV] Tạo login chỉ đọc và các view metadata cho OutSystems Code MCP</t>
  </si>
  <si>
    <t>2026-09-30T14:25:48.890+0700</t>
  </si>
  <si>
    <t>OutSystems</t>
  </si>
  <si>
    <t>OMD</t>
  </si>
  <si>
    <t>erp_integration</t>
  </si>
  <si>
    <t>2026-09-21</t>
  </si>
  <si>
    <t>Sao Mộc</t>
  </si>
  <si>
    <t>FINS_PLATFORM</t>
  </si>
  <si>
    <t>2026-09-19</t>
  </si>
  <si>
    <t>Bối cảnh Team OutSystems đang vận hành  OutSystems Code MCP  trên VM  WEBAPP-DEV-02 : dịch vụ  chỉ đọc  giúp developer tra cứu code OutSystems bằng Claude Code / GitHub Copilot / Codex qua VPN. Hiện dịch vụ chỉ đọc code sinh ra trên đĩa, không kết nối DB. Cần quyền  đọc một số metadata  của platform để trả lời được: ai publish module nào và khi nào; module nào có tham chiếu broken/outdated; consumer đang chạy phiên bản producer nào; module thuộc ứng dụng nào; lịch và trạng thái timer; source gốc của extension (xif).  Không  đọc dữ liệu nghiệp vụ,  không  đọc log,  không  ghi gì vào DB. Yêu cầu 1. Login chỉ đọc Một login riêng cho OsCode (tên do DBA đặt, đề xuất  oscode_mcp_reader ). Chỉ  có quyền  SELECT  trên các view ở mục 2. Không đọc trực tiếp được bảng  OSSYS_*  nào, không có quyền ghi. Không thuộc role quyền rộng (ví dụ  CustomerDbRootRole ,  db_datareader ,  db_owner ). 2. Các view cần tạo Tên view là đề xuất — DBA đặt tên / schema theo quy ước của team rồi báo lại. Tên bảng và cột lấy từ định nghĩa entity hệ thống trong code sinh ra của module  ServiceCenter ; nhờ DBA đối chiếu với DB thật. P1 — lịch sử publish và extension  (giá trị chính: phát hiện publish chính xác, lấy source gốc extension) # View Nguồn và điều kiện Cột Mục đích 1 v_espace OSSYS_ESPACE ID ,  NAME ,  SS_KEY ,  IS_ACTIVE ,  IS_SYSTEM ,  VERSION_ID ,  IS_LOCKED ,  ESPACEKIND Danh sách module và phiên bản hiện hành 2 v_espace_version OSSYS_ESPACE_VERSION ID ,  ESPACE_ID ,  ESPACE_NAME ,  VERSION ,  UPLOADED_BY ,  UPLOADED_DATE ,  IS_VALID ,  SERVICE_STUDIO_VERSION ,  DESCRIPTION ,  HASH ,  PUBLISHING_ID ,  LAST_MODIFIED  —  không  có  OML_FILE Lịch sử publish: ai, khi nào, phiên bản mấy 3 v_extension OSSYS_EXTENSION ID ,  NAME ,  SS_KEY ,  IS_SYSTEM ,  IS_ACTIVE ,  VERSION_ID ,  PUBLISHED_DATE ,  PUBLISHED_BY Danh sách extension, cờ extension hệ thống 4 v_extension_version OSSYS_EXTENSION_VERSION ID ,  EXTENSION_ID ,  GENERATION ,  UPLOADED_BY ,  UPLOADED_DATE ,  IS_VALID ,  XIF_VERSION ,  TOOL_VERSION ,  DESCRIPTION ,  HASH ,  LAST_MODIFIED  —  không  có  XIF_FILE Lịch sử phiên bản extension 5 v_extension_xif_current OSSYS_EXTENSION  join  OSSYS_EXTENSION_VERSION  theo  EXTENSION.VERSION_ID = EXTENSION_VERSION.ID ;  chỉ   IS_ACTIVE = 1   và   IS_SYSTEM = 0 EXTENSION.ID ,  EXTENSION.NAME ,  EXTENSION_VERSION.ID ,  UPLOADED_DATE ,  HASH ,  XIF_FILE Source gốc của extension —  chỉ phiên bản hiện hành ,  không  lấy extension hệ thống 6 v_publisher OSSYS_USER ,  chỉ  những  ID  xuất hiện trong  OSSYS_ESPACE_VERSION.UPLOADED_BY ,  OSSYS_EXTENSION_VERSION.UPLOADED_BY ,  OSSYS_EXTENSION.PUBLISHED_BY ID ,  USERNAME ,  NAME Tên người publish.  Không  lấy người dùng cuối,  không  lấy  PASSWORD  /  EMAIL  /  MOBILEPHONE P2 — tham chiếu, ứng dụng, timer # View Nguồn và điều kiện Cột Mục đích 7 v_espace_reference OSSYS_ESPACE_REFERENCE  join  OSSYS_ESPACE  theo  ESPACE.VERSION_ID = ESPACE_REFERENCE.CONSUMER_VERSION_ID  ( chỉ  tham chiếu của phiên bản hiện hành) ESPACE.ID ,  ESPACE.NAME ,  NAME ,  KIND ,  SS_KEY ,  PRODUCER_NAME ,  PRODUCER_KIND ,  PRODUCER_SS_KEY ,  PUBLISHED_PROD_VERSION_ID ,  PUBLISHED_PROD_VERSION_NUM ,  IS_BROKEN ,  MISSING_STATUS Tham chiếu broken / missing theo từng module 8 v_espace_status OSSYS_ESPACE_STATUS ESPACE_ID ,  BROKEN_REFERENCES ,  OUTDATED_REFERENCES ,  OUTDATED_BROKEN_REFERENCES ,  MISSING_REFERENCES ,  OUTDATED_MISSING_REFERENCES ,  OLDPRODUCER_REFERENCES ,  REQUIRES_COMPILATION ,  DISABLED Module nào đang outdated / broken (như Service Center) 9 v_espace_running_producer OSSYS_ESPACE_RUNNING_PROD_VER ESPACE_ID ,  PRODUCER_KIND ,  PRODUCER_KEY ,  ESPACE_VERSION_ID ,  EXTENSION_VERSION_ID ,  IS_WEAK_REFERENCE Consumer đang chạy phiên bản producer nào 10 v_application OSSYS_APPLICATION ID ,  NAME ,  DESCRIPTION ,  KEY ,  IS_ACTIVE ,  DISABLED ,  APPLICATIONKIND ,  ENTRY_ESPACE_ID Danh sách ứng dụng 11 v_application_module OSSYS_APP_DEFINITION_MODULE  join  OSSYS_MODULE  theo  MODULE.ID = APP_DEFINITION_MODULE.MODULE_ID APPLICATION_ID ,  MODULE_KIND_ID ,  ESPACE_ID ,  EXTENSION_ID Module thuộc ứng dụng nào 12 v_timer OSSYS_META_CYCLIC_JOB ID ,  ESPACE_ID ,  NAME ,  SS_KEY ,  DEFAULT_SCHEDULE ,  PRIORITY ,  IS_ACTIVE ,  TIMEOUT ,  EFFECTIVE_TIMEOUT ,  IS_SHARED Định nghĩa timer 13 v_timer_status OSSYS_CYCLIC_JOB_SHARED   gộp   OSSYS_CYCLIC_JOB META_CYCLIC_JOB_ID ,  TENANT_ID  (trống với bản shared),  SCHEDULE ,  LAST_RUN ,  NEXT_RUN ,  LAST_DURATION ,  IS_RUNNING_SINCE ,  IS_RUNNING_BY ,  NUMBER_OF_TRIES Timer chạy lúc nào, kế tiếp khi nào, mất bao lâu 3. Yêu cầu chung cho view View  không  được cản trở nâng cấp OutSystems (ví dụ không dùng  WITH SCHEMABINDING  trên bảng  OSSYS_* ). Nếu nâng cấp đổi cột làm view lỗi thì chấp nhận — OsCode báo lỗi, platform không ảnh hưởng; nhờ DBA chỉnh lại view sau nâng cấp. Không  đưa vào view các cột nhạy cảm, kể cả khi tiện:  OSSYS_DBCONNECTION.CONNECTION_STRING ,  OSSYS_DBCATALOG.PASSWORD  / OWNERPASSWORD ,  OSSYS_USER.PASSWORD  /  EMAIL  /  MOBILEPHONE ,  OSSYS_APP_MOBILE_BUILD.SECRET , ossys_Android_Config_Details.ALIASPASSWORD ,  OSSYS_ESPACE_VERSION.OML_FILE ; không đụng log  OSLOG_*  và bảng nghiệp vụ  OSUSR_* .</t>
  </si>
  <si>
    <t>Null</t>
  </si>
  <si>
    <t>[Prod][OMC][Gami] Hỗ trợ thêm table trên production database promo_quest</t>
  </si>
  <si>
    <t>2026-09-30T14:19:07.985+0700</t>
  </si>
  <si>
    <t>2026-09-30T14:19:21.738+0700</t>
  </si>
  <si>
    <t>Nhờ team chạy câu query create table  threshold_notification_log  phục vụ trigger noti by threshold template phía gami: Host: 172.31.4.75 Db: promo_quest CREATE TABLE threshold_notification_log (
                                            id                   BIGINT AUTO_INCREMENT PRIMARY KEY,
                                            created_at           TIMESTAMP NOT NULL DEFAULT CURRENT_TIMESTAMP,
                                            updated_at           TIMESTAMP NOT NULL DEFAULT CURRENT_TIMESTAMP ON UPDATE CURRENT_TIMESTAMP,
                                            campaign_id          BIGINT       NOT NULL,
                                            user_id              BIGINT       NOT NULL,
                                            customer_id          VARCHAR(64)  NOT NULL,
                                            phrase_id            VARCHAR(255) NOT NULL,
                                            last_threshold       INT          NOT NULL,  
                                            last_progress_amount BIGINT       NOT NULL DEFAULT 0, 
                                            template_id          VARCHAR(128) NOT NULL,
                                            CONSTRAINT uk_threshold_noti_campaign_user_phrase
                                                UNIQUE (campaign_id, user_id, phrase_id)
);
CREATE INDEX idx_threshold_noti_customer
    ON threshold_notification_log (customer_id, campaign_id);</t>
  </si>
  <si>
    <t>2026-09-18</t>
  </si>
  <si>
    <t>[QR247][PROD] Hỗ trợ bổ sung cấu hình callback authen cho merchant SAVILLS</t>
  </si>
  <si>
    <t>2026-09-30T11:25:10.863+0700</t>
  </si>
  <si>
    <t>2026-09-30T11:25:20.967+0700</t>
  </si>
  <si>
    <t>QR247</t>
  </si>
  <si>
    <t>MAG_FINS</t>
  </si>
  <si>
    <t>2026-09-17</t>
  </si>
  <si>
    <t>2026-09-16</t>
  </si>
  <si>
    <t>MAG, MH</t>
  </si>
  <si>
    <t>Dear team DBA, Nhờ các anh/em chạy giúp em script bên dưới ạ Thông tin DB: mysql://pay-tidb.int.onemount.com:4000/saas_tpay Script: INSERT INTO MERCHANT_CALLBACK_CONFIG (MERCHANT_CODE, AUTHEN_URL, AUTHEN_BODY_ENCRYPTED, AUTHEN_HEADERS_ENCRYPTED, CALLBACK_HEADERS_ENCRYPTED, ACCESS_TOKEN_JSON_PATH, EXPIRE_IN_SECONDS_JSON_PATH, REDIS_KEY, TOKEN_TTL_SECONDS, IS_ACTIVE, CREATED_BY, UPDATED_BY, CREATED_DATE, UPDATED_DATE) 
VALUES ('MASTERI', 'https://accounts-vn.propertycube.asia/api/TokenAuth/AuthenticateAdminencrypt', 'bmyj9/miWibaJoKAwvcGHIAKZtTnC3XAjK32np2kQp0gjQGqdqoW6Bj9xr487HxFk3Ow4jFcqAILq4UmrNAH2NQ1Jv8ghCf5XI9+dd+RzAWddpNN3GD74SGj24qVUdEuVmMMULrY65NiSGDK3uOC17V1qn7/JQ==', 
'jZvkgaIRdajovycIR8DHVPx0p4zpWhOe5vjOmIPA/02OLC6gwetQDrgFHZjnRa3I2Ag9', 
'QGFrT/vjg7dgI4rqwUxxk3xqdtSSjWk7IPYPQOk2ByVqFudLIfr1EC4C1wmx32vCdLj1foqmvbDNAA73FKOr+/NEx6AlQw==', 'result.accessToken', 'expires_in', 
'savills_access_token', 86400, 1, 'phunm1', 'phunm1', '2026-09-22 10:09:18', '2026-09-22 10:57:14');
INSERT INTO MERCHANT_CALLBACK_CONFIG (MERCHANT_CODE, AUTHEN_URL, AUTHEN_BODY_ENCRYPTED, AUTHEN_HEADERS_ENCRYPTED, CALLBACK_HEADERS_ENCRYPTED, ACCESS_TOKEN_JSON_PATH, EXPIRE_IN_SECONDS_JSON_PATH, REDIS_KEY, TOKEN_TTL_SECONDS, IS_ACTIVE, CREATED_BY, UPDATED_BY, CREATED_DATE, UPDATED_DATE) 
VALUES ('MILLENNIUM', 'https://accounts-vn.propertycube.asia/api/TokenAuth/AuthenticateAdminencrypt', 'bmyj9/miWibaJoKAwvcGHIAKZtTnC3XAjK32np2kQp0gjQGqdqoW6Bj9xr487HxFk3Ow4jFcqAILq4UmrNAH2NQ1Jv8ghCf5XI9+dd+RzAWddpNN3GD74SGj24qVUdEuVmMMULrY65NiSGDK3uOC17V1qn7/JQ==', 
'jZvkgaIRdajovycIR8DHVPx0p4zpWhOe5vjOmIPA/02OLC6gwetQDrgFHZjnRa3I2Ag9', 
'QGFrT/vjg7dgI4rqwUxxk3xqdtSSjWk7IPYPQOk2ByVqFudLIfr1EC4C1wmx32vCdLj1foqmvbDNAA73FKOr+/NEx6AlQw==', 'result.accessToken', 'expires_in', 
'savills_access_token', 86400, 1, 'phunm1', 'phunm1', '2026-09-22 10:09:18', '2026-09-22 10:57:14');
INSERT INTO MERCHANT_CALLBACK_CONFIG (MERCHANT_CODE, AUTHEN_URL, AUTHEN_BODY_ENCRYPTED, AUTHEN_HEADERS_ENCRYPTED, CALLBACK_HEADERS_ENCRYPTED, ACCESS_TOKEN_JSON_PATH, EXPIRE_IN_SECONDS_JSON_PATH, REDIS_KEY, TOKEN_TTL_SECONDS, IS_ACTIVE, CREATED_BY, UPDATED_BY, CREATED_DATE, UPDATED_DATE) 
VALUES ('ONEVERANDAH', 'https://accounts-vn.propertycube.asia/api/TokenAuth/AuthenticateAdminencrypt', 'bmyj9/miWibaJoKAwvcGHIAKZtTnC3XAjK32np2kQp0gjQGqdqoW6Bj9xr487HxFk3Ow4jFcqAILq4UmrNAH2NQ1Jv8ghCf5XI9+dd+RzAWddpNN3GD74SGj24qVUdEuVmMMULrY65NiSGDK3uOC17V1qn7/JQ==', 
'jZvkgaIRdajovycIR8DHVPx0p4zpWhOe5vjOmIPA/02OLC6gwetQDrgFHZjnRa3I2Ag9', 
'QGFrT/vjg7dgI4rqwUxxk3xqdtSSjWk7IPYPQOk2ByVqFudLIfr1EC4C1wmx32vCdLj1foqmvbDNAA73FKOr+/NEx6AlQw==', 'result.accessToken', 'expires_in', 
'savills_access_token', 86400, 1, 'phunm1', 'phunm1', '2026-09-22 10:09:18', '2026-09-22 10:57:14');
INSERT INTO MERCHANT_CALLBACK_CONFIG (MERCHANT_CODE, AUTHEN_URL, AUTHEN_BODY_ENCRYPTED, AUTHEN_HEADERS_ENCRYPTED, CALLBACK_HEADERS_ENCRYPTED, ACCESS_TOKEN_JSON_PATH, EXPIRE_IN_SECONDS_JSON_PATH, REDIS_KEY, TOKEN_TTL_SECONDS, IS_ACTIVE, CREATED_BY, UPDATED_BY, CREATED_DATE, UPDATED_DATE) 
VALUES ('RIVERGARDEN', 'https://accounts-vn.propertycube.asia/api/TokenAuth/AuthenticateAdminencrypt', 'bmyj9/miWibaJoKAwvcGHIAKZtTnC3XAjK32np2kQp0gjQGqdqoW6Bj9xr487HxFk3Ow4jFcqAILq4UmrNAH2NQ1Jv8ghCf5XI9+dd+RzAWddpNN3GD74SGj24qVUdEuVmMMULrY65NiSGDK3uOC17V1qn7/JQ==', 
'jZvkgaIRdajovycIR8DHVPx0p4zpWhOe5vjOmIPA/02OLC6gwetQDrgFHZjnRa3I2Ag9', 
'QGFrT/vjg7dgI4rqwUxxk3xqdtSSjWk7IPYPQOk2ByVqFudLIfr1EC4C1wmx32vCdLj1foqmvbDNAA73FKOr+/NEx6AlQw==', 'result.accessToken', 'expires_in', 
'savills_access_token', 86400, 1, 'phunm1', 'phunm1', '2026-09-22 10:09:18', '2026-09-22 10:57:14');
INSERT INTO MERCHANT_CALLBACK_CONFIG (MERCHANT_CODE, AUTHEN_URL, AUTHEN_BODY_ENCRYPTED, AUTHEN_HEADERS_ENCRYPTED, CALLBACK_HEADERS_ENCRYPTED, ACCESS_TOKEN_JSON_PATH, EXPIRE_IN_SECONDS_JSON_PATH, REDIS_KEY, TOKEN_TTL_SECONDS, IS_ACTIVE, CREATED_BY, UPDATED_BY, CREATED_DATE, UPDATED_DATE) 
VALUES ('THAODIENGREEN', 'https://accounts-vn.propertycube.asia/api/TokenAuth/AuthenticateAdminencrypt', 'bmyj9/miWibaJoKAwvcGHIAKZtTnC3XAjK32np2kQp0gjQGqdqoW6Bj9xr487HxFk3Ow4jFcqAILq4UmrNAH2NQ1Jv8ghCf5XI9+dd+RzAWddpNN3GD74SGj24qVUdEuVmMMULrY65NiSGDK3uOC17V1qn7/JQ==', 
'jZvkgaIRdajovycIR8DHVPx0p4zpWhOe5vjOmIPA/02OLC6gwetQDrgFHZjnRa3I2Ag9', 
'QGFrT/vjg7dgI4rqwUxxk3xqdtSSjWk7IPYPQOk2ByVqFudLIfr1EC4C1wmx32vCdLj1foqmvbDNAA73FKOr+/NEx6AlQw==', 'result.accessToken', 'expires_in', 
'savills_access_token', 86400, 1, 'phunm1', 'phunm1', '2026-09-22 10:09:18', '2026-09-22 10:57:14');
INSERT INTO MERCHANT_CALLBACK_CONFIG (MERCHANT_CODE, AUTHEN_URL, AUTHEN_BODY_ENCRYPTED, AUTHEN_HEADERS_ENCRYPTED, CALLBACK_HEADERS_ENCRYPTED, ACCESS_TOKEN_JSON_PATH, EXPIRE_IN_SECONDS_JSON_PATH, REDIS_KEY, TOKEN_TTL_SECONDS, IS_ACTIVE, CREATED_BY, UPDATED_BY, CREATED_DATE, UPDATED_DATE) 
VALUES ('TROPICANAHOTRAM', 'https://accounts-vn.propertycube.asia/api/TokenAuth/AuthenticateAdminencrypt', 'bmyj9/miWibaJoKAwvcGHIAKZtTnC3XAjK32np2kQp0gjQGqdqoW6Bj9xr487HxFk3Ow4jFcqAILq4UmrNAH2NQ1Jv8ghCf5XI9+dd+RzAWddpNN3GD74SGj24qVUdEuVmMMULrY65NiSGDK3uOC17V1qn7/JQ==', 
'jZvkgaIRdajovycIR8DHVPx0p4zpWhOe5vjOmIPA/02OLC6gwetQDrgFHZjnRa3I2Ag9', 
'QGFrT/vjg7dgI4rqwUxxk3xqdtSSjWk7IPYPQOk2ByVqFudLIfr1EC4C1wmx32vCdLj1foqmvbDNAA73FKOr+/NEx6AlQw==', 'result.accessToken', 'expires_in', 
'savills_access_token', 86400, 1, 'phunm1', 'phunm1', '2026-09-22 10:09:18', '2026-09-22 10:57:14');</t>
  </si>
  <si>
    <t>2026-09-15</t>
  </si>
  <si>
    <t>Man-Mac</t>
  </si>
  <si>
    <t>[Merchantdise][PROD] Seeding Bán Merchantdise YeaH1 30/09/2026</t>
  </si>
  <si>
    <t>2026-09-14</t>
  </si>
  <si>
    <t>2026-09-30T11:22:20.871+0700</t>
  </si>
  <si>
    <t>2026-09-30T14:38:27.309+0700</t>
  </si>
  <si>
    <t>Nhờ  @Đào Công Nghĩa  chạy giúp thông tin dưới đây: project: vincart-prod instance: main ip: 172.31.1.41 DB: vincart_mm_product Script: UPDATE variants
set stock_type = 'INIT'
WHERE id in (1094638,1094639,1094640,1094641);
UPDATE inventories
set channel_code = 'INIT'
WHERE variant_id in (1094638,1094639,1094640,1094641);
UPDATE variant_prices
set channel_code = 'ONEU'
WHERE variant_id in (1094638,1094639,1094640,1094641); Thời gian thực hiện: Chạy sớm nhất có thể.</t>
  </si>
  <si>
    <t>Matomo</t>
  </si>
  <si>
    <t>2026-09-13</t>
  </si>
  <si>
    <t>2026-09-30T10:21:19.954+0700</t>
  </si>
  <si>
    <t>2026-09-30T12:06:14.134+0700</t>
  </si>
  <si>
    <t>2026-09-12</t>
  </si>
  <si>
    <t>CPB</t>
  </si>
  <si>
    <t>Dear a/c, hiện cbp team cần update data trên môi trường prod của listing để correct data nghiệp vụ. Nhờ a/c support thực hiện giúp team câu query với ạ: db.listings.updateMany(
  {
    _id: {
      $in: [
        "cce72e47-e483-46ba-8933-fc917d215fa4",
        "a7de2904-7812-4a5e-a570-256e3c90ea83",
        "74c1f1c9-e6f8-44e2-af19-f6e15a8cf697"
      ]
    }
  },
  {
    $set: {
      "metadata.approval_status": "APPROVED"
    }
  }
)</t>
  </si>
  <si>
    <t>MH</t>
  </si>
  <si>
    <t>2026-09-11</t>
  </si>
  <si>
    <t>[OMRE][NonProd]  Xin cấp database cho Onehub Insight MYSQL</t>
  </si>
  <si>
    <t>2026-09-30T09:38:33.560+0700</t>
  </si>
  <si>
    <t>2026-09-30T14:26:50.088+0700</t>
  </si>
  <si>
    <t>Onehub-Insight</t>
  </si>
  <si>
    <t>Database information GCP project:   omre-cobroker-np Instance name:   omre-cbp-mysql8  (CloudSQL, MySQL 8.0.34) Instance IP/DNS:   172.31.0.67 Database name: omre_cbp_insight_qc  (môi trường QC) omre_cbp_insight_uat  (môi trường UAT) Time Run ticket:  giờ hành chính, không cần downtime (chỉ tạo database và user mới trên instance đang dùng chung) Mô tả chi tiết yêu cầu Dự án OneHub Insight (service  insight  của CBP, repo  1housing/cbp/apply/backend/insight ) cần database trên hai môi trường non-prod QC và UAT, dùng chung instance  omre-cbp-mysql8  với các service CBP khác. Tạo database  (charset  utf8mb4 , collation  utf8mb4_unicode_ci ): omre_cbp_insight_qc omre_cbp_insight_uat</t>
  </si>
  <si>
    <t>MKT-Landingpage</t>
  </si>
  <si>
    <t>2026-09-10</t>
  </si>
  <si>
    <t>[OM][ESB][MSQL][PROD]Import data authentication for auth-om to auth0_info table on schema b2b_esb</t>
  </si>
  <si>
    <t>2026-09-30T00:18:13.804+0700</t>
  </si>
  <si>
    <t>2026-09-30T15:04:19.024+0700</t>
  </si>
  <si>
    <t>2026-09-09</t>
  </si>
  <si>
    <t>ESB</t>
  </si>
  <si>
    <t>Dear anh Linh, Anh chạy giúp em sql script bên dưới ạ. Mục đích là để insert thông tin về authentication của  PMS_HUB  , dữ liệu được dùng để validate token khi client call vào ESB  Thông tb db : schema: b2b_esb project: onemg-integration-platform-prd instance: main Master IP: 172.31.1.118 Thanks anh ạ!!!! INSERT INTO `auth0_info` (`client_id`,`sign_certificate`, `resource`, `create_by`, `create_date`)
 VALUES ('rvuuIkpGXwopTbZRTmpXaFfDqbyVEKfp', '.well-known/openid-configuration', 'PMS_HUB', 'daibq', '2026-06-26 00:00:00');
 INSERT INTO `auth0_info` (`client_id`,`sign_certificate`, `resource`, `create_by`, `create_date`)
 VALUES ('WEcnAsyFHyiEnpQyHYMjjySXAtJRMqGe', '.well-known/openid-configuration', 'SCC_HUB', 'daibq', '2026-06-26 00:00:00')</t>
  </si>
  <si>
    <t>NSP</t>
  </si>
  <si>
    <t>2026-09-08</t>
  </si>
  <si>
    <t>[Team OneNexus AIP] Tạo PostgreSQL database cho môi trường Non-prod</t>
  </si>
  <si>
    <t>2026-09-29T17:18:40.177+0700</t>
  </si>
  <si>
    <t>2026-09-29T17:19:23.058+0700</t>
  </si>
  <si>
    <t>OTHER</t>
  </si>
  <si>
    <t>FDP</t>
  </si>
  <si>
    <t>Dear team,
Nhờ DBA tạo:
PostgreSQL non-prod (instance dùng chung), 
keystone-onenexus-ai-agentic-np-postgres.c5qc84040jv4.ap-southeast-1.rds.amazonaws.com:5432
Tạo database + user, và password:
  front_desk_dev
  master_agent_dev
  front_desk_qc
  master_agent_qc
  front_desk_staging
  master_agent_staging
Precedent: DBASD-11308.
Thanks!</t>
  </si>
  <si>
    <t>OMD_CLM</t>
  </si>
  <si>
    <t>2026-09-07</t>
  </si>
  <si>
    <t>[OMRE][NonProd]  Xin cấp database cho Onehub Insight Mongodb</t>
  </si>
  <si>
    <t>2026-09-29T14:36:29.383+0700</t>
  </si>
  <si>
    <t>2026-09-29T18:42:27.751+0700</t>
  </si>
  <si>
    <t>Database information GCP project:   om-common-db-np  (hạ tầng MongoDB chung của OM) Instance name:   mongos-02 Instance IP/DNS:   10.255.134.178 Database name: omre_cbp_insight_qc  (môi trường QC) omre_cbp_insight_uat  (môi trường UAT) Time Run ticket:  giờ hành chính, không cần downtime (chỉ tạo database và user mới trên cluster đang dùng chung) Mô tả chi tiết yêu cầu Dự án OneHub Insight (service  insight  của CBP, repo  1housing/cbp/apply/backend/insight ) xin MongoDB cho hai môi trường non-prod QC và UAT, trên cluster  mongos-02  dùng chung của OM.</t>
  </si>
  <si>
    <t>2026-09-05</t>
  </si>
  <si>
    <t>[PROD] [UPay] Update om_terminal_id terminal SMARTPOS — merchant NCCAAJ3TJL0</t>
  </si>
  <si>
    <t>2026-09-29T14:09:06.038+0700</t>
  </si>
  <si>
    <t>SalesPlatform</t>
  </si>
  <si>
    <t>2026-09-29T14:09:18.278+0700</t>
  </si>
  <si>
    <t>2026-09-04</t>
  </si>
  <si>
    <t>Dear team DBA, nhờ team chạy giúp câu lệnh bên dưới ạ. Thông tin database jdbc:mysql://pay-tidb.int.onemount.com:4000/saas_tpay Mục đích Theo yêu cầu từ TCB: cập nhật om_terminal_id của terminal QTT6HTNYD (merchant NCCAAJ3TJL0, dịch vụ SMARTPOS_QR/SMARTPOS_CARD) từ TM26092230INY thành TM26092930INY. Câu lệnh UPDATE UNIFIED_TERMINAL
   SET om_terminal_id = 'TM26092930INY'
 WHERE merchant_code = 'NCCAAJ3TJL0'
   AND terminal_code = 'QTT6HTNYD'
   AND service_code IN ('SMARTPOS_QR','SMARTPOS_CARD');</t>
  </si>
  <si>
    <t>[OneU][VMM] Xuất thông tin store đang active trên hệ thống VMM</t>
  </si>
  <si>
    <t>2026-09-03</t>
  </si>
  <si>
    <t>2026-09-29T12:56:56.096+0700</t>
  </si>
  <si>
    <t>2026-09-29T12:57:10.848+0700</t>
  </si>
  <si>
    <t>Nhờ  @Đào Công Nghĩa  chạy giúp thông tin dưới đây: project:  vincart-prod instance:  main ip:  172.31.1.41 DB:  vincart_mm_merchant Script: select
	m.code as merchant_code,
	m.name as merchant_name,
	s.code as store_code,
	s.address,
	s.city_code, 
	s.city_name,
	s.district_code,
	s.district_name,
	s.ward_code,
	s.ward_name,
	s.latitude,
	s.longitude
from
	merchants m,
	stores s
where
	m.id = s.merchant_id
	and 
	s.status = 'active'
	and m.status = 'active';</t>
  </si>
  <si>
    <t>2026-08 Total</t>
  </si>
  <si>
    <t>[QR247][PROD] - Hỗ trợ cấu hình merchant QR247 môi trường PROD</t>
  </si>
  <si>
    <t>2026-09-29T12:56:12.521+0700</t>
  </si>
  <si>
    <t>2026-09-29T12:56:35.949+0700</t>
  </si>
  <si>
    <t>saas_tpay</t>
  </si>
  <si>
    <t>Total MAG</t>
  </si>
  <si>
    <t>Dear team DBA, Nhờ anh/em hỗ trợ chạy giúp team CNSP các lệnh cấu hình sau Thông tin DB:  saas_tpay: mysql://pay-tidb.int.onemount.com:4000/saas_tpay Script: INSERT INTO PARTNER (client_id, name, public_key, enable, merchant_code)
VALUES ('yKDUfwRdhRUFvmdmSmOJndcbVGOKolek', 'BV Đa Khoa Cần Thơ', '-----BEGIN PUBLIC KEY-----
MIIBIjANBgkqhkiG9w0BAQEFAAOCAQ8AMIIBCgKCAQEAowTEG5u2n+Uwq0H1WiBf
Mfveelayjngz1WWXT6kcTfoSRyEXQfR75LOolXSnElO+OANOh04MDSxsiXg6Twwt
XPUErqUK3icfEzXABCwqprYZE7ZlRvKov+kJ/3fsCYMGpMKvRJhcdFwBfG61qvze
cytRb/yx1oWSnUa8Cfpgy3E1sqIt5bph2bhelRpnySqoLiDAC+gCIMzt/Knly6LD
RNp5sNt/xX6q9I5FG1x+MMN62jJ6FLnVUWDfWDwAAs9n7cSwl9qSJLvnKFHmRk/o
Jz6eF+tILfiWyeEC5aPmacThPRsa/dWa12eLqS/YAwNmdwvux2xfNpfj736rDPg1
rwIDAQAB
-----END PUBLIC KEY-----', 1, 'BVDKCT');</t>
  </si>
  <si>
    <t>2026-08-29</t>
  </si>
  <si>
    <t>[OMC][MTP][PROD] Hỗ trợ cập nhật database - Audience Management</t>
  </si>
  <si>
    <t>2026-09-29T12:21:02.841+0700</t>
  </si>
  <si>
    <t>2026-08-28</t>
  </si>
  <si>
    <t>2026-09-29T12:21:17.314+0700</t>
  </si>
  <si>
    <t>MTP</t>
  </si>
  <si>
    <t>Total Null</t>
  </si>
  <si>
    <t>Dear anh  @Đào Công Nghĩa  , Nhờ anh chạy giúp em script sau với ạ. Host: 172.31.3.49 - 5432 DB: mtp_audience_management Script: UPDATE public.segments
SET segment_config = jsonb_set(segment_config::jsonb, '{AND,0,value}', '"2026-09-01"')::json
WHERE id IN (992, 993);
UPDATE public.segments
SET segment_config = jsonb_set(segment_config::jsonb, '{AND,0,AND,0,value}', '"1"')::json
WHERE id = 1120;
UPDATE public.segments
SET segment_config = jsonb_set(segment_config::jsonb, '{AND,0,AND,0,value}', '"0"')::json
WHERE id = 1121; Thank anh, Thành An.</t>
  </si>
  <si>
    <t>2026-08-27</t>
  </si>
  <si>
    <t>[OM][ESB][CLMS][MSQL][PROD] Đồng bộ data quản lý hợp đồng clm_prod_mysql</t>
  </si>
  <si>
    <t>2026-09-29T11:46:44.916+0700</t>
  </si>
  <si>
    <t>2026-09-29T14:16:53.230+0700</t>
  </si>
  <si>
    <t>Description Dear anh Linh, Hiện team ESB đã transform data từ CTMS về các table tạm thời  tương ứng theo business trên clm_prod_mysql. Us :  https://onemount.atlassian.net/browse/CLMS-2720 .  Và giờ cần đồng bộ và update data tương ứng từ các bảng tạm vào các bảng chính trên clms theo các bước sau : Thông tin data base :   project gcp: onemg-integration-platform-prod instance: main Master IP: 172.31.1.118 DB name: clm_prod_mysql Thời gian chạy : 2026/09/29 12h00 Trigger đồng bộ và updatedate data : #=================================================================================================
#Step 1: update thông tin Contract
UPDATE Contract c
    JOIN contract_extract_ctms_sync s
    ON c.id = s.id and s.legacyContractRef IN ('2025/001647','2025/001930','2025/002203','2025/002217','2025/002219','2025/002372','2025/002392','2025/002371','2025/002374','2025/002549','2025/002562','2025/002591','2025/002836','2025/002560','2025/002852','2025/002851','2025/002850','2025/002882','2025/002676','2025/003222','2025/003393','2025/003728','2025/004162','2025/004272','2025/004376','2025/004361','2025/004529','2025/004542','2025/004551','2025/004713','2026/000372','2026/000401','2026/000769','2026/000829','2026/000942','2026/001508','2026/001570','2026/001674','2026/001736','2026/001756','2026/001852','2026/001938','2026/002135','2026/002149','2026/002150','2026/002258','2026/002606','2026/002701','2026/002695','2026/003045','2026/003167','2026/003168','2026/003219','2026/003487','2026/002769','2026/004076','2026/004126','2026/004263','2026/004279','2026/004558','2026/004577','2026/004774','2026/005102','2026/005069','2026/005070','2026/005255','2026/005320','2026/005585','2026/006015','2026/006287','2026/006344','2026/006273','2026/006685','2026/006743','2026/006686')
SET c.createdAt      = s.createdAt,
    c.createdBy      = s.createdBy,
    c.lastModifiedAt = s.lastModifiedAt,
    c.lastModifiedBy = s.lastModifiedBy,
    c.status         = s.status,
    c.rate         = s.rate
WHERE NOT (
            c.createdAt &lt;=&gt; s.createdAt
        AND c.createdBy &lt;=&gt; s.createdBy
        AND c.lastModifiedAt &lt;=&gt; s.lastModifiedAt
        AND c.lastModifiedBy &lt;=&gt; s.lastModifiedBy
        AND c.status &lt;=&gt; s.status
        AND c.rate &lt;=&gt; s.rate
    );
#=================================================================================================
#Step 2: update thông tin FlatContract
UPDATE FlatContract f
    JOIN contract_extract_ctms_sync s
    ON s.id = f.originalId and s.legacyContractRef IN ('2025/001647','2025/001930','2025/002203','2025/002217','2025/002219','2025/002372','2025/002392','2025/002371','2025/002374','2025/002549','2025/002562','2025/002591','2025/002836','2025/002560','2025/002852','2025/002851','2025/002850','2025/002882','2025/002676','2025/003222','2025/003393','2025/003728','2025/004162','2025/004272','2025/004376','2025/004361','2025/004529','2025/004542','2025/004551','2025/004713','2026/000372','2026/000401','2026/000769','2026/000829','2026/000942','2026/001508','2026/001570','2026/001674','2026/001736','2026/001756','2026/001852','2026/001938','2026/002135','2026/002149','2026/002150','2026/002258','2026/002606','2026/002701','2026/002695','2026/003045','2026/003167','2026/003168','2026/003219','2026/003487','2026/002769','2026/004076','2026/004126','2026/004263','2026/004279','2026/004558','2026/004577','2026/004774','2026/005102','2026/005069','2026/005070','2026/005255','2026/005320','2026/005585','2026/006015','2026/006287','2026/006344','2026/006273','2026/006685','2026/006743','2026/006686')
SET f.createdAt              = s.createdAt,
    f.createdBy              = s.createdBy,
    f.lastModifiedAt         = s.lastModifiedAt,
    f.lastModifiedBy         = s.lastModifiedBy,
    f.status                 = s.status,
    f.originalCreatedAt      = s.createdAt,
    f.originalCreatedBy      = s.createdBy,
    f.originalLastModifiedAt = s.lastModifiedAt,
    f.originalLastModifiedBy = s.lastModifiedBy
WHERE NOT (
            f.createdAt &lt;=&gt; s.createdAt
        AND f.createdBy &lt;=&gt; s.createdBy
        AND f.lastModifiedAt &lt;=&gt; s.lastModifiedAt
        AND f.lastModifiedBy &lt;=&gt; s.lastModifiedBy
        AND f.status &lt;=&gt; s.status
        AND f.originalCreatedAt &lt;=&gt; s.createdAt
        AND f.originalCreatedBy &lt;=&gt; s.createdBy
        AND f.originalLastModifiedAt &lt;=&gt; s.lastModifiedAt
        AND f.originalLastModifiedBy &lt;=&gt; s.lastModifiedBy
    );
#==================================================================================================
#Step 2: đồng bộ ContractParty
INSERT INTO ContractParty
(createdAt, createdBy, deleted, lastModifiedAt, lastModifiedBy, version, contractCode, isPrimaryContact, legalName,
 partySequence, status, type, tenantCode, contract_id, signIndex)
SELECT s.createdAt,
       s.createdBy,
       s.deleted,
       s.lastModifiedAt,
       s.lastModifiedBy,
       s.version,
       s.contractCode,
       s.isPrimaryContact,
       s.legalName,
       s.partySequence,
       s.status,
       s.type,
       s.tenantCode,
       s.contract_id,
       s.signIndex
FROM contract_party_extract_ctms_sync s inner join contract_extract_ctms_sync ce on s.contract_id = ce.id and ce.legacyContractRef IN ('2025/001647','2025/001930','2025/002203','2025/002217','2025/002219','2025/002372','2025/002392','2025/002371','2025/002374','2025/002549','2025/002562','2025/002591','2025/002836','2025/002560','2025/002852','2025/002851','2025/002850','2025/002882','2025/002676','2025/003222','2025/003393','2025/003728','2025/004162','2025/004272','2025/004376','2025/004361','2025/004529','2025/004542','2025/004551','2025/004713','2026/000372','2026/000401','2026/000769','2026/000829','2026/000942','2026/001508','2026/001570','2026/001674','2026/001736','2026/001756','2026/001852','2026/001938','2026/002135','2026/002149','2026/002150','2026/002258','2026/002606','2026/002701','2026/002695','2026/003045','2026/003167','2026/003168','2026/003219','2026/003487','2026/002769','2026/004076','2026/004126','2026/004263','2026/004279','2026/004558','2026/004577','2026/004774','2026/005102','2026/005069','2026/005070','2026/005255','2026/005320','2026/005585','2026/006015','2026/006287','2026/006344','2026/006273','2026/006685','2026/006743','2026/006686');
#==================================================================                                                                                                                                                                                                                                                                                                                                                                                                                                                   WHERE s.contractCode IS NOT NULL;
#Step 4: đồng bộ DocumentMedia
INSERT INTO DocumentMedia
(createdAt, createdBy, deleted, lastModifiedAt, lastModifiedBy, version, altText, description, internalUrl, location,
 locationHash, mime, realFileName, removable, size, code, folder_id)
SELECT s.createdAt,
       s.createdBy,
       s.deleted,
       s.lastModifiedAt,
       s.lastModifiedBy,
       s.version,
       s.altText,
       s.description,
       s.internalUrl,
       s.location,
       s.locationHash,
       s.mime,
       s.realFileName,
       s.removable,
       s.size,
       s.code,
       s.folder_id
FROM document_media_extract_ctms_sync s
    inner join attachment_extract_ctms_sync aecs on s.code = aecs.code
    inner join contract_extract_ctms_sync ce on ce.id = aecs.entityId  and ce.legacyContractRef IN ('2025/001647','2025/001930','2025/002203','2025/002217','2025/002219','2025/002372','2025/002392','2025/002371','2025/002374','2025/002549','2025/002562','2025/002591','2025/002836','2025/002560','2025/002852','2025/002851','2025/002850','2025/002882','2025/002676','2025/003222','2025/003393','2025/003728','2025/004162','2025/004272','2025/004376','2025/004361','2025/004529','2025/004542','2025/004551','2025/004713','2026/000372','2026/000401','2026/000769','2026/000829','2026/000942','2026/001508','2026/001570','2026/001674','2026/001736','2026/001756','2026/001852','2026/001938','2026/002135','2026/002149','2026/002150','2026/002258','2026/002606','2026/002701','2026/003045','2026/003167','2026/003168','2026/003219','2026/003487','2026/002769','2026/004076','2026/004126','2026/004263','2026/004279','2026/004558','2026/004577','2026/004774','2026/005102','2026/005069','2026/005070','2026/005255','2026/005320','2026/005585','2026/006015','2026/006287','2026/006344','2026/006273','2026/006685','2026/006743','2026/006686')
WHERE s.location IS NOT NULL;
#==================================================================================================
#Step 5: đồng bộ Attachment
INSERT INTO Attachment (createdAt, createdBy, deleted, lastModifiedAt, lastModifiedBy, version, code, entityId,
                        entityName, name, status, type, docType, position, isRequired, copyFrom, refCode, refDocCode,
                        refDocType)
SELECT s.createdAt,
       s.createdBy,
       s.deleted,
       s.lastModifiedAt,
       s.lastModifiedBy,
       s.version,
       s.code,
       s.entityId,
       s.entityName,
       s.name,
       s.status,
       s.type,
       s.docType,
       s.position,
       s.isRequired,
       s.copyFrom,
       s.refCode,
       s.refDocCode,
       s.refDocType
FROM attachment_extract_ctms_sync s
inner join contract_extract_ctms_sync ce on ce.id = s.entityId and ce.legacyContractRef IN ('2025/001647','2025/001930','2025/002203','2025/002217','2025/002219','2025/002372','2025/002392','2025/002371','2025/002374','2025/002549','2025/002562','2025/002591','2025/002836','2025/002560','2025/002852','2025/002851','2025/002850','2025/002882','2025/002676','2025/003222','2025/003393','2025/003728','2025/004162','2025/004272','2025/004376','2025/004361','2025/004529','2025/004542','2025/004551','2025/004713','2026/000372','2026/000401','2026/000769','2026/000829','2026/000942','2026/001508','2026/001570','2026/001674','2026/001736','2026/001756','2026/001852','2026/001938','2026/002135','2026/002149','2026/002150','2026/002258','2026/002606','2026/002701','2026/003045','2026/003167','2026/003168','2026/003219','2026/003487','2026/002769','2026/004076','2026/004126','2026/004263','2026/004279','2026/004558','2026/004577','2026/004774','2026/005102','2026/005069','2026/005070','2026/005255','2026/005320','2026/005585','2026/006015','2026/006287','2026/006344','2026/006273','2026/006685','2026/006743','2026/006686')
WHERE s.code IS NOT NULL;
#===================================================================================
#Step 6: đồng bộ Document
INSERT INTO Document
(createdAt, createdBy, deleted, lastModifiedAt, lastModifiedBy, version, code, description, name, status, tenantCode,
 docVersion, editedVersion, type, hashContent, lastAttachment_id)
SELECT s.createdAt,
       s.createdBy,
       s.deleted,
       s.lastModifiedAt,
       s.lastModifiedBy,
       s.version,
       s.code,
       s.description,
       s.name,
       s.status,
       s.tenantCode,
       s.docVersion,
       s.editedVersion,
       s.type,
       s.hashContent,
       (SELECT a.id
        FROM Attachment a inner join Contract c on a.entityId = c.id and c.legacyContractRef IN ('2025/001647','2025/001930','2025/002203','2025/002217','2025/002219','2025/002372','2025/002392','2025/002371','2025/002374','2025/002549','2025/002562','2025/002591','2025/002836','2025/002560','2025/002852','2025/002851','2025/002850','2025/002882','2025/002676','2025/003222','2025/003393','2025/003728','2025/004162','2025/004272','2025/004376','2025/004361','2025/004529','2025/004542','2025/004551','2025/004713','2026/000372','2026/000401','2026/000769','2026/000829','2026/000942','2026/001508','2026/001570','2026/001674','2026/001736','2026/001756','2026/001852','2026/001938','2026/002135','2026/002149','2026/002150','2026/002258','2026/002606','2026/002701','2026/003045','2026/003167','2026/003168','2026/003219','2026/003487','2026/002769','2026/004076','2026/004126','2026/004263','2026/004279','2026/004558','2026/004577','2026/004774','2026/005102','2026/005069','2026/005070','2026/005255','2026/005320','2026/005585','2026/006015','2026/006287','2026/006344','2026/006273','2026/006685','2026/006743','2026/006686')
        WHERE a.refDocCode = s.code
		          AND a.docType = 'UPLOADED_CONTRACT'
                  AND a.type = 'CONTRACT_DOC'  AND a.refDocType IN ('signed', 'issued')
        ORDER BY FIELD(a.refDocType, 'signed', 'issued'), a.id
        LIMIT 1)
FROM document_extract_ctms_sync s
WHERE s.code IS NOT NULL;</t>
  </si>
  <si>
    <t>[Prod][PMS HUB] Request update database cors</t>
  </si>
  <si>
    <t>2026-09-29T11:01:08.119+0700</t>
  </si>
  <si>
    <t>2026-09-29T11:01:59.787+0700</t>
  </si>
  <si>
    <t>Hi  @Phạm Tuấn Linh Nhờ em update sql giúp anh Thông tin database gcp project: onemg-integration-platform-prd
instance: main (172.31.1.118)
db name: pms_prod UPDATE pms_prod.CorsConfiguration
SET createdAt=now(), createdBy='chaucv@onemount.com', deleted=0, lastModifiedAt=now(), lastModifiedBy=NULL, version=0, appContext='pms-admin-api', keyContext='allowedOrigins', valueContext='https://hub.masterisegroup.com'
WHERE appContext='pms-admin-api' AND keyContext='allowedOrigins';
UPDATE pms_prod.CorsConfiguration
SET createdAt=now(), createdBy='chaucv@onemount.com', deleted=0, lastModifiedAt=now(), lastModifiedBy=NULL, version=0, appContext='pms-core', keyContext='allowedOrigins', valueContext='https://hub.masterisegroup.com'
WHERE appContext='pms-core' AND keyContext='allowedOrigins';</t>
  </si>
  <si>
    <t>Xin quyền query trên db: DB: omc-tidb-mtp.int.onemount.com:4000 Schema: omc_mtp_martech_activation</t>
  </si>
  <si>
    <t>2026-09-29T10:48:55.668+0700</t>
  </si>
  <si>
    <t>2026-09-29T11:10:59.177+0700</t>
  </si>
  <si>
    <t>VIEW,</t>
  </si>
  <si>
    <t>Loyalty</t>
  </si>
  <si>
    <t>Dear. Team Nhờ anh em add giúp account hoapd1 view ở  DB:  omc-tidb-mtp.int.onemount.com:4000  Schema: omc_mtp_martech_activation với nhé</t>
  </si>
  <si>
    <t>2026-08-26</t>
  </si>
  <si>
    <t>[TPAY][PROD] Xin quyền view db vindipay_reconcilation trên dremio PRODUCTION</t>
  </si>
  <si>
    <t>2026-09-29T10:00:28.271+0700</t>
  </si>
  <si>
    <t>2026-09-29T10:00:39.121+0700</t>
  </si>
  <si>
    <t>vinidpay</t>
  </si>
  <si>
    <t>Do nhu cầu cần check dữ liệu trên production nên xin được phân quyền vào VIEW db Vinidpay_reconcilation</t>
  </si>
  <si>
    <t>audit</t>
  </si>
  <si>
    <t>2026-08-25</t>
  </si>
  <si>
    <t xml:space="preserve">[Prod][PMS HUB] Request update database </t>
  </si>
  <si>
    <t>2026-09-29T09:23:03.260+0700</t>
  </si>
  <si>
    <t>2026-09-29T10:05:14.626+0700</t>
  </si>
  <si>
    <t>authenSDK</t>
  </si>
  <si>
    <t>2026-08-24</t>
  </si>
  <si>
    <t>AVM-Residential</t>
  </si>
  <si>
    <t>2026-08-22</t>
  </si>
  <si>
    <t>Hi  @Phạm Tuấn Linh Nhờ em update sql giúp anh Thông tin database gcp project: onemg-integration-platform-prd
instance: main (172.31.1.118)
db name: pms_prod Script update ALTER TABLE PackageLine MODIFY COLUMN lineDescription text;
ALTER TABLE EvaluationEntry
    MODIFY COLUMN result VARCHAR(255) NULL;
ALTER TABLE PurchaseRequest
    MODIFY COLUMN expectedCompletePurchasingDate DATETIME(6) NULL,
    MODIFY COLUMN deliveryExpectedDateFrom DATETIME(6) NULL,
    MODIFY COLUMN deliveryExpectedDateTo DATETIME(6) NULL,
    MODIFY COLUMN procurementBusinessLine VARCHAR(255) NOT NULL,
    MODIFY COLUMN procurementType VARCHAR(255) NOT NULL,
    MODIFY COLUMN totalOrderQuantity DECIMAL(18,2) NULL;
ALTER TABLE PurchaseRequestLineBudget
    MODIFY COLUMN budgetProposalCode VARCHAR(255) NULL;
ALTER TABLE PurchaseRequestLineDelivery
    MODIFY COLUMN deliveryExpectedDateFrom DATETIME(6) NULL,
    MODIFY COLUMN deliveryExpectedDateTo DATETIME(6) NULL;
ALTER TABLE PurchaseRequestLine
    MODIFY COLUMN note VARCHAR(1000) NULL;
INSERT INTO pms_prod.NotificationTemplate
(id, createdAt, createdBy, deleted, lastModifiedAt, lastModifiedBy, version, authConfig, code, isActive, name, noticeType, provider, subject, templateContent, tenantCode)
VALUES(1, now(), 'chaucv@onemount.com', 0, now(), 'chaucv@onemount.com', 1, '{"emailSender":"reply@hub.masterisegroup.com","nameSender":"Masterise Group HUB","apiKey":"${mag.notification.email.sendgrid_api_key}","templateId":"6aba07e88861d617d1eacab4"}', 'REPLY_SEND_TEMPLATE_MAIL_DEFAULT', 1, 'Send mail with reply', 'EMAIL', 'SENDGRID_MTP', '${subject}', '${content}', 'MAG');
INSERT INTO pms_prod.NotificationTemplate
(id, createdAt, createdBy, deleted, lastModifiedAt, lastModifiedBy, version, authConfig, code, isActive, name, noticeType, provider, subject, templateContent, tenantCode)
VALUES(2, now(), 'chaucv@onemount.com', 0, now(), 'chaucv@onemount.com', 0, '{"tenantId":"abd5926f-9a1b-4137-9332-b3f4e8095923","grant_type":"password","client_id":"b59eb926-4176-43ec-9d99-52e23d01ec35","scope":"https://graph.microsoft.com/.default","username":"assistant.hub@masterisegroup.com","password":"${mag.notification.msteam.user.password}"}', 'SEND_TEMPLATE_TEAMS_DEFAULT', 1, 'Send Teams Default', 'MICROSOFT_TEAMS', 'ESB', 'Không dùng field này cho TEAMS', '${content}', 'MAG');
INSERT INTO pms_prod.NotificationTemplate
(id, createdAt, createdBy, deleted, lastModifiedAt, lastModifiedBy, version, authConfig, code, isActive, name, noticeType, provider, subject, templateContent, tenantCode)
VALUES(3, now(), 'chaucv@onemount.com', 0, now(), 'chaucv@onemount.com', 1, '{"emailSender":"noreply@hub.masterisegroup.com","nameSender":"Masterise Group","apiKey":"","templateId":"6aba07e88861d617d1eacab4"}', 'SEND_TEMPLATE_MAIL_DEFAULT', 1, 'Send mail', 'EMAIL', 'SENDGRID_MTP', '${subject}', '${content}', 'MAG');
UPDATE pms_prod.CorsConfiguration
SET createdAt=now(), createdBy='chaucv@onemount.com', deleted=0, lastModifiedAt=now(), lastModifiedBy=NULL, version=0, appContext='pms-admin-api', keyContext='allowedOrigins', valueContext='https://hub-uat.masterisegroup.dev http://localhost:4200 http://localhost:3000 https://onehub-uat.onemount.dev'
WHERE appContext='pms-admin-api' AND keyContext='allowedOrigins';
UPDATE pms_prod.CorsConfiguration
SET createdAt=now(), createdBy='chaucv@onemount.com', deleted=0, lastModifiedAt=now(), lastModifiedBy=NULL, version=0, appContext='pms-admin-api', keyContext='allowedHeaders', valueContext='origin content-type accept authorization client-device device-type content-disposition auth_provider x-tenant'
WHERE appContext='pms-admin-api' AND keyContext='allowedHeaders';
UPDATE pms_prod.CorsConfiguration
SET createdAt=now(), createdBy='chaucv@onemount.com', deleted=0, lastModifiedAt=now(), lastModifiedBy=NULL, version=0, appContext='pms-admin-api', keyContext='exposedHeaders', valueContext='origin content-type accept authorization client-device device-type content-disposition auth_provider x-tenant'
WHERE  appContext='pms-admin-api' AND keyContext='exposedHeaders';
UPDATE pms_prod.CorsConfiguration
SET createdAt=now(), createdBy='chaucv@onemount.com', deleted=0, lastModifiedAt=now(), lastModifiedBy=NULL, version=0, appContext='pms-core', keyContext='allowedOrigins', valueContext='https://hub-uat.masterisegroup.dev http://localhost:4200 http://localhost:3000 https://onehub-uat.onemount.dev'
WHERE appContext='pms-core' AND keyContext='allowedOrigins';
UPDATE pms_prod.CorsConfiguration
SET createdAt=now(), createdBy='chaucv@onemount.com', deleted=0, lastModifiedAt=now(), lastModifiedBy=NULL, version=0, appContext='pms-core', keyContext='allowedHeaders', valueContext='origin content-type accept authorization client-device device-type content-disposition auth_provider x-tenant'
WHERE appContext='pms-core' AND keyContext='allowedHeaders';
UPDATE pms_prod.CorsConfiguration
SET createdAt=now(), createdBy='chaucv@onemount.com', deleted=0, lastModifiedAt=now(), lastModifiedBy=NULL, version=0, appContext='pms-core', keyContext='exposedHeaders', valueContext='origin content-type accept authorization client-device device-type content-disposition auth_provider x-tenant'
WHERE appContext='pms-core' AND keyContext='exposedHeaders';</t>
  </si>
  <si>
    <t>B2B</t>
  </si>
  <si>
    <t>Release Plan 25/09/2026 -  OSC scan&amp;pay</t>
  </si>
  <si>
    <t>2026-08-21</t>
  </si>
  <si>
    <t>2026-09-28T22:04:47.294+0700</t>
  </si>
  <si>
    <t>2026-09-28T23:03:14.977+0700</t>
  </si>
  <si>
    <t>OSC</t>
  </si>
  <si>
    <t>Project: vinpay-prod IP/Host:  mysql://pay-tidb.int.onemount.com:4000/osc Database:  osc DB type: tidb Scripts: ALTER TABLE OSC_ORDER ADD COLUMN payment_gateway VARCHAR(32);
ALTER TABLE PAYMENT ADD COLUMN uco_transaction_id VARCHAR(64);
ALTER TABLE PAYMENT ADD COLUMN uco_transaction_line_id VARCHAR(64);</t>
  </si>
  <si>
    <t>BA</t>
  </si>
  <si>
    <t>2026-08-20</t>
  </si>
  <si>
    <t xml:space="preserve">[onenexus][np]Tạo db Billing trên QC </t>
  </si>
  <si>
    <t>2026-09-28T16:51:42.088+0700</t>
  </si>
  <si>
    <t>2026-09-28T16:51:47.516+0700</t>
  </si>
  <si>
    <t>qc</t>
  </si>
  <si>
    <t>Billservice</t>
  </si>
  <si>
    <t xml:space="preserve">hiện tại mới có ở dev </t>
  </si>
  <si>
    <t>backup</t>
  </si>
  <si>
    <t>2026-08-19</t>
  </si>
  <si>
    <t>[onenexus][PROD]Tạo db Billing trên môi trường prod</t>
  </si>
  <si>
    <t>2026-09-28T16:51:08.195+0700</t>
  </si>
  <si>
    <t>2026-09-28T16:51:25.256+0700</t>
  </si>
  <si>
    <t>prod</t>
  </si>
  <si>
    <t xml:space="preserve">Tạo db cho billing trên môi trường prod </t>
  </si>
  <si>
    <t>2026-08-18</t>
  </si>
  <si>
    <t>[UPP][SAAS][PROD] - Update config cấu hình VOID cho SOUNDPOS</t>
  </si>
  <si>
    <t>2026-09-28T15:25:52.882+0700</t>
  </si>
  <si>
    <t>2026-09-28T15:26:04.005+0700</t>
  </si>
  <si>
    <t>SOUNPOS</t>
  </si>
  <si>
    <t>SOUNDPOS</t>
  </si>
  <si>
    <t>CCS</t>
  </si>
  <si>
    <t>2026-08-17</t>
  </si>
  <si>
    <t>Dear team DBA, Nhờ anh/em chạy giúp em lệnh sau để cập nhật cấu hình cho merchant ạ Thông tin db: saas_tpay: mysql://pay-tidb.int.onemount.com:4000/saas_tpay Script: UPDATE SYSTEM_CONFIGURATION
SET SYSTEM_PARAM_VALUE = '{
  "disallowed_void_bins_tcb": [
    "401148",
    "402156",
    "422149",
    "422150",
    "457451",
    "478097",
    "489044",
    "970407"
  ],
  "void_config": {
    "international_card": {
      "allowed_transaction_type": [
        "PAYMENT",
        "CARD-VERIFY",
        "SALE-COMPLETION"
      ],
      "disallowed_void_bins": [],
      "void_cutoff_schedule": [
        {
          "days": [
            "MONDAY"
          ],
          "cutoff_time": "11:59:59"
        },
        {
          "days": [
            "TUESDAY",
            "WEDNESDAY",
            "THURSDAY",
            "FRIDAY"
          ],
          "cutoff_time": "20:59:59"
        },
        {
          "days": [
            "SATURDAY",
            "SUNDAY"
          ],
          "cutoff_time": "NOT_CHECK_CUT_OFF_TIME"
        }
      ]
    },
    "domestic_card": {
      "allowed_transaction_type": [
        "PAYMENT",
        "CARD-VERIFY",
        "SALE-COMPLETION"
      ],
      "disallowed_void_bins": [],
      "void_cutoff_schedule": [
        {
          "days": [
            "MONDAY",
            "TUESDAY",
            "WEDNESDAY",
            "THURSDAY",
            "FRIDAY",
            "SATURDAY",
            "SUNDAY"
          ],
          "cutoff_time": "23:59:59"
        }
      ]
    }
  },
  "refund_config": {
    "global_enable": false,
    "merchant_enable": {
      "NCCQSFYK": true,
      "HKDTHUTHUY": true
    },
    "international_card": {
      "allowed_transaction_type": [
        "PAYMENT",
        "SALE-COMPLETION"
      ],
      "disallowed_refund_bins": [],
      "max_days_refund": "90",
      "minimum_amount_refund": "1"
    },
    "domestic_card": {
      "allowed_transaction_type": [
        "PAYMENT",
        "SALE-COMPLETION"
      ],
      "disallowed_refund_bins": [],
      "max_days_refund": "90",
      "minimum_amount_refund": "1"
    },
    "qr": {
      "allowed_transaction_type": [
        "PAYMENT"
      ],
      "disallowed_refund_account_number": [],
      "max_days_refund": "60",
      "minimum_amount_refund": "2000"
    }
  }
}'
WHERE SYSTEM_PARAM_CODE = 'CONFIG_VOID_AND_REFUND_CHANNEL_SOUNDPOS';</t>
  </si>
  <si>
    <t>CDP, DP</t>
  </si>
  <si>
    <t>2026-09-28T11:16:14.737+0700</t>
  </si>
  <si>
    <t>2026-09-28T11:21:53.239+0700</t>
  </si>
  <si>
    <t>2026-08-15</t>
  </si>
  <si>
    <t>Charity</t>
  </si>
  <si>
    <t>2026-08-14</t>
  </si>
  <si>
    <t>Dear anh Linh, Hiện team ESB đã transform data từ CTMS về các table tạm thời  tương ứng theo business trên clm_prod_mysql. Us :  https://onemount.atlassian.net/browse/CLMS-2720 .  Và giờ cần đồng bộ và update data tương ứng từ các bảng tạm vào các bảng chính trên clms theo các bước sau : Thông tin data base :   project gcp: onemg-integration-platform-prod instance: main DB name: clm_prod_mysql Thời gian chạy : 2026/28/09 11h15 Trigger đồng bộ và updatedate data : #=================================================================================================
#Step 1: update thông tin Contract
UPDATE Contract c
    JOIN contract_extract_ctms_sync s
    ON c.id = s.id
SET c.createdAt      = s.createdAt,
    c.createdBy      = s.createdBy,
    c.lastModifiedAt = s.lastModifiedAt,
    c.lastModifiedBy = s.lastModifiedBy,
    c.status         = s.status
WHERE NOT (
            c.createdAt &lt;=&gt; s.createdAt
        AND c.createdBy &lt;=&gt; s.createdBy
        AND c.lastModifiedAt &lt;=&gt; s.lastModifiedAt
        AND c.lastModifiedBy &lt;=&gt; s.lastModifiedBy
        AND c.status &lt;=&gt; s.status
    );
#=================================================================================================
#Step 2: update thông tin FlatContract
UPDATE FlatContract f
    JOIN contract_extract_ctms_sync s
    ON s.id = f.originalId
SET f.createdAt              = s.createdAt,
    f.createdBy              = s.createdBy,
    f.lastModifiedAt         = s.lastModifiedAt,
    f.lastModifiedBy         = s.lastModifiedBy,
    f.status                 = s.status,
    f.originalCreatedAt      = s.createdAt,
    f.originalCreatedBy      = s.createdBy,
    f.originalLastModifiedAt = s.lastModifiedAt,
    f.originalLastModifiedBy = s.lastModifiedBy
WHERE NOT (
            f.createdAt &lt;=&gt; s.createdAt
        AND f.createdBy &lt;=&gt; s.createdBy
        AND f.lastModifiedAt &lt;=&gt; s.lastModifiedAt
        AND f.lastModifiedBy &lt;=&gt; s.lastModifiedBy
        AND f.status &lt;=&gt; s.status
        AND f.originalCreatedAt &lt;=&gt; s.createdAt
        AND f.originalCreatedBy &lt;=&gt; s.createdBy
        AND f.originalLastModifiedAt &lt;=&gt; s.lastModifiedAt
        AND f.originalLastModifiedBy &lt;=&gt; s.lastModifiedBy
    );
#==================================================================================================
#Step 2: đồng bộ ContractParty
INSERT INTO ContractParty
(createdAt, createdBy, deleted, lastModifiedAt, lastModifiedBy, version, contractCode, isPrimaryContact, legalName,
 partySequence, status, type, tenantCode, contract_id, signIndex)
SELECT s.createdAt,
       s.createdBy,
       s.deleted,
       s.lastModifiedAt,
       s.lastModifiedBy,
       s.version,
       s.contractCode,
       s.isPrimaryContact,
       s.legalName,
       s.partySequence,
       s.status,
       s.type,
       s.tenantCode,
       s.contract_id,
       s.signIndex
FROM contract_party_extract_ctms_sync s;
#==================================================================                                                                                                                                                                                                                                                                                                                                                                                                                                                   WHERE s.contractCode IS NOT NULL;
#Step 4: đồng bộ DocumentMedia
INSERT INTO DocumentMedia
(createdAt, createdBy, deleted, lastModifiedAt, lastModifiedBy, version, altText, description, internalUrl, location,
 locationHash, mime, realFileName, removable, size, code, folder_id)
SELECT s.createdAt,
       s.createdBy,
       s.deleted,
       s.lastModifiedAt,
       s.lastModifiedBy,
       s.version,
       s.altText,
       s.description,
       s.internalUrl,
       s.location,
       s.locationHash,
       s.mime,
       s.realFileName,
       s.removable,
       s.size,
       s.code,
       s.folder_id
FROM document_media_extract_ctms_sync s
WHERE s.location IS NOT NULL;
#==================================================================================================
#Step 5: đồng bộ Attachment
INSERT INTO Attachment (createdAt, createdBy, deleted, lastModifiedAt, lastModifiedBy, version, code, entityId,
                        entityName, name, status, type, docType, position, isRequired, copyFrom, refCode, refDocCode,
                        refDocType)
SELECT s.createdAt,
       s.createdBy,
       s.deleted,
       s.lastModifiedAt,
       s.lastModifiedBy,
       s.version,
       s.code,
       s.entityId,
       s.entityName,
       s.name,
       s.status,
       s.type,
       s.docType,
       s.position,
       s.isRequired,
       s.copyFrom,
       s.refCode,
       s.refDocCode,
       s.refDocType
FROM attachment_extract_ctms_sync s
WHERE s.code IS NOT NULL;
#===================================================================================
#Step 6: đồng bộ Document
INSERT INTO Document
(createdAt, createdBy, deleted, lastModifiedAt, lastModifiedBy, version, code, description, name, status, tenantCode,
 docVersion, editedVersion, type, hashContent, lastAttachment_id)
SELECT s.createdAt,
       s.createdBy,
       s.deleted,
       s.lastModifiedAt,
       s.lastModifiedBy,
       s.version,
       s.code,
       s.description,
       s.name,
       s.status,
       s.tenantCode,
       s.docVersion,
       s.editedVersion,
       s.type,
       s.hashContent,
       (SELECT a.id
        FROM Attachment a
        WHERE a.refDocCode = s.code
                AND a.docType = 'UPLOADED_CONTRACT'
                  AND a.type = 'CONTRACT_DOC'  AND a.refDocType IN ('signed', 'issued')
        ORDER BY FIELD(a.refDocType, 'signed', 'issued'), a.id
        LIMIT 1)
FROM document_extract_ctms_sync s
WHERE s.code IS NOT NULL;</t>
  </si>
  <si>
    <t>CLMS, ESB</t>
  </si>
  <si>
    <t>2026-08-13</t>
  </si>
  <si>
    <t>CP</t>
  </si>
  <si>
    <t>[Kafka][Prod] Tạo kafka topic phục vụ sourcing dữ liệu sang TCB</t>
  </si>
  <si>
    <t>2026-09-28T11:10:33.693+0700</t>
  </si>
  <si>
    <t>2026-09-28T12:22:29.856+0700</t>
  </si>
  <si>
    <t>2026-08-12</t>
  </si>
  <si>
    <t>Dear team DBA, Hiện tại team đang có nhu cầu kéo bổ sung dữ liệu các bảng sau phục vụ mục đích xây dựng báo cáo và sourcing sang TCB  https://onemount.atlassian.net/browse/MHP-14786 , nhờ anh Linh tạo kafka topic ở môi trường PROD giúp team để kéo data về DP. PROD: IP host:172.31.4.108 Schema: merchant_service_tcb Table list: camp_campaign
camp_campaign_task
camp_task
camp_task_state
camp_enrollment
camp_segment Thanks team, Cong</t>
  </si>
  <si>
    <t>[OM][ODS] Nâng dung lượng disk tikv của hệ thống ods</t>
  </si>
  <si>
    <t>CSS</t>
  </si>
  <si>
    <t>2026-09-28T10:36:01.057+0700</t>
  </si>
  <si>
    <t>2026-09-28T10:36:10.506+0700</t>
  </si>
  <si>
    <t>ODS</t>
  </si>
  <si>
    <t>2026-08-11</t>
  </si>
  <si>
    <t>Hiện tại các node TiKV của hệ thống ODS đã sử dụng 93% disk cần nâng thêm 500GB mỗi node để đảm bảo dịch vụ. hostname IP before after diff ods-tikv-6 10.255.24.189 2000GB 2500GB 500GB ods-tikv-7 10.255.24.198 2000GB 2500GB 500GB ods-tikv-8 10.255.24.217 2000GB 2500GB 500GB</t>
  </si>
  <si>
    <t>Tạo account và xin thêm quyền</t>
  </si>
  <si>
    <t>2026-09-28T09:41:08.007+0700</t>
  </si>
  <si>
    <t>2026-09-28T09:41:21.420+0700</t>
  </si>
  <si>
    <t>OCM</t>
  </si>
  <si>
    <t>2026-08-10</t>
  </si>
  <si>
    <t>Dear team, nhờ a các tạo hộ e account và xin thêm quyền. E cảm ơn ạ 1. account_profile_service xin quyền update ip: 172.31.1.12:3306 acc: tung.vu8 update 2 table:  user_profile , identity_documents 2. linkages  ip: 172.31.3.40:5432 user: tung.vu8 quyền view, update table linkages 3. loyalty_core ip: 10.255.23.119:1521 ip: 10.255.23.118:1521 tạo tài khoản tung.vu8 và quyền view all table</t>
  </si>
  <si>
    <t>2026-09-26T11:22:48.662+0700</t>
  </si>
  <si>
    <t>2026-09-26T11:23:20.618+0700</t>
  </si>
  <si>
    <t>2026-08-09</t>
  </si>
  <si>
    <t>dataplatform, dfs</t>
  </si>
  <si>
    <t>2026-08-08</t>
  </si>
  <si>
    <t>Description Dear anh Linh, Hiện team ESB đã transform data từ CTMS về các table tạm thời  tương ứng theo business trên clm_prod_mysql. Us :  https://onemount.atlassian.net/browse/CLMS-2720 .  Và giờ cần đồng bộ và update data tương ứng từ các bảng tạm vào các bảng chính trên clms theo các bước sau : Thông tin data base :   project gcp: onemg-integration-platform-prod instance: main DB name: clm_prod_mysql Trigger đồng bộ và updatedate data : #=================================================================================================
#Step 1: update thông tin Contract
UPDATE Contract c
    JOIN contract_extract_ctms_sync s
    ON c.id = s.id
SET c.createdAt      = s.createdAt,
    c.createdBy      = s.createdBy,
    c.lastModifiedAt = s.lastModifiedAt,
    c.lastModifiedBy = s.lastModifiedBy,
    c.status         = s.status
WHERE NOT (
            c.createdAt &lt;=&gt; s.createdAt
        AND c.createdBy &lt;=&gt; s.createdBy
        AND c.lastModifiedAt &lt;=&gt; s.lastModifiedAt
        AND c.lastModifiedBy &lt;=&gt; s.lastModifiedBy
        AND c.status &lt;=&gt; s.status
    );
#=================================================================================================
#Step 2: update thông tin FlatContract
UPDATE FlatContract f
    JOIN contract_extract_ctms_sync s
    ON s.id = f.originalId
SET f.createdAt              = s.createdAt,
    f.createdBy              = s.createdBy,
    f.lastModifiedAt         = s.lastModifiedAt,
    f.lastModifiedBy         = s.lastModifiedBy,
    f.status                 = s.status,
    f.originalCreatedAt      = s.createdAt,
    f.originalCreatedBy      = s.createdBy,
    f.originalLastModifiedAt = s.lastModifiedAt,
    f.originalLastModifiedBy = s.lastModifiedBy
WHERE NOT (
            f.createdAt &lt;=&gt; s.createdAt
        AND f.createdBy &lt;=&gt; s.createdBy
        AND f.lastModifiedAt &lt;=&gt; s.lastModifiedAt
        AND f.lastModifiedBy &lt;=&gt; s.lastModifiedBy
        AND f.status &lt;=&gt; s.status
        AND f.originalCreatedAt &lt;=&gt; s.createdAt
        AND f.originalCreatedBy &lt;=&gt; s.createdBy
        AND f.originalLastModifiedAt &lt;=&gt; s.lastModifiedAt
        AND f.originalLastModifiedBy &lt;=&gt; s.lastModifiedBy
    );
#==================================================================================================
#Step 2: đồng bộ ContractParty
INSERT INTO ContractParty
(createdAt, createdBy, deleted, lastModifiedAt, lastModifiedBy, version, contractCode, isPrimaryContact, legalName,
 partySequence, status, type, tenantCode, contract_id, signIndex)
SELECT s.createdAt,
       s.createdBy,
       s.deleted,
       s.lastModifiedAt,
       s.lastModifiedBy,
       s.version,
       s.contractCode,
       s.isPrimaryContact,
       s.legalName,
       s.partySequence,
       s.status,
       s.type,
       s.tenantCode,
       s.contract_id,
       s.signIndex
FROM contract_party_extract_ctms_sync s;
#==================================================================                                                                                                                                                                                                                                                                                                                                                                                                                                                   WHERE s.contractCode IS NOT NULL;
#Step 4: đồng bộ DocumentMedia
INSERT INTO DocumentMedia
(createdAt, createdBy, deleted, lastModifiedAt, lastModifiedBy, version, altText, description, internalUrl, location,
 locationHash, mime, realFileName, removable, size, code, folder_id)
SELECT s.createdAt,
       s.createdBy,
       s.deleted,
       s.lastModifiedAt,
       s.lastModifiedBy,
       s.version,
       s.altText,
       s.description,
       s.internalUrl,
       s.location,
       s.locationHash,
       s.mime,
       s.realFileName,
       s.removable,
       s.size,
       s.code,
       s.folder_id
FROM document_media_extract_ctms_sync s
WHERE s.location IS NOT NULL;
#==================================================================================================
#Step 5: đồng bộ Attachment
INSERT INTO Attachment (createdAt, createdBy, deleted, lastModifiedAt, lastModifiedBy, version, code, entityId,
                        entityName, name, status, type, docType, position, isRequired, copyFrom, refCode, refDocCode,
                        refDocType)
SELECT s.createdAt,
       s.createdBy,
       s.deleted,
       s.lastModifiedAt,
       s.lastModifiedBy,
       s.version,
       s.code,
       s.entityId,
       s.entityName,
       s.name,
       s.status,
       s.type,
       s.docType,
       s.position,
       s.isRequired,
       s.copyFrom,
       s.refCode,
       s.refDocCode,
       s.refDocType
FROM attachment_extract_ctms_sync s
WHERE s.code IS NOT NULL;
#===================================================================================
#Step 6: đồng bộ Document
INSERT INTO Document
(createdAt, createdBy, deleted, lastModifiedAt, lastModifiedBy, version, code, description, name, status, tenantCode,
 docVersion, editedVersion, type, hashContent, lastAttachment_id)
SELECT s.createdAt,
       s.createdBy,
       s.deleted,
       s.lastModifiedAt,
       s.lastModifiedBy,
       s.version,
       s.code,
       s.description,
       s.name,
       s.status,
       s.tenantCode,
       s.docVersion,
       s.editedVersion,
       s.type,
       s.hashContent,
       (SELECT a.id
        FROM Attachment a
        WHERE a.refDocCode = s.code
                AND a.docType = 'UPLOADED_CONTRACT'
                  AND a.type = 'CONTRACT_DOC'  AND a.refDocType IN ('signed', 'issued')
        ORDER BY FIELD(a.refDocType, 'signed', 'issued'), a.id
        LIMIT 1)
FROM document_extract_ctms_sync s
WHERE s.code IS NOT NULL;
#===================================================================================
#Step 7: Sau đồng bộ xong. Clean data các bảng sync; : 
truncate contract_extract_ctms_sync;
truncate contract_party_extract_ctms_sync;
truncate document_media_extract_ctms_sync;
truncate attachment_extract_ctms_sync;
truncate document_extract_ctms_sync;</t>
  </si>
  <si>
    <t>DBA</t>
  </si>
  <si>
    <t>2026-08-07</t>
  </si>
  <si>
    <t>[PROD][OMC][AI] Chạy câu lệnh SQL phục vụ golive ngày 25/9</t>
  </si>
  <si>
    <t>2026-09-26T09:53:03.233+0700</t>
  </si>
  <si>
    <t>2026-09-26T09:53:10.205+0700</t>
  </si>
  <si>
    <t>Dify</t>
  </si>
  <si>
    <t>Dear anh Nghĩa, 21h ngày 25/9 team AI của OMC có golive 1 số tính năng, nhờ anh trực chạy các câu lệnh SQL giúp team nhé ạ. Chi tiết em sẽ để dưới comment nhé ạ. Em cảm ơn anh</t>
  </si>
  <si>
    <t>2026-08-06</t>
  </si>
  <si>
    <t>2026-09-25T23:34:16.045+0700</t>
  </si>
  <si>
    <t>2026-09-26T12:36:46.256+0700</t>
  </si>
  <si>
    <t>2026-08-05</t>
  </si>
  <si>
    <t>[om][pms][non-prod] Change password account services</t>
  </si>
  <si>
    <t>2026-09-25T23:22:46.747+0700</t>
  </si>
  <si>
    <t>2026-09-26T11:24:01.341+0700</t>
  </si>
  <si>
    <t>DP, dataplatform</t>
  </si>
  <si>
    <t>Hi anh  @Phạm Tuấn Linh   Hiện tại password cũ của các account đang chạy cho pms trên môi trường non-prod đang bị leak và có rủi ro mất kiểm soát Nhờ anh change pass các account bên dứoi giúp em để đảm bảo ổn định/an toàn hệ thống ạ gcp project: vinid-app-common-dev instance: main-mysql-8-2 account name:  omd_pms_dev, omd_pms_qc, omd_pms_uat thời gian thực hiện: anh em trao đổi trong thread chat nhé ạ!</t>
  </si>
  <si>
    <t>2026-08-04</t>
  </si>
  <si>
    <t>[UPP][SAAS][PROD] - Hỗ trợ Update đầu BIN thẻ cho GD TCB on-us</t>
  </si>
  <si>
    <t>2026-09-25T17:38:29.765+0700</t>
  </si>
  <si>
    <t>2026-09-25T17:38:36.795+0700</t>
  </si>
  <si>
    <t>vinpay</t>
  </si>
  <si>
    <t>Smartpos</t>
  </si>
  <si>
    <t>DP, Tuning</t>
  </si>
  <si>
    <t>Dear team DBA, Nhờ anh/em chạy giúp em lệnh sau để cập nhật cấu hình cho merchant ạ Thông tin db: saas_tpay: mysql://pay-tidb.int.onemount.com:4000/saas_tpay Script UPDATE BANK_CONFIG SET prefix_bin_list = '970407, 478097, 422149, 422150, 422075, 422076, 457353, 483931, 402156, 403280, 510164, 356394, 40114800, 45745100, 48904400, 45528702' WHERE bank_code = 'TCB';</t>
  </si>
  <si>
    <t>2026-08-03</t>
  </si>
  <si>
    <t>[PROD] [Merchant-TCB] Update status store/terminal SMARTPOS</t>
  </si>
  <si>
    <t>2026-09-25T17:35:56.703+0700</t>
  </si>
  <si>
    <t>2026-09-25T17:36:10.581+0700</t>
  </si>
  <si>
    <t>ECMP</t>
  </si>
  <si>
    <t>2026-08-01</t>
  </si>
  <si>
    <t>Dear team DBA, nhờ team chạy giúp câu lệnh bên dưới ạ. Thông tin database DB_MYSQL_HOST=172.31.4.108 DB_MYSQL_DATABASE=merchant_service_tcb Mục đích Merchant NCCAAJ3TJL0: cập nhật status store CHNHKQY4 + store_service, terminal QTT6HTNYD + terminal_service sang REJECTED. Không cập nhật trạng thái merchant. Merchant NCCNKKVH: chuyển store CHESFQVU (id 1671120) + store_service, terminal QTTK3WT8F (id 1110426) + terminal_service sang INACTIVE, đổi tên store/terminal; cập nhật merchant_service_id cho 2 store_service SMARTPOS. Câu lệnh 1 — NCCAAJ3TJL0 START TRANSACTION;
UPDATE tpay_store s
   SET s.status='REJECTED', s.updated_at=NOW(), s.updated_by='SYSTEM'
 WHERE s.tcb_merchant_code='NCCAAJ3TJL0' AND s.code='CHNHKQY4' AND s.deleted_at IS NULL;
UPDATE tpay_store s
  JOIN tpay_store_service ss ON ss.store_id=s.id AND ss.deleted_at IS NULL
   SET ss.status='REJECTED', ss.updated_at=NOW()
 WHERE s.tcb_merchant_code='NCCAAJ3TJL0' AND s.code='CHNHKQY4' AND s.deleted_at IS NULL;
UPDATE tpay_terminal t
   SET t.status='REJECTED', t.updated_at=NOW(), t.updated_by='SYSTEM'
 WHERE t.tcb_merchant_code='NCCAAJ3TJL0' AND t.code='QTT6HTNYD' AND t.deleted_at IS NULL;
UPDATE tpay_terminal t
  JOIN tpay_terminal_service ts ON ts.terminal_code=t.code AND ts.deleted_at IS NULL
   SET ts.status='REJECTED', ts.updated_at=NOW()
 WHERE t.tcb_merchant_code='NCCAAJ3TJL0' AND t.code='QTT6HTNYD' AND t.deleted_at IS NULL;
COMMIT; Câu lệnh 2 — NCCNKKVH START TRANSACTION;
UPDATE tpay_store SET status='INACTIVE', name='24 MASTERCLASS CH SAI BO' WHERE code='CHESFQVU' AND id=1671120;
UPDATE tpay_store_service SET status='INACTIVE' WHERE merchant_ref='NCCNKKVH' AND store_id=1671120 AND id IN (3223180,3223181,3223182,3223183);
UPDATE tpay_store_service SET merchant_service_id='SMARTPOS_CARD_9020' WHERE merchant_ref='NCCNKKVH' AND store_id=1671120 AND id=3223182;
UPDATE tpay_store_service SET merchant_service_id='SMARTPOS_QR_6759' WHERE merchant_ref='NCCNKKVH' AND store_id=1671120 AND id=3223183;
UPDATE tpay_terminal SET status='INACTIVE', name='24 MASTERCLASS QUAY SAI BO' WHERE code='QTTK3WT8F' AND id=1110426;
UPDATE tpay_terminal_service SET status='INACTIVE' WHERE terminal_code='QTTK3WT8F' AND id IN (2084117,2084118,2084119,2084120);
COMMIT;</t>
  </si>
  <si>
    <t>[PROD] [UPay] Update trạng thái SMARTPOS sang ACTIVE_FAIL/REJECTED — merchant NCCAAJ3TJL0</t>
  </si>
  <si>
    <t>2026-07 Total</t>
  </si>
  <si>
    <t>2026-09-25T17:33:57.754+0700</t>
  </si>
  <si>
    <t>2026-09-25T17:36:16.498+0700</t>
  </si>
  <si>
    <t>Dear team DBA, nhờ team chạy giúp câu lệnh bên dưới ạ. Thông tin database jdbc:mysql://pay-tidb.int.onemount.com:4000/saas_tpay Mục đích Cập nhật trạng thái dịch vụ SMARTPOS của merchant NCCAAJ3TJL0 (store CHNHKQY4, terminal QTT6HTNYD) sang ACTIVE_FAIL; contract SMARTPOS sang REJECTED. Câu lệnh START TRANSACTION;
UPDATE UNIFIED_MERCHANT_SERVICE SET status='ACTIVE_FAIL' WHERE merchant_code='NCCAAJ3TJL0' AND service_code IN ('SMARTPOS_QR','SMARTPOS_CARD');
UPDATE UNIFIED_STORE SET status='ACTIVE_FAIL' WHERE merchant_code='NCCAAJ3TJL0' AND store_code='CHNHKQY4' AND service_code IN ('SMARTPOS_QR','SMARTPOS_CARD');
UPDATE UNIFIED_TERMINAL SET status='ACTIVE_FAIL' WHERE merchant_code='NCCAAJ3TJL0' AND store_code='CHNHKQY4' AND terminal_code='QTT6HTNYD' AND service_code IN ('SMARTPOS_QR','SMARTPOS_CARD');
UPDATE SMARTPOS_MERCHANT_CONTRACT SET status='REJECTED' WHERE merchant_code='NCCAAJ3TJL0';
COMMIT;</t>
  </si>
  <si>
    <t>ewallet</t>
  </si>
  <si>
    <t>[MAG][IOTek][MCM][PROD]</t>
  </si>
  <si>
    <t>2026-07-31</t>
  </si>
  <si>
    <t>2026-09-25T17:04:13.215+0700</t>
  </si>
  <si>
    <t>2026-09-25T17:04:36.665+0700</t>
  </si>
  <si>
    <t>2026-07-30</t>
  </si>
  <si>
    <t>fix_vul</t>
  </si>
  <si>
    <t>Do nhu cầu migrate dữ liệu, nhờ các anh DBA thực hiện các yêu cầu sau giúp em. Thời gian thực hiện: 16h ngày 25 tháng 9 Host:  ces-production.crcykac8kxtw.ap-southeast-1.rds.amazonaws.com Schema: ces_mcm_storage Thực hiện update các dữ liệu sau CỔ LOA_CAO TẦNG_HH-02  -&gt;  CỔ LOA_CAO TẦNG_HH-01   (1 bản ghi) UPDATE dc_documents SET project_id = 'ff400574-4d8b-4038-9ef5-cf0bb7a9eab3' WHERE project_id = 'ee69b6eb-da38-4503-90ad-1bdbdd1407b9' AND path LIKE 'CỔ LOA_CAO TẦNG_HH-01/%'; CỔ LOA_CAO TẦNG_HH-01  -&gt;  CỔ LOA_CAO TẦNG_HH-02   (6 bản ghi) UPDATE dc_documents SET project_id = 'ee69b6eb-da38-4503-90ad-1bdbdd1407b9' WHERE project_id = 'ff400574-4d8b-4038-9ef5-cf0bb7a9eab3' AND path LIKE 'CỔ LOA_CAO TẦNG_HH-02/%'; THE GLOBAL CITY_CT 5  -&gt;  CORPORATION   (234 bản ghi) UPDATE dc_documents SET project_id = '440e896d-67cb-4ed3-b0fc-4e2509323a8e' WHERE project_id = '7378f954-f9a8-4a73-a113-eb46749ff312' AND path LIKE 'CORPORATION/%'; ĐAN PHƯỢNG_CAO TẦNG  -&gt;  ĐAN PHƯỢNG_CAO TẦNG_HH4-3   (2 bản ghi) UPDATE dc_documents SET project_id = '14cbebe6-71b1-4ef8-acf7-7b9480ce2497' WHERE project_id = '98d4fbec-3dbf-4cf1-93d2-b4e6af79ba86' AND path LIKE 'ĐAN PHƯỢNG_CAO TẦNG_HH4-3/%'; GIA BÌNH_SÂN BAY GIA BÌNH  -&gt;  GIA BÌNH_BT5 - ĐÀI KHÔNG LƯU   (59 bản ghi) UPDATE dc_documents SET project_id = '58cbb833-f9fd-4c00-8982-30e8affd91a1' WHERE project_id = '5f5d6d5e-3e78-4384-92bf-0a07750c3c8a' AND path LIKE 'GIA BÌNH_BT5 - ĐÀI KHÔNG LƯU/%'; GIA BÌNH_BT5 - ĐÀI KHÔNG LƯU  -&gt;  GIA BÌNH_SÂN BAY GIA BÌNH   (2 bản ghi) UPDATE dc_documents SET project_id = '5f5d6d5e-3e78-4384-92bf-0a07750c3c8a' WHERE project_id = '58cbb833-f9fd-4c00-8982-30e8affd91a1' AND path LIKE 'GIA BÌNH_SÂN BAY GIA BÌNH/%'; GIA BÌNH_BT2 - TÁI ĐỊNH CƯ_CHUNG  -&gt;  GIA BÌNH_SÂN BAY GIA BÌNH   (24 bản ghi) UPDATE dc_documents SET project_id = '5f5d6d5e-3e78-4384-92bf-0a07750c3c8a' WHERE project_id = 'b82a8844-3244-47bd-ae79-cc46e56d0dad' AND path LIKE 'GIA BÌNH_SÂN BAY GIA BÌNH/%'; THE GLOBAL CITY_CHUNG  -&gt;  KHU TÁI ĐỊNH CƯ CHO TGC_THẤP TẦNG   (109 bản ghi) UPDATE dc_documents SET project_id = '2a381af9-b958-46fe-abc0-45857ea071d2' WHERE project_id = '39e7f035-c23e-47e5-bc5a-61b91e4254a8' AND path LIKE 'KHU TÁI ĐỊNH CƯ CHO TGC_THẤP TẦNG/%'; OCP3_10 TÒA_CCCT 1  -&gt;  OCP3_10 TÒA_CCCT 3   (23 bản ghi) UPDATE dc_documents SET project_id = 'e1a23e2c-06db-4c14-87c0-d07b12db47f0' WHERE project_id = 'a754baca-0fbe-48d2-82d5-06068a2c52bd' AND path LIKE 'OCP3_10 TÒA_CCCT 3/%'; P-0035 The Global City - TGC INFRASTRUCTURE  -&gt;  THE GLOBAL CITY_CHUNG   (3 bản ghi) UPDATE dc_documents SET project_id = '39e7f035-c23e-47e5-bc5a-61b91e4254a8' WHERE project_id = '353e5ad4-b0d6-4214-ad63-6808eaae1f4f' AND path LIKE 'THE GLOBAL CITY_CHUNG/%'; THE GLOBAL CITY_CT 6  -&gt;  THE GLOBAL CITY_CHUNG   (47 bản ghi) UPDATE dc_documents SET project_id = '39e7f035-c23e-47e5-bc5a-61b91e4254a8' WHERE project_id = '870efe70-5379-41e9-a897-0b58ed4aae96' AND path LIKE 'THE GLOBAL CITY_CHUNG/%'; THE GLOBAL CITY_CT 7  -&gt;  THE GLOBAL CITY_CHUNG   (1009 bản ghi) UPDATE dc_documents SET project_id = '39e7f035-c23e-47e5-bc5a-61b91e4254a8' WHERE project_id = 'b849fa94-8b2a-48ba-8322-eafeb6f5822c' AND path LIKE 'THE GLOBAL CITY_CHUNG/%'; THE GLOBAL CITY_CT 9  -&gt;  THE GLOBAL CITY_CHUNG   (293 bản ghi) UPDATE dc_documents SET project_id = '39e7f035-c23e-47e5-bc5a-61b91e4254a8' WHERE project_id = '840a21d5-66ac-4168-a088-0808d8d0278c' AND path LIKE 'THE GLOBAL CITY_CHUNG/%'; THE GLOBAL CITY_CT 8  -&gt;  THE GLOBAL CITY_CHUNG   (4966 bản ghi) UPDATE dc_documents SET project_id = '39e7f035-c23e-47e5-bc5a-61b91e4254a8' WHERE project_id = '8910998b-244b-45f0-b708-b34665d34a25' AND path LIKE 'THE GLOBAL CITY_CHUNG/%'; THE GLOBAL CITY_SOHO  -&gt;  THE GLOBAL CITY_CHUNG   (2878 bản ghi) UPDATE dc_documents SET project_id = '39e7f035-c23e-47e5-bc5a-61b91e4254a8' WHERE project_id = 'cede4057-c8bb-4329-bc52-acd2c15903e5' AND path LIKE 'THE GLOBAL CITY_CHUNG/%'; THE GLOBAL CITY_CT 4  -&gt;  THE GLOBAL CITY_CHUNG   (277 bản ghi) UPDATE dc_documents SET project_id = '39e7f035-c23e-47e5-bc5a-61b91e4254a8' WHERE project_id = '00185f6f-c6d1-4b19-b1d1-9886d4e23afd' AND path LIKE 'THE GLOBAL CITY_CHUNG/%'; THE GLOBAL CITY_CHUNG  -&gt;  THE GLOBAL CITY_CT 8   (6 bản ghi) UPDATE dc_documents SET project_id = '8910998b-244b-45f0-b708-b34665d34a25' WHERE project_id = '39e7f035-c23e-47e5-bc5a-61b91e4254a8' AND path LIKE 'THE GLOBAL CITY_CT 8/%'; THE GLOBAL CITY_CT 9  -&gt;  THE GLOBAL CITY_CT 8   (2 bản ghi) UPDATE dc_documents SET project_id = '8910998b-244b-45f0-b708-b34665d34a25' WHERE project_id = '840a21d5-66ac-4168-a088-0808d8d0278c' AND path LIKE 'THE GLOBAL CITY_CT 8/%'; THE GLOBAL CITY_CT 8  -&gt;  THE GLOBAL CITY_CT 9   (15 bản ghi) UPDATE dc_documents SET project_id = '840a21d5-66ac-4168-a088-0808d8d0278c' WHERE project_id = '8910998b-244b-45f0-b708-b34665d34a25' AND path LIKE 'THE GLOBAL CITY_CT 9/%'; THE GLOBAL CITY_CHUNG  -&gt;  THE GLOBAL CITY_LV 1_SOLA   (26 bản ghi) UPDATE dc_documents SET project_id = 'a0309888-3f7f-4091-8777-851f724b3e35' WHERE project_id = '39e7f035-c23e-47e5-bc5a-61b91e4254a8' AND path LIKE 'THE GLOBAL CITY_LV 1_SOLA/%'; THE GLOBAL CITY_CHUNG  -&gt;  THE GLOBAL CITY_SOHO   (1179 bản ghi) UPDATE dc_documents SET project_id = 'cede4057-c8bb-4329-bc52-acd2c15903e5' WHERE project_id = '39e7f035-c23e-47e5-bc5a-61b91e4254a8' AND path LIKE 'THE GLOBAL CITY_SOHO/%'; GRAND MARINA SAIGON_L4B - Officetel  -&gt;  VPBH_MARRIOTT (TẠI GMS L3)   (9 bản ghi) UPDATE dc_documents SET project_id = '0a933370-52b4-4687-b092-c3396e492954' WHERE project_id = 'a9d9dd87-fd55-4351-8097-6282d4256b4b' AND path LIKE 'VPBH_MARRIOTT (TẠI GMS L3)/%'; THE ONE  -&gt;  VPBH_THE ONE (TẠI GMS L2)   (1 bản ghi) UPDATE dc_documents SET project_id = 'd98212f9-ce95-477d-a94e-407f67640f36' WHERE project_id = 'be3f842d-d067-4ba9-9d92-f9958884a33e' AND path LIKE 'VPBH_THE ONE (TẠI GMS L2)/%'; Sau khi update xong dữ liệu, thực hiện backup 2 bảng sau dc_documents, casbin_rule</t>
  </si>
  <si>
    <t>2026-07-29</t>
  </si>
  <si>
    <t>2026-09-25T14:24:24.590+0700</t>
  </si>
  <si>
    <t>2026-09-25T14:53:08.070+0700</t>
  </si>
  <si>
    <t>HealthCheck</t>
  </si>
  <si>
    <t>Hi  @Phạm Tuấn Linh   Nhờ em update sql giúp anh  Thông tin database gcp project: onemg-integration-platform-prd
instance: main (172.31.1.118)
db name: hub_ops_prod Script update UPDATE CorsConfiguration
SET createdAt=now(), createdBy='chaucv@onemount.com', deleted=0, lastModifiedAt=now(), version=0, appContext='ops-ext-api', keyContext='allowedOrigins', valueContext='https://hub.masterisegroup.com'
WHERE appContext='ops-ext-api' AND keyContext='allowedOrigins';
UPDATE CorsConfiguration
SET createdAt=now(), createdBy='chaucv@onemount.com', deleted=0, lastModifiedAt=now(), version=0, appContext='ops-ext-api', keyContext='allowedHeaders', valueContext='origin content-type accept authorization client-device device-type content-disposition auth_provider x-tenant'
WHERE appContext='ops-ext-api' AND keyContext='allowedHeaders';
UPDATE CorsConfiguration
SET createdAt=now(), createdBy='chaucv@onemount.com', deleted=0, lastModifiedAt=now(), version=NULL, appContext='ops-ext-api', keyContext='allowedMethods', valueContext='GET HEAD OPTIONS PATCH PUT POST DELETE'
WHERE appContext='ops-ext-api' AND keyContext='allowedMethods';
UPDATE CorsConfiguration
SET createdAt=now(), createdBy='chaucv@onemount.com', deleted=0, lastModifiedAt=now(), version=NULL, appContext='ops-ext-api', keyContext='allowCredentials', valueContext='true'
WHERE appContext='ops-ext-api' AND keyContext='allowCredentials';
UPDATE CorsConfiguration
SET createdAt=now(), createdBy='chaucv@onemount.com', deleted=0, lastModifiedAt=now(), version=0, appContext='ops-ext-api', keyContext='exposedHeaders', valueContext='origin content-type accept authorization client-device device-type content-disposition auth_provider x-tenant'
WHERE appContext='ops-ext-api' AND keyContext='exposedHeaders';</t>
  </si>
  <si>
    <t>2026-07-28</t>
  </si>
  <si>
    <t>[DBA-SAPBASIS] Fix Critical Vul OS cho SAP MAG</t>
  </si>
  <si>
    <t>HealthHub</t>
  </si>
  <si>
    <t>2026-07-27</t>
  </si>
  <si>
    <t>2026-09-25T11:48:29.620+0700</t>
  </si>
  <si>
    <t>2026-09-25T11:48:30.313+0700</t>
  </si>
  <si>
    <t>IVI</t>
  </si>
  <si>
    <t>2026-07-25</t>
  </si>
  <si>
    <t>[DBA-SAPBASIS] Xử lý lỗi peak phân vùng HANA DB PROD SAP OM</t>
  </si>
  <si>
    <t>2026-09-25T11:44:18.750+0700</t>
  </si>
  <si>
    <t>2026-09-25T11:44:19.336+0700</t>
  </si>
  <si>
    <t>Xử lý lỗi peak phân vùng OS HANA DB PROD Standby 85%, hỗ trợ reclaim log db → phân vùng giảm xuống 70% https://chat.google.com/room/AAAA9oACi-s/wYsU10oxMzg/wYsU10oxMzg?cls=10</t>
  </si>
  <si>
    <t>Kara</t>
  </si>
  <si>
    <t>[DBA-SAPBASIS] Xử lý Alert lỗi HANA Replicate PROD SAP OM</t>
  </si>
  <si>
    <t>2026-07-24</t>
  </si>
  <si>
    <t>2026-09-25T11:33:49.633+0700</t>
  </si>
  <si>
    <t>2026-09-25T11:33:50.373+0700</t>
  </si>
  <si>
    <t>Hỗ trợ xử lý lỗi Alert Database SAP ERP :Lỗi Replicate database secondary SAP HANA. Nguyên nhân ban đầu: network replicate giữa 2 HANA DB HA chập chờn Hiện tại chênh lệch giữa RAM PRI: 1T SEC: 350G  nguyên nhân:  nên service index của PEO và PSO ở standby server đang tự reclaim để đảm bảo đồng bộ log của primary nên dẫn đên PRI server ghi nhận mất kết nối port index của SEC  giải pháp: hiện tại là em đã tắt chế đọ readaccess của standby server (sec) nhưng về chỗ data index service nó vẫn cần 200G PSO và 110G PEO với GAL đang setup là 340G &gt; về cơ bản các service sẽ thay nhau reclaim (restart index) để release memory làm ra lỗi hiện tại  Về mặt cơ bản hiện tại replicate vẫn đang active bình thường và lượng log sync qua vẫn đủ và không bị thiếu gì ạ. &gt; tương lai nếu cần thiết thì sẽ cần phải extend thêm ram cho server SEC tạm thời em sẽ inactive cái alert critical replicate và đổi lại nội dung đúng với lỗi critical replicate &gt; Sec server inactive mode replicate thay vì check trạng thái ở PRI https://chat.google.com/room/AAAA9oACi-s/vTrXuOtynMI/vTrXuOtynMI?cls=10</t>
  </si>
  <si>
    <t>Export dữ liệu CNKD trên nền tảng CBP</t>
  </si>
  <si>
    <t>2026-07-23</t>
  </si>
  <si>
    <t>2026-09-25T10:27:15.224+0700</t>
  </si>
  <si>
    <t>2026-09-25T10:35:20.847+0700</t>
  </si>
  <si>
    <t>Dear các anh DBA, Do yêu cầu từ phía kinh doanh, team cần hỗ trợ xuất data agent trên nền trang CBP Database: omre_cbp_agent_core Câu SQL truy vấn: SELECT a.*, ma.cooperation_type FROM agents a left JOIN master_agents ma ON a.master_agent_id = ma.id
where a.`status` = 'ACTIVE' and ma.cooperation_type = 'SOLE_PROPRIETORSHIP'
; Em cảm ơn</t>
  </si>
  <si>
    <t>Loyalty, PS2</t>
  </si>
  <si>
    <t>2026-07-22</t>
  </si>
  <si>
    <t>[Team OneNexus AIP]_Redis — Failover Redis cluster master/replica (automatic failover, multi-AZ)</t>
  </si>
  <si>
    <t>Sub-task</t>
  </si>
  <si>
    <t>2026-09-25T09:38:26.830+0700</t>
  </si>
  <si>
    <t>2026-09-25T09:45:42.373+0700</t>
  </si>
  <si>
    <t>onenexus</t>
  </si>
  <si>
    <t>Hi Team, Kịch bản test:  Failover Redis cluster master/replica (automatic failover, multi-AZ) Kết quả mong đợi:  failover từ Master sang Replica mượt mà trong Multi-AZ; ứng dụng tự reconnect và không làm gián đoạn dịch vụ.; RTO &lt;= 15 phút, RPO &lt;= 30 phút. Effort:  45m Note:  Không cần test trên ElastiCache Serverless. Do AWS quản trị HA tự đông và auto-scale  Chỉ test trên redis langfuse Chụp lại cấu hình multi-AZ (trên PROD) Tham chiếu:  Infra OAT</t>
  </si>
  <si>
    <t>2026-07-21</t>
  </si>
  <si>
    <t>[Team OneNexus AIP]_PostgreSQL RDS — Point-in-time restore</t>
  </si>
  <si>
    <t>2026-09-25T09:37:42.951+0700</t>
  </si>
  <si>
    <t>2026-09-25T09:45:40.762+0700</t>
  </si>
  <si>
    <t>Hi Team, Kịch bản test:  Point-in-time restore cluster PostgreSQL RDS (platform_db/keycloak_db). Kết quả mong đợi:  Restore thành công về thời điểm chỉ định; RTO &lt;= 120 phút, RPO &lt;= 30 phút. Effort:  120m Note:  Bật HA ở nonprod trước khi test. Chụp lại cấu hình multi-AZ trên PROD. Tham chiếu:  Infra OAT</t>
  </si>
  <si>
    <t>2026-07-20</t>
  </si>
  <si>
    <t>[Team OneNexus AIP]_Qdrant — Restore snapshot sang cluster mới</t>
  </si>
  <si>
    <t>2026-09-25T09:37:33.258+0700</t>
  </si>
  <si>
    <t>2026-09-25T09:45:39.278+0700</t>
  </si>
  <si>
    <t>2026-07-19</t>
  </si>
  <si>
    <t>Hi Team, Kịch bản test:  Restore snapshot Qdrant từ backup sang cluster mới. Kết quả mong đợi:  Snapshot khôi phục thành công; vector index và similarity search hoạt động chính xác. Effort:  90m Tham chiếu:  Infra OAT</t>
  </si>
  <si>
    <t>[Team OneNexus AIP]_ClickHouse — Kill Keeper pod + shard pod dưới tải</t>
  </si>
  <si>
    <t>2026-09-25T09:37:08.855+0700</t>
  </si>
  <si>
    <t>2026-09-25T09:45:37.542+0700</t>
  </si>
  <si>
    <t>2026-07-18</t>
  </si>
  <si>
    <t>Hi Team, Kịch bản test:  Kill 1 Keeper pod và 1 ClickHouse shard pod dưới tải. Kết quả mong đợi:  Keeper quorum (2/3) vẫn hoạt động; distributed queries vào analytics.events không timeout/lỗi. Effort:  90m Tham chiếu:  Infra OAT</t>
  </si>
  <si>
    <t>[Team OneNexus AIP]_Infra OAT - Sprint OAT Cycle (Sep 2026)</t>
  </si>
  <si>
    <t>2026-09-25T09:35:44.513+0700</t>
  </si>
  <si>
    <t>2026-09-25T09:45:47.367+0700</t>
  </si>
  <si>
    <t>2026-07-17</t>
  </si>
  <si>
    <t xml:space="preserve">Kịch bản OAT hạ tầng cho Onenexus Agentic AI Platform.  Chi tiết đầy đủ tại:  Infra OAT Thông tin context (nội dung họp kick-off):  https://kara.onemount.com/m/6e7f6863-9b99-4580-b46e-8b75120cf2e9 Thực hiện các task DBA: Point-in-time restore cluster PostgreSQL RDS Failover Redis cluster master/replica (automatic failover, multi-AZ) Restore snapshot Qdrant từ backup sang cluster mới Kill 1 Keeper pod và 1 ClickHouse shard pod dưới tải. Ticket chung infra:   </t>
  </si>
  <si>
    <t>2026-09-24T19:34:04.386+0700</t>
  </si>
  <si>
    <t>MDP</t>
  </si>
  <si>
    <t>2026-09-24T19:34:34.374+0700</t>
  </si>
  <si>
    <t>2026-07-16</t>
  </si>
  <si>
    <t>Dear team, em cần update data trên môi trường prod của listing để correct dữ liệu về mặt nghiệp vụ ạ. Nhờ team support thực hiện câu query: db.listings.updateOne(                                                                                                                                                                                                           
    { _id: "32f89ee6-acb8-4ee1-941a-13a6f9c25d74" },                                                                                                                                                                                                       
    { $set: { "metadata.approval_status": "APPROVED" } }                                                                                                                                                                           
  }</t>
  </si>
  <si>
    <t>[OMC][MTP] Cập nhật dữ liệu link account cho MKT</t>
  </si>
  <si>
    <t>2026-09-24T17:53:25.935+0700</t>
  </si>
  <si>
    <t>2026-07-15</t>
  </si>
  <si>
    <t>2026-09-24T17:53:41.706+0700</t>
  </si>
  <si>
    <t>Segmentation</t>
  </si>
  <si>
    <t>Dear  @Đào Công Nghĩa  , nhờ em chạy giúp anh script trong tập đính kèm. DB: tidb_omc Best regards Dinh Quang Nguyen</t>
  </si>
  <si>
    <t>[UPAY][PROD] Support update trạng thái giao dịch ECOM</t>
  </si>
  <si>
    <t>2026-09-24T17:52:49.003+0700</t>
  </si>
  <si>
    <t>2026-09-24T17:53:01.670+0700</t>
  </si>
  <si>
    <t>2026-07-14</t>
  </si>
  <si>
    <t>Dear anh   @Nguyễn Văn Dũng  , Nhờ anh chạy giúp em script bên dưới khi bắt đầu golive với ạ. Thời gian golive: 24/09/2026 Thông tin database:  mysql://pay-tidb.int.onemount.com:4000/saas_tpay Script UPDATE TRANSACTION_MASTER t SET t.transaction_status = 'PROCESSING' WHERE t.id = '2e57aaf1eca74b4d8e29883fa36045b9';
UPDATE CARD_PAYMENT_TRANSACTION_DETAIL c SET c.transaction_status = 'PROCESSING' WHERE c.transaction_id = '2e57aaf1eca74b4d8e29883fa36045b9';</t>
  </si>
  <si>
    <t>[LP][Core][TCB] - Insert data phục vụ campaign sinh nhật Techcombank</t>
  </si>
  <si>
    <t>2026-09-24T14:48:14.886+0700</t>
  </si>
  <si>
    <t>2026-09-24T14:48:29.133+0700</t>
  </si>
  <si>
    <t>2026-07-13</t>
  </si>
  <si>
    <t>Dear DBA Team, Nhờ team thực hiện insert data phục vụ campaign sinh nhật Techcombank Thông tin database: IP: 10.255.23.119 Service name: oneloyaltydb Port: 1521 schema app: OLOYALTY Bước 1: Tạo bảng tạm CREATE TABLE OLOYALTY.CST_TARGET_GROUP_SINHNHAT_26
(
    "ID"             NUMBER(10,0) GENERATED BY DEFAULT ON NULL AS IDENTITY,
    "LOYALTY_ID"           VARCHAR2(32 BYTE) DEFAULT NULL,
    "CST_TARGET_GROUP"           VARCHAR2(256 BYTE) DEFAULT NULL,
    PRIMARY KEY ("ID")
); Bước 02: Load dữ liệu tất cả các files trong thư mục  đính kèm vào bảng tạm   Bước 03: Insert data vào bảng Member Attribute từ bảng bảng tạm 3.1. Kiểm số row bảng   CST_TARGET_GROUP_SINHNHAT_26 SELECT /*+ parallel(16) */ count(*) FROM OLOYALTY.CST_TARGET_GROUP_SINHNHAT_26; 3.2 Kiểm tra trùng ,  báo lại dự án nếu có SELECT /*+ parallel(16) */ LOYALTY_ID,count(*) FROM OLOYALTY.CST_TARGET_GROUP_SINHNHAT_26 GROUP BY LOYALTY_ID HAVING count(*) &gt; 1; 3.3 Kiểm tra số dòng dự kiến insert, báo lại dự án nếu số dòng khác với số dòng của bảng   CST_TARGET_GROUP_SINHNHAT_26 .   Note: Có thể bỏ qua nếu câu lệnh chạy quá lâu SELECT /*+ parallel(16) */ count(*) FROM OLOYALTY.MEMBER m JOIN OLOYALTY.CST_TARGET_GROUP_SINHNHAT_26 b ON m.PARTNER_CUSTOMER_ID = b.LOYALTY_ID WHERE m.PROGRAM_ID = 426;   3.4 Chạy lệnh insert INSERT INTO OLOYALTY.MEMBER_ATTRIBUTE (PROGRAM_ID, MEMBER_ID, PROGRAM_ATTRIBUTE_ID, VALUE, STATUS,CREATED_BY)
SELECT 426,
    m.id AS MEMBER_ID,
    423 AS PROGRAM_ATTRIBUTE_ID,
    REPLACE(b.CST_TARGET_GROUP, CHR(13) ,'') AS VALUE,
    'A' AS STATUS,
    'MKT_202609_02'
FROM OLOYALTY.MEMBER m JOIN OLOYALTY.CST_TARGET_GROUP_SINHNHAT_26 b ON m.PARTNER_CUSTOMER_ID = b.LOYALTY_ID WHERE m.PROGRAM_ID = 426
; 3.5 Kiểm tra kết quả cuối cùng SELECT /*+ parallel(16) */ count(*) FROM OLOYALTY.MEMBER_ATTRIBUTE ma 
WHERE ma.PROGRAM_ATTRIBUTE_ID = 423 AND ma.CREATED_BY = 'MKT_202609_02';   Thanks!</t>
  </si>
  <si>
    <t>[PROD] [UPay] Support onboard thêm COOPMART_OMNI_TECHCOMBANK</t>
  </si>
  <si>
    <t>2026-09-24T11:52:43.142+0700</t>
  </si>
  <si>
    <t>2026-09-24T11:53:23.472+0700</t>
  </si>
  <si>
    <t>upay</t>
  </si>
  <si>
    <t>2026-07-11</t>
  </si>
  <si>
    <t>Dear anh   @Nguyễn Văn Dũng , Nhờ anh chạy giúp em script bên dưới khi được approval nhé ạ. Thông tin database:  mysql://pay-tidb.int.onemount.com:4000/saas_tpay   INSERT INTO PARTNER (client_id, name, public_key, enable, merchant_code)
SELECT p.client_id, m.name, p.public_key, p.enable, m.merchant_code
FROM PARTNER p
CROSS JOIN (
              SELECT 'SGC_BDU' AS merchant_code, 'SGC Bình Dương' AS name
    UNION ALL SELECT 'SGC_VTH',                  'SGC Vũng Tàu'
    UNION ALL SELECT 'SGC_HBI',                  'SGC Hòa Bình'
    UNION ALL SELECT 'SGC_CTH',                  'SGC Cần Thơ'
) m
WHERE p.merchant_code = 'SGC_ADG'
  AND NOT EXISTS (SELECT 1 FROM PARTNER x WHERE x.merchant_code = m.merchant_code);</t>
  </si>
  <si>
    <t>[MAG][IOTek][MCM][PROD] Hỗ trợ migration dữ liệu cho hệ thống MCM</t>
  </si>
  <si>
    <t>2026-09-24T11:23:13.382+0700</t>
  </si>
  <si>
    <t>2026-09-24T11:25:44.527+0700</t>
  </si>
  <si>
    <t>2026-07-10</t>
  </si>
  <si>
    <t>IP (Host):   ces-production.crcykac8kxtw.ap-southeast-1.rds.amazonaws.com Port:  3306 DB Name:  ces_mh_mpm Command:   update hrm_employee set deleted = true where id = '8c92ce59-1f01-4061-abb0-b04844e92fc8';</t>
  </si>
  <si>
    <t>[UPAY][PGW]-Hỗ trợ cập nhật deactive liên kết thẻ của KH bị lỗi Invalid Token</t>
  </si>
  <si>
    <t>2026-09-24T09:20:13.935+0700</t>
  </si>
  <si>
    <t>2026-09-24T09:20:28.200+0700</t>
  </si>
  <si>
    <t>payment-gateway</t>
  </si>
  <si>
    <t>2026-07-09</t>
  </si>
  <si>
    <t>Dear team,  Nhờ anh/em hỗ trợ chạy giúp em câu lệnh bên dưới để cập nhật hủy liên kết thẻ TCB của KH tại hệ thống cổng UPP Payment Gateway  Thông tin DB: jdbc:mysql://vinpay-sql-onehub-master.int.vinid.net:3306/pay_payment_gateway Script: UPDATE CUSTOMER_REFERENCE_LINK_BANK SET is_active=0 where customer_reference_link_bank_id='156017';</t>
  </si>
  <si>
    <t>[om][api-hubops][prod] Xin cấp sql db cho dự án api hubops môi trường production</t>
  </si>
  <si>
    <t>2026-09-23T16:44:06.430+0700</t>
  </si>
  <si>
    <t>2026-09-24T09:09:05.363+0700</t>
  </si>
  <si>
    <t>2026-07-08</t>
  </si>
  <si>
    <t>Hi anh  @Phạm Tuấn Linh   Dự án hub-ops api chuẩn bị giai đoạn lên prod Nhờ anh xử lý giúp em 2 case bên dưới với ạ Tạo DB mới:  gcp project: onemg-integration-platform-prd instance: main (172.31.1.118) db name: hub_ops_prod Migrate DB Clone all data ạ   Source GCP project Source instance Source DB Destination GCP project Destination instance Destination  DB 1 vinid-b2b-platform-prod main b2b_ops_api_prod onemg-integration-platform-prd main hub_ops_prod  </t>
  </si>
  <si>
    <t>[OM][ESB][CLMS][MSQL][PROD] Đồng bộ data quản lú hợp đồng   clm_prod_mysql</t>
  </si>
  <si>
    <t>2026-09-23T15:06:55.934+0700</t>
  </si>
  <si>
    <t>NexaV2</t>
  </si>
  <si>
    <t>2026-09-23T17:16:12.322+0700</t>
  </si>
  <si>
    <t>2026-07-07</t>
  </si>
  <si>
    <t>NexID, OM, OMC, OMD, OMRE</t>
  </si>
  <si>
    <t>2026-07-06</t>
  </si>
  <si>
    <t>Dear anh Linh, Hiện team ESB đã transform data từ CTMS về các table tạm thời  tương ứng theo business trên clm_prod_mysql. Us :  https://onemount.atlassian.net/browse/CLMS-2720 .  Và giờ cần đồng bộ và update data tương ứng từ các bảng tạm vào các bảng chính trên clms theo các bước sau :   Thông tin data base :   project gcp: onemg-integration-platform-prod instance: main DB name: clm_prod_mysql Note  :  Với request này là làm mẫu trước cho 1 bản ghi để đồng bộ nên khi thực hiện xong nhờ anh export data từ các bảng tạm  contract_extract_ctms_sync, contract_party_extract_ctms_sync, document_media_extract_ctms_sync, attachment_extract_ctms_sync, document_extract_ctms_sync  sau đó trubcate data từ các bảng tạm vừa export trên để team tiến hành đồng bộ data từ ctms về các bảng tạm theo yêu cầu. Trigger đồng bộ và updatedate data :   #=================================================================================================
#Step 1: update thông tin Contract
UPDATE Contract c
    JOIN contract_extract_ctms_sync s
    ON c.id = s.id
SET c.createdAt      = s.createdAt,
    c.createdBy      = s.createdBy,
    c.lastModifiedAt = s.lastModifiedAt,
    c.lastModifiedBy = s.lastModifiedBy,
    c.status         = s.status
WHERE NOT (
            c.createdAt &lt;=&gt; s.createdAt
        AND c.createdBy &lt;=&gt; s.createdBy
        AND c.lastModifiedAt &lt;=&gt; s.lastModifiedAt
        AND c.lastModifiedBy &lt;=&gt; s.lastModifiedBy
        AND c.status &lt;=&gt; s.status
    );
#=================================================================================================
#Step 2: update thông tin FlatContract
UPDATE FlatContract f
    JOIN contract_extract_ctms_sync s
    ON s.id = f.originalId
SET f.createdAt              = s.createdAt,
    f.createdBy              = s.createdBy,
    f.lastModifiedAt         = s.lastModifiedAt,
    f.lastModifiedBy         = s.lastModifiedBy,
    f.status                 = s.status,
    f.originalCreatedAt      = s.createdAt,
    f.originalCreatedBy      = s.createdBy,
    f.originalLastModifiedAt = s.lastModifiedAt,
    f.originalLastModifiedBy = s.lastModifiedBy
WHERE NOT (
            f.createdAt &lt;=&gt; s.createdAt
        AND f.createdBy &lt;=&gt; s.createdBy
        AND f.lastModifiedAt &lt;=&gt; s.lastModifiedAt
        AND f.lastModifiedBy &lt;=&gt; s.lastModifiedBy
        AND f.status &lt;=&gt; s.status
        AND f.originalCreatedAt &lt;=&gt; s.createdAt
        AND f.originalCreatedBy &lt;=&gt; s.createdBy
        AND f.originalLastModifiedAt &lt;=&gt; s.lastModifiedAt
        AND f.originalLastModifiedBy &lt;=&gt; s.lastModifiedBy
    );
#==================================================================================================
#Step 2: đồng bộ ContractParty
INSERT INTO ContractParty
(createdAt, createdBy, deleted, lastModifiedAt, lastModifiedBy, version, contractCode, isPrimaryContact, legalName,
 partySequence, status, type, tenantCode, contract_id, signIndex)
SELECT s.createdAt,
       s.createdBy,
       s.deleted,
       s.lastModifiedAt,
       s.lastModifiedBy,
       s.version,
       s.contractCode,
       s.isPrimaryContact,
       s.legalName,
       s.partySequence,
       s.status,
       s.type,
       s.tenantCode,
       s.contract_id,
       s.signIndex
FROM contract_party_extract_ctms_sync s;
#==================================================================                                                                                                                                                                                                                                                                                                                                                                                                                                                   WHERE s.contractCode IS NOT NULL;
#Step 4: đồng bộ DocumentMedia
INSERT INTO DocumentMedia
(createdAt, createdBy, deleted, lastModifiedAt, lastModifiedBy, version, altText, description, internalUrl, location,
 locationHash, mime, realFileName, removable, size, code, folder_id)
SELECT s.createdAt,
       s.createdBy,
       s.deleted,
       s.lastModifiedAt,
       s.lastModifiedBy,
       s.version,
       s.altText,
       s.description,
       s.internalUrl,
       s.location,
       s.locationHash,
       s.mime,
       s.realFileName,
       s.removable,
       s.size,
       s.code,
       s.folder_id
FROM document_media_extract_ctms_sync s
WHERE s.location IS NOT NULL;
#==================================================================================================
#Step 5: đồng bộ Attachment
INSERT INTO Attachment (createdAt, createdBy, deleted, lastModifiedAt, lastModifiedBy, version, code, entityId,
                        entityName, name, status, type, docType, position, isRequired, copyFrom, refCode, refDocCode,
                        refDocType)
SELECT s.createdAt,
       s.createdBy,
       s.deleted,
       s.lastModifiedAt,
       s.lastModifiedBy,
       s.version,
       s.code,
       s.entityId,
       s.entityName,
       s.name,
       s.status,
       s.type,
       s.docType,
       s.position,
       s.isRequired,
       s.copyFrom,
       s.refCode,
       s.refDocCode,
       s.refDocType
FROM attachment_extract_ctms_sync s
WHERE s.code IS NOT NULL;
#===================================================================================
#Step 5: đồng bộ Document
INSERT INTO Document
(createdAt, createdBy, deleted, lastModifiedAt, lastModifiedBy, version, code, description, name, status, tenantCode,
 docVersion, editedVersion, type, hashContent, lastAttachment_id)
SELECT s.createdAt,
       s.createdBy,
       s.deleted,
       s.lastModifiedAt,
       s.lastModifiedBy,
       s.version,
       s.code,
       s.description,
       s.name,
       s.status,
       s.tenantCode,
       s.docVersion,
       s.editedVersion,
       s.type,
       s.hashContent,
       (SELECT a.id
        FROM clm_qc_mysql.Attachment a
        WHERE a.refDocCode = s.code
          AND a.refDocType IN ('signed', 'issued')
        ORDER BY FIELD(a.refDocType, 'signed', 'issued'), a.id
        LIMIT 1)
FROM document_extract_ctms_sync s
WHERE s.code IS NOT NULL;</t>
  </si>
  <si>
    <t>None</t>
  </si>
  <si>
    <t>2026-07-04</t>
  </si>
  <si>
    <t>[Merchant-TCB] Hỗ trợ cập nhật dữ liệu 20260923</t>
  </si>
  <si>
    <t>2026-09-23T14:43:37.797+0700</t>
  </si>
  <si>
    <t>2026-09-23T15:33:33.981+0700</t>
  </si>
  <si>
    <t>Merchant_Hub</t>
  </si>
  <si>
    <t>Dear team, Nhờ team chạy giúp câu lệnh bên dưới ạ. Thông tin database https://console.cloud.google.com/sql/instances/merchant-tcb/overview?inv=1&amp;invt=AbsndA&amp;project=vinid-merchant-prod DB_MYSQL_HOST=172.31.4.108
DB_MYSQL_DATABASE=merchant_service_tcb Câu lệnh Drop backup table DROP TABLE IF EXISTS bak_gg_inact_store_20260720;
DROP TABLE IF EXISTS bak_gg_inact_store_service_20260720;
DROP TABLE IF EXISTS bak_gg_inact_terminal_20260720;
DROP TABLE IF EXISTS bak_gg_inact_terminal_service_20260720;
DROP TABLE IF EXISTS bak_gg_react_store_20260721;
DROP TABLE IF EXISTS bak_gg_react_store_service_20260721;
DROP TABLE IF EXISTS bak_gg_react_terminal_20260721;
DROP TABLE IF EXISTS bak_gg_react_terminal_service_20260721;
DROP TABLE IF EXISTS bak_ncc2mpvh_doc_20260717;
DROP TABLE IF EXISTS bak_ncc2mpvh_items_20260717;
DROP TABLE IF EXISTS bak_ncc2mpvh_requests_20260717;
DROP TABLE IF EXISTS bak_tmd_dedup_20260915;
DROP TABLE IF EXISTS bak_tmd_items_dedup_20260915;
DROP TABLE IF EXISTS bak_tmd_reqs_dedup_20260915; Import data theo file đính kèm Expect:  46,890 records</t>
  </si>
  <si>
    <t>2026-07-03</t>
  </si>
  <si>
    <t>[CLMS][OM][MAG] Update thông tin data test prod</t>
  </si>
  <si>
    <t>2026-09-23T14:17:09.503+0700</t>
  </si>
  <si>
    <t>2026-09-23T14:20:11.689+0700</t>
  </si>
  <si>
    <t>Dear Team @Phạm Hồng Quang   @Phạm Tuấn Linh CLM - Contract Lifecycle Management cần soft delete dữ liệu test trên môi trường prod theo yêu cầu của PO. Nhờ anh em support nhé. Database:
project gcp: onemg-integration-platform-prd
instance(IP): main (172.31.1.118)
Database name: clm_prod_mysql Query 1:  UPDATE flat_contract SET deleted = 1 WHERE code IN (
    'CNDVKD-HDHT-26-1004',
    'CNDVKD-HDHT-26-1003',
    'MGM003-HDXD-26-1002',
    'MGM002-HDXD-26-0903'
); Query 2: UPDATE Contract c SET c.deleted = 1 where c.code IN ('CNDVKD-HDHT-26-1004',
    'CNDVKD-HDHT-26-1003',
    'MGM003-HDXD-26-1002',
    'MGM002-HDXD-26-0903') Query 3: UPDATE DocTemplate dt SET dt.deleted = 1 where dt.code IN ('TEM-CNDVKD-HDHT--84')</t>
  </si>
  <si>
    <t>OFS</t>
  </si>
  <si>
    <t>2026-07-02</t>
  </si>
  <si>
    <t>2026-07-01</t>
  </si>
  <si>
    <t>[Merchantdise][PROD] Seeding Bán Merchantdise GHYT 24/09/2026</t>
  </si>
  <si>
    <t>2026-09-23T11:38:28.338+0700</t>
  </si>
  <si>
    <t>2026-09-23T11:39:36.177+0700</t>
  </si>
  <si>
    <t>Nhờ  @Đào Công Nghĩa  chạy giúp thông tin dưới đây: project: vincart-prod instance: main ip: 172.31.1.41 DB: vincart_mm_product Script: UPDATE variants
set stock_type = 'INIT'
WHERE id in (1093908,1093909,1093910);
UPDATE inventories
set channel_code = 'INIT'
WHERE variant_id in (1093908,1093909,1093910);
UPDATE variant_prices
set channel_code = 'ONEU'
WHERE variant_id in (1093908,1093909,1093910); Thời gian thực hiện: Chạy sớm nhất có thể.</t>
  </si>
  <si>
    <t>2026-06 Total</t>
  </si>
  <si>
    <t>[FusionPBX][MAG] Xin clone schema và dữ liệu của FusionPBX</t>
  </si>
  <si>
    <t>2026-09-23T02:42:00.911+0700</t>
  </si>
  <si>
    <t>2026-09-23T02:42:18.635+0700</t>
  </si>
  <si>
    <t>Hi team DBA, hệ thống call center (Fusionpbx) đang không có môi trường non-prod nên em xin tạo request để tạo schema bảng và lấy top 10/20 dòng dữ liệu từ môi trường prod sang non-prod để develop data pipeline phục vụ cho báo cáo call center của MAG. Bảng cần lấy là bảng  fusionpbx.cdr  chứa dữ liệu call logs. Các cột có data nhạy cảm có thể masking lại hoặc để NULL: caller_id_name caller_id_number caller_destination destination_number from_number to_number Thông tin nguồn: IP: 10.10.17.13 Port: 5432 DB Name: fusionpbx Em xin nhờ anh Sơn, anh Duy và anh Quang cho em ý kiến ạ.</t>
  </si>
  <si>
    <t>OM_HUB_TWF</t>
  </si>
  <si>
    <t>2026-06-30</t>
  </si>
  <si>
    <t>xin cấp quyền admin HANA DB để trace các vấn đề tắt nghẽn hệ thống</t>
  </si>
  <si>
    <t>2026-09-23T02:15:07.636+0700</t>
  </si>
  <si>
    <t>2026-09-28T09:30:00.280+0700</t>
  </si>
  <si>
    <t>OM_MAG</t>
  </si>
  <si>
    <t>Dear anh Hưng, Thời gian gần đây, hệ thống in văn bản phát sinh một số sự cố dẫn đến downtime, ảnh hưởng đến quá trình vận hành. Để đội kỹ thuật có thể chủ động kiểm tra, trace và xác định nguyên nhân sự cố có liên quan đến Database hay không, nhờ anh hỗ trợ cấp tài khoản  HANA DB với quyền Admin  trong thời gian tạm thời. Thông tin đề nghị như sau: Thời hạn sử dụng:  đến hết ngày  30/09/2026 Người sử dụng:  Phạm Bá Thông và Lê Quốc Bình Mục đích:  phục vụ việc kiểm tra, trace và xử lý sự cố liên quan đến hệ thống in văn bản. Nhờ anh hỗ trợ giúp em để đội có thể chủ động hơn trong quá trình khoanh vùng và xử lý sự cố khi phát sinh. Cảm ơn anh Hưng.</t>
  </si>
  <si>
    <t>2026-06-29</t>
  </si>
  <si>
    <t>Xin phân quyền quyền cho worker của OneNexus</t>
  </si>
  <si>
    <t>2026-09-23T02:14:50.289+0700</t>
  </si>
  <si>
    <t>2026-06-28</t>
  </si>
  <si>
    <t xml:space="preserve">Để phục vụ đợt lên PROD của Bảng xếp hạng thành viên (OneHub Dashboard V5, chuỗi BXH-TC),nhờ team phân quyền cho worker của OneNexus connect qua MySQL DB prod của CBP như sau: Mysql (172.31.0.67): Môi trường: prod User hiện tại: onx_dp_cdp_onehub_readonly Danh sách bảng cần phân quyền (SELECT): omre_cbp_activity: tasks relations omre_cbp_collab: inq_inquiry_participants sto_file_links omre_cbp_transaction: transaction_histories Note: các tickets xin phân quyền các bảng trên môi trường Non-Prod:      </t>
  </si>
  <si>
    <t>OMC_Warehouse</t>
  </si>
  <si>
    <t>[NCO][PROD] Update loyalty service code for scan&amp;pay</t>
  </si>
  <si>
    <t>2026-06-27</t>
  </si>
  <si>
    <t>2026-09-22T18:56:54.152+0700</t>
  </si>
  <si>
    <t>2026-09-22T18:56:59.925+0700</t>
  </si>
  <si>
    <t>Hi Nghĩa, Nhờ em chạy giúp anh thông tin dưới đây: IP:  172.31.4.9 Database:  ecom_configuration Script: UPDATE `merchant_payment_configs` SET `loyalty_service_code`='POINT_ACCEPTANCE' WHERE merchant_code = 'GOLDENGATE' and sub_service_code = 'TQR';</t>
  </si>
  <si>
    <t>OMC, dataplatform</t>
  </si>
  <si>
    <t>[PROD][Dremio] Tạo user cho dremio trên omd_iamshub_prod</t>
  </si>
  <si>
    <t>2026-06-26</t>
  </si>
  <si>
    <t>2026-09-22T18:20:43.841+0700</t>
  </si>
  <si>
    <t>2026-09-22T18:20:55.972+0700</t>
  </si>
  <si>
    <t>Nhờ team DBA hỗ trợ tạo tài khoản để dremio có thể kết nối tới Database omd_iamshub_prod, cụ thể: project: onemg-integration-platform-prd instance: main DB name: omd_iamshub_prod username: dremio Quyền: Select only Ticket liên quan:  https://onemount.atlassian.net/browse/SP-13886</t>
  </si>
  <si>
    <t>OMC, OMD_WMS</t>
  </si>
  <si>
    <t>2026-06-25</t>
  </si>
  <si>
    <t>[UPP][SAAS][PROD] - Hỗ trợ cập nhật service_name các giao dịch bị ghi đè</t>
  </si>
  <si>
    <t>2026-09-22T17:33:18.745+0700</t>
  </si>
  <si>
    <t>2026-09-22T17:33:36.919+0700</t>
  </si>
  <si>
    <t>@Đào Công Nghĩa  Nhờ em chạy giúp script bên dưới nhé Thông tin DB: saas_tpay: mysql://pay-tidb.int.onemount.com:4000/saas_tpay {{UPDATE TRANSACTION_MASTER SET service_name='ECOM_INTERNATIONAL_CARD' WHERE id = 'fbe11baf119540bf9f5bb78dc81c559d'; }} UPDATE TRANSACTION_MASTER SET service_name='ECOM_INTERNATIONAL_CARD' WHERE id = 'aa9486810a0d4dd7824576576ae8b349';</t>
  </si>
  <si>
    <t>2026-06-24</t>
  </si>
  <si>
    <t>[UPAY][NONPROD] Support update trên môi trường STAG</t>
  </si>
  <si>
    <t>2026-09-22T17:19:08.196+0700</t>
  </si>
  <si>
    <t>ONEID</t>
  </si>
  <si>
    <t>2026-09-22T17:19:12.772+0700</t>
  </si>
  <si>
    <t>2026-06-23</t>
  </si>
  <si>
    <t>Description Hi a   @Nguyễn Văn Dũng  , nhờ a chạy giúp e script bên dưới ở môi trường STAG với ạ. Script:  Thông tin database:  tidb.int.onemount.dev:4000 ALTER TABLE SERVICE ADD COLUMN fee_collection_config VARCHAR(20) NULL;</t>
  </si>
  <si>
    <t>[OMRE][Kafka][NON-PROD] Tạo kafka topic kéo các bảng J-Core (jvaluation-core) UAT về DP Non PROD |</t>
  </si>
  <si>
    <t>2026-06-22</t>
  </si>
  <si>
    <t>2026-09-22T16:51:30.635+0700</t>
  </si>
  <si>
    <t>2026-09-28T10:29:02.026+0700</t>
  </si>
  <si>
    <t>DP, OMRE</t>
  </si>
  <si>
    <t>outsystems</t>
  </si>
  <si>
    <t>Dear team DBA, Team DP đang cần kéo dữ liệu hệ thống J-Core (Sao Mộc / Valuation Core — RIM) từ môi trường UAT về DP Non PROD để build model cho dbt project `omre_jcore` (BC Hồ sơ hàng ngày, BC Cam kết SLA -  https://onemount.atlassian.net/browse/JC-1298 ). Nhờ anh Linh tạo kafka topic (CDC Debezium) ở môi trường Non PROD cho các bảng sau.  NON PROD (UAT):
- DB engine: PostgreSQL 18.4 — Cloud SQL, GCP project `vinid-app-common-dev`
- Host: `omre-cobroker-np--sm-rim-np-postgres.cloudsql.int` (alias nội bộ cluster; team DP hiện vào qua bastion `vinid-app-common-dev` bằng IAP tunnel)
- Port: `5432`
- Database: `sm_rim_jvaluation_core_uat_write`
- Schema: `public`
- Tài khoản do Sao Mộc cấp: `sm_rim_jvaluation_core_uat_read` (read) và `sm_rim_jvaluation_core_uat_write` (write, owner DB và owner toàn bộ bảng nghiệp vụ). Password gửi riêng qua kênh nội bộ, không ghi trong ticket.
- Table list (28 bảng, đều có PK):
valuation_requests
valuation_dossiers
valuation_asset
history_log
approval_actions
approval_entities
workflow_instance
workflow_step_instance
workflow_action_history
report_document
report_document_version
report_document_signer
valuation_request_customers
valuation_request_creators
valuation_addresses
valuation_assignment_info
customer_creators
customers
workspace
address
users
tenant
workflow_business_status
workflow_step_definition
workflow_action_definition
sla_config
workflow_definition
workflow_version</t>
  </si>
  <si>
    <t>2026-06-19</t>
  </si>
  <si>
    <t>[Prod][OMC][Gami] Insert new attribute release 22/09/2026</t>
  </si>
  <si>
    <t>2026-09-22T16:26:36.645+0700</t>
  </si>
  <si>
    <t>2026-06-18</t>
  </si>
  <si>
    <t>partitions_table</t>
  </si>
  <si>
    <t>2026-09-23T09:28:03.491+0700</t>
  </si>
  <si>
    <t>2026-06-17</t>
  </si>
  <si>
    <t>PMS</t>
  </si>
  <si>
    <t>2026-06-16</t>
  </si>
  <si>
    <t>PowerBI</t>
  </si>
  <si>
    <t>2026-06-15</t>
  </si>
  <si>
    <t>Dear DBA Team, Nhờ team chạy query trên prodution giúp Loyalty Gami: Thực hiện: trước 22:00 22/09/2026. Host: 172.31.4.75 DB: promo_rule_engine UPDATE `rule_templates`
SET `payload` = JSON_SET(
    `payload`,
    '$.payload.transaction_attributes.txn_prd_ins_premium_frequency', 'float64',
    '$.payload.transaction_attributes.txn_insurance_ape', 'float64',
    '$.payload.transaction_attributes.txn_prd_insurance_join_campaign', 'string',
    '$.payload.transaction_attributes.txn_prd_pmbh_ind', 'string',
    '$.payload.transaction_attributes.txn_prod_open_date', 'float64'
) WHERE id in (1, 11);
INSERT INTO categories (tenant_id, rule_template_id, `key`, name, field_type, ui_type, operator, group_name, is_master_data, description, status, created_at, updated_at)
VALUES (1, 1, 'payload.transaction_attributes.txn_prd_ins_premium_frequency', '[TXN_PRD_INS_PREMIUM_FREQUENCY] Insurance premium payment term in months', 'float64', 'NUMBER', '==|!=|&gt;|&lt;|&gt;=|&lt;=', 'Transaction Attribute', 0, 'Insurance premium payment term in months', 'ACTIVE', Now(), Now())
    , (1, 11, 'payload.transaction_attributes.txn_prd_ins_premium_frequency', '[TXN_PRD_INS_PREMIUM_FREQUENCY] Insurance premium payment term in months', 'float64', 'NUMBER', '==|!=|&gt;|&lt;|&gt;=|&lt;=', 'Transaction Attribute', 0, 'Insurance premium payment term in months', 'ACTIVE', Now(), Now())
    , (1, 1, 'payload.transaction_attributes.txn_insurance_ape', '[TXN_INSURANCE_APE] Phí bảo hiểm định kỳ', 'float64', 'NUMBER', '==|!=|&gt;|&lt;|&gt;=|&lt;=', 'Transaction Attribute', 0, 'Nhận diện giá trị phí bảo hiểm đóng theo định kỳ của HĐBH', 'ACTIVE', Now(), Now())
    , (1, 11, 'payload.transaction_attributes.txn_insurance_ape', '[TXN_INSURANCE_APE] Phí bảo hiểm định kỳ', 'float64', 'NUMBER', '==|!=|&gt;|&lt;|&gt;=|&lt;=', 'Transaction Attribute', 0, 'Nhận diện giá trị phí bảo hiểm đóng theo định kỳ của HĐBH', 'ACTIVE', Now(), Now())
    , (1, 1, 'payload.transaction_attributes.txn_prd_insurance_join_campaign', '[TXN_PRD_INSURANCE_JOIN_CAMPAIGN] List of rewarded campaign codes by insurance policy', 'string', 'TEXT', '==|!=|contains|not contains', 'Transaction Attribute', 0, 'List of rewarded campaign codes by insurance policy', 'ACTIVE', Now(), Now())
    , (1, 11, 'payload.transaction_attributes.txn_prd_insurance_join_campaign', '[TXN_PRD_INSURANCE_JOIN_CAMPAIGN] List of rewarded campaign codes by insurance policy', 'string', 'TEXT', '==|!=|contains|not contains', 'Transaction Attribute', 0, 'List of rewarded campaign codes by insurance policy', 'ACTIVE', Now(), Now())
    , (1, 1, 'payload.transaction_attributes.txn_prd_pmbh_ind', '[TXN_PRD_PMBH_IND] PMBH linkage indicator', 'string', 'COMBOBOX', '==|!=|in|not in', 'Transaction Attribute', 1, 'Insurance policy flag', 'ACTIVE', Now(), Now())
    , (1, 11, 'payload.transaction_attributes.txn_prd_pmbh_ind', '[TXN_PRD_PMBH_IND] PMBH linkage indicator', 'string', 'COMBOBOX', '==|!=|in|not in', 'Transaction Attribute', 1, 'Insurance policy flag', 'ACTIVE', Now(), Now())
    , (1, 1, 'payload.transaction_attributes.txn_prod_open_date', '[TXN_PROD_OPEN_DATE] Product open date', 'float64', 'DATE', '==|!=|&gt;|&lt;|&gt;=|&lt;=', 'Transaction Attribute', 0, 'Product open date', 'ACTIVE', Now(), Now())
    , (1, 11, 'payload.transaction_attributes.txn_prod_open_date', '[TXN_PROD_OPEN_DATE] Product open date', 'float64', 'DATE', '==|!=|&gt;|&lt;|&gt;=|&lt;=', 'Transaction Attribute', 0, 'Product open date', 'ACTIVE', Now(), Now());
INSERT INTO master_data (tenant_id, categories_id, attribute_code, program_id, created_at, updated_at)
SELECT 
    c.tenant_id, 
    c.id, 
    REPLACE(c.`key`, 'payload.transaction_attributes.', '') AS attribute_code, 
    426 AS program_id, 
    NOW(), 
    NOW()
FROM categories c
WHERE c.tenant_id = 1
  AND c.rule_template_id IN (1, 11)
  AND c.`key` IN (
      'payload.transaction_attributes.txn_prd_pmbh_ind'
  )
  AND NOT EXISTS (
      SELECT 1 
      FROM master_data md 
      WHERE md.tenant_id = c.tenant_id 
        AND md.categories_id = c.id 
        AND md.program_id = 426 
        AND md.attribute_code = REPLACE(c.`key`, 'payload.transaction_attributes.', '')
  ); UPDATE `rule_templates`
SET `payload` = JSON_SET(
        `payload`,
        '$.payload.member_attributes.cst_soundbox_ind', 'string',
        '$.payload.member_attributes.cst_mgm_ind', 'string',
        '$.payload.member_attributes.cst_misa_ind', 'string',
        '$.payload.member_attributes.cst_tshop_ind', 'string'
                )
WHERE id IN (SELECT id
             FROM (SELECT id FROM `rule_templates`) AS temp_table);
INSERT INTO categories (tenant_id, rule_template_id, `key`, name, field_type, ui_type, operator, group_name,
                        is_master_data, description, status, created_at, updated_at)
SELECT rt.tenant_id,
       rt.id,
       v.`key`,
       v.name,
       'string',
       'COMBOBOX',
       '==|!=|in|not in',
       'Member Attribute',
       1,
       v.description,
       'ACTIVE',
       Now(),
       Now()
FROM rule_templates rt
         CROSS JOIN (SELECT 'payload.member_attributes.cst_soundbox_ind'                       AS `key`,
                            '[CST_SOUNDBOX_IND] Khách hàng có liên kết với Soundbox hay không' AS name,
                            'Khách hàng có liên kết với Soundbox hay không'                    AS description
                     UNION ALL
                     SELECT 'payload.member_attributes.cst_mgm_ind'                  AS `key`,
                            '[CST_MGM_IND] Khách hàng có tham gia luồng MGM hay không' AS name,
                            'Khách hàng có tham gia luồng MGM hay không'               AS description
                     UNION ALL
                     SELECT 'payload.member_attributes.cst_misa_ind'                                AS `key`,
                            '[CST_MISA_IND] Khách hàng có liên kết với PMBH đối tác MISA hay không' AS name,
                            'Khách hàng có liên kết với PMBH đối tác MISA hay không'                AS description
                     UNION ALL
                     SELECT 'payload.member_attributes.cst_tshop_ind'                          AS `key`,
                            '[CST_TSHOP_IND] Khách hàng có liên kết với PMBH T-Shop hay không' AS name,
                            'Khách hàng có liên kết với PMBH T-Shop hay không'                 AS description) v
WHERE NOT EXISTS (SELECT 1
                  FROM categories c
                  WHERE c.rule_template_id = rt.id
                    AND c.`key` = v.`key`);
INSERT INTO master_data(tenant_id, categories_id, attribute_code, program_id, created_at, updated_at)
SELECT c.tenant_id, c.id, v.attribute_code, 426, Now(), Now()
FROM categories c
         JOIN (SELECT 'payload.member_attributes.cst_soundbox_ind' AS `key`,
                      'cst_soundbox_ind'                           AS attribute_code
               UNION ALL
               SELECT 'payload.member_attributes.cst_mgm_ind' AS `key`,
                      'cst_mgm_ind'                           AS attribute_code
               UNION ALL
               SELECT 'payload.member_attributes.cst_misa_ind' AS `key`,
                      'cst_misa_ind'                           AS attribute_code
               UNION ALL
               SELECT 'payload.member_attributes.cst_tshop_ind' AS `key`,
                      'cst_tshop_ind'                           AS attribute_code) v ON v.`key` = c.`key`
WHERE NOT EXISTS (SELECT 1
                  FROM master_data md
                  WHERE md.categories_id = c.id
                    AND md.attribute_code = v.attribute_code
                    AND md.program_id = 426); Host: 172.31.4.75 DB:  promo_group UPDATE `condition_templates`
SET `template` = JSON_SET(
    `template`,
    '$.Field.Payload.MemberAttributes.CstSoundboxInd', 'string',
    '$.Field.Payload.MemberAttributes.CstMgmInd', 'string',
    '$.Field.Payload.MemberAttributes.CstMisaInd', 'string',
    '$.Field.Payload.MemberAttributes.CstTshopInd', 'string'
) WHERE code = 'tp1';</t>
  </si>
  <si>
    <t>2026-06-14</t>
  </si>
  <si>
    <t>PS2, dataplatform</t>
  </si>
  <si>
    <t>[Prod][OMC][Loyalty] Insert data for release 22/09/2026</t>
  </si>
  <si>
    <t>2026-06-13</t>
  </si>
  <si>
    <t>2026-09-22T16:26:05.298+0700</t>
  </si>
  <si>
    <t>2026-09-23T09:28:35.374+0700</t>
  </si>
  <si>
    <t>PSS</t>
  </si>
  <si>
    <t>2026-06-12</t>
  </si>
  <si>
    <t>risk_management</t>
  </si>
  <si>
    <t>2026-06-11</t>
  </si>
  <si>
    <t>SalePortal</t>
  </si>
  <si>
    <t>2026-06-10</t>
  </si>
  <si>
    <t>SalesApp</t>
  </si>
  <si>
    <t>2026-06-09</t>
  </si>
  <si>
    <t>2026-06-08</t>
  </si>
  <si>
    <t>Save_cost</t>
  </si>
  <si>
    <t>Dear DBA Team, Nhờ team thực hiện script sau vào db OLOYALTY trên prod. Thực hiện: trước 22:00 22/09/2026. SQL: -- https://techcombank.atlassian.net/browse/EBLIF-8315
-- =====================================================================
-- Attribute for Product: PRD_INS_PREMIUM_FREQUENCY
-- =====================================================================
INSERT INTO OLOYALTY.PROGRAM_TRANSACTION_ATTRIBUTE (PROGRAM_ID, "ATTRIBUTE", DESCRIPTION, DATA_TYPE, CREATED_BY, CREATED_AT, UPDATED_BY, UPDATED_AT, APPROVED_BY, APPROVED_AT, CREATED_YMD, NAME, DATA_TYPE_DISPLAY, GROUP_NAME, OPERATORS, VALUE_VALIDATION_PATTERN, STATUS, HAVING_MASTER_DATA, ENABLE_VALIDATE_MASTER_DATA) 
VALUES (426, 'TXN_PRD_INS_PREMIUM_FREQUENCY', 'Insurance premium payment term in months', 'LONG', 'SYSTEM', TIMESTAMP '2026-09-15 00:00:00.000000', 'SYSTEM', TIMESTAMP '2026-09-15 00:00:00.000000', 'SYSTEM', TIMESTAMP '2026-09-15 00:00:00.000000', 20260915, 'Insurance premium payment term in months', 'NUMBER', 'Product Attribute', '==|!=|&gt;|&lt;|&gt;=|&lt;=', NULL, 'A', 'N', 0);
INSERT INTO OLOYALTY.PROGRAM_ATTRIBUTE_SERVICE_TYPE (PROGRAM_ID, "ATTRIBUTE", SERVICE_TYPE, NAME, DESCRIPTION, DATA_TYPE, CREATED_BY, CREATED_AT, UPDATED_BY, UPDATED_AT, APPROVED_BY, APPROVED_AT, CREATED_YMD, GROUP_NAME, OPERATORS, ENABLE_COUNTER_LEVEL) 
VALUES (426, 'TXN_PRD_INS_PREMIUM_FREQUENCY', 'ESCROW_POINT', 'Insurance premium payment term in months', 'Insurance premium payment term in months', 'STRING', 'SYSTEM', TIMESTAMP '2026-09-15 00:00:00.000000', 'SYSTEM', TIMESTAMP '2026-09-15 00:00:00.000000', 'SYSTEM', TIMESTAMP '2026-09-15 00:00:00.000000', 20260915, 'Product Attribute', '==|!=|&gt;|&lt;|&gt;=|&lt;=', 'N');
INSERT INTO OLOYALTY.PROGRAM_ATTRIBUTE_SERVICE_TYPE (PROGRAM_ID, "ATTRIBUTE", SERVICE_TYPE, NAME, DESCRIPTION, DATA_TYPE, CREATED_BY, CREATED_AT, UPDATED_BY, UPDATED_AT, APPROVED_BY, APPROVED_AT, CREATED_YMD, GROUP_NAME, OPERATORS, ENABLE_COUNTER_LEVEL) 
VALUES (426, 'TXN_PRD_INS_PREMIUM_FREQUENCY', 'LIMITATION', 'Insurance premium payment term in months', 'Insurance premium payment term in months', 'STRING', 'SYSTEM', TIMESTAMP '2026-09-15 00:00:00.000000', 'SYSTEM', TIMESTAMP '2026-09-15 00:00:00.000000', 'SYSTEM', TIMESTAMP '2026-09-15 00:00:00.000000', 20260915, 'Product Attribute', '==|!=|&gt;|&lt;|&gt;=|&lt;=', 'N');
INSERT INTO OLOYALTY.PROGRAM_ATTRIBUTE_SERVICE_TYPE (PROGRAM_ID, "ATTRIBUTE", SERVICE_TYPE, NAME, DESCRIPTION, DATA_TYPE, CREATED_BY, CREATED_AT, UPDATED_BY, UPDATED_AT, APPROVED_BY, APPROVED_AT, CREATED_YMD, GROUP_NAME, OPERATORS, ENABLE_COUNTER_LEVEL) 
VALUES (426, 'TXN_PRD_INS_PREMIUM_FREQUENCY', 'SCHEME', 'Insurance premium payment term in months', 'Insurance premium payment term in months', 'STRING', 'SYSTEM', TIMESTAMP '2026-09-15 00:00:00.000000', 'SYSTEM', TIMESTAMP '2026-09-15 00:00:00.000000', 'SYSTEM', TIMESTAMP '2026-09-15 00:00:00.000000', 20260915, 'Product Attribute', '==|!=|&gt;|&lt;|&gt;=|&lt;=', 'N');
INSERT INTO OLOYALTY.PROGRAM_ATTRIBUTE_SERVICE_TYPE (PROGRAM_ID, "ATTRIBUTE", SERVICE_TYPE, NAME, DESCRIPTION, DATA_TYPE, CREATED_BY, CREATED_AT, UPDATED_BY, UPDATED_AT, APPROVED_BY, APPROVED_AT, CREATED_YMD, GROUP_NAME, OPERATORS, ENABLE_COUNTER_LEVEL) 
VALUES (426, 'TXN_PRD_INS_PREMIUM_FREQUENCY', 'COUNTER', 'Insurance premium payment term in months', 'Insurance premium payment term in months', 'STRING', 'SYSTEM', TIMESTAMP '2026-09-15 00:00:00.000000', 'SYSTEM', TIMESTAMP '2026-09-15 00:00:00.000000', 'SYSTEM', TIMESTAMP '2026-09-15 00:00:00.000000', 20260915, 'Product Attribute', '==|!=|&gt;|&lt;|&gt;=|&lt;=', 'N');
ALTER TABLE OLOYALTY.KAFKA_AUDIT_TRAIL_PRODUCT_INFO ADD (
    PRD_INS_PREMIUM_FREQUENCY  VARCHAR2(1000)
);
ALTER TABLE OLOYALTY.CUSTOMER_PRODUCT_INFO_VERSIONING ADD (
    PRD_INS_PREMIUM_FREQUENCY  VARCHAR2(1000)
);
ALTER TABLE OLOYALTY.CUSTOMER_PRODUCT_INFO ADD (
    PRD_INS_PREMIUM_FREQUENCY  VARCHAR2(1000)
);
-- =====================================================================
-- Attribute for Transaction: TXN_INSURANCE_APE
-- =====================================================================
INSERT INTO OLOYALTY.PROGRAM_TRANSACTION_ATTRIBUTE (PROGRAM_ID, "ATTRIBUTE", DESCRIPTION, DATA_TYPE, CREATED_BY, CREATED_AT, UPDATED_BY, UPDATED_AT, APPROVED_BY, APPROVED_AT, CREATED_YMD, NAME, DATA_TYPE_DISPLAY, GROUP_NAME, OPERATORS, VALUE_VALIDATION_PATTERN, STATUS, HAVING_MASTER_DATA, ENABLE_VALIDATE_MASTER_DATA) 
VALUES (426, 'TXN_INSURANCE_APE', 'Nhận diện giá trị phí bảo hiểm đóng theo định kỳ của HĐBH', 'BIG_DECIMAL', 'SYSTEM', TIMESTAMP '2026-09-15 00:00:00.000000', 'SYSTEM', TIMESTAMP '2026-09-15 00:00:00.000000', 'SYSTEM', TIMESTAMP '2026-09-15 00:00:00.000000', 20260915, 'Phí bảo hiểm định kỳ', 'NUMBER', 'Transaction Attribute', '==|!=|&gt;|&lt;|&gt;=|&lt;=', NULL, 'A', 'N', 0);
INSERT INTO OLOYALTY.PROGRAM_ATTRIBUTE_SERVICE_TYPE (PROGRAM_ID, "ATTRIBUTE", SERVICE_TYPE, NAME, DESCRIPTION, DATA_TYPE, CREATED_BY, CREATED_AT, UPDATED_BY, UPDATED_AT, APPROVED_BY, APPROVED_AT, CREATED_YMD, GROUP_NAME, OPERATORS, ENABLE_COUNTER_LEVEL) 
VALUES (426, 'TXN_INSURANCE_APE', 'ESCROW_POINT', 'Phí bảo hiểm định kỳ', 'Nhận diện giá trị phí bảo hiểm đóng theo định kỳ của HĐBH', 'NUMBER', 'SYSTEM', TIMESTAMP '2026-09-15 00:00:00.000000', 'SYSTEM', TIMESTAMP '2026-09-15 00:00:00.000000', 'SYSTEM', TIMESTAMP '2026-09-15 00:00:00.000000', 20260915, 'Transaction Attribute', '==|!=|&gt;|&lt;|&gt;=|&lt;=', 'N');
INSERT INTO OLOYALTY.PROGRAM_ATTRIBUTE_SERVICE_TYPE (PROGRAM_ID, "ATTRIBUTE", SERVICE_TYPE, NAME, DESCRIPTION, DATA_TYPE, CREATED_BY, CREATED_AT, UPDATED_BY, UPDATED_AT, APPROVED_BY, APPROVED_AT, CREATED_YMD, GROUP_NAME, OPERATORS, ENABLE_COUNTER_LEVEL) 
VALUES (426, 'TXN_INSURANCE_APE', 'LIMITATION', 'Phí bảo hiểm định kỳ', 'Nhận diện giá trị phí bảo hiểm đóng theo định kỳ của HĐBH', 'NUMBER', 'SYSTEM', TIMESTAMP '2026-09-15 00:00:00.000000', 'SYSTEM', TIMESTAMP '2026-09-15 00:00:00.000000', 'SYSTEM', TIMESTAMP '2026-09-15 00:00:00.000000', 20260915, 'Transaction Attribute', '==|!=|&gt;|&lt;|&gt;=|&lt;=', 'N');
INSERT INTO OLOYALTY.PROGRAM_ATTRIBUTE_SERVICE_TYPE (PROGRAM_ID, "ATTRIBUTE", SERVICE_TYPE, NAME, DESCRIPTION, DATA_TYPE, CREATED_BY, CREATED_AT, UPDATED_BY, UPDATED_AT, APPROVED_BY, APPROVED_AT, CREATED_YMD, GROUP_NAME, OPERATORS, ENABLE_COUNTER_LEVEL) 
VALUES (426, 'TXN_INSURANCE_APE', 'SCHEME', 'Phí bảo hiểm định kỳ', 'Nhận diện giá trị phí bảo hiểm đóng theo định kỳ của HĐBH', 'NUMBER', 'SYSTEM', TIMESTAMP '2026-09-15 00:00:00.000000', 'SYSTEM', TIMESTAMP '2026-09-15 00:00:00.000000', 'SYSTEM', TIMESTAMP '2026-09-15 00:00:00.000000', 20260915, 'Transaction Attribute', '==|!=|&gt;|&lt;|&gt;=|&lt;=', 'N');
INSERT INTO OLOYALTY.PROGRAM_ATTRIBUTE_SERVICE_TYPE (PROGRAM_ID, "ATTRIBUTE", SERVICE_TYPE, NAME, DESCRIPTION, DATA_TYPE, CREATED_BY, CREATED_AT, UPDATED_BY, UPDATED_AT, APPROVED_BY, APPROVED_AT, CREATED_YMD, GROUP_NAME, OPERATORS, ENABLE_COUNTER_LEVEL) 
VALUES (426, 'TXN_INSURANCE_APE', 'COUNTER', 'Phí bảo hiểm định kỳ', 'Nhận diện giá trị phí bảo hiểm đóng theo định kỳ của HĐBH', 'NUMBER', 'SYSTEM', TIMESTAMP '2026-09-15 00:00:00.000000', 'SYSTEM', TIMESTAMP '2026-09-15 00:00:00.000000', 'SYSTEM', TIMESTAMP '2026-09-15 00:00:00.000000', 20260915, 'Transaction Attribute', '==|!=|&gt;|&lt;|&gt;=|&lt;=', 'N');
ALTER TABLE OLOYALTY.KAFKA_AUDIT_TRAIL_EARN_TRANSACTION ADD (
    "TXN_INSURANCE_APE" VARCHAR2(1000)
);
ALTER TABLE OLOYALTY.KAFKA_AUDIT_TRAIL_EARN_TRANSACTION_RETRY ADD (
    "TXN_INSURANCE_APE" VARCHAR2(1000)
);
-- =====================================================================
-- Attribute for Product: PRD_INSURANCE_JOIN_CAMPAIGN
-- =====================================================================
INSERT INTO OLOYALTY.PROGRAM_TRANSACTION_ATTRIBUTE (PROGRAM_ID, "ATTRIBUTE", DESCRIPTION, DATA_TYPE, CREATED_BY, CREATED_AT, UPDATED_BY, UPDATED_AT, APPROVED_BY, APPROVED_AT, CREATED_YMD, NAME, DATA_TYPE_DISPLAY, GROUP_NAME, OPERATORS, VALUE_VALIDATION_PATTERN, STATUS, HAVING_MASTER_DATA, ENABLE_VALIDATE_MASTER_DATA) 
VALUES (426, 'TXN_PRD_INSURANCE_JOIN_CAMPAIGN', 'List of rewarded campaign codes by insurance policy', 'STRING', 'SYSTEM', TIMESTAMP '2026-09-15 00:00:00.000000', 'SYSTEM', TIMESTAMP '2026-09-15 00:00:00.000000', 'SYSTEM', TIMESTAMP '2026-09-15 00:00:00.000000', 20260915, 'List of rewarded campaign codes by insurance policy', 'TEXT', 'Product Attribute', '==|!=|IN|NOT_IN', NULL, 'A', 'N', 0);
INSERT INTO OLOYALTY.PROGRAM_ATTRIBUTE_SERVICE_TYPE (PROGRAM_ID, "ATTRIBUTE", SERVICE_TYPE, NAME, DESCRIPTION, DATA_TYPE, CREATED_BY, CREATED_AT, UPDATED_BY, UPDATED_AT, APPROVED_BY, APPROVED_AT, CREATED_YMD, GROUP_NAME, OPERATORS, ENABLE_COUNTER_LEVEL) 
VALUES (426, 'TXN_PRD_INSURANCE_JOIN_CAMPAIGN', 'ESCROW_POINT', 'List of rewarded campaign codes by insurance policy', 'List of rewarded campaign codes by insurance policy', 'STRING', 'SYSTEM', TIMESTAMP '2026-09-15 00:00:00.000000', 'SYSTEM', TIMESTAMP '2026-09-15 00:00:00.000000', 'SYSTEM', TIMESTAMP '2026-09-15 00:00:00.000000', 20260915, 'Product Attribute', '==|!=|IN|NOT_IN', 'N');
INSERT INTO OLOYALTY.PROGRAM_ATTRIBUTE_SERVICE_TYPE (PROGRAM_ID, "ATTRIBUTE", SERVICE_TYPE, NAME, DESCRIPTION, DATA_TYPE, CREATED_BY, CREATED_AT, UPDATED_BY, UPDATED_AT, APPROVED_BY, APPROVED_AT, CREATED_YMD, GROUP_NAME, OPERATORS, ENABLE_COUNTER_LEVEL) 
VALUES (426, 'TXN_PRD_INSURANCE_JOIN_CAMPAIGN', 'LIMITATION', 'List of rewarded campaign codes by insurance policy', 'List of rewarded campaign codes by insurance policy', 'STRING', 'SYSTEM', TIMESTAMP '2026-09-15 00:00:00.000000', 'SYSTEM', TIMESTAMP '2026-09-15 00:00:00.000000', 'SYSTEM', TIMESTAMP '2026-09-15 00:00:00.000000', 20260915, 'Product Attribute', '==|!=|IN|NOT_IN', 'N');
INSERT INTO OLOYALTY.PROGRAM_ATTRIBUTE_SERVICE_TYPE (PROGRAM_ID, "ATTRIBUTE", SERVICE_TYPE, NAME, DESCRIPTION, DATA_TYPE, CREATED_BY, CREATED_AT, UPDATED_BY, UPDATED_AT, APPROVED_BY, APPROVED_AT, CREATED_YMD, GROUP_NAME, OPERATORS, ENABLE_COUNTER_LEVEL) 
VALUES (426, 'TXN_PRD_INSURANCE_JOIN_CAMPAIGN', 'SCHEME', 'List of rewarded campaign codes by insurance policy', 'List of rewarded campaign codes by insurance policy', 'STRING', 'SYSTEM', TIMESTAMP '2026-09-15 00:00:00.000000', 'SYSTEM', TIMESTAMP '2026-09-15 00:00:00.000000', 'SYSTEM', TIMESTAMP '2026-09-15 00:00:00.000000', 20260915, 'Product Attribute', '==|!=|IN|NOT_IN', 'N');
INSERT INTO OLOYALTY.PROGRAM_ATTRIBUTE_SERVICE_TYPE (PROGRAM_ID, "ATTRIBUTE", SERVICE_TYPE, NAME, DESCRIPTION, DATA_TYPE, CREATED_BY, CREATED_AT, UPDATED_BY, UPDATED_AT, APPROVED_BY, APPROVED_AT, CREATED_YMD, GROUP_NAME, OPERATORS, ENABLE_COUNTER_LEVEL)
VALUES (426, 'TXN_PRD_INSURANCE_JOIN_CAMPAIGN', 'COUNTER', 'List of rewarded campaign codes by insurance policy', 'List of rewarded campaign codes by insurance policy', 'STRING', 'SYSTEM', TIMESTAMP '2026-09-15 00:00:00.000000', 'SYSTEM', TIMESTAMP '2026-09-15 00:00:00.000000', 'SYSTEM', TIMESTAMP '2026-09-15 00:00:00.000000', 20260915, 'Product Attribute', '==|!=|IN|NOT_IN', 'N');
ALTER TABLE OLOYALTY.KAFKA_AUDIT_TRAIL_PRODUCT_INFO ADD (
    PRD_INSURANCE_JOIN_CAMPAIGN  VARCHAR2(1000)
);
ALTER TABLE OLOYALTY.CUSTOMER_PRODUCT_INFO_VERSIONING ADD (
    PRD_INSURANCE_JOIN_CAMPAIGN  VARCHAR2(1000)
);
ALTER TABLE OLOYALTY.CUSTOMER_PRODUCT_INFO ADD (
    PRD_INSURANCE_JOIN_CAMPAIGN  VARCHAR2(1000)
); -- https://techcombank.atlassian.net/browse/EBLIF-9513
-- =====================================================================
-- AC1: Insert Master Data cho event 120566
-- =====================================================================
INSERT INTO OLOYALTY.ATTRIBUTE_MASTER_DATA (PROGRAM_ID, ATTRIBUTE_CODE, ATTRIBUTE_TYPE, VALUE, STATUS, DESCRIPTION, CREATED_BY, CREATED_AT, UPDATED_BY, UPDATED_AT, APPROVED_BY, APPROVED_AT, CREATED_YMD) 
VALUES (426, 'EVENT_CODE', '1', '120566', 'A', 'Liên kết ví điện tử lần đầu', 'SYSTEM', TIMESTAMP '2026-09-15 00:00:00.000000', 'SYSTEM', TIMESTAMP '2026-09-15 00:00:00.000000', 'SYSTEM', TIMESTAMP '2026-09-15 00:00:00.000000', 20260915);
INSERT INTO OLOYALTY.ATTRIBUTE_MASTER_DATA (PROGRAM_ID, ATTRIBUTE_CODE, ATTRIBUTE_TYPE, VALUE, STATUS, DESCRIPTION, CREATED_BY, CREATED_AT, UPDATED_BY, UPDATED_AT, APPROVED_BY, APPROVED_AT, CREATED_YMD) 
VALUES (426, 'EVENT_NAME', '1', '120566', 'A', 'Liên kết ví điện tử lần đầu', 'SYSTEM', TIMESTAMP '2026-09-15 00:00:00.000000', 'SYSTEM', TIMESTAMP '2026-09-15 00:00:00.000000', 'SYSTEM', TIMESTAMP '2026-09-15 00:00:00.000000', 20260915);
-- =====================================================================
-- AC2: Add TXN_PROD_OPEN_DATE column
-- =====================================================================
ALTER TABLE KAFKA_AUDIT_TRAIL_EARN_EVENT ADD (
    TXN_PROD_OPEN_DATE   VARCHAR2(255)
); -- https://techcombank.atlassian.net/browse/EBLIF-9931
-- =====================================================================
-- Attribute for Product: PRD_PMBH_IND
-- =====================================================================
INSERT INTO OLOYALTY.PROGRAM_TRANSACTION_ATTRIBUTE (PROGRAM_ID, "ATTRIBUTE", DESCRIPTION, DATA_TYPE, CREATED_BY, CREATED_AT, UPDATED_BY, UPDATED_AT, APPROVED_BY, APPROVED_AT, CREATED_YMD, NAME, DATA_TYPE_DISPLAY, GROUP_NAME, OPERATORS, VALUE_VALIDATION_PATTERN, STATUS, HAVING_MASTER_DATA, ENABLE_VALIDATE_MASTER_DATA) 
VALUES (426, 'TXN_PRD_PMBH_IND', 'PMBH linkage indicator', 'STRING', 'SYSTEM', TIMESTAMP '2026-09-15 00:00:00.000000', 'SYSTEM', TIMESTAMP '2026-09-15 00:00:00.000000', 'SYSTEM', TIMESTAMP '2026-09-15 00:00:00.000000', 20260915, 'PMBH linkage indicator', 'TEXT', 'Product Attribute', '==|!=|IN|NOT_IN', NULL, 'A', 'Y', 1);
INSERT INTO OLOYALTY.PROGRAM_ATTRIBUTE_SERVICE_TYPE (PROGRAM_ID, "ATTRIBUTE", SERVICE_TYPE, NAME, DESCRIPTION, DATA_TYPE, CREATED_BY, CREATED_AT, UPDATED_BY, UPDATED_AT, APPROVED_BY, APPROVED_AT, CREATED_YMD, GROUP_NAME, OPERATORS, ENABLE_COUNTER_LEVEL) 
VALUES (426, 'TXN_PRD_PMBH_IND', 'ESCROW_POINT', 'PMBH linkage indicator', 'PMBH linkage indicator', 'STRING', 'SYSTEM', TIMESTAMP '2026-09-15 00:00:00.000000', 'SYSTEM', TIMESTAMP '2026-09-15 00:00:00.000000', 'SYSTEM', TIMESTAMP '2026-09-15 00:00:00.000000', 20260915, 'Product Attribute', '==|!=|IN|NOT_IN', 'N');
INSERT INTO OLOYALTY.PROGRAM_ATTRIBUTE_SERVICE_TYPE (PROGRAM_ID, "ATTRIBUTE", SERVICE_TYPE, NAME, DESCRIPTION, DATA_TYPE, CREATED_BY, CREATED_AT, UPDATED_BY, UPDATED_AT, APPROVED_BY, APPROVED_AT, CREATED_YMD, GROUP_NAME, OPERATORS, ENABLE_COUNTER_LEVEL) 
VALUES (426, 'TXN_PRD_PMBH_IND', 'LIMITATION', 'PMBH linkage indicator', 'PMBH linkage indicator', 'STRING', 'SYSTEM', TIMESTAMP '2026-09-15 00:00:00.000000', 'SYSTEM', TIMESTAMP '2026-09-15 00:00:00.000000', 'SYSTEM', TIMESTAMP '2026-09-15 00:00:00.000000', 20260915, 'Product Attribute', '==|!=|IN|NOT_IN', 'N');
INSERT INTO OLOYALTY.PROGRAM_ATTRIBUTE_SERVICE_TYPE (PROGRAM_ID, "ATTRIBUTE", SERVICE_TYPE, NAME, DESCRIPTION, DATA_TYPE, CREATED_BY, CREATED_AT, UPDATED_BY, UPDATED_AT, APPROVED_BY, APPROVED_AT, CREATED_YMD, GROUP_NAME, OPERATORS, ENABLE_COUNTER_LEVEL) 
VALUES (426, 'TXN_PRD_PMBH_IND', 'SCHEME', 'PMBH linkage indicator', 'PMBH linkage indicator', 'STRING', 'SYSTEM', TIMESTAMP '2026-09-15 00:00:00.000000', 'SYSTEM', TIMESTAMP '2026-09-15 00:00:00.000000', 'SYSTEM', TIMESTAMP '2026-09-15 00:00:00.000000', 20260915, 'Product Attribute', '==|!=|IN|NOT_IN', 'N');
INSERT INTO OLOYALTY.PROGRAM_ATTRIBUTE_SERVICE_TYPE (PROGRAM_ID, "ATTRIBUTE", SERVICE_TYPE, NAME, DESCRIPTION, DATA_TYPE, CREATED_BY, CREATED_AT, UPDATED_BY, UPDATED_AT, APPROVED_BY, APPROVED_AT, CREATED_YMD, GROUP_NAME, OPERATORS, ENABLE_COUNTER_LEVEL) 
VALUES (426, 'TXN_PRD_PMBH_IND', 'COUNTER', 'PMBH linkage indicator', 'PMBH linkage indicator', 'STRING', 'SYSTEM', TIMESTAMP '2026-09-15 00:00:00.000000', 'SYSTEM', TIMESTAMP '2026-09-15 00:00:00.000000', 'SYSTEM', TIMESTAMP '2026-09-15 00:00:00.000000', 20260915, 'Product Attribute', '==|!=|IN|NOT_IN', 'N');
-- Insert Master Data cho PRD_PMBH_IND
INSERT INTO OLOYALTY.ATTRIBUTE_MASTER_DATA (PROGRAM_ID, ATTRIBUTE_CODE, ATTRIBUTE_TYPE, VALUE, STATUS, DESCRIPTION, CREATED_BY, CREATED_AT, UPDATED_BY, UPDATED_AT, APPROVED_BY, APPROVED_AT, CREATED_YMD) 
VALUES (426, 'TXN_PRD_PMBH_IND', '1', 'Y', 'A', 'Có liên kết PMBH', 'SYSTEM', TIMESTAMP '2026-09-15 00:00:00.000000', 'SYSTEM', TIMESTAMP '2026-09-15 00:00:00.000000', 'SYSTEM', TIMESTAMP '2026-09-15 00:00:00.000000', 20260915);
INSERT INTO OLOYALTY.ATTRIBUTE_MASTER_DATA (PROGRAM_ID, ATTRIBUTE_CODE, ATTRIBUTE_TYPE, VALUE, STATUS, DESCRIPTION, CREATED_BY, CREATED_AT, UPDATED_BY, UPDATED_AT, APPROVED_BY, APPROVED_AT, CREATED_YMD) 
VALUES (426, 'TXN_PRD_PMBH_IND', '1', 'N', 'A', 'Không liên kết PMBH', 'SYSTEM', TIMESTAMP '2026-09-15 00:00:00.000000', 'SYSTEM', TIMESTAMP '2026-09-15 00:00:00.000000', 'SYSTEM', TIMESTAMP '2026-09-15 00:00:00.000000', 20260915);
ALTER TABLE OLOYALTY.KAFKA_AUDIT_TRAIL_PRODUCT_INFO ADD (
    PRD_PMBH_IND  VARCHAR2(1000)
);
ALTER TABLE OLOYALTY.CUSTOMER_PRODUCT_INFO_VERSIONING ADD (
    PRD_PMBH_IND  VARCHAR2(1000)
);
ALTER TABLE OLOYALTY.CUSTOMER_PRODUCT_INFO ADD (
    PRD_PMBH_IND  VARCHAR2(1000)
);</t>
  </si>
  <si>
    <t>2026-06-06</t>
  </si>
  <si>
    <t>Save_cost, dataplatform</t>
  </si>
  <si>
    <t>V/v rà soát user định kỳ sau khi nhân sự chuyển bộ phận</t>
  </si>
  <si>
    <t>2026-06-05</t>
  </si>
  <si>
    <t>2026-09-22T15:36:42.741+0700</t>
  </si>
  <si>
    <t>2026-09-22T15:36:49.167+0700</t>
  </si>
  <si>
    <t xml:space="preserve">Dear anh Duy, và A/E DBA teams Do có nhân sự Teams là anh Hà Văn Vượng( vuong.ha@onemount.com ) đã được điều chuyển sang dự án, teams tiến hành rà soát lock user của anh Vượng trên all instance database OM Anh/Em rà soát theo danh sách instance mình PIC   CC các anh/em nhận thông tin:  @Phạm Tuấn Linh   @Nguyễn Văn Dũng   @Đoàn Việt Hưng   @Trần Đức Thịnh  </t>
  </si>
  <si>
    <t>2026-06-04</t>
  </si>
  <si>
    <t>[GSM][PROD] Update trạng thái đơn hàng GSM thành finished</t>
  </si>
  <si>
    <t>2026-09-22T14:25:22.933+0700</t>
  </si>
  <si>
    <t>2026-09-22T14:25:34.358+0700</t>
  </si>
  <si>
    <t>SonarQube</t>
  </si>
  <si>
    <t>Hi Nghĩa, Nhờ em chạy giúp anh thông tin dưới đây: IP:  172.31.1.41 Database:  vincart_mm_order Script: UPDATE `orders` SET `status`='FINISHED', finished_at = updated_at WHERE code = 'MEDAL2A5'; Reference:  https://chat.google.com/room/AAAAcRDBf68/OZwX3MbASD4/69qTu1NRsPc?cls=10</t>
  </si>
  <si>
    <t>2026-06-03</t>
  </si>
  <si>
    <t>[PROD] [VCM] Xóa duplicate data language</t>
  </si>
  <si>
    <t>2026-09-22T14:23:48.132+0700</t>
  </si>
  <si>
    <t>2026-09-22T14:24:01.836+0700</t>
  </si>
  <si>
    <t>SP</t>
  </si>
  <si>
    <t>2026-06-02</t>
  </si>
  <si>
    <t>VCM-QBR2.2026</t>
  </si>
  <si>
    <t>Dear DBA Team, Nhờ a/ce hỗ trợ chạy script xóa  dữ liệu bị trùng Thông tin DB: Database name: vincart_mm_product
IP: 172.31.1.41 Script: -- 0. Tắt safe update mode nếu dùng MySQL Workbench/CLI có bật (tránh lỗi "Error Code: 1175")
SET SQL_SAFE_UPDATES = 0;
-- 1. Backup trước khi xóa
CREATE TABLE languages_bak AS SELECT * FROM languages;
-- 2. Preview các nhóm bị trùng theo channel, entity_id, entity_name, language
SELECT channel, entity_id, entity_name, language, COUNT(*) AS total, GROUP_CONCAT(id ORDER BY id) AS ids
FROM languages
GROUP BY channel, entity_id, entity_name, language
HAVING COUNT(*) &gt; 1;
-- 3. Xóa trùng, giữ lại id lớn nhất trong mỗi nhóm
DELETE l1
FROM languages l1
INNER JOIN languages l2
    ON l1.channel     = l2.channel
   AND l1.entity_id    =l2.entity_id
   AND l1.entity_name = l2.entity_name
   AND l1.language     =l2.language
   AND l1.id &lt; l2.id;
-- 4. Bật lại safe update mode (tùy chọn)
SET SQL_SAFE_UPDATES = 1;</t>
  </si>
  <si>
    <t>T-Pay</t>
  </si>
  <si>
    <t>2026-06-01</t>
  </si>
  <si>
    <t>[TPAY][NON-PROD] Tạo tài khoản SFTP cho merchant non-prod lấy file báo cáo đối soát</t>
  </si>
  <si>
    <t>2026-09-22T10:47:07.580+0700</t>
  </si>
  <si>
    <t>2026-09-22T10:47:17.639+0700</t>
  </si>
  <si>
    <t>TCB</t>
  </si>
  <si>
    <t>Dự án Tpay cần cấp tài khoản và 1 thư mục con trong thư mục trong thư mục tpay dành cho testing để đọc file từ sFTP server. Thông tin sFTP server cần kết nối đến: Non-prod:  10.255.145.108 Nhờ team support tạo server và cấp account cho dự án. Em gửi tên thư mục và folder bao gồm các thư mục sau: 1. Account: ecombc1709 Folder: ecombc1709 2. Account: SMARTPOS260917 Folder: SMARTPOS260917 3. Account: NCCNQD8W Folder: NCCNQD8W</t>
  </si>
  <si>
    <t>2026-05 Total</t>
  </si>
  <si>
    <t>[PROD][UPAY] AuthOM -Tạo 8 account Ops Portal  cho QC bên MP</t>
  </si>
  <si>
    <t>tcb-saleapp</t>
  </si>
  <si>
    <t>2026-09-22T10:35:23.496+0700</t>
  </si>
  <si>
    <t>2026-05-31</t>
  </si>
  <si>
    <t>2026-09-25T11:40:55.942+0700</t>
  </si>
  <si>
    <t>AuthOM</t>
  </si>
  <si>
    <t>Anh  @Đào Công Nghĩa   ơi, Nhờ anh chạy giúp em script sau ạ: Thông tin database: Project:   onemg-general-prod Instance:   auth-om Master IP:   172.31.4.103 Database:   auth_om Script: UPDATE `User`
SET username     = 'anhdt32',
    db_id        = '3307',
    `connection` = '3307'
WHERE tenant_id = 'TPAY-PORTAL-PROD'
  AND id = 'c979aea3e4b6464499d9f895cf11ece9'
  AND email = 'anhdt32@onemount.com';
UPDATE `User`
SET username     = 'phuongltx',
    db_id        = '3307',
    `connection` = '3307'
WHERE tenant_id = 'TPAY-PORTAL-PROD'
  AND id = 'c979aea3e4b6464499d9f895cf11ece9'
  AND email = 'phuongltx@onemount.com';
UPDATE `User`
SET username     = 'lan.le',
    db_id        = '3307',
    `connection` = '3307'
WHERE tenant_id = 'TPAY-PORTAL-PROD'
  AND id = 'c979aea3e4b6464499d9f895cf11ece9'
  AND email = 'lan.le@onemount.com';
UPDATE `User`
SET username     = 'phuong.le3',
    db_id        = '3307',
    `connection` = '3307'
WHERE tenant_id = 'TPAY-PORTAL-PROD'
  AND id = 'c979aea3e4b6464499d9f895cf11ece9'
  AND email = 'phuong.le3@onemount.com';
UPDATE `User`
SET username     = 'hungdh4',
    db_id        = '3307',
    `connection` = '3307'
WHERE tenant_id = 'TPAY-PORTAL-PROD'
  AND id = 'c979aea3e4b6464499d9f895cf11ece9'
  AND email = 'hungdh4@onemount.com';
UPDATE `User`
SET username     = 'anh.chu',
    db_id        = '3307',
    `connection` = '3307'
WHERE tenant_id = 'TPAY-PORTAL-PROD'
  AND id = 'c979aea3e4b6464499d9f895cf11ece9'
  AND email = 'anh.chu@onemount.com';
UPDATE `User`
SET username     = 'lien.pham1',
    db_id        = '3307',
    `connection` = '3307'
WHERE tenant_id = 'TPAY-PORTAL-PROD'
  AND id = 'c979aea3e4b6464499d9f895cf11ece9'
  AND email = 'lien.pham1@onemount.com';
UPDATE `User`
SET username     = 'ngocvth',
    db_id        = '3307',
    `connection` = '3307'
WHERE tenant_id = 'TPAY-PORTAL-PROD'
  AND id = 'c979aea3e4b6464499d9f895cf11ece9'
  AND email = 'ngocvth@onemount.com';</t>
  </si>
  <si>
    <t>TPAY</t>
  </si>
  <si>
    <t>2026-05-30</t>
  </si>
  <si>
    <t>TRACK&amp;TRACE</t>
  </si>
  <si>
    <t>2026-09-22T10:29:02.390+0700</t>
  </si>
  <si>
    <t>2026-09-22T10:29:08.450+0700</t>
  </si>
  <si>
    <t>2026-05-29</t>
  </si>
  <si>
    <t>Hi Nghĩa, Nhờ em chạy giúp anh thông tin dưới đây: IP:  172.31.4.9 Database:  ecom_configuration Script: UPDATE `merchant_payment_configs` SET `loyalty_service_code`='POINT_ACCEPTANCE' WHERE id in (694, 696);</t>
  </si>
  <si>
    <t>TSA</t>
  </si>
  <si>
    <t>2026-05-28</t>
  </si>
  <si>
    <t xml:space="preserve">[om][pms][prod] Xin cấp mongo cho dự án Procurement Mgmt System </t>
  </si>
  <si>
    <t>2026-09-21T23:55:12.771+0700</t>
  </si>
  <si>
    <t>2026-09-22T19:07:51.474+0700</t>
  </si>
  <si>
    <t>Hi anh  @Phạm Tuấn Linh   Nhờ anh cấp giúp em 1 db trên mongo cho dự án PMS này với nhé cụm mongo: 10.255.24.63, 10.255.24.64, 10.255.24.65 db name:  pms_prod</t>
  </si>
  <si>
    <t>Tuning</t>
  </si>
  <si>
    <t>2026-05-27</t>
  </si>
  <si>
    <t>[MAG][IOTek][MCM][PROD] backup data</t>
  </si>
  <si>
    <t>2026-09-21T23:54:49.252+0700</t>
  </si>
  <si>
    <t>update_version</t>
  </si>
  <si>
    <t>2026-09-22T10:02:14.884+0700</t>
  </si>
  <si>
    <t>2026-05-26</t>
  </si>
  <si>
    <t>Nhờ các anh DBA backup dữ liệu theo điều kiện sau giúp em với ạ. Schema: ces_mcm_storage Table: dc_documents SELECT * FROM dc_documents dd WHERE dd.project_id =  '65424d87-c875-4d9e-8b22-ba00bb048c4a';</t>
  </si>
  <si>
    <t>vault</t>
  </si>
  <si>
    <t>Release Plan 22/09/2026 - UCO scan &amp; pay</t>
  </si>
  <si>
    <t>2026-05-25</t>
  </si>
  <si>
    <t>2026-09-21T22:14:04.743+0700</t>
  </si>
  <si>
    <t>2026-09-21T22:56:26.846+0700</t>
  </si>
  <si>
    <t>Nhờ  @Đào Công Nghĩa  chạy giúp thông tin dưới đây: Project: vincart-prod instance: main ip: 172.31.4.9 DB: ecom_transaction DB type: Mysql Script: ALTER TABLE `transactions`
    ADD COLUMN `settlement_status` varchar(50);
ALTER TABLE `transactions`
    ADD COLUMN `settled_at` datetime AFTER `settlement_status`; Kiểm tra dữ liệu trước khi chạy. Nếu dữ liệu không nhiều và chạy không  bị block database thì có thể chạy ban ngày.</t>
  </si>
  <si>
    <t>2026-05-23</t>
  </si>
  <si>
    <t>2026-09-21T18:02:18.263+0700</t>
  </si>
  <si>
    <t>2026-09-21T18:02:25.549+0700</t>
  </si>
  <si>
    <t>QR247, tpay</t>
  </si>
  <si>
    <t>Description @Đào Công Nghĩa  Nhờ em chạy giúp script bên dưới nhé Thông tin DB: saas_tpay: mysql://pay-tidb.int.onemount.com:4000/saas_tpay UPDATE TRANSACTION_MASTER SET service_name='ECOM_INTERNATIONAL_CARD' WHERE id = '3022ed58831242bfacd361706e31ae28';
UPDATE TRANSACTION_MASTER SET service_name='ECOM_INTERNATIONAL_CARD' WHERE id = '4d2f9e8b57f84dc481b606c38a4ff373';</t>
  </si>
  <si>
    <t>2026-05-22</t>
  </si>
  <si>
    <t>Total OM</t>
  </si>
  <si>
    <t>2026-05-21</t>
  </si>
  <si>
    <t>Yêu cầu tạo tài khoản DEV cho đội vận hành và phát triển SAP theo file đính kèm</t>
  </si>
  <si>
    <t>2026-09-21T17:09:00.286+0700</t>
  </si>
  <si>
    <t>2026-09-21T18:32:30.279+0700</t>
  </si>
  <si>
    <t>AI</t>
  </si>
  <si>
    <t>[OMC][GAMI][Prod] Hỗ trợ xuất data user có tham gia chơi cho campaign Đường đua chông gai 2026</t>
  </si>
  <si>
    <t>2026-05-20</t>
  </si>
  <si>
    <t>2026-09-21T14:33:09.358+0700</t>
  </si>
  <si>
    <t>2026-09-21T14:33:20.477+0700</t>
  </si>
  <si>
    <t>Hỗ trợ xuất data user có tham gia chơi cho campaign Đường đua chông gai 2026 (có sử dụng lượt) Host: 172.31.1.14 DB: gamezone Query: SELECT DISTINCT user_id 
FROM score_transactions 
WHERE campaign_id = 859;  </t>
  </si>
  <si>
    <t>2026-05-19</t>
  </si>
  <si>
    <t>[UPAY][PROD] Support update trạng thái thiết bị smartpos + trạng thái merchant</t>
  </si>
  <si>
    <t>2026-09-21T14:19:42.630+0700</t>
  </si>
  <si>
    <t>2026-09-21T14:20:10.574+0700</t>
  </si>
  <si>
    <t>Hi a   @Nguyễn Văn Dũng  , nhờ a chạy giúp e script update thiết bị Thời gian:  21/09/2026 Script:  Thông tin database:  mysql://pay-tidb.int.onemount.com:4000/saas_tpay UPDATE UNIFIED_MERCHANT SET status = 'WAITING_ACTIVE' WHERE merchant_code = 'NCC47579'; -- 1. Bảng SMARTPOS_DEVICE_MAPPING
UPDATE SMARTPOS_DEVICE_MAPPING
SET device_id = 'SP_GINI_X990_PRO_VF00011677',
    device_serial_number = 'VF00011677'
WHERE merchant_code = 'NCCG7VPB';
-- 2. Bảng SMARTPOS_DEVICE_MAPPING_HISTORY
UPDATE SMARTPOS_DEVICE_MAPPING_HISTORY
SET device_id = 'SP_GINI_X990_PRO_VF00011677',
    device_serial_number = 'VF00011677'
WHERE merchant_code = 'NCCG7VPB';
-- 3. Bảng TCB_DEVICE
UPDATE TCB_DEVICE
SET device_id = 'SP_GINI_X990_PRO_VF00011677',
    device_serial_number = 'VF00011677'
WHERE device_serial_number LIKE '%VF00011677%';
-- 4. Bảng TCB_DEVICE_HISTORY
UPDATE TCB_DEVICE_HISTORY
SET device_id = 'SP_GINI_X990_PRO_VF00011677',
    device_serial_number = 'VF00011677'
WHERE device_serial_number LIKE '%VF00011677%';</t>
  </si>
  <si>
    <t>[OMC][GAMI][Prod] Hỗ trợ xuất data cho campaign Đường đua chông gai 2026 (tuần 4)</t>
  </si>
  <si>
    <t>2026-09-21T12:20:55.079+0700</t>
  </si>
  <si>
    <t>2026-09-21T12:21:01.632+0700</t>
  </si>
  <si>
    <t>2026-05-18</t>
  </si>
  <si>
    <t>Hỗ trợ xuất data cho campaign Đường đua chông gai 2026 (tuần 4) Thưởng theo lịch sử phát sinh cộng/trừ xu theo tuần  Host: 172.31.1.14 DB: gamezone Query: Tuần 4 SELECT user_id, SUM(amount) as total 
FROM score_transactions st 
WHERE campaign_id = 859 and created_at &gt;= '2026-09-14 00:00:00' and created_at &lt; '2026-09-21 00:00:00'
group by user_id 
order by total desc;  </t>
  </si>
  <si>
    <t>authom</t>
  </si>
  <si>
    <t>2026-05-16</t>
  </si>
  <si>
    <t xml:space="preserve"> [MAG][Fins Platform][NonProd] Nhờ cấp TK read-only cho BI service database nôi trương Non-prod</t>
  </si>
  <si>
    <t>2026-09-21T11:00:49.127+0700</t>
  </si>
  <si>
    <t>Fins</t>
  </si>
  <si>
    <t>BasePlatform</t>
  </si>
  <si>
    <t>2026-05-15</t>
  </si>
  <si>
    <t>Dear Data team , Đội dự án đang xây dựng service BI làm Dashboard &amp; Report . Nhờ team cấp tài khoản read-only và tối ưu cho việc query data Thông tin DB cần truy cập :  HOST :  mag-common-sandbox-postgres.czqi8qus0dv0.ap-southeast-1.rds.amazonaws.com Database :  fins_platform_core_dev fins_platform_core_qc fins_platform_core_uat</t>
  </si>
  <si>
    <t>2026-05-14</t>
  </si>
  <si>
    <t>[PROD] [19/09/2026] [UPay] Support release plan golive</t>
  </si>
  <si>
    <t>2026-09-21T09:03:59.908+0700</t>
  </si>
  <si>
    <t>2026-09-21T09:04:08.482+0700</t>
  </si>
  <si>
    <t>Billservice, topup</t>
  </si>
  <si>
    <t>2026-05-13</t>
  </si>
  <si>
    <t>Hi a   @Nguyễn Văn Dũng  , nhờ a chạy giúp e script bên dưới khi bắt đầu golive với ạ Thời gian golive: 23h59p ngày 19/09/2026 Release golive:    CR:    Thông tin database:  mysql://pay-tidb.int.onemount.com:4000/saas_tpay Script: -- cột fee_collection_config (null | AUTO) cho onboard merchant SmartPOS
ALTER TABLE SERVICE ADD COLUMN fee_collection_config VARCHAR(20) NULL;
ALTER TABLE UNIFIED_MERCHANT_SERVICE ADD COLUMN fee_collection_config VARCHAR(20) NULL;</t>
  </si>
  <si>
    <t>BO</t>
  </si>
  <si>
    <t>2026-05-12</t>
  </si>
  <si>
    <t>[OneU Loyalty Core] RTO/RPO - Dựng DB standby cho hệ thống Loyalty oracle loadtest</t>
  </si>
  <si>
    <t>2026-09-21T08:47:20.071+0700</t>
  </si>
  <si>
    <t>2026-09-21T08:47:35.589+0700</t>
  </si>
  <si>
    <t>Booking</t>
  </si>
  <si>
    <t>2026-05-11</t>
  </si>
  <si>
    <t>Nhằm phục vụ việc kiểm thử khôi phục DB/ service liên quan hệ thống OneU Loyalty Core. Dự án sẽ thực hiện trên môi trường Loyalty oracle loadtest. Vì vậy, cần xây dựng thêm DB standby cho DB loyalty cho tương tự như môi trường prod đang có để tiến hành loadtest + chuẩn hóa quy trình (nếu cần). Hạ tầng cấp mới sẽ clone từ VM đang chạy: https://console.cloud.google.com/compute/instancesDetail/zones/asia-east1-b/instances/oracle-loadtest?project=vinid-loyalty-nonprod 10.255.134.191 oracle-loadtest.asia-east1-b.c.vinid-loyalty-nonprod.internal oracle-loadtest Đang ở Zone B: asia-east1-b Clone sang 1 VM mới, đặt tên: oracle-loadtest-standby Đặt tại Zone C:  asia-east1-c</t>
  </si>
  <si>
    <t>CDP</t>
  </si>
  <si>
    <t>2026-05-10</t>
  </si>
  <si>
    <t>[CLMS][OM][MAG][PRO-20-09] hot fix update data config CLMS</t>
  </si>
  <si>
    <t>2026-09-21T08:21:31.248+0700</t>
  </si>
  <si>
    <t>core_platform</t>
  </si>
  <si>
    <t>2026-09-21T08:46:17.668+0700</t>
  </si>
  <si>
    <t>2026-05-09</t>
  </si>
  <si>
    <t>Dear Team @Phạm Hồng Quang   @Phạm Tuấn Linh CLM - Contract Lifecycle Management cần int data cho golive ngày 16/09. Nhờ anh em thêm giúp nhé. Database:
project gcp: onemg-integration-platform-prd
instance(IP): main (172.31.1.118)
Database name: clm_prod_mysql Query 1: Chạy query này xong ae cho mình id của bản ghi này nhé. insert into clm_prod_mysql.MediaFolder ( createdAt, createdBy, deleted, lastModifiedAt, lastModifiedBy, version, path, qualifier)
values  ( '2026-08-18 00:00:00', 'clms_admin@gmail.com', false, '2026-08-18 00:00:00', 'clms_admin@gmail.com', 1, 'ctms_contract', 'ctms_contract'); Query 2: UPDATE DocumentHistoryActivity h
JOIN Contract c ON c.id = h.documentId
SET h.nameOfModel = CASE WHEN UPPER(c.type) = 'ADDENDUM' THEN 'ADDENDUM' ELSE 'CONTRACT' END
WHERE h.nameOfModel = 'Contract';
UPDATE DocumentHistoryActivity h
JOIN DocTemplate t ON t.id = h.documentId
SET h.nameOfModel = CASE t.templateType
    WHEN 'SECTION' THEN 'SECTIONTEMPLATE'
    WHEN 'TERM' THEN 'TERMTEMPLATE'
    WHEN 'CONTRACT' THEN 'CONTRACTTEMPLATE'
    ELSE h.nameOfModel END
WHERE h.nameOfModel = 'DocTemplate';</t>
  </si>
  <si>
    <t>2026-05-08</t>
  </si>
  <si>
    <t>[QR247][PROD]-Hỗ trợ cấu hình merchant tích hợp dịch vụ TCB QR247</t>
  </si>
  <si>
    <t>2026-09-19T22:45:36.375+0700</t>
  </si>
  <si>
    <t>2026-09-19T22:45:45.985+0700</t>
  </si>
  <si>
    <t>CP, MiniApp</t>
  </si>
  <si>
    <t>2026-05-07</t>
  </si>
  <si>
    <t>Dear anh/em team DBA, Nhờ các anh chạy giúp em lệnh bên dưới để cấu hình thông tin kết nối cho các merchant tích hợp dịch vụ ạ Thông tin DB:  pay-tidb.int.onemount.com:4000/saas_tpay Script:  INSERT INTO PARTNER (client_id, name, public_key, enable, merchant_code)
VALUES ('ubSqtfXrMmmjZtQilDrKNYhHJzSDHJPE', 'BV San nhi BN2', '-----BEGIN PUBLIC KEY-----
MIIBIjANBgkqhkiG9w0BAQEFAAOCAQ8AMIIBCgKCAQEAsj0FegYivEF7Wrqi3oNO
8acxlZ7bC8NKEzeDDKJeuxNbZim5OBXDWi0rbU1SGGd2SegRjsceU4DYuGth2kO0
cWASxhxvYRGU46uW71RLvZm3SzfJh8uV4kNRAwEZFLUUYMXMFvS6NyJvJQ/iL4fw
W5zbYOtkkH+E71xjd8cQ6HLI+u5qLjcq0bNL6/qrdqG/VlzP4AG0+kFKgP7B8GBm
T8c8kFS4ittRNIF/SBfJaUiWa/4u7Ppn/fKcTRJVShQnNNXEbVIIEex5M2Tqr8V+
0EsuQRLcsCH70IrMHELPWT+6nPbNke5EsV0YK5cSFQcoS85r/ZlNcdDsUbOdnM0Y
SQIDAQAB
-----END PUBLIC KEY-----
', 1, 'BVSNBN2');
INSERT INTO MERCHANT_RECONCILE (merchant_code, tenant, enable, sftp_folder, pgp_public_key_base64,
                                pgp_partner_id, days_to_subtract, max_records_per_file)
VALUES ('BVSNBN2', 'OME', 1, '/bvsnbn2',
        'to_be_update',
        'to_be_update', 1, 10000);</t>
  </si>
  <si>
    <t>CRM</t>
  </si>
  <si>
    <t>2026-05-06</t>
  </si>
  <si>
    <t>[E-Invoice] [Prod] Update trạng thái Invoice Queue</t>
  </si>
  <si>
    <t>2026-09-19T22:10:25.256+0700</t>
  </si>
  <si>
    <t>2026-09-19T22:10:36.227+0700</t>
  </si>
  <si>
    <t>customer</t>
  </si>
  <si>
    <t>Hi  @Đào Công Nghĩa   Nhờ em chạy giúp anh thông tin bên dưới: IP:  172.31.1.102 Database:  oneu_e_invoice Scripts: UPDATE EInvoiceQueue SET status = 'WAITTING', retryCount = 0 WHERE status = 'FAILED' and createdAt &gt;= '2026-09-19 00:00:00';</t>
  </si>
  <si>
    <t>2026-05-05</t>
  </si>
  <si>
    <t>customer_platform</t>
  </si>
  <si>
    <t>2026-05-04</t>
  </si>
  <si>
    <t>[CLMS][OM][MAG][PRO-16-09] update data config CLMS</t>
  </si>
  <si>
    <t>2026-09-19T21:31:24.090+0700</t>
  </si>
  <si>
    <t>2026-09-19T21:31:32.998+0700</t>
  </si>
  <si>
    <t>data</t>
  </si>
  <si>
    <t>Dear Team @Phạm Hồng Quang   @Phạm Tuấn Linh CLM - Contract Lifecycle Management cần int data cho golive ngày 16/09. Nhờ anh em thêm giúp nhé. Database:
project gcp: onemg-integration-platform-prd
instance(IP): main (172.31.1.118)
Database name: clm_prod_mysql AE back up giúp trước khi update nhé UPDATE clm_prod_mysql.NotificationTemplate 
set authConfig='{"emailSender":"noreply@hub.masterisegroup.com","nameSender":"Masterise Group","apiKey":"${mag.notification.email.sendgrid_api_key}","templateId":"699c2a1c967549540e97b55a"}'
WHERE noticeType='EMAIL'</t>
  </si>
  <si>
    <t>2026-04 Total</t>
  </si>
  <si>
    <t>2026-09-19T12:46:05.027+0700</t>
  </si>
  <si>
    <t>2026-09-19T12:46:25.811+0700</t>
  </si>
  <si>
    <t>IP (Host):   ces-production.crcykac8kxtw.ap-southeast-1.rds.amazonaws.com Port:  3306 DB Name:  ces_mh_mpm Command:   update prj_projects set version = 0 where true;</t>
  </si>
  <si>
    <t>2026-04-29</t>
  </si>
  <si>
    <t>[PROD][OMC][AI] Hỗ trợ golive ngày 18/09</t>
  </si>
  <si>
    <t>2026-09-18T20:55:31.863+0700</t>
  </si>
  <si>
    <t>2026-09-19T10:14:24.256+0700</t>
  </si>
  <si>
    <t>Dear anh  @Đào Công Nghĩa  , Vào lúc 21h ngày 18/09 team OMC AI có thực hiện golive 1 số tính năng mới, team cần chạy các câu lệnh SQL nên nhờ anh trực hỗ trợ giúp team nhé ạ. Các câu SQL em sẽ để trong comment ạ. Em cảm ơn anh</t>
  </si>
  <si>
    <t>2026-04-28</t>
  </si>
  <si>
    <t>[Team OneNexus AIP] PostgreSQL for evaluation service (prod)</t>
  </si>
  <si>
    <t>DP, PS2</t>
  </si>
  <si>
    <t>2026-09-18T16:12:07.282+0700</t>
  </si>
  <si>
    <t>2026-09-18T16:12:16.431+0700</t>
  </si>
  <si>
    <t>FDP_AI_Agentic</t>
  </si>
  <si>
    <t>2026-04-27</t>
  </si>
  <si>
    <t xml:space="preserve">Description: Hi DBA Team,  Nhờ team hỗ trợ tạo PostgreSQL database cho service mới "evaluation" (Keystone) — service backend Service : evaluation (Keystone) Environment: prod Sizing : Default instance {{2 vCPU / 4GB RAM / 20GB storage }} (có thể điều chỉnh sau nếu tải tăng) </t>
  </si>
  <si>
    <t>Ecom, NewRetails</t>
  </si>
  <si>
    <t xml:space="preserve">[om][pms][prod] Xin cấp db cho dự án Procurement Mgmt System </t>
  </si>
  <si>
    <t>2026-09-18T14:52:50.218+0700</t>
  </si>
  <si>
    <t>2026-04-26</t>
  </si>
  <si>
    <t>2026-09-18T15:44:24.191+0700</t>
  </si>
  <si>
    <t>Hi anh  @Phạm Tuấn Linh   Nhờ anh cấp cho dự án Procurement-mgmt-system (PMS) DB mới với thông tin bên dứoi ạ gcp project: onemg-integration-platform-prd instance: main ( 172.31.1.118) db name:  pms_prod</t>
  </si>
  <si>
    <t>[MAG][IOTek][MCM][PROD] backup DB trước khi migrate DB</t>
  </si>
  <si>
    <t>2026-09-18T14:52:06.185+0700</t>
  </si>
  <si>
    <t>2026-04-25</t>
  </si>
  <si>
    <t>2026-09-18T16:19:47.130+0700</t>
  </si>
  <si>
    <t>Flash_Sales</t>
  </si>
  <si>
    <t>Do nhu cầu migrate databasa cây thư mục. Để đảm bảo an toàn nên em nhờ các anh DBA backup giúp em ạ. Schema: stg_storage Table: dc_documents, casbin_rule Backup theo điều kiện query sau, có note lại tổng số bản ghi giúp em ạ SELECT * FROM dc_documents dd WHERE dd.project_id  IN ( '7378f954-f9a8-4a73-a113-eb46749ff312', – DA3009 'e089c9e9-4603-46d9-b29d-47de2a8e260e', – DA3132 '717fe10c-a942-4411-b732-04409c157167', – DA3133 '7afa50c4-f2b1-47d7-a9f9-e201fde1ac9e', – DA3134 '23558f4a-e72c-4573-83d8-b0f06896d994', – DA3135 'c2c6987b-ba58-47c3-9b25-6c8cc8bb6ab8', – DA3149 '00185f6f-c6d1-4b19-b1d1-9886d4e23afd', – DA3150 '40dac1bc-ef56-45f6-b337-30c005a39ec5', – DA3160 '29a8a4aa-c29a-49d5-8c21-4803fe39d71c', – DA3161 '40acf24f-d138-4a77-83f6-eb0a5de53fdd', – DA3162 'a7dea6ef-71ae-4e58-8b75-4ae563646262', – DA3163 '1375b01a-f94f-4b72-912c-cb2a602ea642', – DA3164 '9acc75e5-7570-4de4-8663-91a835483afa'  – DA3165 ); SELECT COUNT :yellow_star: FROM dc_documents dd WHERE dd.project_id  IN ( '7378f954-f9a8-4a73-a113-eb46749ff312', – DA3009 'e089c9e9-4603-46d9-b29d-47de2a8e260e', – DA3132 '717fe10c-a942-4411-b732-04409c157167', – DA3133 '7afa50c4-f2b1-47d7-a9f9-e201fde1ac9e', – DA3134 '23558f4a-e72c-4573-83d8-b0f06896d994', – DA3135 'c2c6987b-ba58-47c3-9b25-6c8cc8bb6ab8', – DA3149 '00185f6f-c6d1-4b19-b1d1-9886d4e23afd', – DA3150 '40dac1bc-ef56-45f6-b337-30c005a39ec5', – DA3160 '29a8a4aa-c29a-49d5-8c21-4803fe39d71c', – DA3161 '40acf24f-d138-4a77-83f6-eb0a5de53fdd', – DA3162 'a7dea6ef-71ae-4e58-8b75-4ae563646262', – DA3163 '1375b01a-f94f-4b72-912c-cb2a602ea642', – DA3164 '9acc75e5-7570-4de4-8663-91a835483afa'  – DA3165 ); SELECT * FROM casbin_rule SELECT COUNT :yellow_star:  FROM casbin_rule</t>
  </si>
  <si>
    <t>2026-04-24</t>
  </si>
  <si>
    <t>[MAG][IOTek][MCM][PROD] cập nhật dữ liệu trước khi backup</t>
  </si>
  <si>
    <t>2026-09-18T14:51:40.985+0700</t>
  </si>
  <si>
    <t>2026-09-18T15:19:47.619+0700</t>
  </si>
  <si>
    <t>Flash_Sales, Loyalty</t>
  </si>
  <si>
    <t>2026-04-23</t>
  </si>
  <si>
    <t>Thực hiện cập nhật dữ liệu trước khi backup Schema: ces_mcm_storage Table: dc_documents SQL: UPDATE dc_documents SET project_id = '7378f954-f9a8-4a73-a113-eb46749ff312' WHERE project_id = 'b849fa94-8b2a-48ba-8322-eafeb6f5822c' and dd.path LIKE 'THE GLOBAL CITYCT 5/%';  //3 ban ghi UPDATE dc_documents SET project_id = 'c2c6987b-ba58-47c3-9b25-6c8cc8bb6ab8' WHERE project_id = '39e7f035-c23e-47e5-bc5a-61b91e4254a8' AND dd.path LIKE 'THE GLOBAL CITYCT 3/%';  //16 ban ghi UPDATE dc_documents SET project_id = '00185f6f-c6d1-4b19-b1d1-9886d4e23afd' WHERE project_id = 'c2c6987b-ba58-47c3-9b25-6c8cc8bb6ab8' AND dd.path LIKE 'THE GLOBAL CITYCT 4/%';  // 4 ban ghi UPDATE dc_documents SET project_id = '00185f6f-c6d1-4b19-b1d1-9886d4e23afd' WHERE project_id = '39e7f035-c23e-47e5-bc5a-61b91e4254a8' AND dd.path LIKE 'THE GLOBAL CITYCT 4/%';  // 15 ban ghi</t>
  </si>
  <si>
    <t>[SCM-MAG][HUB-SCC][Prod] Execute sql migration script for Golive HUB-SCC</t>
  </si>
  <si>
    <t>Flash_Sales, Loyalty, VCM</t>
  </si>
  <si>
    <t>2026-09-18T12:19:14.960+0700</t>
  </si>
  <si>
    <t>2026-09-18T12:21:03.667+0700</t>
  </si>
  <si>
    <t>2026-04-22</t>
  </si>
  <si>
    <t>Để phục vụ việc golive dự án HUB-SCC (SCM-MAG), nhờ team thực hiện migration sql cho database sau: gcp project: onemg-integration-platform-prd instance:  main ( 172.31.1.118)   DB: scc_hub_prod Script:  ALTER TABLE cm_pre_purchase_requisition_detail ADD COLUMN contract_item VARCHAR(255) NULL;
ALTER TABLE cm_purchase_order_detail ADD COLUMN contract_item VARCHAR(255) NULL;</t>
  </si>
  <si>
    <t>Flash_Sales, NewRetails</t>
  </si>
  <si>
    <t>2026-04-21</t>
  </si>
  <si>
    <t>[UPay][Saas][Prod] Nâng disk các node TiKV và TiFlash</t>
  </si>
  <si>
    <t>2026-09-18T11:20:27.007+0700</t>
  </si>
  <si>
    <t>2026-09-18T11:20:37.733+0700</t>
  </si>
  <si>
    <t>Do disk usage của các node tikv đã đến ngưỡng 90% DBA Team cần nâng disk của các node Tikv và tiflash như sau: before after diff 10.255.24.243 1500GB 2000GB 500GB 10.255.24.241 1500GB 2000GB 500GB 10.255.24.238 1500GB 2000GB 500GB 10.255.24.250 750GB 1000GB 250GB 10.255.24.251 750GB 1000GB 250GB</t>
  </si>
  <si>
    <t>Flash_Sales, NRs</t>
  </si>
  <si>
    <t>2026-04-20</t>
  </si>
  <si>
    <t>[UPP][PROD] -  Hỗ trợ cập nhật các trường hợp lệch amount của merchant MAISON ngày 21/8/2026</t>
  </si>
  <si>
    <t>2026-09-18T11:19:25.457+0700</t>
  </si>
  <si>
    <t>2026-09-18T11:19:37.134+0700</t>
  </si>
  <si>
    <t>Dear team DBA, Ngày 21/8 luồng đồng bộ dữ liệu từ Lake về OM phát sinh issue dẫn đến lệch trường amount của 887 giao dịch, nhờ các anh hỗ trợ team xử lý update lại ạ. Script em để trong file excel nội bộ   Thanks team</t>
  </si>
  <si>
    <t>Flash_Sales, ONEU</t>
  </si>
  <si>
    <t>2026-04-18</t>
  </si>
  <si>
    <t>[NonProd] Xin phân quyền quyền cho worker của OneNexus</t>
  </si>
  <si>
    <t>Flash_Sales, PS2</t>
  </si>
  <si>
    <t>2026-09-18T10:03:13.049+0700</t>
  </si>
  <si>
    <t>2026-09-18T10:03:54.401+0700</t>
  </si>
  <si>
    <t>onehub</t>
  </si>
  <si>
    <t>2026-04-17</t>
  </si>
  <si>
    <t>Onehub</t>
  </si>
  <si>
    <t>Description Để phục vụ cho việc golive dashboard OneHub V4, nhờ team phân quyền cho worker của OneNexus connect qua MySQL DB prod của CBP như sau: Mysql (172.31.0.67): Môi trường: dev &amp; uat User hiện tại: onx_dp_cdp_onehub_readonly Danh sách bảng cần phân quyền thêm (SELECT): omre_cbp_transaction_qc: transaction_histories omre_cbp_transaction_uat: transaction_histories omre_cbp_transaction: transaction_histories note: bổ sung thêm từ ticket  https://onemount.atlassian.net/browse/DBASD-11311</t>
  </si>
  <si>
    <t>2026-04-16</t>
  </si>
  <si>
    <t>[OMC][Prod] Xóa dữ liệu của dịch vụ Billpay và Topup trên hệ thống ODS</t>
  </si>
  <si>
    <t>2026-09-18T09:53:58.726+0700</t>
  </si>
  <si>
    <t>2026-09-18T12:20:14.253+0700</t>
  </si>
  <si>
    <t>Billpay/Topup</t>
  </si>
  <si>
    <t>2026-04-15</t>
  </si>
  <si>
    <t>Hi  @Đào Công Nghĩa Hiện tại trên OneU đã dừng cung cấp dịch vụ Billpay và Topup và đã backup data trên môi trường Prod. Anh tạo ticket này nhờ em tắt luồng đồng bộ và xóa dữ liệu trên ODS đi để tránh lãng phí tài nguyên nhé. Thông tin data nguồn topup Database:  https://console.cloud.google.com/sql/instances?project=vinid-topup-prod IP :  172.31.1.197:3306 schema:  topup table: order_transaction orders order_topup_item topup_items topup_product Thông tin data nguồn billpay Database:  https://console.cloud.google.com/sql/instances/main/overview?project=vinid-billservice-prod IP:  172.31.1.225:3306 schema:  bill_service table: bills orders order_transaction billing_services billing_providers order_bill prepaid_bill Reference:  Ticket off database:    Thời gian thực hiện: Sớm nhất có thể.</t>
  </si>
  <si>
    <t>2026-04-14</t>
  </si>
  <si>
    <t>2026-09-17T15:19:45.894+0700</t>
  </si>
  <si>
    <t>2026-09-17T15:38:37.690+0700</t>
  </si>
  <si>
    <t>Dear Team @Phạm Hồng Quang   @Phạm Tuấn Linh CLM - Contract Lifecycle Management cần int data cho golive ngày 16/09. Nhờ anh em thêm giúp nhé. Database:
project gcp: onemg-integration-platform-prd
instance(IP): main (172.31.1.118)
Database name: clm_prod_mysql</t>
  </si>
  <si>
    <t>2026-04-13</t>
  </si>
  <si>
    <t>HealthOS</t>
  </si>
  <si>
    <t>2026-04-11</t>
  </si>
  <si>
    <t>2026-04-10</t>
  </si>
  <si>
    <t xml:space="preserve">[SCM-MAG][HUB-SCC][Prod] Execute sql migration script for Golive HUB-SCC </t>
  </si>
  <si>
    <t>2026-09-17T15:16:16.400+0700</t>
  </si>
  <si>
    <t>2026-09-17T15:35:00.213+0700</t>
  </si>
  <si>
    <t>Loyalty, archive_loyalty</t>
  </si>
  <si>
    <t>2026-04-09</t>
  </si>
  <si>
    <t>Để phục vụ việc golive dự án HUB-SCC (SCM-MAG), nhờ team thực hiện migration sql cho database sau: gcp project: onemg-integration-platform-prd instance:  main ( 172.31.1.118)   DB: scc_hub_prod Thực hiện trước 13h ngày 18/09/2026 Script theo thứ tự: cm_refactor_data.sql cm_po_snapshot_migration.sql</t>
  </si>
  <si>
    <t>2026-04-08</t>
  </si>
  <si>
    <t>[Prod][OMC][Loyalty] Insert Product Code for release 19/09/2026</t>
  </si>
  <si>
    <t>2026-09-17T14:53:47.409+0700</t>
  </si>
  <si>
    <t>2026-09-17T15:06:45.647+0700</t>
  </si>
  <si>
    <t xml:space="preserve">Dear DBA Team, Nhờ team thực hiện  “Insert 226 Product Code“  vào db OLOYALTY trên prod. Thực hiện trước ngày 19/09/2026, thời gian bất kì khi nào (do dữ liệu là master data).  </t>
  </si>
  <si>
    <t>Loyalty, PS2, archive_loyalty</t>
  </si>
  <si>
    <t>2026-04-07</t>
  </si>
  <si>
    <t>[OMC][Loyalty-PS2] Thực hiện add thêm disk DATA trên VM DB Oracle Loyalty</t>
  </si>
  <si>
    <t>Loyalty, VCM</t>
  </si>
  <si>
    <t>2026-09-17T14:47:13.967+0700</t>
  </si>
  <si>
    <t>2026-09-20T00:38:06.208+0700</t>
  </si>
  <si>
    <t>2026-04-06</t>
  </si>
  <si>
    <t>Team DBA cần thực hiện nâng cấp bổ sung ổ cứng cho DB LOYALTY trên server PRIMARY (10.255.23.119) và STANDBY (10.255.23.118), nhằm đảm bảo đáp ứng nhu cầu tăng trưởng size database của dự án Loyalty-PS2 trên DB Oracle LOYALTY (hiện tại disk cũng đang dùng trên 90% của 20TB DATA rồi) Cụ thể add thêm disk như sau: Trên STANDBY: add bổ sung 1 disk 2 TB để phục vụ lưu trữ DATA Trên PRIMARY: add bổ sung 1 disk 2 TB để phục vụ lưu trữ DATA Việc add disk này, không gây downtime hệ thống DB (nhưng cần thực hiện vào giờ thấp điểm, ban đêm). Thực hiện lần lượt trên STANDBY trước. Dự kiến: qua 0h ngày 18/09/26. Trên PRIMARY (khi thực hiện trên PRIMARY cần có thông báo và confirm từ team DBA), Dự kiến: 0h ngày 19/09/26.</t>
  </si>
  <si>
    <t>MCL</t>
  </si>
  <si>
    <t>2026-04-05</t>
  </si>
  <si>
    <t>[om][hub-twf][prod] Run SQL script trên DB hub-twf</t>
  </si>
  <si>
    <t>2026-09-17T14:18:20.113+0700</t>
  </si>
  <si>
    <t>2026-09-17T14:19:20.027+0700</t>
  </si>
  <si>
    <t>MCL, MerchantLoyalty</t>
  </si>
  <si>
    <t>omd_mag</t>
  </si>
  <si>
    <t>2026-04-04</t>
  </si>
  <si>
    <t>2026-04-03</t>
  </si>
  <si>
    <t>merchant_loyalty</t>
  </si>
  <si>
    <t>2026-04-02</t>
  </si>
  <si>
    <t>Hi  @Phạm Tuấn Linh   Nhờ chạy giúp a ( file đính kèm) trên DB của dự án hub taskworkflow (hub-twf) ạ gcp project: onemg-integration-platform-prd instance: main-prod-postgres db name:  twfhub_prod INSERT INTO public.act_ru_authorization
(id_, rev_, type_, group_id_, user_id_, resource_type_, resource_id_, perms_, removal_time_, root_proc_inst_id_)
VALUES('7a9667e5-5e5e-11f1-b807-16ae28a4610e', 1, 1, 'camunda-admin', NULL, 2, 'camunda-admin', 2, NULL, NULL);
INSERT INTO public.act_ru_authorization
(id_, rev_, type_, group_id_, user_id_, resource_type_, resource_id_, perms_, removal_time_, root_proc_inst_id_)
VALUES('7a994e16-5e5e-11f1-b807-16ae28a4610e', 1, 1, 'camunda-admin', NULL, 0, '*', 2147483647, NULL, NULL);
INSERT INTO public.act_ru_authorization
(id_, rev_, type_, group_id_, user_id_, resource_type_, resource_id_, perms_, removal_time_, root_proc_inst_id_)
VALUES('7a9afbc7-5e5e-11f1-b807-16ae28a4610e', 1, 1, 'camunda-admin', NULL, 1, '*', 2147483647, NULL, NULL);
INSERT INTO public.act_ru_authorization
(id_, rev_, type_, group_id_, user_id_, resource_type_, resource_id_, perms_, removal_time_, root_proc_inst_id_)
VALUES('7a9c0d38-5e5e-11f1-b807-16ae28a4610e', 1, 1, 'camunda-admin', NULL, 2, '*', 2147483647, NULL, NULL);
INSERT INTO public.act_ru_authorization
(id_, rev_, type_, group_id_, user_id_, resource_type_, resource_id_, perms_, removal_time_, root_proc_inst_id_)
VALUES('7a9cd089-5e5e-11f1-b807-16ae28a4610e', 1, 1, 'camunda-admin', NULL, 3, '*', 2147483647, NULL, NULL);
INSERT INTO public.act_ru_authorization
(id_, rev_, type_, group_id_, user_id_, resource_type_, resource_id_, perms_, removal_time_, root_proc_inst_id_)
VALUES('7a9e090a-5e5e-11f1-b807-16ae28a4610e', 1, 1, 'camunda-admin', NULL, 4, '*', 2147483647, NULL, NULL);
INSERT INTO public.act_ru_authorization
(id_, rev_, type_, group_id_, user_id_, resource_type_, resource_id_, perms_, removal_time_, root_proc_inst_id_)
VALUES('7a9ef36b-5e5e-11f1-b807-16ae28a4610e', 1, 1, 'camunda-admin', NULL, 5, '*', 2147483647, NULL, NULL);
INSERT INTO public.act_ru_authorization
(id_, rev_, type_, group_id_, user_id_, resource_type_, resource_id_, perms_, removal_time_, root_proc_inst_id_)
VALUES('7a9fb6bc-5e5e-11f1-b807-16ae28a4610e', 1, 1, 'camunda-admin', NULL, 6, '*', 2147483647, NULL, NULL);
INSERT INTO public.act_ru_authorization
(id_, rev_, type_, group_id_, user_id_, resource_type_, resource_id_, perms_, removal_time_, root_proc_inst_id_)
VALUES('7aa0ef3d-5e5e-11f1-b807-16ae28a4610e', 1, 1, 'camunda-admin', NULL, 7, '*', 2147483647, NULL, NULL);
INSERT INTO public.act_ru_authorization
(id_, rev_, type_, group_id_, user_id_, resource_type_, resource_id_, perms_, removal_time_, root_proc_inst_id_)
VALUES('7aa227be-5e5e-11f1-b807-16ae28a4610e', 1, 1, 'camunda-admin', NULL, 8, '*', 2147483647, NULL, NULL);
INSERT INTO public.act_ru_authorization
(id_, rev_, type_, group_id_, user_id_, resource_type_, resource_id_, perms_, removal_time_, root_proc_inst_id_)
VALUES('7aa3392f-5e5e-11f1-b807-16ae28a4610e', 1, 1, 'camunda-admin', NULL, 9, '*', 2147483647, NULL, NULL);
INSERT INTO public.act_ru_authorization
(id_, rev_, type_, group_id_, user_id_, resource_type_, resource_id_, perms_, removal_time_, root_proc_inst_id_)
VALUES('7aa3fc80-5e5e-11f1-b807-16ae28a4610e', 1, 1, 'camunda-admin', NULL, 10, '*', 2147483647, NULL, NULL);
INSERT INTO public.act_ru_authorization
(id_, rev_, type_, group_id_, user_id_, resource_type_, resource_id_, perms_, removal_time_, root_proc_inst_id_)
VALUES('7aa58321-5e5e-11f1-b807-16ae28a4610e', 1, 1, 'camunda-admin', NULL, 11, '*', 2147483647, NULL, NULL);
INSERT INTO public.act_ru_authorization
(id_, rev_, type_, group_id_, user_id_, resource_type_, resource_id_, perms_, removal_time_, root_proc_inst_id_)
VALUES('7aa66d82-5e5e-11f1-b807-16ae28a4610e', 1, 1, 'camunda-admin', NULL, 12, '*', 2147483647, NULL, NULL);
INSERT INTO public.act_ru_authorization
(id_, rev_, type_, group_id_, user_id_, resource_type_, resource_id_, perms_, removal_time_, root_proc_inst_id_)
VALUES('7aa757e3-5e5e-11f1-b807-16ae28a4610e', 1, 1, 'camunda-admin', NULL, 13, '*', 2147483647, NULL, NULL);
INSERT INTO public.act_ru_authorization
(id_, rev_, type_, group_id_, user_id_, resource_type_, resource_id_, perms_, removal_time_, root_proc_inst_id_)
VALUES('7aa89064-5e5e-11f1-b807-16ae28a4610e', 1, 1, 'camunda-admin', NULL, 14, '*', 2147483647, NULL, NULL);
INSERT INTO public.act_ru_authorization
(id_, rev_, type_, group_id_, user_id_, resource_type_, resource_id_, perms_, removal_time_, root_proc_inst_id_)
VALUES('7aa9a1d5-5e5e-11f1-b807-16ae28a4610e', 1, 1, 'camunda-admin', NULL, 15, '*', 2147483647, NULL, NULL);
INSERT INTO public.act_ru_authorization
(id_, rev_, type_, group_id_, user_id_, resource_type_, resource_id_, perms_, removal_time_, root_proc_inst_id_)
VALUES('7aaa8c36-5e5e-11f1-b807-16ae28a4610e', 1, 1, 'camunda-admin', NULL, 16, '*', 2147483647, NULL, NULL);
INSERT INTO public.act_ru_authorization
(id_, rev_, type_, group_id_, user_id_, resource_type_, resource_id_, perms_, removal_time_, root_proc_inst_id_)
VALUES('7aab7697-5e5e-11f1-b807-16ae28a4610e', 1, 1, 'camunda-admin', NULL, 17, '*', 2147483647, NULL, NULL);
INSERT INTO public.act_ru_authorization
(id_, rev_, type_, group_id_, user_id_, resource_type_, resource_id_, perms_, removal_time_, root_proc_inst_id_)
VALUES('7aac39e8-5e5e-11f1-b807-16ae28a4610e', 1, 1, 'camunda-admin', NULL, 18, '*', 2147483647, NULL, NULL);
INSERT INTO public.act_ru_authorization
(id_, rev_, type_, group_id_, user_id_, resource_type_, resource_id_, perms_, removal_time_, root_proc_inst_id_)
VALUES('7aacfd39-5e5e-11f1-b807-16ae28a4610e', 1, 1, 'camunda-admin', NULL, 19, '*', 2147483647, NULL, NULL);
INSERT INTO public.act_ru_authorization
(id_, rev_, type_, group_id_, user_id_, resource_type_, resource_id_, perms_, removal_time_, root_proc_inst_id_)
VALUES('7aade79a-5e5e-11f1-b807-16ae28a4610e', 1, 1, 'camunda-admin', NULL, 20, '*', 2147483647, NULL, NULL);
INSERT INTO public.act_ru_authorization
(id_, rev_, type_, group_id_, user_id_, resource_type_, resource_id_, perms_, removal_time_, root_proc_inst_id_)
VALUES('7aaeaaeb-5e5e-11f1-b807-16ae28a4610e', 1, 1, 'camunda-admin', NULL, 21, '*', 2147483647, NULL, NULL);</t>
  </si>
  <si>
    <t>MerchantLoyalty</t>
  </si>
  <si>
    <t>2026-04-01</t>
  </si>
  <si>
    <t>MFT</t>
  </si>
  <si>
    <t xml:space="preserve">[Prod] [QR247] Update thông tin giao dịch thiếu merchant code </t>
  </si>
  <si>
    <t>2026-03 Total</t>
  </si>
  <si>
    <t>2026-09-17T10:03:15.407+0700</t>
  </si>
  <si>
    <t>2026-09-17T10:03:26.461+0700</t>
  </si>
  <si>
    <t>Hi các anh team DBA, Thông tin database saas_tpay:  pay-tidb.int.onemount.com:4000/saas_tpay Nhờ team chạy giúp em script sau ạ: UPDATE TRANSACTION_DETAIL
SET
    merchant_code = 'GOLDENGATE',
    merchant_id = 'M11690894336711',
    merchant_name = 'CTCP TD GOLDEN GATE',
    store_code = '30GG4071',
    store_id = 'S11693068519427',
    store_name = 'Gogi House Cao Lãnh _ Đồng Tháp',
    terminal_code = '30GG407101',
    terminal_id = 'T11693068519434',
    terminal_name = 'Gogi House Cao Lãnh _ Đồng Tháp thu ngân',
    partner = 'OME',
    receiver_account_number = '19010801080045',
    receiver_account_name = 'GOLDEN GATE GROUP JOINT STOCK COMPANY',
    receiver_bank_code = 'VTCBVNVX'
WHERE ft_id = 'FT26222077200856';</t>
  </si>
  <si>
    <t>MFT, PS2</t>
  </si>
  <si>
    <t>2026-03-31</t>
  </si>
  <si>
    <t>[OMC][GAMI][Prod] Hỗ trợ xuất data cho campaign Đường đua chông gai 2026 (tuần 3)</t>
  </si>
  <si>
    <t>2026-09-17T09:36:51.014+0700</t>
  </si>
  <si>
    <t>2026-09-17T09:37:13.727+0700</t>
  </si>
  <si>
    <t>Hỗ trợ xuất data cho campaign Đường đua chông gai 2026 (tuần 3) Thưởng theo lịch sử phát sinh cộng/trừ xu theo tuần  Host: 172.31.1.14 DB: gamezone Query: Tuần 3 SELECT user_id, SUM(amount) as total 
FROM score_transactions st 
WHERE campaign_id = 859 and created_at &gt;= '2026-09-07 00:00:00' and created_at &lt; '2026-09-14 00:00:00'
group by user_id 
order by total desc;</t>
  </si>
  <si>
    <t>MiniApp</t>
  </si>
  <si>
    <t>[om][hub-twf][prod] Xin cấp db cho dự án Hub Supply Chain Collaboration</t>
  </si>
  <si>
    <t>2026-09-16T15:27:50.617+0700</t>
  </si>
  <si>
    <t>2026-09-16T17:02:55.062+0700</t>
  </si>
  <si>
    <t>2026-03-30</t>
  </si>
  <si>
    <t>Hi anh  @Phạm Tuấn Linh   1.  Cấp mới DB : Nhờ anh cấp cho dự án Hub Supply Chain Collaboration ( hub-scc) DB mới với thông tin bên dứoi ạ gcp project: onemg-integration-platform-prd instance: main ( 172.31.1.118) db name:  scc_hub_prod Clone all data STT Source gcp project Source instance (IP) / DB name Destination gcp project Destination instance / DB name 1 vinid-b2b-platform-prod main-integration ( 172.31.1.143 )  /  sccollab_prod onemg-integration-platform-prd main ( 172.31.1.118)  / scc_hub_prod</t>
  </si>
  <si>
    <t>[Merchant-TCB] Pre-check tpay_merchant_documents duplicate (tcb_merchant_code, service_type) - Prod</t>
  </si>
  <si>
    <t>2026-09-16T14:48:56.123+0700</t>
  </si>
  <si>
    <t>2026-09-16T14:49:13.035+0700</t>
  </si>
  <si>
    <t>2026-03-28</t>
  </si>
  <si>
    <t>2026-03-27</t>
  </si>
  <si>
    <t>Description Dear team DBA, nhờ team hỗ trợ chạy các câu lệnh SELECT read-only bên dưới trên PROD ạ. Bối cảnh OPS Portal approve SoftPOS request-terminal đang lỗi HTTP 500 (NonUniqueResultException: query did not return a unique result: 2) do bảng tpay_merchant_documents có &gt;1 dòng cùng (tcb_merchant_code, service_type). Nhờ team chạy c Thông tin database DB_MYSQL_HOST=172.31.4.108 DB_MYSQL_DATABASE=merchant_service_tcb (GCP Cloud SQL instance merchant-tcb / project vinid-merchant-prod) Backup db CREATE TABLE bak_tmd_dedup_20260915       LIKE tpay_merchant_documents;
  CREATE TABLE bak_tmd_items_dedup_20260915 LIKE tpay_merchant_document_items;
  CREATE TABLE bak_tmd_reqs_dedup_20260915  LIKE tpay_merchant_document_requests;
  -- cha: cả dòng thừa và dòng giữ
  INSERT INTO bak_tmd_dedup_20260915
  SELECT * FROM tpay_merchant_documents
  WHERE id IN (24336, 24350;
  -- con: item của cả dòng thừa và dòng giữ
  INSERT INTO bak_tmd_items_dedup_20260915
  SELECT * FROM tpay_merchant_document_items
  WHERE tpay_merchant_document_id IN (24336, 24350);
  -- con: request của cả dòng thừa và dòng giữ
  INSERT INTO bak_tmd_reqs_dedup_20260915
  SELECT * FROM tpay_merchant_document_requests
  WHERE tpay_merchant_document_id IN (24336, 24350); Update table START TRANSACTION;
  UPDATE tpay_merchant_document_items
  SET tpay_merchant_document_id = 24350
  WHERE tpay_merchant_document_id = 24336;
  UPDATE tpay_merchant_document_requests
  SET tpay_merchant_document_id = 24350
  WHERE tpay_merchant_document_id = 24336;
  DELETE FROM tpay_merchant_documents
  WHERE id = 24336;
  -- kiểm tra trong transaction: chỉ còn 1 dòng SMARTPOS cho NCCSAG4P
  SELECT id FROM tpay_merchant_documents
  WHERE tcb_merchant_code = 'NCCSAG4P' AND service_type = 'SMARTPOS';
  -- đúng -&gt; COMMIT;  sai -&gt; ROLLBACK;
  COMMIT; Verify  SELECT tcb_merchant_code, service_type, COUNT(*) AS c
  FROM tpay_merchant_documents
  GROUP BY tcb_merchant_code, service_type HAVING COUNT(*) &gt; 1;
  -- verify dữ liệu sau update
  SELECT tpay_merchant_document_id, COUNT(*) AS item_count
  FROM tpay_merchant_document_items
  WHERE tpay_merchant_document_id = 24350
  GROUP BY tpay_merchant_document_id; Rollback -- 1) Trả item về document gốc (dựa trên backup)
  UPDATE tpay_merchant_document_items i
  JOIN bak_tmd_items_dedup_20260915 b ON b.id = i.id
  SET i.tpay_merchant_document_id = b.tpay_merchant_document_id;
  -- 1) Trả request về document gốc (dựa trên backup)
  UPDATE tpay_merchant_document_requests r
  JOIN bak_tmd_reqs_dedup_20260915 b ON b.id = r.id
  SET r.tpay_merchant_document_id = b.tpay_merchant_document_id;
  -- 2) Chèn lại các dòng cha thừa đã xoá
  INSERT INTO tpay_merchant_documents
  SELECT * FROM bak_tmd_dedup_20260915
  WHERE id = 24336
    AND id NOT IN (SELECT id FROM tpay_merchant_documents);
  -- kiểm tra: lại thấy 1 dòng cho mỗi merchant như ban đầu
  SELECT tcb_merchant_code, service_type, COUNT(*) AS c
  FROM tpay_merchant_documents
  WHERE tcb_merchant_code = 'NCCSAG4P'
  GROUP BY tcb_merchant_code, service_type;</t>
  </si>
  <si>
    <t>mtp_martech_activation</t>
  </si>
  <si>
    <t>[Merchantdise][PROD] Seeding Bán Merchantdise GHYT 16/09/2026</t>
  </si>
  <si>
    <t>2026-03-26</t>
  </si>
  <si>
    <t>2026-09-16T12:06:07.902+0700</t>
  </si>
  <si>
    <t>2026-09-16T12:06:30.776+0700</t>
  </si>
  <si>
    <t>Nhờ  @Đào Công Nghĩa  chạy giúp thông tin dưới đây: project: vincart-prod instance: main ip: 172.31.1.41 DB: vincart_mm_product Script: UPDATE variants
set stock_type = 'INIT'
WHERE id in (1092999,1093000,1093001);
UPDATE inventories
set channel_code = 'INIT'
WHERE variant_id in (1092999,1093000,1093001);
UPDATE variant_prices
set channel_code = 'ONEU'
WHERE variant_id in (1092999,1093000,1093001); Thời gian thực hiện: Chạy sớm nhất có thể.</t>
  </si>
  <si>
    <t>mtp_tracking_events</t>
  </si>
  <si>
    <t>2026-03-25</t>
  </si>
  <si>
    <t>2026-09-16T11:15:46.757+0700</t>
  </si>
  <si>
    <t>2026-09-16T12:06:55.801+0700</t>
  </si>
  <si>
    <t>mtp-tracking-events</t>
  </si>
  <si>
    <t>Hi anh  @Phạm Tuấn Linh   Nhờ anh chạy giúp em ( file đính kèm) trên DB của dự án hub taskworkflow (hub-twf) ạ gcp project: onemg-integration-platform-prd instance: main-prod-postgres db name:  twfhub_prod</t>
  </si>
  <si>
    <t>2026-03-24</t>
  </si>
  <si>
    <t>Tạo account trên UAT</t>
  </si>
  <si>
    <t>mtp-tracking-events, mtp_martech_activation</t>
  </si>
  <si>
    <t>2026-09-16T10:16:09.102+0700</t>
  </si>
  <si>
    <t>2026-03-23</t>
  </si>
  <si>
    <t>2026-09-16T10:16:15.806+0700</t>
  </si>
  <si>
    <t>Dear team, nhờ các anh tạo hộ e 1 account tung.vu8 trên con loyalty UAT với ạ, e cảm ơn ạ.</t>
  </si>
  <si>
    <t>NewRetails</t>
  </si>
  <si>
    <t>2026-03-22</t>
  </si>
  <si>
    <t>[PROD] [15/09/2026] [UPay] Support release plan golive</t>
  </si>
  <si>
    <t>2026-09-16T08:58:45.451+0700</t>
  </si>
  <si>
    <t>2026-09-16T08:58:59.420+0700</t>
  </si>
  <si>
    <t>TCB-OPS</t>
  </si>
  <si>
    <t>NRs</t>
  </si>
  <si>
    <t>Hi a   @Nguyễn Văn Dũng  , nhờ a chạy giúp e script bên dưới khi bắt đầu golive với ạ Thời gian golive: 23h59p ngày 14/09/2026 Release golive:    CR:    Script:  Thông tin database:  mysql://pay-tidb.int.onemount.com:4000/saas_tpay Script: ALTER TABLE IMPORT
    ADD COLUMN source_portal VARCHAR(32) NULL;</t>
  </si>
  <si>
    <t>2026-03-21</t>
  </si>
  <si>
    <t>B2B - ODS - Yêu cầu xóa dữ liệu không còn sử dụng trên</t>
  </si>
  <si>
    <t>NRs, customer_platform</t>
  </si>
  <si>
    <t>2026-09-15T16:43:34.490+0700</t>
  </si>
  <si>
    <t>2026-09-15T16:43:41.842+0700</t>
  </si>
  <si>
    <t>b2b</t>
  </si>
  <si>
    <t>2026-03-20</t>
  </si>
  <si>
    <t>Do dự án đã ngừng hoạt động cũng như dữ liệu ODS không còn ý nghĩa, để tối ưu chi phí nhờ các anh hỗ trợ truncate toàn bộ dữ liệu ODS theo thông tin sau ạ instances: b2b-commerce
project: vinid-b2b-platform-prod</t>
  </si>
  <si>
    <t>NRs, event</t>
  </si>
  <si>
    <t>2026-03-19</t>
  </si>
  <si>
    <t>Tạo account trên omc_bp_authentication và account_profile_service</t>
  </si>
  <si>
    <t>2026-09-15T16:43:15.019+0700</t>
  </si>
  <si>
    <t>2026-09-15T18:21:36.602+0700</t>
  </si>
  <si>
    <t>Dear team, nhờ a các tạo hộ e account tung.vu8 trên 2 con sau:  omc_bp_authentication, ip : 172.31.3.40:5432 account_profile_service,  ip : 172.31.1.12 e cảm ơn ạ</t>
  </si>
  <si>
    <t>NRs, NewRetails</t>
  </si>
  <si>
    <t>2026-03-18</t>
  </si>
  <si>
    <t>[om][hub-twf][prod] Xin cấp db cho dự án hub taskworkflow</t>
  </si>
  <si>
    <t>NRs, PS2</t>
  </si>
  <si>
    <t>2026-09-15T15:33:34.904+0700</t>
  </si>
  <si>
    <t>2026-09-15T16:39:12.380+0700</t>
  </si>
  <si>
    <t>2026-03-17</t>
  </si>
  <si>
    <t>Hi anh  @Phạm Tuấn Linh   Nhờ anh cấp cho dự án hub task work flow DB mới với thông tin bên dứoi ạ gcp project: onemg-integration-platform-prd instance: main-prod-postgres db name:  twfhub_prod</t>
  </si>
  <si>
    <t>NRs, Save_cost</t>
  </si>
  <si>
    <t>2026-03-16</t>
  </si>
  <si>
    <t>[OM][ESB][CLMS][MSQL][NONPROD] Tạo bảng grand quyền trên database clm_{qc/uat}_mysql</t>
  </si>
  <si>
    <t>2026-09-15T15:32:58.364+0700</t>
  </si>
  <si>
    <t>2026-09-15T16:05:01.926+0700</t>
  </si>
  <si>
    <t>NRs, Ticketing</t>
  </si>
  <si>
    <t>2026-03-14</t>
  </si>
  <si>
    <t>Dear anh Linh, Hiện team ESB đang cần tạo bảng{{ }}và {{grant permission }} trên schema :  clm_{qc/uat}_mysql  . Mục đích để luồng transform data từ CTMS về các table tương ứng theo business trên  clm_{qc/uat}_mysql .  Us :  https://onemount.atlassian.net/browse/CLMS-2720 Vậy nhờ anh tạo các thông tin tương Theo thông tin bên dưới. Thông tb db : Project: vinid-app-common-dev Instance: main-mysql-8 IP: 172.31.0.68 I)Tạo (clone) bảng và grant quyền cho user esb_clms_sync_{qc/uat}. Thông tin user : esb_clms_sync_{qc/uat} đã có. Tên bảng Permission Cấu trúc bảng Thông tin db document_extract_ctms_sync GET / SELECT INSERT UPDATE DELETE tạo tên column và data type giống  bảng  clm_{qc/uat}_mysql.Document Note : chi vần clone tên column data type. Không cần clone data. Không cần clone các Relationship project gcp: vinid-app-common-dev instance: main-mysql-8 DB name: clm_{qc/uat}_mysql II)Tạo index và unique index Tên bảng Column Index type Index  name SQL Script Thông tin db contract_extract_ctms_sync createdBy INDEX idx_contract_extract_ctms_sync_created_by CREATE INDEX idx_contract_extract_ctms_sync_created_by ON contract_extract_ctms_sync (createdBy); project gcp: vinid-app-common-dev instance: main-mysql-8 DB name: clm_{qc/uat}_mysql lookup_extract_ctms_sync lookupKey, lookupValEn UNIQUE uk_lookup_extract_ctms_sync_lookup_key_lookup_val_en CREATE UNIQUE INDEX uk_lookup_extract_ctms_sync_lookup_key_lookup_val_en ON lookup_extract_ctms_sync (lookupKey, lookupValEn); project gcp: vinid-app-common-dev instance: main-mysql-8 DB name: clm_{qc/uat}_mysql</t>
  </si>
  <si>
    <t>[OM][ESB][CLMS][MSQL][PROD] Tạo bảng grand quyền trên database clm_prod_mysql</t>
  </si>
  <si>
    <t>2026-03-13</t>
  </si>
  <si>
    <t>2026-09-15T15:32:26.606+0700</t>
  </si>
  <si>
    <t>2026-09-15T17:00:55.686+0700</t>
  </si>
  <si>
    <t>omc_mtp_tidb</t>
  </si>
  <si>
    <t>2026-03-12</t>
  </si>
  <si>
    <t>Dear anh Linh, Hiện team ESB đang cần tạo các thông tin tài khoản truy cập, table,   trên schema : clm_prod_mysql . Mục đích để luồng transform data từ CTMS về các table tương ứng theo business trên clm_prod_mysql. Us :  https://onemount.atlassian.net/browse/CLMS-2720 Vậy nhờ anh tạo các thông tin tương theo thông tin bên dưới. I) Tạo (clone) bảng và grant quyền cho tài khoản esb_clms_sync_prod. Thông tin user : esb_clms_sync_prod đã có. Tên bảng Permission Cấu trúc bảng Thông tin db document_extract_ctms_sync GET / SELECT INSERT UPDATE DELETE tạo tên column và data type giống  bảng  clm_prod_mysql.Document Note : chỉ cần clone tên column, data type. Không cần clone data. Không cần clone các Relationship project gcp: onemg-integration-platform-prod instance: main DB name: clm_prod_mysql I)Tạo index và unique index Tên bảng Column Index type Index  name SQL Script Thông tin db contract_extract_ctms_sync createdBy INDEX idx_contract_extract_ctms_sync_created_by CREATE INDEX idx_contract_extract_ctms_sync_created_by ON contract_extract_ctms_sync (createdBy); project gcp: onemg-integration-platform-prod instance: main DB name: clm_prod_mysql lookup_extract_ctms_sync lookupKey, lookupValEn UNIQUE uk_lookup_extract_ctms_sync_lookup_key_lookup_val_en CREATE UNIQUE INDEX uk_lookup_extract_ctms_sync_lookup_key_lookup_val_en ON lookup_extract_ctms_sync (lookupKey, lookupValEn); project gcp: onemg-integration-platform-prod instance: main DB name: clm_prod_mysql</t>
  </si>
  <si>
    <t>2026-03-11</t>
  </si>
  <si>
    <t>[MAG DP][NP] Tạo tài khoản, phân quyền CDC, slots (DEV/SIT/UAT) cho nguồn PostgreSQL Merchant</t>
  </si>
  <si>
    <t>2026-09-15T15:25:07.740+0700</t>
  </si>
  <si>
    <t>2026-09-17T09:07:45.113+0700</t>
  </si>
  <si>
    <t>OMC-Base-Platform</t>
  </si>
  <si>
    <t>MAG-DP</t>
  </si>
  <si>
    <t>2026-03-10</t>
  </si>
  <si>
    <t>2026-03-09</t>
  </si>
  <si>
    <t>OneloyaltyOneu</t>
  </si>
  <si>
    <t>2026-03-07</t>
  </si>
  <si>
    <t>2026-03-06</t>
  </si>
  <si>
    <t>ONEU</t>
  </si>
  <si>
    <t>2026-03-05</t>
  </si>
  <si>
    <t>OneU, PS2</t>
  </si>
  <si>
    <t>2026-03-04</t>
  </si>
  <si>
    <t>ONEU, PS2</t>
  </si>
  <si>
    <t>2026-03-03</t>
  </si>
  <si>
    <t>ops_pay_service</t>
  </si>
  <si>
    <t>2026-03-02</t>
  </si>
  <si>
    <t>2026-02 Total</t>
  </si>
  <si>
    <t>2026-02-27</t>
  </si>
  <si>
    <t>PS2, customer_platform</t>
  </si>
  <si>
    <t>2026-02-26</t>
  </si>
  <si>
    <t>PS2, Tuning</t>
  </si>
  <si>
    <t>2026-02-25</t>
  </si>
  <si>
    <t>2026-02-24</t>
  </si>
  <si>
    <t>Rebranding</t>
  </si>
  <si>
    <t>2026-02-14</t>
  </si>
  <si>
    <t>2026-02-13</t>
  </si>
  <si>
    <t>2026-02-12</t>
  </si>
  <si>
    <t>segmentation</t>
  </si>
  <si>
    <t>2026-02-11</t>
  </si>
  <si>
    <t>service-platform</t>
  </si>
  <si>
    <t>2026-02-10</t>
  </si>
  <si>
    <t>ServicePlatform</t>
  </si>
  <si>
    <t>2026-02-09</t>
  </si>
  <si>
    <t>SoundBox</t>
  </si>
  <si>
    <t>2026-02-06</t>
  </si>
  <si>
    <t>2026-02-05</t>
  </si>
  <si>
    <t>Ticketing</t>
  </si>
  <si>
    <t>2026-02-04</t>
  </si>
  <si>
    <t>topup</t>
  </si>
  <si>
    <t>2026-02-03</t>
  </si>
  <si>
    <t>2026-02-02</t>
  </si>
  <si>
    <t>2026-01 Total</t>
  </si>
  <si>
    <t>2026-01-29</t>
  </si>
  <si>
    <t>2026-01-28</t>
  </si>
  <si>
    <t>vinticket</t>
  </si>
  <si>
    <t>2026-01-27</t>
  </si>
  <si>
    <t>Total OMC</t>
  </si>
  <si>
    <t>2026-01-26</t>
  </si>
  <si>
    <t>1SEAL</t>
  </si>
  <si>
    <t>2026-01-24</t>
  </si>
  <si>
    <t>Aftersale</t>
  </si>
  <si>
    <t>2026-01-23</t>
  </si>
  <si>
    <t>AgentPlatform</t>
  </si>
  <si>
    <t>2026-01-22</t>
  </si>
  <si>
    <t>2026-01-21</t>
  </si>
  <si>
    <t>2026-01-20</t>
  </si>
  <si>
    <t>B2B_OFS</t>
  </si>
  <si>
    <t>2026-01-19</t>
  </si>
  <si>
    <t>b2b-platform</t>
  </si>
  <si>
    <t>2026-01-18</t>
  </si>
  <si>
    <t>Budget</t>
  </si>
  <si>
    <t>2026-01-17</t>
  </si>
  <si>
    <t>2026-01-16</t>
  </si>
  <si>
    <t>2026-01-15</t>
  </si>
  <si>
    <t>CDP, Save_cost</t>
  </si>
  <si>
    <t>2026-01-14</t>
  </si>
  <si>
    <t>CT-CDE</t>
  </si>
  <si>
    <t>2026-01-12</t>
  </si>
  <si>
    <t>CUSTOMER-FRONT</t>
  </si>
  <si>
    <t>2026-01-10</t>
  </si>
  <si>
    <t>2026-01-09</t>
  </si>
  <si>
    <t>2026-01-08</t>
  </si>
  <si>
    <t>DP, mhpos</t>
  </si>
  <si>
    <t>2026-01-07</t>
  </si>
  <si>
    <t>DP, SCM</t>
  </si>
  <si>
    <t>2026-01-06</t>
  </si>
  <si>
    <t>2026-01-05</t>
  </si>
  <si>
    <t>Gia_Binh_Airport</t>
  </si>
  <si>
    <t>2026-01-03</t>
  </si>
  <si>
    <t>2026-01-02</t>
  </si>
  <si>
    <t>KPIONESEAL</t>
  </si>
  <si>
    <t>2025-12 Total</t>
  </si>
  <si>
    <t>litepos</t>
  </si>
  <si>
    <t>2025-12-31</t>
  </si>
  <si>
    <t>LitePos</t>
  </si>
  <si>
    <t>2025-12-30</t>
  </si>
  <si>
    <t>logistics</t>
  </si>
  <si>
    <t>2025-12-29</t>
  </si>
  <si>
    <t>2025-12-27</t>
  </si>
  <si>
    <t>MAG, SCM</t>
  </si>
  <si>
    <t>2025-12-26</t>
  </si>
  <si>
    <t>2025-12-25</t>
  </si>
  <si>
    <t>2025-12-24</t>
  </si>
  <si>
    <t>MH-POS</t>
  </si>
  <si>
    <t>2025-12-23</t>
  </si>
  <si>
    <t>mhpos</t>
  </si>
  <si>
    <t>2025-12-22</t>
  </si>
  <si>
    <t>2025-12-21</t>
  </si>
  <si>
    <t>2025-12-20</t>
  </si>
  <si>
    <t>OMC, OMD_B2B, OMD_OMS, OMD_WMS</t>
  </si>
  <si>
    <t>2025-12-19</t>
  </si>
  <si>
    <t>2025-12-18</t>
  </si>
  <si>
    <t>OMD_Aftersale</t>
  </si>
  <si>
    <t>2025-12-17</t>
  </si>
  <si>
    <t>OMD_B2B</t>
  </si>
  <si>
    <t>2025-12-16</t>
  </si>
  <si>
    <t>OMD_CDP</t>
  </si>
  <si>
    <t>2025-12-15</t>
  </si>
  <si>
    <t>2025-12-14</t>
  </si>
  <si>
    <t>2025-12-13</t>
  </si>
  <si>
    <t>OMD_MERCHANT_HUB_POS</t>
  </si>
  <si>
    <t>2025-12-12</t>
  </si>
  <si>
    <t>OMD_OMS</t>
  </si>
  <si>
    <t>2025-12-11</t>
  </si>
  <si>
    <t>omd_pms</t>
  </si>
  <si>
    <t>2025-12-10</t>
  </si>
  <si>
    <t>OMD_WMS</t>
  </si>
  <si>
    <t>2025-12-09</t>
  </si>
  <si>
    <t>OMS</t>
  </si>
  <si>
    <t>2025-12-08</t>
  </si>
  <si>
    <t>2025-12-06</t>
  </si>
  <si>
    <t>POS</t>
  </si>
  <si>
    <t>2025-12-05</t>
  </si>
  <si>
    <t>PROMOTION</t>
  </si>
  <si>
    <t>2025-12-04</t>
  </si>
  <si>
    <t>sales_tools</t>
  </si>
  <si>
    <t>2025-12-03</t>
  </si>
  <si>
    <t>2025-12-02</t>
  </si>
  <si>
    <t>Salestools</t>
  </si>
  <si>
    <t>2025-12-01</t>
  </si>
  <si>
    <t>Salestools, Taskbox</t>
  </si>
  <si>
    <t>2025-11 Total</t>
  </si>
  <si>
    <t>2025-11-29</t>
  </si>
  <si>
    <t>2025-11-28</t>
  </si>
  <si>
    <t>SMC</t>
  </si>
  <si>
    <t>2025-11-27</t>
  </si>
  <si>
    <t>Taskbox</t>
  </si>
  <si>
    <t>2025-11-26</t>
  </si>
  <si>
    <t>Taskbox, Tuning</t>
  </si>
  <si>
    <t>2025-11-25</t>
  </si>
  <si>
    <t>TCB_Merchant_HUB</t>
  </si>
  <si>
    <t>2025-11-24</t>
  </si>
  <si>
    <t>2025-11-23</t>
  </si>
  <si>
    <t>TMS</t>
  </si>
  <si>
    <t>2025-11-22</t>
  </si>
  <si>
    <t>2025-11-21</t>
  </si>
  <si>
    <t>2025-11-20</t>
  </si>
  <si>
    <t>wms</t>
  </si>
  <si>
    <t>2025-11-19</t>
  </si>
  <si>
    <t>WMS</t>
  </si>
  <si>
    <t>2025-11-18</t>
  </si>
  <si>
    <t>Total OMD</t>
  </si>
  <si>
    <t>2025-11-17</t>
  </si>
  <si>
    <t>2025-11-15</t>
  </si>
  <si>
    <t>AML</t>
  </si>
  <si>
    <t>2025-11-14</t>
  </si>
  <si>
    <t>2025-11-13</t>
  </si>
  <si>
    <t>CBP, CBPAI</t>
  </si>
  <si>
    <t>2025-11-12</t>
  </si>
  <si>
    <t>CBP, CDP</t>
  </si>
  <si>
    <t>2025-11-11</t>
  </si>
  <si>
    <t>CBP, CDP, CoBroker_Platform</t>
  </si>
  <si>
    <t>2025-11-10</t>
  </si>
  <si>
    <t>CBPAI</t>
  </si>
  <si>
    <t>2025-11-07</t>
  </si>
  <si>
    <t>2025-11-06</t>
  </si>
  <si>
    <t>CDP, CoBroker_Platform</t>
  </si>
  <si>
    <t>2025-11-05</t>
  </si>
  <si>
    <t>CoBroker_Platform</t>
  </si>
  <si>
    <t>2025-11-04</t>
  </si>
  <si>
    <t>2025-11-03</t>
  </si>
  <si>
    <t>2025-11-01</t>
  </si>
  <si>
    <t>2025-10 Total</t>
  </si>
  <si>
    <t>2025-10-31</t>
  </si>
  <si>
    <t>2025-10-30</t>
  </si>
  <si>
    <t>dictionary</t>
  </si>
  <si>
    <t>2025-10-29</t>
  </si>
  <si>
    <t>2025-10-28</t>
  </si>
  <si>
    <t>2025-10-27</t>
  </si>
  <si>
    <t>HD</t>
  </si>
  <si>
    <t>2025-10-25</t>
  </si>
  <si>
    <t>housing_dictionary</t>
  </si>
  <si>
    <t>2025-10-24</t>
  </si>
  <si>
    <t>Inventory</t>
  </si>
  <si>
    <t>2025-10-23</t>
  </si>
  <si>
    <t>IVM</t>
  </si>
  <si>
    <t>2025-10-22</t>
  </si>
  <si>
    <t>2025-10-21</t>
  </si>
  <si>
    <t>OMRE, customer_platform</t>
  </si>
  <si>
    <t>2025-10-20</t>
  </si>
  <si>
    <t>OMRE, dataplatform</t>
  </si>
  <si>
    <t>2025-10-19</t>
  </si>
  <si>
    <t>OneHousing</t>
  </si>
  <si>
    <t>2025-10-18</t>
  </si>
  <si>
    <t>2025-10-17</t>
  </si>
  <si>
    <t>OneHub-CDP</t>
  </si>
  <si>
    <t>2025-10-16</t>
  </si>
  <si>
    <t>2025-10-15</t>
  </si>
  <si>
    <t>RIM</t>
  </si>
  <si>
    <t>2025-10-14</t>
  </si>
  <si>
    <t>RIMS</t>
  </si>
  <si>
    <t>2025-10-13</t>
  </si>
  <si>
    <t>Tech_Core_Platform</t>
  </si>
  <si>
    <t>2025-10-11</t>
  </si>
  <si>
    <t>2025-10-10</t>
  </si>
  <si>
    <t>Total OMRE</t>
  </si>
  <si>
    <t>2025-10-09</t>
  </si>
  <si>
    <t>2025-10-08</t>
  </si>
  <si>
    <t>2025-10-07</t>
  </si>
  <si>
    <t>Dora</t>
  </si>
  <si>
    <t>2025-10-06</t>
  </si>
  <si>
    <t>2025-10-04</t>
  </si>
  <si>
    <t>2025-10-03</t>
  </si>
  <si>
    <t>Keystone-Billing-Platform</t>
  </si>
  <si>
    <t>2025-10-02</t>
  </si>
  <si>
    <t>2025-10-01</t>
  </si>
  <si>
    <t>2025-09 Total</t>
  </si>
  <si>
    <t>2025-09-30</t>
  </si>
  <si>
    <t>2025-09-29</t>
  </si>
  <si>
    <t>2025-09-27</t>
  </si>
  <si>
    <t>2025-09-26</t>
  </si>
  <si>
    <t>Total One Nexus</t>
  </si>
  <si>
    <t>2025-09-25</t>
  </si>
  <si>
    <t>2025-09-24</t>
  </si>
  <si>
    <t>iJupiter</t>
  </si>
  <si>
    <t>2025-09-23</t>
  </si>
  <si>
    <t>2025-09-22</t>
  </si>
  <si>
    <t>2025-09-21</t>
  </si>
  <si>
    <t>2025-09-20</t>
  </si>
  <si>
    <t>2025-09-19</t>
  </si>
  <si>
    <t>2025-09-18</t>
  </si>
  <si>
    <t>2025-09-17</t>
  </si>
  <si>
    <t>Total Sao Mộc</t>
  </si>
  <si>
    <t>2025-09-16</t>
  </si>
  <si>
    <t>admin_service</t>
  </si>
  <si>
    <t>2025-09-15</t>
  </si>
  <si>
    <t>2025-09-14</t>
  </si>
  <si>
    <t>2025-09-12</t>
  </si>
  <si>
    <t>2025-09-11</t>
  </si>
  <si>
    <t>Ecom</t>
  </si>
  <si>
    <t>2025-09-10</t>
  </si>
  <si>
    <t>Ecom, QR247, TPAY</t>
  </si>
  <si>
    <t>2025-09-09</t>
  </si>
  <si>
    <t>Ecom, Smartpos</t>
  </si>
  <si>
    <t>2025-09-08</t>
  </si>
  <si>
    <t>Ecom, Smartpos, Softpos</t>
  </si>
  <si>
    <t>2025-09-06</t>
  </si>
  <si>
    <t>2025-09-05</t>
  </si>
  <si>
    <t>2025-09-04</t>
  </si>
  <si>
    <t>FS-Core</t>
  </si>
  <si>
    <t>2025-09-03</t>
  </si>
  <si>
    <t>2025-08 Total</t>
  </si>
  <si>
    <t>GL, PS2</t>
  </si>
  <si>
    <t>2025-08-30</t>
  </si>
  <si>
    <t>2025-08-29</t>
  </si>
  <si>
    <t>2025-08-28</t>
  </si>
  <si>
    <t>mqtt</t>
  </si>
  <si>
    <t>2025-08-27</t>
  </si>
  <si>
    <t>2025-08-26</t>
  </si>
  <si>
    <t>2025-08-25</t>
  </si>
  <si>
    <t>2025-08-24</t>
  </si>
  <si>
    <t>2025-08-23</t>
  </si>
  <si>
    <t>2025-08-22</t>
  </si>
  <si>
    <t>Payment-Gateway</t>
  </si>
  <si>
    <t>2025-08-21</t>
  </si>
  <si>
    <t>Payment-Gateway, QR247</t>
  </si>
  <si>
    <t>2025-08-20</t>
  </si>
  <si>
    <t>PCIDSS</t>
  </si>
  <si>
    <t>2025-08-19</t>
  </si>
  <si>
    <t>PGW</t>
  </si>
  <si>
    <t>2025-08-18</t>
  </si>
  <si>
    <t>2025-08-17</t>
  </si>
  <si>
    <t>2025-08-16</t>
  </si>
  <si>
    <t>Qr-Global</t>
  </si>
  <si>
    <t>2025-08-15</t>
  </si>
  <si>
    <t>2025-08-14</t>
  </si>
  <si>
    <t>RnF</t>
  </si>
  <si>
    <t>2025-08-13</t>
  </si>
  <si>
    <t>2025-08-12</t>
  </si>
  <si>
    <t>Save_cost, Tunning, VINPAY</t>
  </si>
  <si>
    <t>2025-08-11</t>
  </si>
  <si>
    <t>SB</t>
  </si>
  <si>
    <t>2025-08-09</t>
  </si>
  <si>
    <t>2025-08-08</t>
  </si>
  <si>
    <t>Smartpos, authom</t>
  </si>
  <si>
    <t>2025-08-07</t>
  </si>
  <si>
    <t>Smartpos, SoundBox, TPAY</t>
  </si>
  <si>
    <t>2025-08-06</t>
  </si>
  <si>
    <t>Smartpos, TPAY</t>
  </si>
  <si>
    <t>2025-08-05</t>
  </si>
  <si>
    <t>Softpos</t>
  </si>
  <si>
    <t>2025-08-04</t>
  </si>
  <si>
    <t>2025-08-02</t>
  </si>
  <si>
    <t>2025-08-01</t>
  </si>
  <si>
    <t>2025-07 Total</t>
  </si>
  <si>
    <t>2025-07-31</t>
  </si>
  <si>
    <t>2025-07-30</t>
  </si>
  <si>
    <t>2025-07-29</t>
  </si>
  <si>
    <t>2025-07-28</t>
  </si>
  <si>
    <t>2025-07-27</t>
  </si>
  <si>
    <t>2025-07-26</t>
  </si>
  <si>
    <t>2025-07-25</t>
  </si>
  <si>
    <t>2025-07-24</t>
  </si>
  <si>
    <t>2025-07-23</t>
  </si>
  <si>
    <t>Total UPP</t>
  </si>
  <si>
    <t>2025-07-22</t>
  </si>
  <si>
    <t>2025-07-21</t>
  </si>
  <si>
    <t>2025-07-20</t>
  </si>
  <si>
    <t>2025-07-19</t>
  </si>
  <si>
    <t>2025-07-18</t>
  </si>
  <si>
    <t>2025-07-17</t>
  </si>
  <si>
    <t>2025-07-16</t>
  </si>
  <si>
    <t>2025-07-15</t>
  </si>
  <si>
    <t>2025-07-14</t>
  </si>
  <si>
    <t>2025-07-13</t>
  </si>
  <si>
    <t>2025-07-12</t>
  </si>
  <si>
    <t>2025-07-11</t>
  </si>
  <si>
    <t>2025-07-10</t>
  </si>
  <si>
    <t>2025-07-09</t>
  </si>
  <si>
    <t>2025-07-08</t>
  </si>
  <si>
    <t>2025-07-07</t>
  </si>
  <si>
    <t>2025-07-05</t>
  </si>
  <si>
    <t>2025-07-04</t>
  </si>
  <si>
    <t>2025-07-03</t>
  </si>
  <si>
    <t>2025-07-02</t>
  </si>
  <si>
    <t>2025-07-01</t>
  </si>
  <si>
    <t>2025-06 Total</t>
  </si>
  <si>
    <t>2025-06-30</t>
  </si>
  <si>
    <t>2025-06-29</t>
  </si>
  <si>
    <t>2025-06-28</t>
  </si>
  <si>
    <t>2025-06-27</t>
  </si>
  <si>
    <t>2025-06-26</t>
  </si>
  <si>
    <t>2025-06-25</t>
  </si>
  <si>
    <t>2025-06-24</t>
  </si>
  <si>
    <t>2025-06-23</t>
  </si>
  <si>
    <t>2025-06-22</t>
  </si>
  <si>
    <t>2025-06-21</t>
  </si>
  <si>
    <t>2025-06-20</t>
  </si>
  <si>
    <t>2025-06-19</t>
  </si>
  <si>
    <t>2025-06-18</t>
  </si>
  <si>
    <t>2025-06-17</t>
  </si>
  <si>
    <t>2025-06-16</t>
  </si>
  <si>
    <t>2025-06-15</t>
  </si>
  <si>
    <t>2025-06-14</t>
  </si>
  <si>
    <t>2025-06-13</t>
  </si>
  <si>
    <t>2025-06-12</t>
  </si>
  <si>
    <t>2025-06-11</t>
  </si>
  <si>
    <t>2025-06-10</t>
  </si>
  <si>
    <t>2025-06-09</t>
  </si>
  <si>
    <t>2025-06-07</t>
  </si>
  <si>
    <t>2025-06-06</t>
  </si>
  <si>
    <t>2025-06-05</t>
  </si>
  <si>
    <t>2025-06-04</t>
  </si>
  <si>
    <t>2025-06-03</t>
  </si>
  <si>
    <t>2025-06-02</t>
  </si>
  <si>
    <t>2025-05 Total</t>
  </si>
  <si>
    <t>2025-05-31</t>
  </si>
  <si>
    <t>2025-05-30</t>
  </si>
  <si>
    <t>2025-05-29</t>
  </si>
  <si>
    <t>2025-05-28</t>
  </si>
  <si>
    <t>2025-05-27</t>
  </si>
  <si>
    <t>2025-05-26</t>
  </si>
  <si>
    <t>2025-05-24</t>
  </si>
  <si>
    <t>2025-05-23</t>
  </si>
  <si>
    <t>2025-05-22</t>
  </si>
  <si>
    <t>2025-05-21</t>
  </si>
  <si>
    <t>2025-05-20</t>
  </si>
  <si>
    <t>2025-05-19</t>
  </si>
  <si>
    <t>2025-05-18</t>
  </si>
  <si>
    <t>2025-05-17</t>
  </si>
  <si>
    <t>2025-05-16</t>
  </si>
  <si>
    <t>2025-05-15</t>
  </si>
  <si>
    <t>2025-05-14</t>
  </si>
  <si>
    <t>2025-05-13</t>
  </si>
  <si>
    <t>2025-05-12</t>
  </si>
  <si>
    <t>2025-05-10</t>
  </si>
  <si>
    <t>2025-05-09</t>
  </si>
  <si>
    <t>2025-05-08</t>
  </si>
  <si>
    <t>2025-05-07</t>
  </si>
  <si>
    <t>2025-05-06</t>
  </si>
  <si>
    <t>2025-05-05</t>
  </si>
  <si>
    <t>2025-05-02</t>
  </si>
  <si>
    <t>2025-04 Total</t>
  </si>
  <si>
    <t>2025-04-30</t>
  </si>
  <si>
    <t>2025-04-29</t>
  </si>
  <si>
    <t>2025-04-28</t>
  </si>
  <si>
    <t>2025-04-26</t>
  </si>
  <si>
    <t>2025-04-25</t>
  </si>
  <si>
    <t>2025-04-24</t>
  </si>
  <si>
    <t>2025-04-23</t>
  </si>
  <si>
    <t>2025-04-22</t>
  </si>
  <si>
    <t>2025-04-21</t>
  </si>
  <si>
    <t>2025-04-19</t>
  </si>
  <si>
    <t>2025-04-18</t>
  </si>
  <si>
    <t>2025-04-17</t>
  </si>
  <si>
    <t>2025-04-16</t>
  </si>
  <si>
    <t>2025-04-15</t>
  </si>
  <si>
    <t>2025-04-14</t>
  </si>
  <si>
    <t>2025-04-13</t>
  </si>
  <si>
    <t>2025-04-12</t>
  </si>
  <si>
    <t>2025-04-11</t>
  </si>
  <si>
    <t>2025-04-10</t>
  </si>
  <si>
    <t>2025-04-09</t>
  </si>
  <si>
    <t>2025-04-08</t>
  </si>
  <si>
    <t>2025-04-07</t>
  </si>
  <si>
    <t>2025-04-06</t>
  </si>
  <si>
    <t>2025-04-05</t>
  </si>
  <si>
    <t>2025-04-04</t>
  </si>
  <si>
    <t>2025-04-03</t>
  </si>
  <si>
    <t>2025-04-02</t>
  </si>
  <si>
    <t>2025-04-01</t>
  </si>
  <si>
    <t>2025-03 Total</t>
  </si>
  <si>
    <t>2025-03-31</t>
  </si>
  <si>
    <t>2025-03-30</t>
  </si>
  <si>
    <t>2025-03-29</t>
  </si>
  <si>
    <t>2025-03-28</t>
  </si>
  <si>
    <t>2025-03-27</t>
  </si>
  <si>
    <t>2025-03-26</t>
  </si>
  <si>
    <t>2025-03-25</t>
  </si>
  <si>
    <t>2025-03-24</t>
  </si>
  <si>
    <t>2025-03-23</t>
  </si>
  <si>
    <t>2025-03-22</t>
  </si>
  <si>
    <t>2025-03-21</t>
  </si>
  <si>
    <t>2025-03-20</t>
  </si>
  <si>
    <t>2025-03-19</t>
  </si>
  <si>
    <t>2025-03-18</t>
  </si>
  <si>
    <t>2025-03-17</t>
  </si>
  <si>
    <t>2025-03-15</t>
  </si>
  <si>
    <t>2025-03-14</t>
  </si>
  <si>
    <t>2025-03-13</t>
  </si>
  <si>
    <t>2025-03-12</t>
  </si>
  <si>
    <t>2025-03-11</t>
  </si>
  <si>
    <t>2025-03-10</t>
  </si>
  <si>
    <t>2025-03-08</t>
  </si>
  <si>
    <t>2025-03-07</t>
  </si>
  <si>
    <t>2025-03-06</t>
  </si>
  <si>
    <t>2025-03-05</t>
  </si>
  <si>
    <t>Hi team, dự án MAG DP đang cần cung cấp thông tin tài khoản, cũng như phân quyền cho tài khoản đó có quyền CDC dữ liệu theo thông tin như sau: IP: 10.10.12.68 Port: 5432 Tên DB:  merchant_new Tables: mpm_survey_portal_mpmsurveyportalsurveysingleuse mpm_survey_portal_mpmsurveyportalsurveyresponse Sau khi tạo và phân quyền, nhờ team gửi thông tin cho  @Lê Minh Tú ,  @Vi Đăng Khoa  và  @Đỗ Quốc Duy .</t>
  </si>
  <si>
    <t>[MAG DP][NP] Tạo tài khoản, phân quyền CDC cho nguồn MariaDB Customer App</t>
  </si>
  <si>
    <t>2026-09-15T15:24:55.076+0700</t>
  </si>
  <si>
    <t>2026-09-17T08:58:52.435+0700</t>
  </si>
  <si>
    <t>Hi team, dự án MAG DP đang cần cung cấp thông tin tài khoản, cũng như phân quyền cho tài khoản đó có quyền CDC dữ liệu theo thông tin như sau: Host:  mas-postgres-16-dev.cr62264i6qsz.ap-southeast-1.rds.amazonaws.com Port: 3306 Tên DB:  customer_app_dev customer_app_stg Tables: customer_profile Sau khi tạo và phân quyền, nhờ team gửi thông tin cho  @Lê Minh Tú ,  @Vi Đăng Khoa  và  @Đỗ Quốc Duy .</t>
  </si>
  <si>
    <t>2025-03-04</t>
  </si>
  <si>
    <t>2025-03-03</t>
  </si>
  <si>
    <t>[MAG DP][NP] Tạo tài khoản, phân quyền CDC, slots (DEV/SIT/UAT) cho nguồn PostgreSQL Formbricks</t>
  </si>
  <si>
    <t>2026-09-15T15:24:38.059+0700</t>
  </si>
  <si>
    <t>2025-03-02</t>
  </si>
  <si>
    <t>2026-09-19T11:59:27.036+0700</t>
  </si>
  <si>
    <t>Hi team, dự án MAG DP đang cần cung cấp thông tin tài khoản, cũng như phân quyền cho tài khoản đó có quyền CDC dữ liệu theo thông tin như sau: Host:  common-dev-postgres.cr62264i6qsz.ap-southeast-1.rds.amazonaws.com Port: 5432 Tên DB:  formbricks_dev Tables: formbricks_survey formbricks_surveyresponse Sau khi tạo và phân quyền, nhờ team gửi thông tin cho  @Lê Minh Tú ,  @Vi Đăng Khoa  và  @Đỗ Quốc Duy .</t>
  </si>
  <si>
    <t>2025-03-01</t>
  </si>
  <si>
    <t>2025-02 Total</t>
  </si>
  <si>
    <t>2025-02-28</t>
  </si>
  <si>
    <t>[MAG DP][NP] Tạo tài khoản, phân quyền CDC cho nguồn MariaDB Gift Portal</t>
  </si>
  <si>
    <t>2026-09-15T15:24:27.887+0700</t>
  </si>
  <si>
    <t>2026-09-17T09:18:23.102+0700</t>
  </si>
  <si>
    <t>2025-02-27</t>
  </si>
  <si>
    <t>Hi team, dự án MAG DP đang cần cung cấp thông tin tài khoản, cũng như phân quyền cho tài khoản đó có quyền CDC dữ liệu theo thông tin như sau: Host: portal-dev-mariadb.cr62264i6qsz.ap-southeast-1.rds.amazonaws.com Port: 3306 Tên DB: portal_dev_mariadb Tables: GIFT_PROGRAM GIFT_PROGRAM_CUSTOMER GIFT_STOCK GIFT_PROGRAM_VENDOR GIFT_PROGRAM_TYPE GIFT_CUSTOMER_SHIP_INFO SALEAPP_AGENCY Sau khi tạo và phân quyền, nhờ team gửi thông tin cho  @Lê Minh Tú ,  @Vi Đăng Khoa  và  @Đỗ Quốc Duy .</t>
  </si>
  <si>
    <t>2025-02-26</t>
  </si>
  <si>
    <t>2025-02-25</t>
  </si>
  <si>
    <t>2026-09-15T15:24:22.833+0700</t>
  </si>
  <si>
    <t>2025-02-24</t>
  </si>
  <si>
    <t>2026-09-23T02:42:16.482+0700</t>
  </si>
  <si>
    <t>2025-02-23</t>
  </si>
  <si>
    <t>2025-02-22</t>
  </si>
  <si>
    <t>[MAG DP][NP] Tạo tài khoản, phân quyền CDC cho nguồn MariaDB CS Portal</t>
  </si>
  <si>
    <t>2025-02-21</t>
  </si>
  <si>
    <t>2026-09-15T15:24:17.130+0700</t>
  </si>
  <si>
    <t>2026-09-17T09:28:52.706+0700</t>
  </si>
  <si>
    <t>Hi team, dự án MAG DP đang cần cung cấp thông tin tài khoản, cũng như phân quyền cho tài khoản đó có quyền CDC dữ liệu theo thông tin như sau: Host:  mag-common-dev-mariadb.cr62264i6qsz.ap-southeast-1.rds.amazonaws.com Port: 3306 Tên DB: cs_dev_mariadb Tables: email_history Sau khi tạo và phân quyền, nhờ team gửi thông tin cho  @Lê Minh Tú ,  @Vi Đăng Khoa  và  @Đỗ Quốc Duy .</t>
  </si>
  <si>
    <t>2025-02-20</t>
  </si>
  <si>
    <t>2025-02-19</t>
  </si>
  <si>
    <t>[NonPROD] [15/09/2026] [UPay] Support update db STAG</t>
  </si>
  <si>
    <t>2026-09-15T12:20:25.058+0700</t>
  </si>
  <si>
    <t>2025-02-18</t>
  </si>
  <si>
    <t>2026-09-15T12:20:31.616+0700</t>
  </si>
  <si>
    <t>2025-02-17</t>
  </si>
  <si>
    <t>2025-02-15</t>
  </si>
  <si>
    <t>2025-02-14</t>
  </si>
  <si>
    <t>2025-02-12</t>
  </si>
  <si>
    <t>Hi a   @Nguyễn Văn Dũng  , nhờ a chạy giúp e script bên dưới ở môi trường STAG với ạ. Script:  Thông tin database:  tidb.int.onemount.dev:4000 alter table MCC_FIELD_REQUIRE_CONFIG
    add merchant_code varchar(50) null;
alter table MCC_FIELD_REQUIRE_CONFIG
    add is_edit tinyint(1) null;
alter table MCC_FIELD_REQUIRE_CONFIG
    add is_display tinyint(1) null;
alter table REQUEST_PAYMENT_FIELD
    add field_order int null;
INSERT INTO REQUEST_PAYMENT_FIELD (section, field_name, updated_date, created_date, created_by, updated_by, field_order)
VALUES
  ('billing_information', 'bill_to_first_name', '2026-09-15 23:59:00', '2026-09-15 23:59:00', NULL, NULL, 1),
  ('billing_information', 'bill_to_last_name', '2026-09-15 23:59:00', '2026-09-15 23:59:00', NULL, NULL, 2),
  ('billing_information', 'bill_to_street1', '2026-09-15 23:59:00', '2026-09-15 23:59:00', NULL, NULL, 3),
  ('billing_information', 'bill_to_city', '2026-09-15 23:59:00', '2026-09-15 23:59:00', NULL, NULL, 4),
  ('billing_information', 'bill_to_state', '2026-09-15 23:59:00', '2026-09-15 23:59:00', NULL, NULL, 5),
  ('billing_information', 'bill_to_country', '2026-09-15 23:59:00', '2026-09-15 23:59:00', NULL, NULL, 6),
  ('billing_information', 'bill_to_postal_code', '2026-09-15 23:59:00', '2026-09-15 23:59:00', NULL, NULL, 7),
  ('billing_information', 'bill_to_email', '2026-09-15 23:59:00', '2026-09-15 23:59:00', NULL, NULL, 8),
  ('billing_information', 'purchase_totals_currency', '2026-09-15 23:59:00', '2026-09-15 23:59:00', NULL, NULL, 9),
  ('billing_information', 'bill_to_customer_id', '2026-09-15 23:59:00', '2026-09-15 23:59:00', NULL, NULL, 10),
  ('billing_information', 'bill_to_ip_address', '2026-09-15 23:59:00', '2026-09-15 23:59:00', NULL, NULL, 11),
  ('billing_information', 'bill_to_phone_number', '2026-09-15 23:59:00', '2026-09-15 23:59:00', NULL, NULL, 12);
INSERT INTO REQUEST_PAYMENT_FIELD (section, field_name, updated_date, created_date, created_by, updated_by, field_order)
VALUES
  ('shipping_info', 'ship_to_first_name', '2026-09-15 23:59:00', '2026-09-15 23:59:00', NULL, NULL, 1),
  ('shipping_info', 'ship_to_last_name', '2026-09-15 23:59:00', '2026-09-15 23:59:00', NULL, NULL, 2),
  ('shipping_info', 'ship_to_street1', '2026-09-15 23:59:00', '2026-09-15 23:59:00', NULL, NULL, 3),
  ('shipping_info', 'ship_to_city', '2026-09-15 23:59:00', '2026-09-15 23:59:00', NULL, NULL, 4),
  ('shipping_info', 'ship_to_state', '2026-09-15 23:59:00', '2026-09-15 23:59:00', NULL, NULL, 5),
  ('shipping_info', 'ship_to_country', '2026-09-15 23:59:00', '2026-09-15 23:59:00', NULL, NULL, 6),
  ('shipping_info', 'ship_to_phone_number', '2026-09-15 23:59:00', '2026-09-15 23:59:00', NULL, NULL, 7),
  ('shipping_info', 'ship_to_postal_code', '2026-09-15 23:59:00', '2026-09-15 23:59:00', NULL, NULL, 8),
  ('shipping_info', 'ship_to_shipping_method', '2026-09-15 23:59:00', '2026-09-15 23:59:00', NULL, NULL, 9);
-- 1. Cập nhật field_order cho section 'sub_merchant_information'
UPDATE REQUEST_PAYMENT_FIELD
SET field_order = CASE field_name
    WHEN 'sub_merchant_id' THEN 1
    WHEN 'sub_merchant_name' THEN 2
    WHEN 'payment_facilitator_id' THEN 3
    WHEN 'submerchant_city' THEN 4
    WHEN 'submerchant_country_code_alpha3' THEN 5
    WHEN 'submerchant_street_address' THEN 6
    WHEN 'submerchant_postal_code' THEN 7
    WHEN 'submerchant_province_code' THEN 8
    WHEN 'submerchant_url_address' THEN 9
    WHEN 'mcc' THEN 10
END
WHERE section = 'sub_merchant_information'
  AND field_name IN (
    'sub_merchant_id', 'sub_merchant_name', 'payment_facilitator_id',
    'submerchant_city', 'submerchant_country_code_alpha3', 'submerchant_street_address',
    'submerchant_postal_code', 'submerchant_province_code', 'submerchant_url_address', 'mcc'
  );
-- 2. Cập nhật field_order cho section 'travel_info'
UPDATE REQUEST_PAYMENT_FIELD
SET field_order = CASE field_name
    WHEN 'travel_data_departure_date_time' THEN 1
    WHEN 'complete_route' THEN 2
    WHEN 'journey_type' THEN 3
    WHEN 'passenger_last_name' THEN 4
    WHEN 'passenger_first_name' THEN 5
    WHEN 'passenger_id' THEN 6
    WHEN 'passenger_email' THEN 7
    WHEN 'passenger_phone' THEN 8
    WHEN 'passenger_status' THEN 9
    WHEN 'passenger_type' THEN 10
END
WHERE section = 'travel_info'
  AND field_name IN (
    'travel_data_departure_date_time', 'passenger_first_name', 'passenger_last_name',
    'passenger_id', 'passenger_email', 'passenger_phone',
    'complete_route', 'journey_type', 'passenger_status', 'passenger_type'
  );
-- 3. Cập nhật field_order cho section 'retail_info'
UPDATE REQUEST_PAYMENT_FIELD
SET field_order = CASE field_name
    WHEN 'purchase_totals_grand_total_amount' THEN 1
    WHEN 'product_code' THEN 2
    WHEN 'product_name' THEN 3
    WHEN 'product_sku' THEN 4
    WHEN 'unit_price' THEN 5
    WHEN 'quantity' THEN 6
END
WHERE section = 'retail_info'
  AND field_name IN (
    'product_code', 'product_name', 'product_sku', 'unit_price', 'quantity','purchase_totals_grand_total_amount'
  );</t>
  </si>
  <si>
    <t>2025-02-11</t>
  </si>
  <si>
    <t>2025-01 Total</t>
  </si>
  <si>
    <t xml:space="preserve">[SalePortal] Hỗ trợ bổ sung thêm data key phân quyền trên DB pro </t>
  </si>
  <si>
    <t>2026-09-15T11:44:42.327+0700</t>
  </si>
  <si>
    <t>2026-09-21T09:08:51.592+0700</t>
  </si>
  <si>
    <t>2025-01-24</t>
  </si>
  <si>
    <t>Host:   portal-prod-mariadb.crcykac8kxtw.ap-southeast-1.rds.amazonaws.com Query :  -- 1. Thêm vào danh mục
INSERT INTO portal_prod.`SALEAPP_PORTAL_FUNCTION`
  (`FUNCTION`, `FUNCTION_DESC`, `STATUS`, `FUNCTION_PARENT`, `MENU`)
VALUES
  ('vinhome_management_update_deal_type','vinhome_management_update_deal_type',1,'Corporate_Management','Corporate_Management'),
  ('vinhome_management_manage_deal_type','vinhome_management_manage_deal_type',1,'Corporate_Management','Corporate_Management');</t>
  </si>
  <si>
    <t>2025-01-20</t>
  </si>
  <si>
    <t>2025-01-18</t>
  </si>
  <si>
    <t>[PROD][Merchant] Reset store/terminal SMARTPOS về WAITING_FOR_ACTIVATION — NCCN8XS4 (EVERPINE)</t>
  </si>
  <si>
    <t>2025-01-17</t>
  </si>
  <si>
    <t>2026-09-15T11:33:13.950+0700</t>
  </si>
  <si>
    <t>2026-09-15T11:43:41.501+0700</t>
  </si>
  <si>
    <t>MerchantAPP</t>
  </si>
  <si>
    <t>2025-01-08</t>
  </si>
  <si>
    <t>2025-01-06</t>
  </si>
  <si>
    <t>Dear team DBA, nhờ team chạy giúp câu lệnh datafix bên dưới ạ. Bối cảnh: merchant NCCN8XS4 SmartPOS — reset trạng thái store/terminal về WAITING_FOR_ACTIVATION để portal hiển thị TID gán thiết bị. Thông tin database DB_MYSQL_HOST=172.31.4.108 DB_MYSQL_DATABASE=merchant_service_tcb Câu lệnh START TRANSACTION;
UPDATE tpay_store s
   SET s.status='WAITING_FOR_ACTIVATION', s.updated_at=NOW(), s.updated_by='SYSTEM'
 WHERE s.tcb_merchant_code='NCCN8XS4' AND s.deleted_at IS NULL AND s.status&lt;&gt;'ACTIVE';
UPDATE tpay_store s
   JOIN tpay_store_service ss ON ss.store_id=s.id AND ss.deleted_at IS NULL AND ss.status&lt;&gt;'ACTIVE'
   SET ss.status='WAITING_FOR_ACTIVATION', ss.updated_at=NOW()
 WHERE s.tcb_merchant_code='NCCN8XS4' AND s.deleted_at IS NULL;
UPDATE tpay_store s
   JOIN tpay_terminal t ON t.store_code=s.code AND t.deleted_at IS NULL AND t.status&lt;&gt;'ACTIVE'
   SET t.status='WAITING_FOR_ACTIVATION', t.updated_at=NOW(), t.updated_by='SYSTEM'
 WHERE s.tcb_merchant_code='NCCN8XS4' AND s.deleted_at IS NULL;
UPDATE tpay_store s
   JOIN tpay_terminal t ON t.store_code=s.code AND t.deleted_at IS NULL
   JOIN tpay_terminal_service ts ON ts.terminal_code=t.code AND ts.deleted_at IS NULL AND ts.status&lt;&gt;'ACTIVE'
   SET ts.status='WAITING_FOR_ACTIVATION', ts.updated_at=NOW()
 WHERE s.tcb_merchant_code='NCCN8XS4' AND s.deleted_at IS NULL;
COMMIT; Rollback (nếu cần) START TRANSACTION;
UPDATE tpay_store s SET s.status='REJECTED', s.updated_at=NOW() WHERE s.tcb_merchant_code='NCCN8XS4' AND s.deleted_at IS NULL AND s.status='WAITING_FOR_ACTIVATION';
UPDATE tpay_store s JOIN tpay_store_service ss ON ss.store_id=s.id SET ss.status='REJECTED', ss.updated_at=NOW() WHERE s.tcb_merchant_code='NCCN8XS4' AND ss.deleted_at IS NULL AND ss.status='WAITING_FOR_ACTIVATION';
UPDATE tpay_store s JOIN tpay_terminal t ON t.store_code=s.code SET t.status='REJECTED', t.updated_at=NOW() WHERE s.tcb_merchant_code='NCCN8XS4' AND t.deleted_at IS NULL AND t.status='WAITING_FOR_ACTIVATION';
UPDATE tpay_store s JOIN tpay_terminal t ON t.store_code=s.code JOIN tpay_terminal_service ts ON ts.terminal_code=t.code SET ts.status='REJECTED', ts.updated_at=NOW() WHERE s.tcb_merchant_code='NCCN8XS4' AND ts.deleted_at IS NULL AND ts.status='WAITING_FOR_ACTIVATION';
COMMIT; Em xin cảm ơn ạ!</t>
  </si>
  <si>
    <t xml:space="preserve">[PROD][UPAY] Reset trạng thái onboard merchant NCCN8XS4 về WAITING_ACTIVE </t>
  </si>
  <si>
    <t>2026-09-15T11:33:09.286+0700</t>
  </si>
  <si>
    <t>2026-09-15T11:44:00.735+0700</t>
  </si>
  <si>
    <t>Dear team DBA, nhờ team chạy giúp câu lệnh data fix bên dưới ạ. Thông tin database jdbc:mysql://pay-tidb.int.onemount.com:4000/saas_tpay Câu lệnh START TRANSACTION;
UPDATE UNIFIED_MERCHANT           SET status='WAITING_ACTIVE', updated_at=NOW() WHERE merchant_code='NCCN8XS4' AND status&lt;&gt;'ACTIVE';
UPDATE UNIFIED_MERCHANT_SERVICE   SET status='WAITING_ACTIVE', updated_at=NOW() WHERE merchant_code='NCCN8XS4' AND status&lt;&gt;'ACTIVE';
UPDATE UNIFIED_STORE              SET status='WAITING_ACTIVE', updated_at=NOW() WHERE merchant_code='NCCN8XS4' AND status&lt;&gt;'ACTIVE';
UPDATE UNIFIED_TERMINAL           SET status='WAITING_ACTIVE', updated_at=NOW() WHERE merchant_code='NCCN8XS4' AND status&lt;&gt;'ACTIVE';
UPDATE SMARTPOS_MERCHANT_CONTRACT SET status='WAITING_ACTIVE', updated_at=NOW() WHERE merchant_code='NCCN8XS4' AND status&lt;&gt;'ACTIVE';
COMMIT; Rollback (nếu cần) START TRANSACTION;
UPDATE UNIFIED_MERCHANT           SET status='ACTIVE_FAIL', updated_at=NOW() WHERE merchant_code='NCCN8XS4' AND status='WAITING_ACTIVE';
UPDATE UNIFIED_MERCHANT_SERVICE   SET status='ACTIVE_FAIL', updated_at=NOW() WHERE merchant_code='NCCN8XS4' AND status='WAITING_ACTIVE';
UPDATE UNIFIED_STORE              SET status='ACTIVE_FAIL', updated_at=NOW() WHERE merchant_code='NCCN8XS4' AND status='WAITING_ACTIVE';
UPDATE UNIFIED_TERMINAL           SET status='ACTIVE_FAIL', updated_at=NOW() WHERE merchant_code='NCCN8XS4' AND status='WAITING_ACTIVE';
UPDATE SMARTPOS_MERCHANT_CONTRACT SET status='REJECTED',    updated_at=NOW() WHERE merchant_code='NCCN8XS4' AND status='WAITING_ACTIVE';
COMMIT; Em xin cảm ơn ạ!</t>
  </si>
  <si>
    <t>[PMS] UAT recreate database for pms uat</t>
  </si>
  <si>
    <t>2026-09-15T09:15:42.311+0700</t>
  </si>
  <si>
    <t>2026-09-15T10:17:16.149+0700</t>
  </si>
  <si>
    <t xml:space="preserve">Hi  @Phạm Tuấn Linh   Do schema, bảng có nhiều thay đổi nên cần init lại toàn bộ cho môi trường UAT Nhờ em hỗ trợ xóa database cũ và tạo lại database mới cho PMS UAT Link console database:  https://console.cloud.google.com/sql/instances/main-mysql-8-2/insights;database=omd_pms_uat;duration=PT1H;sort_by=TOTAL_EXEC_TIME/executed?project=vinid-app-common-dev cc  @Phạm Hồng Quang  </t>
  </si>
  <si>
    <t>Release Plan 14/09/2026 - OneID Authentication - Fire event sign in for user login by VNeID</t>
  </si>
  <si>
    <t>2026-09-14T21:40:30.546+0700</t>
  </si>
  <si>
    <t>2026-09-15T09:58:30.521+0700</t>
  </si>
  <si>
    <t>Hi  @Đào Công Nghĩa  , Nhờ em chạy giúp thông tin dưới đây: IP:  172.31.3.40 port:  5432 Database:  omc_bp_authentication Script: ## Alter table
CREATE INDEX IF NOT EXISTS vneid_login_user_id_channel_index ON vneid_login (user_id, channel); Note: Kiểm tra dữ liệu bảng có nhiều không trước khi chạy Thời gian chạy: 21h30 ngày 14/09/2026</t>
  </si>
  <si>
    <t>[Merchant][PROD] Datafix: soft-delete 2 dòng bank mồ côi (merchant 34089686) đang chặn update STK của merchant NCCF48CB</t>
  </si>
  <si>
    <t>2026-09-14T09:43:42.244+0700</t>
  </si>
  <si>
    <t>2026-09-14T09:43:52.097+0700</t>
  </si>
  <si>
    <t>Dear team DBA, Nhờ team hỗ trợ datafix nhỏ trên PROD. Bối cảnh: update merchant NCCF48CB báo lỗi 400 "Số tài khoản ngân hàng đã tồn tại trên hệ thống" do 2 dòng bank mồ côi (merchant 34089686 và request cha 2808761 đều đã KHÔNG còn tồn tại) vẫn giữ số tài khoản 19034089686019. Nhờ team soft-delete 2 dòng đó rồi verify. Thông tin database DB_MYSQL_HOST=172.31.4.108 DB_MYSQL_DATABASE=merchant_service_tcb Câu lệnh datafix UPDATE tpay_request_merchant_bank
SET deleted_at = NOW(), updated_at = NOW()
WHERE id IN (11744477, 11744483)
  AND tcb_merchant_code = '34089686'
  AND account_number = '19034089686019'
  AND deleted_at IS NULL;   -- ky vong 2 rows affected
-- Verify: account 19034089686019 gio chi con NCCF48CB giu
SELECT tcb_merchant_code, account_number, account_by_purpose, deleted_at
FROM tpay_request_merchant_bank
WHERE account_number = '19034089686019' AND deleted_at IS NULL; Rollback (neu can) UPDATE tpay_request_merchant_bank SET deleted_at = NULL, updated_at = NOW()
WHERE id IN (11744477, 11744483); Cảm ơn team.</t>
  </si>
  <si>
    <t>[OMC][MTP] Clear dữ liệu tracking tháng 08/2026</t>
  </si>
  <si>
    <t>2026-09-14T09:42:18.300+0700</t>
  </si>
  <si>
    <t>2026-09-14T09:42:43.280+0700</t>
  </si>
  <si>
    <t>tracking_events</t>
  </si>
  <si>
    <t>Dear anh  @Nguyễn Văn Dũng ,  @Đào Công Nghĩa  , nhờ anh em chạy giúp em script sau: -- OMC
use omc_mtp_tracking_events;
ALTER TABLE omc_mtp_tracking_events.mtp_tracking_events_omc  DROP INDEX idx_u_message_id;
-- ALTER TABLE omc_mtp_tracking_events.mtp_tracking_events_omc DROP PARTITION p20260801;
ALTER TABLE omc_mtp_tracking_events.mtp_tracking_events_omc DROP PARTITION p20260802;
ALTER TABLE omc_mtp_tracking_events.mtp_tracking_events_context_omc DROP PARTITION p20260802;
-- ALTER TABLE omc_mtp_tracking_events.mtp_tracking_events_context_omc DROP PARTITION p20260801;
ALTER TABLE omc_mtp_tracking_events.mtp_tracking_event_sessions DROP PARTITION p2026_08;
use omc_mtp_martech_activation;
-- ALTER TABLE omc_mtp_martech_activation.mtp_ads_events DROP PARTITION p2026_08;
ALTER TABLE omc_mtp_martech_activation.mtp_push_events DROP PARTITION p2026_08;
ALTER TABLE omc_mtp_martech_activation.mtp_tracking_email_events DROP PARTITION p2026_08;
ALTER TABLE omc_mtp_martech_activation.mtp_tracking_email_notifications DROP PARTITION p2026_08;
ALTER TABLE omc_mtp_martech_activation.mtp_tracking_fcm_messages DROP PARTITION p2026_08;
ALTER TABLE omc_mtp_martech_activation.mtp_tracking_push_notifications DROP PARTITION p2026_08;
-- OMRE
use omre_mtp_tracking_events;
ALTER TABLE omre_mtp_tracking_events.mtp_tracking_events_omre  DROP INDEX idx_u_message_id;
-- ALTER TABLE omre_mtp_tracking_events.mtp_tracking_events_omre drop partition p20260801;
ALTER TABLE omre_mtp_tracking_events.mtp_tracking_events_omre drop partition p20260802;
-- ALTER TABLE omre_mtp_tracking_events.mtp_tracking_events_context_omre DROP PARTITION p20260801;
ALTER TABLE omre_mtp_tracking_events.mtp_tracking_events_context_omre DROP PARTITION p20260802;
-- create global index
use omc_mtp_tracking_events;
ALTER TABLE omc_mtp_tracking_events.mtp_tracking_events_omc ADD UNIQUE INDEX idx_u_message_id (message_id) GLOBAL;
use omre_mtp_tracking_events;
ALTER TABLE omre_mtp_tracking_events.mtp_tracking_events_omre ADD UNIQUE INDEX idx_u_message_id (message_id) GLOBAL; Best regards Dinh Quang Nguyen</t>
  </si>
  <si>
    <t>[OMC][MCL][PROD] Hỗ trợ cập nhật database - Merchant Loyalty</t>
  </si>
  <si>
    <t>2026-09-14T09:29:36.421+0700</t>
  </si>
  <si>
    <t>2026-09-14T09:29:44.853+0700</t>
  </si>
  <si>
    <t>Dear anh  @Đào Công Nghĩa , Team em có nhu cầu cập nhật dữ liệu, nhờ team DBA hỗ trợ chạy luôn giúp e ạ. Thông tin DB:  omc-mtp-tidb.int.onemount.com:4000 / omc_merchant_loyalty DELETE FROM omc_merchant_loyalty.contract WHERE id = 125410;
UPDATE omc_merchant_loyalty.contract SET status = 'PENDING_HIDDEN_SIGNATURE', is_active = 1 WHERE id = 125289; Thank anh.</t>
  </si>
  <si>
    <t>[OMD][MHPOS] Hỗ trợ đánh index trên môi trường PROD dự án merchant-hub-pos</t>
  </si>
  <si>
    <t>2026-09-13T23:21:00.093+0700</t>
  </si>
  <si>
    <t>2026-09-13T23:36:54.267+0700</t>
  </si>
  <si>
    <t>Hi Linh. nhờ Linh support đánh index cho trường id trong bảng  warehouse jdbc:postgresql://omd-merchant-hub-prod--mhpos-catalog-prod-postgres.cloudsql.int:5432/mhpos_catalog</t>
  </si>
  <si>
    <t>[Prod][OMC][Gami] Insert attribute mới cho Gami phục vụ release 12/09/2026</t>
  </si>
  <si>
    <t>2026-09-12T23:56:42.543+0700</t>
  </si>
  <si>
    <t>2026-09-12T23:56:53.684+0700</t>
  </si>
  <si>
    <t>Nhờ team chạy query trên production giúp Loyalty Gami, phục vụ release 12/09/2026: Host: 172.31.4.75 Db: promo_rule_engine UPDATE `rule_templates`
SET `payload` = JSON_SET(
    `payload`,
    '$.payload.member_attributes.cst_1st_mc_ind', 'string',
    '$.payload.member_attributes.cst_prd_pmbh_ind', 'string'
)
WHERE id IN (
    SELECT id
    FROM (SELECT id FROM `rule_templates`) AS temp_table
);
INSERT INTO categories (tenant_id, rule_template_id, `key`, name, field_type, ui_type, operator, group_name, is_master_data, description, status, created_at, updated_at)
SELECT rt.tenant_id, rt.id, 'payload.member_attributes.cst_1st_mc_ind', '[CST_1ST_MC_IND] KH lần đầu tiên đăng ký là MC MQR của TCB hay không', 'string', 'COMBOBOX', '==|!=|in|not in', 'Member Attribute', 1, 'KH lần đầu tiên đăng ký là MC MQR của TCB hay không', 'ACTIVE', Now(), Now()
FROM rule_templates rt;
INSERT INTO categories (tenant_id, rule_template_id, `key`, name, field_type, ui_type, operator, group_name, is_master_data, description, status, created_at, updated_at)
SELECT rt.tenant_id, rt.id, 'payload.member_attributes.cst_prd_pmbh_ind', '[CST_PRD_PMBH_IND] Merchant account linked to PMBH', 'string', 'COMBOBOX', '==|!=|in|not in', 'Member Attribute', 1, 'Merchant account linked to PMBH', 'ACTIVE', Now(), Now()
FROM rule_templates rt;
INSERT INTO master_data(tenant_id, categories_id, attribute_code, program_id, created_at, updated_at)
SELECT c.tenant_id, c.id, 'cst_1st_mc_ind', 426, Now(), Now()
FROM categories c
WHERE c.`key` = 'payload.member_attributes.cst_1st_mc_ind';
INSERT INTO master_data(tenant_id, categories_id, attribute_code, program_id, created_at, updated_at)
SELECT c.tenant_id, c.id, 'cst_prd_pmbh_ind', 426, Now(), Now()
FROM categories c
WHERE c.`key` = 'payload.member_attributes.cst_prd_pmbh_ind';
UPDATE `categories` 
SET operator = '==|!=|contains|not contains|in|not in'
WHERE categories.id IN (616, 618); Host: 172.31.4.75 Db: promo_group UPDATE `condition_templates`
SET `template` = JSON_SET(
    `template`,
    '$.Field.Payload.MemberAttributes.Cst1stMcInd', 'string',
    '$.Field.Payload.MemberAttributes.CstPrdPmbhInd', 'string',
    '$.Field.Payload.MemberAttributes.CstInactiveFxTxn', 'string'
) WHERE code = 'tp1'; Có thể thực hiện luôn.</t>
  </si>
  <si>
    <t>[OMC][topic]V/v tạo topic bảng mới</t>
  </si>
  <si>
    <t>2026-09-12T23:37:37.510+0700</t>
  </si>
  <si>
    <t>2026-09-14T10:46:36.529+0700</t>
  </si>
  <si>
    <t>Dear Linh, Em tạo giúp anh topic cho các bảng sau với nhé. craw_request craw_merchant craw_result llm_audit_log outbox_event Thông tin DB nguồn: IP: 172.31.1.21 DB name: crm_ai_crawler</t>
  </si>
  <si>
    <t>[Merchant][PROD] Update ipn merchant PVAINS01</t>
  </si>
  <si>
    <t>2026-09-11T22:50:32.714+0700</t>
  </si>
  <si>
    <t>2026-09-11T22:50:45.671+0700</t>
  </si>
  <si>
    <t>Description Hi a   @Nguyễn Văn Dũng  , nhờ a chạy giúp e script bên dưới để merchant có thể thanh toán cbs và nhận callback Thời gian:  11/09/2026 Script:  Thông tin database:  mysql://pay-tidb.int.onemount.com:4000/saas_tpay UPDATE ECOM_MERCHANT_CONFIG
SET ipn = 'https://portal.prudential.com.vn/onlinepayment/techcombank/callback'
WHERE merchant_code = 'PVAINS01'; UPDATE ECOM_MERCHANT_CYBER
SET created_at = '2025-09-11 16:44:28.000'
WHERE id = '8007';</t>
  </si>
  <si>
    <t xml:space="preserve">[Dora Project] - Tạo database Dev, UAT cho dự án Dora  </t>
  </si>
  <si>
    <t>2026-09-11T18:00:02.057+0700</t>
  </si>
  <si>
    <t>2026-09-11T18:00:15.754+0700</t>
  </si>
  <si>
    <t>Cần tạo 2 Database cho môi trường Dev và UAT của dự án Dora Instance:  dora-np-postgres  - 172.31.0.228</t>
  </si>
  <si>
    <t>[Prod] Seeding trạng thái đơn hàng Flash Sale</t>
  </si>
  <si>
    <t>2026-09-11T12:57:26.307+0700</t>
  </si>
  <si>
    <t>2026-09-11T12:57:34.902+0700</t>
  </si>
  <si>
    <t>Dear DBA team, Nhờ các anh em support chạy script update trạng thái đơn hàng. Thông tin DB Mysql: Database name: vincart_mm_order IP: 172.31.1.41 DB type: MYSQL Lệnh chạy: -- FINISHED --
update orders a
set a.status         = 'FINISHED',
    a.payment_status = 'PAID'
where a.code in ('MDNGRALB', 'M3KN945A', 'M3KN96DE', 'MLYGRA8L', 'MK9ERY2B', 'M8YD2RV6', 'MVAXY2X4',
                 'M3KN9NXX', 'M48KY8AY', 'M8YD2YLL', 'M62V75RY', 'M5V4D28E', 'M8YDKL26', 'MN9E25VK',
                 'M3KNE32A', 'MBGXED7L', 'M8Y4EXD8', 'M2X5DE54', 'MY97R263', 'M3K2XQL9', 'M5V79RLG',
                 'MBGX2NB5', 'M3K2BQ3K', 'M5V7QG96', 'MBGD4A83', 'MGLN8B35', 'M62DGVNB', 'M3KDYNVR',
                 'MX9L3QG6', 'MY94B93G', 'MVAKN3NA', 'M5V2QX88', 'MQ89Y3NA', 'MLY5X7R2', 'M2XQ3E4N',
                 'M9R8X9EB', 'M2XQ3EB4', 'MY94BYNQ', 'MDNELXQQ', 'M5V2QX64', 'MN954DY8', 'MA9BNY2R',
                 'M625RD4A', 'M7Q4D79V', 'M3K3BDNQ', 'M625RD2E', 'MA9BNY95', 'MK957BGQ', 'MGLE6A6Q',
                 'M5V2QR8A', 'M5V2QRAA', 'M7Q4DLNG', 'MY94B2LN', 'MDNELB4A', 'MY94B5R9', 'M7Q422DQ',
                 'M9R8LA26', 'M9R8LA46', 'MXV39X3N', 'M99XRGD4', 'M8XNBRBR', 'MBD48QVV', 'M3DYGRVE',
                 'MBD48QLV');
--  CANCELLED ---
update orders a
set a.status         = 'CANCELLED'
where a.code in
      ('M8A2ERLY', ' MY92V6A6', 'MA9326QR', 'MK9B9BAQ', 'MQ8LVA78', 'MGLV2RBD', 'MQ8LRDN4',
       'MVA6XBDV', 'M48NQDK8', 'M48GYR9G', 'MX9LBND2', 'M8YL8Q28', 'MN95A68N', 'MBGBK2YA',
       'MVAK4QRL', 'MBD267L8', 'MKD7ENYY', 'MKD79GXD', 'M8XNBV4Q', 'MED46B83',
       'MXV2L4QG', 'M99N877L', 'M99N8V4N', 'MQ349B4E', 'M99N8VAV', 'MYY643E5', 'MXV2L9YQ',
       'ML725Y6N', 'ML725Y2B', 'MED4625L', 'MGN9EN88', 'ML7257YD', 'M3D63D33', 'MGND4A6Y',
       'MNDB2RA7', 'M8X49XA5', 'MBDX5XKA');
-- CANCELLED, REFUNDED ---
update orders a
set a.status         = 'CANCELLED',
    a.payment_status = 'REFUNDED'
where a.code in
      ('M2E2R7EV');
update order_payments
set status = 'REFUNDED'
where order_id in (select id
                   from orders
                   where code in ('M2E2R7EV'));</t>
  </si>
  <si>
    <t>Hỗ trợ tạo các database Postgres cho CMS của Masterisegroup</t>
  </si>
  <si>
    <t>2026-09-11T12:07:18.480+0700</t>
  </si>
  <si>
    <t>2026-09-11T12:23:45.099+0700</t>
  </si>
  <si>
    <t>Hi anh  @Đoàn Việt Hưng   , nhờ bạn tạo giúp em database postgresql sau cho các trang cms của Masterisegroup mag_prod_postgres Cảm ơn anh nha.</t>
  </si>
  <si>
    <t>[DBA-SAPBASIS] Setup Alert OS SAP OM qua Google Chat</t>
  </si>
  <si>
    <t>2026-09-11T11:21:14.435+0700</t>
  </si>
  <si>
    <t>2026-09-11T11:21:14.977+0700</t>
  </si>
  <si>
    <t>Setup alert các thông số OS của các hệ thống SAP OM qua Space Google Chat https://chat.google.com/room/AAQA1r9n3iI?cls=7</t>
  </si>
  <si>
    <t>[DBA-SAPBASIS] Trao đổi, review System Landscape SAP S/4HANA MAG</t>
  </si>
  <si>
    <t>2026-09-11T11:13:11.924+0700</t>
  </si>
  <si>
    <t>2026-09-11T11:13:12.693+0700</t>
  </si>
  <si>
    <t>Trao đổi, review với đội dự án OM-FPT về thiết kế và tài liệu System Landscape do bên FPT đề xuất</t>
  </si>
  <si>
    <t>[DBA-SAPBASIS] Thiết kế, cấu hình network truy cập SAP Private Cloud MAG</t>
  </si>
  <si>
    <t>2026-09-11T10:58:49.961+0700</t>
  </si>
  <si>
    <t>2026-09-11T10:58:50.836+0700</t>
  </si>
  <si>
    <t>Thiết kế, phối hợp với team SRE thiết kế mô hình network truy cập cho đội dự án và end-user truy cập hệ thống SAP S/4HANA Private Cloud của MAG</t>
  </si>
  <si>
    <t>[DBA-SAPBASIS] Upgrade version SAP Private Cloud MAG</t>
  </si>
  <si>
    <t>2026-09-11T10:55:15.231+0700</t>
  </si>
  <si>
    <t>2026-09-11T10:55:15.828+0700</t>
  </si>
  <si>
    <t>No Labels</t>
  </si>
  <si>
    <t>V/v upgrade version hệ thống SAP S/4HANA MAG lên latest version theo yêu cầu từ PMO sau khi nhận bàn giao hệ thống từ SAP để đảm bảo hệ thống được cập nhật mới nhất, DBA phối hợp với nhà thầu FPT để thực hiện và theo dõi để kịp thời có hệ thống sớm theo timeline triển khai dự án</t>
  </si>
  <si>
    <t>[NONPROD][STAGING] Phục vụ golive ngày 15/9</t>
  </si>
  <si>
    <t>2026-09-11T10:52:23.258+0700</t>
  </si>
  <si>
    <t>2026-09-11T10:52:38.412+0700</t>
  </si>
  <si>
    <t>Hi các anh Nhờ anh chạy các script sau giúp em trên: Thông tin database gồm có những DB sau ạ: jdbc:mysql://tidb.int.onemount.dev:4000/vinpay_saas_tpay_staging ALTER TABLE IMPORT
    ADD COLUMN source_portal VARCHAR(32) NULL;</t>
  </si>
  <si>
    <t>[DBA-SAPBASIS] Nhận bàn giao SAP Private Cloud MAG</t>
  </si>
  <si>
    <t>2026-09-11T10:51:30.216+0700</t>
  </si>
  <si>
    <t>2026-09-11T10:51:30.828+0700</t>
  </si>
  <si>
    <t>Nhận bàn giao thông tin hệ thống SAP Private Cloud của MAG từ PM OM, kiểm tra rà soát thông tin được bàn giao</t>
  </si>
  <si>
    <t>[PROD][Merchant] Reset store/terminal SMARTPOS về WAITING_FOR_ACTIVATION — NCCGBD2B</t>
  </si>
  <si>
    <t>2026-09-11T10:47:44.557+0700</t>
  </si>
  <si>
    <t>2026-09-11T10:47:53.805+0700</t>
  </si>
  <si>
    <t>Dear team DBA, nhờ team chạy giúp câu lệnh datafix bên dưới ạ. Bối cảnh: merchant NCCGBD2B SmartPOS — reset trạng thái store/terminal về WAITING_FOR_ACTIVATION để portal hiển thị TID gán thiết bị. Thông tin database DB_MYSQL_HOST=172.31.4.108 DB_MYSQL_DATABASE=merchant_service_tcb Câu lệnh START TRANSACTION;
UPDATE tpay_store s
   SET s.status='WAITING_FOR_ACTIVATION', s.updated_at=NOW(), s.updated_by='SYSTEM'
 WHERE s.tcb_merchant_code='NCCGBD2B' AND s.deleted_at IS NULL AND s.status&lt;&gt;'ACTIVE';
UPDATE tpay_store s
   JOIN tpay_store_service ss ON ss.store_id=s.id AND ss.deleted_at IS NULL AND ss.status&lt;&gt;'ACTIVE'
   SET ss.status='WAITING_FOR_ACTIVATION', ss.updated_at=NOW()
 WHERE s.tcb_merchant_code='NCCGBD2B' AND s.deleted_at IS NULL;
UPDATE tpay_store s
   JOIN tpay_terminal t ON t.store_code=s.code AND t.deleted_at IS NULL AND t.status&lt;&gt;'ACTIVE'
   SET t.status='WAITING_FOR_ACTIVATION', t.updated_at=NOW(), t.updated_by='SYSTEM'
 WHERE s.tcb_merchant_code='NCCGBD2B' AND s.deleted_at IS NULL;
UPDATE tpay_store s
   JOIN tpay_terminal t ON t.store_code=s.code AND t.deleted_at IS NULL
   JOIN tpay_terminal_service ts ON ts.terminal_code=t.code AND ts.deleted_at IS NULL AND ts.status&lt;&gt;'ACTIVE'
   SET ts.status='WAITING_FOR_ACTIVATION', ts.updated_at=NOW()
 WHERE s.tcb_merchant_code='NCCGBD2B' AND s.deleted_at IS NULL;
COMMIT; Ghi chú Nhờ team chụp before-image (SELECT id, status của tpay_store / tpay_store_service / tpay_terminal / tpay_terminal_service theo merchant) trước khi chạy để rollback khi cần. Em cảm ơn ạ!</t>
  </si>
  <si>
    <t>[PROD][PAY] Reset SMARTPOS về WAITING_ACTIVE — NCCGBD2B</t>
  </si>
  <si>
    <t>2026-09-11T10:47:10.371+0700</t>
  </si>
  <si>
    <t>2026-09-11T10:47:21.577+0700</t>
  </si>
  <si>
    <t>Dear team DBA, nhờ team chạy giúp câu lệnh datafix bên dưới ạ. Bối cảnh: merchant NCCGBD2B SmartPOS đang kẹt (PAY: ACTIVE_FAIL) nên portal không hiển thị TID để gán thiết bị. Reset về WAITING_ACTIVE để gán lại thiết bị. Thông tin database jdbc:mysql://pay-tidb.int.onemount.com:4000/saas_tpay Câu lệnh START TRANSACTION;
UPDATE UNIFIED_MERCHANT           SET status='WAITING_ACTIVE', updated_at=NOW() WHERE merchant_code='NCCGBD2B' AND status&lt;&gt;'ACTIVE';
UPDATE UNIFIED_MERCHANT_SERVICE   SET status='WAITING_ACTIVE', updated_at=NOW() WHERE merchant_code='NCCGBD2B' AND service_code IN ('SMARTPOS_CARD','SMARTPOS_QR') AND status&lt;&gt;'ACTIVE';
UPDATE UNIFIED_STORE              SET status='WAITING_ACTIVE', updated_at=NOW() WHERE merchant_code='NCCGBD2B' AND service_code='SMARTPOS_QR' AND status&lt;&gt;'ACTIVE';
UPDATE UNIFIED_TERMINAL           SET status='WAITING_ACTIVE', updated_at=NOW() WHERE merchant_code='NCCGBD2B' AND service_code IN ('SMARTPOS_CARD','SMARTPOS_QR') AND status&lt;&gt;'ACTIVE';
UPDATE SMARTPOS_MERCHANT_CONTRACT SET status='WAITING_ACTIVE', updated_at=NOW() WHERE merchant_code='NCCGBD2B' AND MASTER_ACCOUNT='58857777' AND status='REJECTED';
COMMIT; Ghi chú Nhờ team chụp before-image (SELECT id, status của 5 bảng theo merchant_code='NCCGBD2B') trước khi chạy để rollback khi cần. Em cảm ơn ạ!</t>
  </si>
  <si>
    <t>[DBA-SAPBASIS] Check Alert OOM, High Resource SAP</t>
  </si>
  <si>
    <t>2026-09-11T10:47:06.582+0700</t>
  </si>
  <si>
    <t>2026-09-11T10:47:07.399+0700</t>
  </si>
  <si>
    <t>Hỗ trợ kiểm tra lỗi OOM, High Resource SAP OM PROD Critical ! Lỗi Database SAP ERP : Resources with high load! https://chat.google.com/room/AAAA9oACi-s/qfQJ41-vLDY/qfQJ41-vLDY?cls=10</t>
  </si>
  <si>
    <t>[Merchant][PROD] Tra cứu hồ sơ merchant-request NCCF48CB đang giữ số tài khoản ngân hàng</t>
  </si>
  <si>
    <t>2026-09-11T10:45:16.609+0700</t>
  </si>
  <si>
    <t>2026-09-11T10:45:24.401+0700</t>
  </si>
  <si>
    <t>Dear team DBA, Nhờ team chạy giúp các câu SELECT để hỗ trợ điều tra sự cố "Số tài khoản ngân hàng đã tồn tại trên hệ thống" khi update merchant trên OPS Portal. Thông tin database DB_MYSQL_HOST=172.31.4.108 DB_MYSQL_DATABASE=merchant_service_tcb Câu lệnh (SELECT, read-only) -- Q1: hồ sơ NCCF48CB
SELECT id, code, type, status, tcb_merchant_code, tcb_merchant_id, merchant_code,
       created_by, updated_by, approved_by, approved_reason, created_at, updated_at
FROM tpay_request_merchant WHERE code = 'NCCF48CB';
-- Q2: số tài khoản NCCF48CB đang giữ (row còn sống)
SELECT b.id, b.request_merchant_id, b.tcb_merchant_code, b.account_number,
       b.account_by_purpose, b.deleted_at, b.created_at, b.updated_at
FROM tpay_request_merchant_bank b JOIN tpay_request_merchant r ON r.id = b.request_merchant_id
WHERE r.code = 'NCCF48CB' AND b.deleted_at IS NULL;
-- Q3: các hồ sơ khác đang giữ cùng số tài khoản với NCCF48CB (tự lấy STK từ NCCF48CB)
SELECT b.request_merchant_id, b.tcb_merchant_code, b.account_number, b.account_by_purpose,
       b.deleted_at, r.code, r.type, r.status, r.created_by
FROM tpay_request_merchant_bank b LEFT JOIN tpay_request_merchant r ON r.id = b.request_merchant_id
WHERE b.deleted_at IS NULL
  AND (b.account_number, b.account_by_purpose) IN (
      SELECT nb.account_number, nb.account_by_purpose
      FROM tpay_request_merchant_bank nb JOIN tpay_request_merchant nr ON nr.id = nb.request_merchant_id
      WHERE nr.code = 'NCCF48CB' AND nb.deleted_at IS NULL)
ORDER BY b.account_number, r.updated_at DESC;</t>
  </si>
  <si>
    <t>2026-09-10T18:12:33.422+0700</t>
  </si>
  <si>
    <t>Để phục vụ cho việc golive dashboard OneHub V4, nhờ team phân quyền cho worker của OneNexus connect qua MySQL DB prod của CBP như sau: Mysql (172.31.0.67): Môi trường: dev &amp; uat User hiện tại: onx_dp_cdp_onehub_readonly Danh sách bảng cần phân quyền thêm (SELECT): omre_cbp_activity_qc  : tasks, relations omre_cbp_activity_uat : tasks, relations omre_cbp_activity     : tasks, relations omre_cbp_collab_qc / omre_cbp_collab_uat / omre_cbp_collab : inq_inquiry_participants</t>
  </si>
  <si>
    <t>[Team OneNexus AIP] Tạo PostgreSQL database cho môi trường qc-2 (non-prod)</t>
  </si>
  <si>
    <t>2026-09-10T17:54:48.356+0700</t>
  </si>
  <si>
    <t>2026-09-10T17:55:06.041+0700</t>
  </si>
  <si>
    <t>Hi DBA team, Nhờ team tạo giúp PostgreSQL database cho môi trường qc-2 — môi trường QC riêng cho scope MVP3 của team OneNexus AI Platform. Ticket mẹ:  . Tham chiếu:  ,  . Instance (dùng chung, không tạo instance mới) keystone-onenexus-ai-agentic-np-postgres.c5qc84040jv4.ap-southeast-1.rds.amazonaws.com:5432 Quy ước — theo đúng môi trường qc hiện tại Mỗi database có MỘT role LOGIN cùng tên với database, và role đó sở hữu database. Danh sách 16 database + 16 role 1  agent_hub_qc2          9  guardrails_qc2 2  platform_qc2          10  observability_qc2 3  rag_qc2               11  langfusev4_qc2 4  memory_qc2            12  front_desk_qc2 5  visual_builder_qc2    13  master_agent_qc2 6  llm_gateway_qc2       14  agent_runtime_qc2 7  litellm_qc2           15  evaluation_qc2 8  skill_qc2             16  file_artifact_qc2 Với mỗi db X ở trên: CREATE ROLE X LOGIN; CREATE DATABASE X OWNER X; GRANT CONNECT ON DATABASE X TO X; Extension: nhờ team pre-install pgcrypto trên tất cả (hoặc cấp quyền CREATE EXTENSION), giống  . Cảm ơn team!</t>
  </si>
  <si>
    <t>Lấy danh sách user WMS của MAG</t>
  </si>
  <si>
    <t>2026-09-10T15:26:28.313+0700</t>
  </si>
  <si>
    <t>2026-09-10T15:28:09.743+0700</t>
  </si>
  <si>
    <t>Hi DBA team, Team SCM đang cần migrate danh sách người dùng từ WMS sang portal MAG nên cần query full danh sách user từ DB Project : vinid-b2b-platform-prod Instance/IP : main/172.31.4.59 Port : 3306 Database name: master : omd_wms_core select distinct u.user_name from user u 
join restriction r on r.user_id = u.id
where u.is_active = 1 
	and r.value_restriction in (
	select dc_code from data_source_config 
    );</t>
  </si>
  <si>
    <t>2026-09-10T15:22:28.779+0700</t>
  </si>
  <si>
    <t>2026-09-10T15:24:28.233+0700</t>
  </si>
  <si>
    <t>Dear anh Linh, Anh chạy giúp em sql script bên dưới ạ. Mục đích là để insert thông tin về authentication của  MDM_HUB  , dữ liệu được dùng để validate token khi client call vào ESB  Thông tb db : schema: b2b_esb project: onemg-integration-platform-prd instance: main Master IP: 172.31.1.118 Thanks anh ạ!!!! INSERT INTO `auth0_info` (`client_id`,`sign_certificate`, `resource`, `create_by`, `create_date`)
 VALUES ('lrYtuIFHXzhBIPVwCcQyTwtAfsviugzI', '.well-known/openid-configuration', 'MDM_HUB', 'daibq', '2026-06-26 00:00:00')</t>
  </si>
  <si>
    <t>Tạo TK và cấp quyền cho nhân sự mới phòng VHUD</t>
  </si>
  <si>
    <t>2026-09-10T15:21:28.138+0700</t>
  </si>
  <si>
    <t>2026-09-10T15:21:41.738+0700</t>
  </si>
  <si>
    <t>create</t>
  </si>
  <si>
    <t>Dear. Team Nhờ các sếp hỗ trợ tạo TK cho tung.vu8 vào DB bên dưới để hỗ trợ dự án Upay với nhé: 172.31.4.108 quyền view all bảng và update 2 bảng merchant_service_tcb{{.}}tpay_merchant` merchant_service_tcb . tpay_request_merchant pay-tidb.int.onemount.com  quyền view all bảng và  update bảng: UNIFIED_MERCHANT</t>
  </si>
  <si>
    <t>[LP][Core][TCB] - Insert data phục vụ campaign MKT 092026 (Tháng 09 lần 2)</t>
  </si>
  <si>
    <t>2026-09-10T11:55:13.526+0700</t>
  </si>
  <si>
    <t>2026-09-10T11:55:21.332+0700</t>
  </si>
  <si>
    <t>Dear DBA Team, Nhờ team thực hiện insert data phục vụ campaign MKT 092026 lần 02, theo các bước sau: Thông tin database: IP: 10.255.23.119 Service name: oneloyaltydb Port: 1521 schema app: OLOYALTY Bước 1: Tạo bảng tạm CREATE TABLE OLOYALTY.CST_TARGET_GROUP_092026_02
(
    "ID"             NUMBER(10,0) GENERATED BY DEFAULT ON NULL AS IDENTITY,
    "LOYALTY_ID"           VARCHAR2(32 BYTE) DEFAULT NULL,
    "CST_TARGET_GROUP"           VARCHAR2(256 BYTE) DEFAULT NULL,
    PRIMARY KEY ("ID")
); Bước 02: Load dữ liệu tất cả các files trong thư mục  đính kèm vào bảng tạm Bước 03: Insert data vào bảng Member Attribute từ bảng bảng tạm 3.1. Kiểm số row bảng   CST_TARGET_GROUP_092026_02 SELECT /*+ parallel(16) */ count(*) FROM OLOYALTY.CST_TARGET_GROUP_092026_02; 3.2 Kiểm tra trùng ,  báo lại dự án nếu có SELECT /*+ parallel(16) */ LOYALTY_ID,count(*) FROM OLOYALTY.CST_TARGET_GROUP_092026_02 GROUP BY LOYALTY_ID HAVING count(*) &gt; 1; 3.3 Kiểm tra số dòng dự kiến insert, báo lại dự án nếu số dòng khác với số dòng của bảng   CST_TARGET_GROUP_092026_02 .   Note: Có thể bỏ qua nếu câu lệnh chạy quá lâu SELECT /*+ parallel(16) */ count(*) FROM OLOYALTY.MEMBER m JOIN OLOYALTY.CST_TARGET_GROUP_092026_02 b ON m.PARTNER_CUSTOMER_ID = b.LOYALTY_ID WHERE m.PROGRAM_ID = 426;   3.4 Chạy lệnh insert INSERT INTO OLOYALTY.MEMBER_ATTRIBUTE (PROGRAM_ID, MEMBER_ID, PROGRAM_ATTRIBUTE_ID, VALUE, STATUS,CREATED_BY)
SELECT 426,
    m.id AS MEMBER_ID,
    423 AS PROGRAM_ATTRIBUTE_ID,
    REPLACE(b.CST_TARGET_GROUP, CHR(13) ,'') AS VALUE,
    'A' AS STATUS,
    'MKT_202609_02'
FROM OLOYALTY.MEMBER m JOIN OLOYALTY.CST_TARGET_GROUP_092026_02 b ON m.PARTNER_CUSTOMER_ID = b.LOYALTY_ID WHERE m.PROGRAM_ID = 426
; 3.5 Kiểm tra kết quả cuối cùng SELECT /*+ parallel(16) */ count(*) FROM OLOYALTY.MEMBER_ATTRIBUTE ma 
WHERE ma.PROGRAM_ATTRIBUTE_ID = 423 AND ma.CREATED_BY = 'MKT_202609_02';   Thanks!</t>
  </si>
  <si>
    <t>[PROD] [09/09/2026] [UPay] Support release plan golive</t>
  </si>
  <si>
    <t>2026-09-10T11:37:41.503+0700</t>
  </si>
  <si>
    <t>2026-09-10T11:37:46.841+0700</t>
  </si>
  <si>
    <t>Vinpay</t>
  </si>
  <si>
    <t>Hi a   @Nguyễn Văn Dũng  , nhờ a chạy giúp e script bên dưới khi bắt đầu golive với ạ Thời gian golive: 23h59p ngày 06/09/2026 Release golive:    CR:    Script:  Thông tin database:  mysql://pay-tidb.int.onemount.com:4000/saas_tpay Script: CREATE TABLE `PARTNER_NEW` (
  `client_id` varchar(100) COLLATE utf8mb4_unicode_ci NOT NULL,
  `name` varchar(100) COLLATE utf8mb4_unicode_ci NOT NULL,
  `public_key` longtext COLLATE utf8mb4_unicode_ci NOT NULL,
  `enable` tinyint DEFAULT NULL,
  `merchant_code` varchar(50) COLLATE utf8mb4_unicode_ci NOT NULL,
  `partner_code` varchar(50) COLLATE utf8mb4_unicode_ci DEFAULT NULL,
  PRIMARY KEY (`merchant_code`, `client_id`)
  KEY `PARTNER_name_index` (`name`)
) ENGINE=InnoDB DEFAULT CHARSET=utf8mb4 COLLATE=utf8mb4_unicode_ci;
INSERT INTO `PARTNER_NEW` SELECT * FROM `PARTNER`;
RENAME TABLE `PARTNER` TO `PARTNER_OLD`, `PARTNER_NEW` TO `PARTNER`;</t>
  </si>
  <si>
    <t>[OMC][AI] Hỗ trợ golive ngày 09/09</t>
  </si>
  <si>
    <t>2026-09-09T23:16:30.013+0700</t>
  </si>
  <si>
    <t>2026-09-09T23:16:41.061+0700</t>
  </si>
  <si>
    <t>Dear anh Nghĩa, Tối nay vào lúc 21h ngày 09/09 team có thực hiện golive một số service cần chạy DBA, nhờ anh trực support giúp team nhé ạ. Các câu lệnh em sẽ để dưới comment nhé anh. Em cảm ơn anh</t>
  </si>
  <si>
    <t>[OMC][MTP] Update segment cho MKT</t>
  </si>
  <si>
    <t>2026-09-09T17:49:01.255+0700</t>
  </si>
  <si>
    <t>2026-09-09T17:49:09.260+0700</t>
  </si>
  <si>
    <t>Dear  @Đào Công Nghĩa  , nhờ em chạy giúp anh script sau: -- DB: 172.31.1.21
-- Schema: mtp_martech_profile
INSERT INTO mtp_anonymous_profile_segmentation_job
	(`id`, `segmentation_id`, `status`, `hash`, `properties`, `external_properties`, `created_at`, `display_name`, `display_order`)
VALUES 
-- f83a1b2542cd4e7b9a8c7fd638e2oskj -- 'OneU'
-- f83a1b2542cd4e7b9a8c7fd638e2oskf -- 'TCB'
-- OneU --
(
    'ab8f1786-555c-4c94-b6aa-35b05ef9b802',
    'f83a1b2542cd4e7b9a8c7fd638e2oskj',
    '',	
    '14a04c74ae2c88d0ba30889a70e23d80355adef17eef6581d5ac6d79d9e8cc70',
    '{}',
    '{"AND":[{"data_type":"STRING","label_code":"is_mau_non_mtu_survey_customer_TCBM","label_value":"1","operator":"="}]}',
    NOW(),
    'OneU is_mau_non_mtu_survey_customer_TCBM',
    0
),
(
    'c6bc9366-aa8c-4448-9c94-79d930af1975',
    'f83a1b2542cd4e7b9a8c7fd638e2oskf',
    '',	
    '14a04c74ae2c88d0ba30889a70e23d80355adef17eef6581d5ac6d79d9e8cc70',
    '{}',
    '{"AND":[{"data_type":"STRING","label_code":"is_mau_non_mtu_survey_customer_TCBM","label_value":"1","operator":"="}]}',
    NOW(),
    'LOY is_mau_non_mtu_survey_customer_TCBM',
    0
);
-- DB: 172.31.1.21
-- Schema: mtp_martech_profile
INSERT INTO mtp_anonymous_profile_segmentation_job
	(`id`, `segmentation_id`, `status`, `hash`, `properties`, `external_properties`, `created_at`, `display_name`, `display_order`)
VALUES 
-- f83a1b2542cd4e7b9a8c7fd638e2oskj -- 'OneU'
-- f83a1b2542cd4e7b9a8c7fd638e2oskf -- 'TCB'
-- TCBM --
(
    'a341b735-a4d0-425d-8c44-f5b7e5fdbc23',
    'f83a1b2542cd4e7b9a8c7fd638e2oskj',
    '',
    '629c0c99f3201eaf97207dc86a832e480a455600a4af14f50c3ac176c303fdaa',
    '{"AND":[{"attribute":"cst_target_group","operator":"","data_type":"","value":"","operator_expr":"JSON_CONTAINS(cst_target_group, ''[\\"BIRTHDAY_COLLECTION_092026\\"]'')"}]}',
    '{}',
    NOW(),
    'OneU_BIRTHDAY_COLLECTION_092026',
    0
),
(
    'c4155449-0e2e-42e1-9951-ed0ea38cde60',
    'f83a1b2542cd4e7b9a8c7fd638e2oskf',
    '',
    '629c0c99f3201eaf97207dc86a832e480a455600a4af14f50c3ac176c303fdaa',
    '{"AND":[{"attribute":"cst_target_group","operator":"","data_type":"","value":"","operator_expr":"JSON_CONTAINS(cst_target_group, ''[\\"BIRTHDAY_COLLECTION_092026\\"]'')"}]}',
    '{}',
    NOW(),
    'Loy_BIRTHDAY_COLLECTION_092026',
    0
);
-- DB: 172.31.1.21
-- Schema: mtp_martech_profile
UPDATE mtp_anonymous_profile_segmentation_job
SET external_properties = '{"AND":[{"data_type":"STRING","label_code":"cbnv_hongngoc_whitelist_chivan","label_value":"1","operator":"="}]}'
WHERE id = 'abc0a5dc-bfc8-4384-a686-cc4f6825cd65';
-- TIDB OMC
 INSERT INTO dp_omc_semantic_omc_bsi_cdp.f_customer_label (pk, customer_id, label_code, label_value, row_created_at) VALUES 
 ('5c2ab1c71bee41f03cc014d357f4a423','21888550','mtp_upload_5698ecb8_6343_4133_8c07_0dd8100634ab','1',NOW()),
 ('04942651c4ca3c710f3166a255a3cd24','1098839','mtp_upload_5698ecb8_6343_4133_8c07_0dd8100634ab','1',NOW()),
 ('e5bae35b79e3438fb4dbd5e1b0fdfbdd','13174','mtp_upload_5698ecb8_6343_4133_8c07_0dd8100634ab','1',NOW()),
 ('ff496621df821f0c278cc68d9edb85ee','20599373','mtp_upload_5698ecb8_6343_4133_8c07_0dd8100634ab','1',NOW()),
 ('a2503b1558b99b39dabf4465670a6d53','88322','mtp_upload_5698ecb8_6343_4133_8c07_0dd8100634ab','1',NOW()),
 ('cf1ca90c55b085d638e6ddb32fcb782e','1172857','mtp_upload_5698ecb8_6343_4133_8c07_0dd8100634ab','1',NOW());
 -- TIDB OMC
DELETE FROM dp_omc_semantic_omc_bsi_cdp.f_customer_label WHERE label_code IN ('SDT_CBNV_HongNgoc','SDT_CBNV_HONGNGOC_whitelist'); Best regards Dinh Quang Nguyen</t>
  </si>
  <si>
    <t>[Merchantdise][PROD] Seeding Bán Merchantdise GHYT  10/09/2026</t>
  </si>
  <si>
    <t>2026-09-09T17:25:29.628+0700</t>
  </si>
  <si>
    <t>2026-09-09T17:25:35.728+0700</t>
  </si>
  <si>
    <t>Nhờ  @Đào Công Nghĩa  chạy giúp thông tin dưới đây: project: vincart-prod instance: main ip: 172.31.1.41 DB: vincart_mm_product Script: UPDATE variants
set stock_type = 'INIT'
WHERE id in (1092278,1092279,1092280,1092281,1092282);
UPDATE inventories
set channel_code = 'INIT'
WHERE variant_id in (1092278,1092279,1092280,1092281,1092282);
UPDATE variant_prices
set channel_code = 'ONEU'
WHERE variant_id in (1092278,1092279,1092280,1092281,1092282); Thời gian thực hiện: Chạy sớm nhất có thể.</t>
  </si>
  <si>
    <t>Hỗ trợ migrate Database dự án MCM Nonprod</t>
  </si>
  <si>
    <t>2026-09-09T17:12:33.513+0700</t>
  </si>
  <si>
    <t>Hi anh  @Đoàn Việt Hưng  nhờ anh hỗ trợ migrate các database sau của dự án MCM Nonprod sang môi trường mới: 1. DocumentDB Src: Instance:  mh-documentdb-dev.cluster-cr62264i6qsz.ap-southeast-1.docdb.amazonaws.com:27017 Table:  dc_documents, dc_document_versions, dc_document_attribute Dest: Instance:  mag-common-sandbox-docdb.cluster-czqi8qus0dv0.ap-southeast-1.docdb.amazonaws.com:27017 DB:  mcm_integration 2. Mysql Src: Instance:  mas-mysql-dev.cr62264i6qsz.ap-southeast-1.rds.amazonaws.com DB:  ces_mcm_storage_stg Dest: Instance:  mag-common-sandbox-mysql.czqi8qus0dv0.ap-southeast-1.rds.amazonaws.com DB:  mcm_storage_stg Em cảm ơn anh đã hỗ trợ</t>
  </si>
  <si>
    <t>[om][api-hubops] Xin cấp sql db cho dự án api hubops</t>
  </si>
  <si>
    <t>2026-09-09T16:56:18.563+0700</t>
  </si>
  <si>
    <t>2026-09-10T11:02:18.827+0700</t>
  </si>
  <si>
    <t>Hi anh em team DBA Nhờ anh em cấp giúp em db cho dự án api hubops với nhé đồng thời migrate giúp em data theo thông tin như bên dứoi nhé 1. Tạo DB mới:  gcp project: vinid-app-common-dev instance: main-mysql-8-2  dev env: hub_ops_dev qc env: hub_ops_qc uat env: hub_ops_uat Migrate DB Source GCP project Source instance Source DB Destination GCP project Destination instance Destination  DB 1 vinid-app-common-dev main-mysql-8-2 omd_b2b_ops_api_dev vinid-app-common-dev main-mysql-8-2 hub_ops_dev 2 vinid-app-common-dev main-mysql-8-2 omd_b2b_ops_api_qc vinid-app-common-dev main-mysql-8-2 hub_ops_qc 3 vinid-app-common-dev main-mysql-8-2 omd_b2b_ops_api_uat vinid-app-common-dev main-mysql-8-2 hub_ops_uat</t>
  </si>
  <si>
    <t>[PROD][PAY] Reset SMARTPOS về WAITING_ACTIVE — NCCX8DYW (EVERPINE)</t>
  </si>
  <si>
    <t>2026-09-09T14:16:44.629+0700</t>
  </si>
  <si>
    <t>2026-09-09T14:17:00.324+0700</t>
  </si>
  <si>
    <t>Dear team DBA, nhờ team chạy giúp câu lệnh datafix bên dưới ạ. Bối cảnh: merchant NCCX8DYW (CONG TY TNHH EVERPINE) SmartPOS đang kẹt (PAY: ACTIVE_FAIL) nên portal không hiển thị TID để gán thiết bị. Reset về WAITING_ACTIVE để gán lại thiết bị. Thông tin database jdbc:mysql://pay-tidb.int.onemount.com:4000/saas_tpay Câu lệnh START TRANSACTION;
UPDATE UNIFIED_MERCHANT           SET status='WAITING_ACTIVE', updated_at=NOW() WHERE merchant_code='NCCX8DYW' AND status&lt;&gt;'ACTIVE';
UPDATE UNIFIED_MERCHANT_SERVICE   SET status='WAITING_ACTIVE', updated_at=NOW() WHERE merchant_code='NCCX8DYW' AND status&lt;&gt;'ACTIVE';
UPDATE UNIFIED_STORE              SET status='WAITING_ACTIVE', updated_at=NOW() WHERE merchant_code='NCCX8DYW' AND status&lt;&gt;'ACTIVE';
UPDATE UNIFIED_TERMINAL           SET status='WAITING_ACTIVE', updated_at=NOW() WHERE merchant_code='NCCX8DYW' AND status&lt;&gt;'ACTIVE';
UPDATE SMARTPOS_MERCHANT_CONTRACT SET status='WAITING_ACTIVE', updated_at=NOW() WHERE merchant_code='NCCX8DYW' AND status&lt;&gt;'ACTIVE';
COMMIT; Rollback (nếu cần) START TRANSACTION;
UPDATE UNIFIED_MERCHANT           SET status='ACTIVE_FAIL', updated_at=NOW() WHERE merchant_code='NCCX8DYW' AND status='WAITING_ACTIVE';
UPDATE UNIFIED_MERCHANT_SERVICE   SET status='ACTIVE_FAIL', updated_at=NOW() WHERE merchant_code='NCCX8DYW' AND status='WAITING_ACTIVE';
UPDATE UNIFIED_STORE              SET status='ACTIVE_FAIL', updated_at=NOW() WHERE merchant_code='NCCX8DYW' AND status='WAITING_ACTIVE';
UPDATE UNIFIED_TERMINAL           SET status='ACTIVE_FAIL', updated_at=NOW() WHERE merchant_code='NCCX8DYW' AND status='WAITING_ACTIVE';
UPDATE SMARTPOS_MERCHANT_CONTRACT SET status='REJECTED',    updated_at=NOW() WHERE merchant_code='NCCX8DYW' AND status='WAITING_ACTIVE';
COMMIT; Em xin cảm ơn ạ!</t>
  </si>
  <si>
    <t>[PROD][Merchant] Reset store/terminal SMARTPOS về WAITING_FOR_ACTIVATION — NCCX8DYW (EVERPINE)</t>
  </si>
  <si>
    <t>2026-09-09T14:16:24.200+0700</t>
  </si>
  <si>
    <t>2026-09-09T14:16:30.559+0700</t>
  </si>
  <si>
    <t>Dear team DBA, nhờ team chạy giúp câu lệnh datafix bên dưới ạ. Bối cảnh: merchant NCCX8DYW (CONG TY TNHH EVERPINE) SmartPOS — reset trạng thái store/terminal về WAITING_FOR_ACTIVATION để portal hiển thị TID gán thiết bị. Thông tin database DB_MYSQL_HOST=172.31.4.108 DB_MYSQL_DATABASE=merchant_service_tcb Câu lệnh START TRANSACTION;
UPDATE tpay_store s
   SET s.status='WAITING_FOR_ACTIVATION', s.updated_at=NOW(), s.updated_by='SYSTEM'
 WHERE s.tcb_merchant_code='NCCX8DYW' AND s.deleted_at IS NULL AND s.status&lt;&gt;'ACTIVE';
UPDATE tpay_store s
   JOIN tpay_store_service ss ON ss.store_id=s.id AND ss.deleted_at IS NULL AND ss.status&lt;&gt;'ACTIVE'
   SET ss.status='WAITING_FOR_ACTIVATION', ss.updated_at=NOW()
 WHERE s.tcb_merchant_code='NCCX8DYW' AND s.deleted_at IS NULL;
UPDATE tpay_store s
   JOIN tpay_terminal t ON t.store_code=s.code AND t.deleted_at IS NULL AND t.status&lt;&gt;'ACTIVE'
   SET t.status='WAITING_FOR_ACTIVATION', t.updated_at=NOW(), t.updated_by='SYSTEM'
 WHERE s.tcb_merchant_code='NCCX8DYW' AND s.deleted_at IS NULL;
UPDATE tpay_store s
   JOIN tpay_terminal t ON t.store_code=s.code AND t.deleted_at IS NULL
   JOIN tpay_terminal_service ts ON ts.terminal_code=t.code AND ts.deleted_at IS NULL AND ts.status&lt;&gt;'ACTIVE'
   SET ts.status='WAITING_FOR_ACTIVATION', ts.updated_at=NOW()
 WHERE s.tcb_merchant_code='NCCX8DYW' AND s.deleted_at IS NULL;
COMMIT; Rollback (nếu cần) START TRANSACTION;
UPDATE tpay_store s SET s.status='REJECTED', s.updated_at=NOW() WHERE s.tcb_merchant_code='NCCX8DYW' AND s.deleted_at IS NULL AND s.status='WAITING_FOR_ACTIVATION';
UPDATE tpay_store s JOIN tpay_store_service ss ON ss.store_id=s.id SET ss.status='REJECTED', ss.updated_at=NOW() WHERE s.tcb_merchant_code='NCCX8DYW' AND ss.deleted_at IS NULL AND ss.status='WAITING_FOR_ACTIVATION';
UPDATE tpay_store s JOIN tpay_terminal t ON t.store_code=s.code SET t.status='REJECTED', t.updated_at=NOW() WHERE s.tcb_merchant_code='NCCX8DYW' AND t.deleted_at IS NULL AND t.status='WAITING_FOR_ACTIVATION';
UPDATE tpay_store s JOIN tpay_terminal t ON t.store_code=s.code JOIN tpay_terminal_service ts ON ts.terminal_code=t.code SET ts.status='REJECTED', ts.updated_at=NOW() WHERE s.tcb_merchant_code='NCCX8DYW' AND ts.deleted_at IS NULL AND ts.status='WAITING_FOR_ACTIVATION';
COMMIT; Em xin cảm ơn ạ!</t>
  </si>
  <si>
    <t>[PROD][UPAY] import phí trả góp với các bank bảo kim đối với merchant NCCDJL9W5EL</t>
  </si>
  <si>
    <t>2026-09-09T12:13:55.750+0700</t>
  </si>
  <si>
    <t>2026-09-09T12:14:11.156+0700</t>
  </si>
  <si>
    <t>Dear team DBA, Nhờ anh/em chạy giúp em lệnh sau ạ Thông tin db: saas_tpay: mysql://pay-tidb.int.onemount.com:4000/saas_tpay Script: INSERT INTO INSTALLMENT_FEE_CONFIG
(
    provider_code,
    channel,
    config_type,
    tenure_month,
    fee_value,
    fee_unit,
    charge_target,
    bank_key_type,
    bank_key_value,
    is_active,
    merchant_code,
    created_at,
    updated_at
)
VALUES
-- ACB
('BK', 'SMARTPOS', 'PRIVATE', 3, 2.3500, 'PERCENT', 'MERCHANT', 'PROVIDER_BANK_CODE', 'ACB', 1, 'NCCDJL9W5EL', NOW(), NOW()),
('BK', 'SMARTPOS', 'PRIVATE', 6, 3.8500, 'PERCENT', 'MERCHANT', 'PROVIDER_BANK_CODE', 'ACB', 1, 'NCCDJL9W5EL', NOW(), NOW()),
('BK', 'SMARTPOS', 'PRIVATE', 9, 5.3500, 'PERCENT', 'MERCHANT', 'PROVIDER_BANK_CODE', 'ACB', 1, 'NCCDJL9W5EL', NOW(), NOW()),
('BK', 'SMARTPOS', 'PRIVATE', 12, 6.8500, 'PERCENT', 'MERCHANT', 'PROVIDER_BANK_CODE', 'ACB', 1, 'NCCDJL9W5EL', NOW(), NOW()),
-- BIDV
('BK', 'SMARTPOS', 'PRIVATE', 3, 2.4300, 'PERCENT', 'MERCHANT', 'PROVIDER_BANK_CODE', 'BIDV', 1, 'NCCDJL9W5EL', NOW(), NOW()),
('BK', 'SMARTPOS', 'PRIVATE', 6, 3.7200, 'PERCENT', 'MERCHANT', 'PROVIDER_BANK_CODE', 'BIDV', 1, 'NCCDJL9W5EL', NOW(), NOW()),
('BK', 'SMARTPOS', 'PRIVATE', 9, 4.7200, 'PERCENT', 'MERCHANT', 'PROVIDER_BANK_CODE', 'BIDV', 1, 'NCCDJL9W5EL', NOW(), NOW()),
('BK', 'SMARTPOS', 'PRIVATE', 12, 5.9700, 'PERCENT', 'MERCHANT', 'PROVIDER_BANK_CODE', 'BIDV', 1, 'NCCDJL9W5EL', NOW(), NOW()),
('BK', 'SMARTPOS', 'PRIVATE', 15, 8.8300, 'PERCENT', 'MERCHANT', 'PROVIDER_BANK_CODE', 'BIDV', 1, 'NCCDJL9W5EL', NOW(), NOW()),
('BK', 'SMARTPOS', 'PRIVATE', 18, 9.9900, 'PERCENT', 'MERCHANT', 'PROVIDER_BANK_CODE', 'BIDV', 1, 'NCCDJL9W5EL', NOW(), NOW()),
('BK', 'SMARTPOS', 'PRIVATE', 24, 11.0900, 'PERCENT', 'MERCHANT', 'PROVIDER_BANK_CODE', 'BIDV', 1, 'NCCDJL9W5EL', NOW(), NOW()),
-- EXIMBANK
('BK', 'SMARTPOS', 'PRIVATE', 3, 2.3400, 'PERCENT', 'MERCHANT', 'PROVIDER_BANK_CODE', 'EXIMBANK', 1, 'NCCDJL9W5EL', NOW(), NOW()),
('BK', 'SMARTPOS', 'PRIVATE', 6, 3.8200, 'PERCENT', 'MERCHANT', 'PROVIDER_BANK_CODE', 'EXIMBANK', 1, 'NCCDJL9W5EL', NOW(), NOW()),
('BK', 'SMARTPOS', 'PRIVATE', 9, 5.3100, 'PERCENT', 'MERCHANT', 'PROVIDER_BANK_CODE', 'EXIMBANK', 1, 'NCCDJL9W5EL', NOW(), NOW()),
('BK', 'SMARTPOS', 'PRIVATE', 12, 6.7900, 'PERCENT', 'MERCHANT', 'PROVIDER_BANK_CODE', 'EXIMBANK', 1, 'NCCDJL9W5EL', NOW(), NOW()),
-- HSBC
('BK', 'SMARTPOS', 'PRIVATE', 3, 3.0500, 'PERCENT', 'MERCHANT', 'PROVIDER_BANK_CODE', 'HSBC', 1, 'NCCDJL9W5EL', NOW(), NOW()),
('BK', 'SMARTPOS', 'PRIVATE', 6, 4.7000, 'PERCENT', 'MERCHANT', 'PROVIDER_BANK_CODE', 'HSBC', 1, 'NCCDJL9W5EL', NOW(), NOW()),
('BK', 'SMARTPOS', 'PRIVATE', 9, 5.8000, 'PERCENT', 'MERCHANT', 'PROVIDER_BANK_CODE', 'HSBC', 1, 'NCCDJL9W5EL', NOW(), NOW()),
('BK', 'SMARTPOS', 'PRIVATE', 12, 7.4500, 'PERCENT', 'MERCHANT', 'PROVIDER_BANK_CODE', 'HSBC', 1, 'NCCDJL9W5EL', NOW(), NOW()),
('BK', 'SMARTPOS', 'PRIVATE', 15, 8.5500, 'PERCENT', 'MERCHANT', 'PROVIDER_BANK_CODE', 'HSBC', 1, 'NCCDJL9W5EL', NOW(), NOW()),
('BK', 'SMARTPOS', 'PRIVATE', 18, 9.6500, 'PERCENT', 'MERCHANT', 'PROVIDER_BANK_CODE', 'HSBC', 1, 'NCCDJL9W5EL', NOW(), NOW()),
-- MSB
('BK', 'SMARTPOS', 'PRIVATE', 3, 2.4000, 'PERCENT', 'MERCHANT', 'PROVIDER_BANK_CODE', 'MSB', 1, 'NCCDJL9W5EL', NOW(), NOW()),
('BK', 'SMARTPOS', 'PRIVATE', 6, 3.8500, 'PERCENT', 'MERCHANT', 'PROVIDER_BANK_CODE', 'MSB', 1, 'NCCDJL9W5EL', NOW(), NOW()),
('BK', 'SMARTPOS', 'PRIVATE', 9, 5.3500, 'PERCENT', 'MERCHANT', 'PROVIDER_BANK_CODE', 'MSB', 1, 'NCCDJL9W5EL', NOW(), NOW()),
('BK', 'SMARTPOS', 'PRIVATE', 12, 6.8500, 'PERCENT', 'MERCHANT', 'PROVIDER_BANK_CODE', 'MSB', 1, 'NCCDJL9W5EL', NOW(), NOW()),
-- NAMABANK
('BK', 'SMARTPOS', 'PRIVATE', 3, 2.3500, 'PERCENT', 'MERCHANT', 'PROVIDER_BANK_CODE', 'NAMABANK', 1, 'NCCDJL9W5EL', NOW(), NOW()),
('BK', 'SMARTPOS', 'PRIVATE', 6, 3.3500, 'PERCENT', 'MERCHANT', 'PROVIDER_BANK_CODE', 'NAMABANK', 1, 'NCCDJL9W5EL', NOW(), NOW()),
('BK', 'SMARTPOS', 'PRIVATE', 9, 4.3500, 'PERCENT', 'MERCHANT', 'PROVIDER_BANK_CODE', 'NAMABANK', 1, 'NCCDJL9W5EL', NOW(), NOW()),
('BK', 'SMARTPOS', 'PRIVATE', 12, 4.3500, 'PERCENT', 'MERCHANT', 'PROVIDER_BANK_CODE', 'NAMABANK', 1, 'NCCDJL9W5EL', NOW(), NOW()),
-- SCB
('BK', 'SMARTPOS', 'PRIVATE', 3, 2.6100, 'PERCENT', 'MERCHANT', 'PROVIDER_BANK_CODE', 'SCB', 1, 'NCCDJL9W5EL', NOW(), NOW()),
('BK', 'SMARTPOS', 'PRIVATE', 6, 4.0400, 'PERCENT', 'MERCHANT', 'PROVIDER_BANK_CODE', 'SCB', 1, 'NCCDJL9W5EL', NOW(), NOW()),
('BK', 'SMARTPOS', 'PRIVATE', 9, 5.1400, 'PERCENT', 'MERCHANT', 'PROVIDER_BANK_CODE', 'SCB', 1, 'NCCDJL9W5EL', NOW(), NOW()),
('BK', 'SMARTPOS', 'PRIVATE', 12, 6.4600, 'PERCENT', 'MERCHANT', 'PROVIDER_BANK_CODE', 'SCB', 1, 'NCCDJL9W5EL', NOW(), NOW()),
-- SEABANK
('BK', 'SMARTPOS', 'PRIVATE', 3, 3.3500, 'PERCENT', 'MERCHANT', 'PROVIDER_BANK_CODE', 'SEABANK', 1, 'NCCDJL9W5EL', NOW(), NOW()),
('BK', 'SMARTPOS', 'PRIVATE', 6, 4.3500, 'PERCENT', 'MERCHANT', 'PROVIDER_BANK_CODE', 'SEABANK', 1, 'NCCDJL9W5EL', NOW(), NOW()),
('BK', 'SMARTPOS', 'PRIVATE', 9, 5.8500, 'PERCENT', 'MERCHANT', 'PROVIDER_BANK_CODE', 'SEABANK', 1, 'NCCDJL9W5EL', NOW(), NOW()),
('BK', 'SMARTPOS', 'PRIVATE', 12, 6.8500, 'PERCENT', 'MERCHANT', 'PROVIDER_BANK_CODE', 'SEABANK', 1, 'NCCDJL9W5EL', NOW(), NOW()),
-- SHB
('BK', 'SMARTPOS', 'PRIVATE', 3, 2.6500, 'PERCENT', 'MERCHANT', 'PROVIDER_BANK_CODE', 'SHB', 1, 'NCCDJL9W5EL', NOW(), NOW()),
('BK', 'SMARTPOS', 'PRIVATE', 6, 3.0500, 'PERCENT', 'MERCHANT', 'PROVIDER_BANK_CODE', 'SHB', 1, 'NCCDJL9W5EL', NOW(), NOW()),
('BK', 'SMARTPOS', 'PRIVATE', 9, 4.0500, 'PERCENT', 'MERCHANT', 'PROVIDER_BANK_CODE', 'SHB', 1, 'NCCDJL9W5EL', NOW(), NOW()),
('BK', 'SMARTPOS', 'PRIVATE', 12, 4.5500, 'PERCENT', 'MERCHANT', 'PROVIDER_BANK_CODE', 'SHB', 1, 'NCCDJL9W5EL', NOW(), NOW()),
-- SHINHANBANK
('BK', 'SMARTPOS', 'PRIVATE', 3, 0.8500, 'PERCENT', 'MERCHANT', 'PROVIDER_BANK_CODE', 'SHINHANBANK', 1, 'NCCDJL9W5EL', NOW(), NOW()),
('BK', 'SMARTPOS', 'PRIVATE', 6, 3.3500, 'PERCENT', 'MERCHANT', 'PROVIDER_BANK_CODE', 'SHINHANBANK', 1, 'NCCDJL9W5EL', NOW(), NOW()),
('BK', 'SMARTPOS', 'PRIVATE', 9, 4.8500, 'PERCENT', 'MERCHANT', 'PROVIDER_BANK_CODE', 'SHINHANBANK', 1, 'NCCDJL9W5EL', NOW(), NOW()),
('BK', 'SMARTPOS', 'PRIVATE', 12, 5.8500, 'PERCENT', 'MERCHANT', 'PROVIDER_BANK_CODE', 'SHINHANBANK', 1, 'NCCDJL9W5EL', NOW(), NOW()),
-- STANDARDCHARTERED
('BK', 'SMARTPOS', 'PRIVATE', 3, 2.5000, 'PERCENT', 'MERCHANT', 'PROVIDER_BANK_CODE', 'STANDARDCHARTERED', 1, 'NCCDJL9W5EL', NOW(), NOW()),
('BK', 'SMARTPOS', 'PRIVATE', 6, 3.6000, 'PERCENT', 'MERCHANT', 'PROVIDER_BANK_CODE', 'STANDARDCHARTERED', 1, 'NCCDJL9W5EL', NOW(), NOW()),
('BK', 'SMARTPOS', 'PRIVATE', 9, 4.7000, 'PERCENT', 'MERCHANT', 'PROVIDER_BANK_CODE', 'STANDARDCHARTERED', 1, 'NCCDJL9W5EL', NOW(), NOW()),
('BK', 'SMARTPOS', 'PRIVATE', 12, 6.3500, 'PERCENT', 'MERCHANT', 'PROVIDER_BANK_CODE', 'STANDARDCHARTERED', 1, 'NCCDJL9W5EL', NOW(), NOW()),
-- TPBANK
('BK', 'SMARTPOS', 'PRIVATE', 3, 2.7200, 'PERCENT', 'MERCHANT', 'PROVIDER_BANK_CODE', 'TPBANK', 1, 'NCCDJL9W5EL', NOW(), NOW()),
('BK', 'SMARTPOS', 'PRIVATE', 6, 4.7000, 'PERCENT', 'MERCHANT', 'PROVIDER_BANK_CODE', 'TPBANK', 1, 'NCCDJL9W5EL', NOW(), NOW()),
('BK', 'SMARTPOS', 'PRIVATE', 9, 5.8000, 'PERCENT', 'MERCHANT', 'PROVIDER_BANK_CODE', 'TPBANK', 1, 'NCCDJL9W5EL', NOW(), NOW()),
('BK', 'SMARTPOS', 'PRIVATE', 12, 8.0000, 'PERCENT', 'MERCHANT', 'PROVIDER_BANK_CODE', 'TPBANK', 1, 'NCCDJL9W5EL', NOW(), NOW()),
-- VIB
('BK', 'SMARTPOS', 'PRIVATE', 3, 4.1500, 'PERCENT', 'MERCHANT', 'PROVIDER_BANK_CODE', 'VIB', 1, 'NCCDJL9W5EL', NOW(), NOW()),
('BK', 'SMARTPOS', 'PRIVATE', 6, 5.2500, 'PERCENT', 'MERCHANT', 'PROVIDER_BANK_CODE', 'VIB', 1, 'NCCDJL9W5EL', NOW(), NOW()),
('BK', 'SMARTPOS', 'PRIVATE', 9, 6.3500, 'PERCENT', 'MERCHANT', 'PROVIDER_BANK_CODE', 'VIB', 1, 'NCCDJL9W5EL', NOW(), NOW()),
('BK', 'SMARTPOS', 'PRIVATE', 12, 8.0000, 'PERCENT', 'MERCHANT', 'PROVIDER_BANK_CODE', 'VIB', 1, 'NCCDJL9W5EL', NOW(), NOW()),
('BK', 'SMARTPOS', 'PRIVATE', 18, 11.3000, 'PERCENT', 'MERCHANT', 'PROVIDER_BANK_CODE', 'VIB', 1, 'NCCDJL9W5EL', NOW(), NOW()),
('BK', 'SMARTPOS', 'PRIVATE', 36, 14.6000, 'PERCENT', 'MERCHANT', 'PROVIDER_BANK_CODE', 'VIB', 1, 'NCCDJL9W5EL', NOW(), NOW()),
-- VIETCOMBANK
('BK', 'SMARTPOS', 'PRIVATE', 3, 2.5000, 'PERCENT', 'MERCHANT', 'PROVIDER_BANK_CODE', 'VIETCOMBANK', 1, 'NCCDJL9W5EL', NOW(), NOW()),
('BK', 'SMARTPOS', 'PRIVATE', 6, 3.2700, 'PERCENT', 'MERCHANT', 'PROVIDER_BANK_CODE', 'VIETCOMBANK', 1, 'NCCDJL9W5EL', NOW(), NOW()),
('BK', 'SMARTPOS', 'PRIVATE', 9, 4.3700, 'PERCENT', 'MERCHANT', 'PROVIDER_BANK_CODE', 'VIETCOMBANK', 1, 'NCCDJL9W5EL', NOW(), NOW()),
('BK', 'SMARTPOS', 'PRIVATE', 12, 5.8600, 'PERCENT', 'MERCHANT', 'PROVIDER_BANK_CODE', 'VIETCOMBANK', 1, 'NCCDJL9W5EL', NOW(), NOW()),
-- VIETINBANK
('BK', 'SMARTPOS', 'PRIVATE', 3, 2.0500, 'PERCENT', 'MERCHANT', 'PROVIDER_BANK_CODE', 'VIETINBANK', 1, 'NCCDJL9W5EL', NOW(), NOW()),
('BK', 'SMARTPOS', 'PRIVATE', 6, 3.3500, 'PERCENT', 'MERCHANT', 'PROVIDER_BANK_CODE', 'VIETINBANK', 1, 'NCCDJL9W5EL', NOW(), NOW()),
('BK', 'SMARTPOS', 'PRIVATE', 9, 4.7500, 'PERCENT', 'MERCHANT', 'PROVIDER_BANK_CODE', 'VIETINBANK', 1, 'NCCDJL9W5EL', NOW(), NOW()),
('BK', 'SMARTPOS', 'PRIVATE', 12, 6.2500, 'PERCENT', 'MERCHANT', 'PROVIDER_BANK_CODE', 'VIETINBANK', 1, 'NCCDJL9W5EL', NOW(), NOW()),
('BK', 'SMARTPOS', 'PRIVATE', 15, 0.8500, 'PERCENT', 'MERCHANT', 'PROVIDER_BANK_CODE', 'VIETINBANK', 1, 'NCCDJL9W5EL', NOW(), NOW()),
('BK', 'SMARTPOS', 'PRIVATE', 18, 8.0500, 'PERCENT', 'MERCHANT', 'PROVIDER_BANK_CODE', 'VIETINBANK', 1, 'NCCDJL9W5EL', NOW(), NOW()),
('BK', 'SMARTPOS', 'PRIVATE', 36, 10.4500, 'PERCENT', 'MERCHANT', 'PROVIDER_BANK_CODE', 'VIETINBANK', 1, 'NCCDJL9W5EL', NOW(), NOW()),
-- VPBANK
('BK', 'SMARTPOS', 'PRIVATE', 3, 2.8200, 'PERCENT', 'MERCHANT', 'PROVIDER_BANK_CODE', 'VPBANK', 1, 'NCCDJL9W5EL', NOW(), NOW()),
('BK', 'SMARTPOS', 'PRIVATE', 6, 4.1400, 'PERCENT', 'MERCHANT', 'PROVIDER_BANK_CODE', 'VPBANK', 1, 'NCCDJL9W5EL', NOW(), NOW()),
('BK', 'SMARTPOS', 'PRIVATE', 9, 7.4400, 'PERCENT', 'MERCHANT', 'PROVIDER_BANK_CODE', 'VPBANK', 1, 'NCCDJL9W5EL', NOW(), NOW()),
('BK', 'SMARTPOS', 'PRIVATE', 12, 8.5400, 'PERCENT', 'MERCHANT', 'PROVIDER_BANK_CODE', 'VPBANK', 1, 'NCCDJL9W5EL', NOW(), NOW()),
('BK', 'SMARTPOS', 'PRIVATE', 15, 0.8500, 'PERCENT', 'MERCHANT', 'PROVIDER_BANK_CODE', 'VPBANK', 1, 'NCCDJL9W5EL', NOW(), NOW()),
-- HDBANK
('BK', 'SMARTPOS', 'PRIVATE', 3, 3.1500, 'PERCENT', 'MERCHANT', 'PROVIDER_BANK_CODE', 'HDBANK', 1, 'NCCDJL9W5EL', NOW(), NOW()),
('BK', 'SMARTPOS', 'PRIVATE', 6, 4.6500, 'PERCENT', 'MERCHANT', 'PROVIDER_BANK_CODE', 'HDBANK', 1, 'NCCDJL9W5EL', NOW(), NOW()),
('BK', 'SMARTPOS', 'PRIVATE', 9, 5.9500, 'PERCENT', 'MERCHANT', 'PROVIDER_BANK_CODE', 'HDBANK', 1, 'NCCDJL9W5EL', NOW(), NOW()),
('BK', 'SMARTPOS', 'PRIVATE', 12, 7.5500, 'PERCENT', 'MERCHANT', 'PROVIDER_BANK_CODE', 'HDBANK', 1, 'NCCDJL9W5EL', NOW(), NOW()),
('BK', 'SMARTPOS', 'PRIVATE', 15, 0.8500, 'PERCENT', 'MERCHANT', 'PROVIDER_BANK_CODE', 'HDBANK', 1, 'NCCDJL9W5EL', NOW(), NOW()),
-- PVCOMBANK
('BK', 'SMARTPOS', 'PRIVATE', 3, 2.2500, 'PERCENT', 'MERCHANT', 'PROVIDER_BANK_CODE', 'PVCOMBANK', 1, 'NCCDJL9W5EL', NOW(), NOW()),
('BK', 'SMARTPOS', 'PRIVATE', 6, 2.8500, 'PERCENT', 'MERCHANT', 'PROVIDER_BANK_CODE', 'PVCOMBANK', 1, 'NCCDJL9W5EL', NOW(), NOW()),
('BK', 'SMARTPOS', 'PRIVATE', 9, 3.8500, 'PERCENT', 'MERCHANT', 'PROVIDER_BANK_CODE', 'PVCOMBANK', 1, 'NCCDJL9W5EL', NOW(), NOW()),
('BK', 'SMARTPOS', 'PRIVATE', 12, 5.0500, 'PERCENT', 'MERCHANT', 'PROVIDER_BANK_CODE', 'PVCOMBANK', 1, 'NCCDJL9W5EL', NOW(), NOW()),
('BK', 'SMARTPOS', 'PRIVATE', 15, 0.8500, 'PERCENT', 'MERCHANT', 'PROVIDER_BANK_CODE', 'PVCOMBANK', 1, 'NCCDJL9W5EL', NOW(), NOW()),
-- KIENLONGBANK
('BK', 'SMARTPOS', 'PRIVATE', 3, 2.0500, 'PERCENT', 'MERCHANT', 'PROVIDER_BANK_CODE', 'KIENLONGBANK', 1, 'NCCDJL9W5EL', NOW(), NOW()),
('BK', 'SMARTPOS', 'PRIVATE', 6, 3.2500, 'PERCENT', 'MERCHANT', 'PROVIDER_BANK_CODE', 'KIENLONGBANK', 1, 'NCCDJL9W5EL', NOW(), NOW()),
('BK', 'SMARTPOS', 'PRIVATE', 9, 4.4500, 'PERCENT', 'MERCHANT', 'PROVIDER_BANK_CODE', 'KIENLONGBANK', 1, 'NCCDJL9W5EL', NOW(), NOW()),
('BK', 'SMARTPOS', 'PRIVATE', 12, 5.6500, 'PERCENT', 'MERCHANT', 'PROVIDER_BANK_CODE', 'KIENLONGBANK', 1, 'NCCDJL9W5EL', NOW(), NOW()),
('BK', 'SMARTPOS', 'PRIVATE', 15, 0.8500, 'PERCENT', 'MERCHANT', 'PROVIDER_BANK_CODE', 'KIENLONGBANK', 1, 'NCCDJL9W5EL', NOW(), NOW()),
-- FECREDIT
('BK', 'SMARTPOS', 'PRIVATE', 6, 10.7500, 'PERCENT', 'MERCHANT', 'PROVIDER_BANK_CODE', 'FECREDIT', 1, 'NCCDJL9W5EL', NOW(), NOW()),
('BK', 'SMARTPOS', 'PRIVATE', 9, 16.2500, 'PERCENT', 'MERCHANT', 'PROVIDER_BANK_CODE', 'FECREDIT', 1, 'NCCDJL9W5EL', NOW(), NOW()),
('BK', 'SMARTPOS', 'PRIVATE', 12, 20.6500, 'PERCENT', 'MERCHANT', 'PROVIDER_BANK_CODE', 'FECREDIT', 1, 'NCCDJL9W5EL', NOW(), NOW()),
('BK', 'SMARTPOS', 'PRIVATE', 15, 26.1500, 'PERCENT', 'MERCHANT', 'PROVIDER_BANK_CODE', 'FECREDIT', 1, 'NCCDJL9W5EL', NOW(), NOW()),
('BK', 'SMARTPOS', 'PRIVATE', 18, 30.5500, 'PERCENT', 'MERCHANT', 'PROVIDER_BANK_CODE', 'FECREDIT', 1, 'NCCDJL9W5EL', NOW(), NOW()),
-- HOMECREDIT
('BK', 'SMARTPOS', 'PRIVATE', 3, 4.1500, 'PERCENT', 'MERCHANT', 'PROVIDER_BANK_CODE', 'HOMECREDIT', 1, 'NCCDJL9W5EL', NOW(), NOW()),
('BK', 'SMARTPOS', 'PRIVATE', 6, 5.2500, 'PERCENT', 'MERCHANT', 'PROVIDER_BANK_CODE', 'HOMECREDIT', 1, 'NCCDJL9W5EL', NOW(), NOW()),
('BK', 'SMARTPOS', 'PRIVATE', 9, 7.2300, 'PERCENT', 'MERCHANT', 'PROVIDER_BANK_CODE', 'HOMECREDIT', 1, 'NCCDJL9W5EL', NOW(), NOW()),
('BK', 'SMARTPOS', 'PRIVATE', 12, 8.4400, 'PERCENT', 'MERCHANT', 'PROVIDER_BANK_CODE', 'HOMECREDIT', 1, 'NCCDJL9W5EL', NOW(), NOW()),
-- MBBANK
('BK', 'SMARTPOS', 'PRIVATE', 3, 3.1600, 'PERCENT', 'MERCHANT', 'PROVIDER_BANK_CODE', 'MBBANK', 1, 'NCCDJL9W5EL', NOW(), NOW()),
('BK', 'SMARTPOS', 'PRIVATE', 6, 5.0300, 'PERCENT', 'MERCHANT', 'PROVIDER_BANK_CODE', 'MBBANK', 1, 'NCCDJL9W5EL', NOW(), NOW()),
('BK', 'SMARTPOS', 'PRIVATE', 9, 6.7900, 'PERCENT', 'MERCHANT', 'PROVIDER_BANK_CODE', 'MBBANK', 1, 'NCCDJL9W5EL', NOW(), NOW()),
('BK', 'SMARTPOS', 'PRIVATE', 12, 7.8900, 'PERCENT', 'MERCHANT', 'PROVIDER_BANK_CODE', 'MBBANK', 1, 'NCCDJL9W5EL', NOW(), NOW()),
-- MCREDIT
('BK', 'SMARTPOS', 'PRIVATE', 3, 2.5000, 'PERCENT', 'MERCHANT', 'PROVIDER_BANK_CODE', 'MCREDIT', 1, 'NCCDJL9W5EL', NOW(), NOW()),
('BK', 'SMARTPOS', 'PRIVATE', 6, 4.1500, 'PERCENT', 'MERCHANT', 'PROVIDER_BANK_CODE', 'MCREDIT', 1, 'NCCDJL9W5EL', NOW(), NOW()),
('BK', 'SMARTPOS', 'PRIVATE', 9, 5.8000, 'PERCENT', 'MERCHANT', 'PROVIDER_BANK_CODE', 'MCREDIT', 1, 'NCCDJL9W5EL', NOW(), NOW()),
('BK', 'SMARTPOS', 'PRIVATE', 12, 7.4500, 'PERCENT', 'MERCHANT', 'PROVIDER_BANK_CODE', 'MCREDIT', 1, 'NCCDJL9W5EL', NOW(), NOW()),
-- LOTTE
('BK', 'SMARTPOS', 'PRIVATE', 3, 2.5000, 'PERCENT', 'MERCHANT', 'PROVIDER_BANK_CODE', 'LOTTE', 1, 'NCCDJL9W5EL', NOW(), NOW()),
('BK', 'SMARTPOS', 'PRIVATE', 6, 3.6000, 'PERCENT', 'MERCHANT', 'PROVIDER_BANK_CODE', 'LOTTE', 1, 'NCCDJL9W5EL', NOW(), NOW()),
('BK', 'SMARTPOS', 'PRIVATE', 9, 5.2500, 'PERCENT', 'MERCHANT', 'PROVIDER_BANK_CODE', 'LOTTE', 1, 'NCCDJL9W5EL', NOW(), NOW()),
('BK', 'SMARTPOS', 'PRIVATE', 12, 6.3500, 'PERCENT', 'MERCHANT', 'PROVIDER_BANK_CODE', 'LOTTE', 1, 'NCCDJL9W5EL', NOW(), NOW()),
-- LPBANK
('BK', 'SMARTPOS', 'PRIVATE', 3, 2.3500, 'PERCENT', 'MERCHANT', 'PROVIDER_BANK_CODE', 'LPBANK', 1, 'NCCDJL9W5EL', NOW(), NOW()),
('BK', 'SMARTPOS', 'PRIVATE', 6, 3.3500, 'PERCENT', 'MERCHANT', 'PROVIDER_BANK_CODE', 'LPBANK', 1, 'NCCDJL9W5EL', NOW(), NOW()),
('BK', 'SMARTPOS', 'PRIVATE', 9, 4.8500, 'PERCENT', 'MERCHANT', 'PROVIDER_BANK_CODE', 'LPBANK', 1, 'NCCDJL9W5EL', NOW(), NOW()),
('BK', 'SMARTPOS', 'PRIVATE', 12, 5.8500, 'PERCENT', 'MERCHANT', 'PROVIDER_BANK_CODE', 'LPBANK', 1, 'NCCDJL9W5EL', NOW(), NOW()),
-- SACOMBANK
('BK', 'SMARTPOS', 'PRIVATE', 3, 3.0000, 'PERCENT', 'MERCHANT', 'PROVIDER_BANK_CODE', 'SACOMBANK', 1, 'NCCDJL9W5EL', NOW(), NOW()),
('BK', 'SMARTPOS', 'PRIVATE', 6, 4.9500, 'PERCENT', 'MERCHANT', 'PROVIDER_BANK_CODE', 'SACOMBANK', 1, 'NCCDJL9W5EL', NOW(), NOW()),
('BK', 'SMARTPOS', 'PRIVATE', 9, 6.9000, 'PERCENT', 'MERCHANT', 'PROVIDER_BANK_CODE', 'SACOMBANK', 1, 'NCCDJL9W5EL', NOW(), NOW()),
('BK', 'SMARTPOS', 'PRIVATE', 12, 8.8500, 'PERCENT', 'MERCHANT', 'PROVIDER_BANK_CODE', 'SACOMBANK', 1, 'NCCDJL9W5EL', NOW(), NOW()),
('BK', 'SMARTPOS', 'PRIVATE', 18, 13.6500, 'PERCENT', 'MERCHANT', 'PROVIDER_BANK_CODE', 'SACOMBANK', 1, 'NCCDJL9W5EL', NOW(), NOW());
UPDATE INSTALLMENT_BANK_ACCEPTANCE_CONFIG SET is_active = 1 WHERE channel = 'SMARTPOS' AND provider_code = 'BK';</t>
  </si>
  <si>
    <t>[UPP][SAAS][PROD] - Hỗ trợ cập nhật cấu hình merchant PROD</t>
  </si>
  <si>
    <t>2026-09-09T09:51:48.549+0700</t>
  </si>
  <si>
    <t>2026-09-09T09:52:10.158+0700</t>
  </si>
  <si>
    <t>Hi team, Nhờ team hỗ trợ chạy script bên dưới để hỗ trợ team Vận Hành thực hiện hoàn tiền cho KH Thông tin DB: jdbc:mysql://vinpay-sql-onehub-master.int.vinid.net:3306/pay_payment_gateway UPDATE PGTBD_TRANSACTION SET customer_reference_link_bank_id='146201' WHERE payment_transaction_id='pg-NmzaJ6YmADRapDy33O2rUy';</t>
  </si>
  <si>
    <t>[MERCHANT_HUB] - Update data Order cũ thiếu category id</t>
  </si>
  <si>
    <t>2026-09-08T23:21:30.825+0700</t>
  </si>
  <si>
    <t>2026-09-08T23:55:36.111+0700</t>
  </si>
  <si>
    <t>Nhờ các sếp DBA update giúp team các record bị thiếu dữ liệu do bug trước đó (đã fix) theo thông tin sau ạ: Database -- 172.31.4.37
2. instance: mhpos-order-prod-postgres - DB name: mhpos_oms Script Em cảm ơn</t>
  </si>
  <si>
    <t>[PROD] [Merchant-TCB] Update MID nội địa PVA02-&gt;PVA01 (PVAINS01) - SELECT pre-check</t>
  </si>
  <si>
    <t>2026-09-08T18:00:06.062+0700</t>
  </si>
  <si>
    <t>2026-09-08T18:00:15.455+0700</t>
  </si>
  <si>
    <t>Dear team DBA, Team Merchant nhờ team chạy giúp câu lệnh SELECT (pre-check) bên dưới ạ. Sau khi có kết quả, mình sẽ comment câu UPDATE xuống ticket. Thông tin database GCP Cloud SQL instance: merchant-tcb (project vinid-merchant-prod) Database: merchant_service_tcb (PROD) Câu lệnh (SELECT pre-check) SELECT id, store_id, merchant_ref, merchant_service_id, status, mid, sid
FROM tpay_store_service
WHERE merchant_service_id='ECOM_DOMESTIC_CARD_9005' AND deleted_at IS NULL ORDER BY id;
SELECT ts.id, ts.terminal_code, ts.store_service_id, ts.status, ts.mid, ts.tid
FROM tpay_terminal_service ts
WHERE ts.deleted_at IS NULL AND ts.store_service_id IN (
  SELECT id FROM tpay_store_service WHERE merchant_service_id='ECOM_DOMESTIC_CARD_9005' AND deleted_at IS NULL) ORDER BY ts.id;
SELECT id, status, tcb_merchant_code, created_at, services
FROM tpay_request_store
WHERE status IN ('WAITING','REVIEW') AND services LIKE '%PVAINS01%' AND services LIKE '%PVA02%';</t>
  </si>
  <si>
    <t>2026-09-08T16:11:24.888+0700</t>
  </si>
  <si>
    <t>2026-09-08T16:11:35.767+0700</t>
  </si>
  <si>
    <t>Dear anh  @Đào Công Nghĩa , Team em có nhu cầu cập nhật dữ liệu, nhờ team DBA hỗ trợ chạy luôn giúp e ạ. Thông tin DB:  omc-mtp-tidb.int.onemount.com:4000 / omc_merchant_loyalty UPDATE omc_merchant_loyalty.contract SET status = 'DRAFT' WHERE id = 121632; Thank anh.</t>
  </si>
  <si>
    <t>[PROD][UPAY] Support update thông tin email verify cho một số user MAG đã support import</t>
  </si>
  <si>
    <t>2026-09-08T15:50:24.006+0700</t>
  </si>
  <si>
    <t>2026-09-08T15:50:39.756+0700</t>
  </si>
  <si>
    <t>Anh  @Đào Công Nghĩa   ơi, Nhờ anh hỗ trợ chạy script dưới đây với ạ. Thông tin database: Project:   onemg-general-prod Instance:   auth-om Master IP:   172.31.4.103 Database:   auth_om Script: UPDATE `User` SET email_verified = 1, password_expired_at = null where `connection`  = '23307' AND username is not null AND tenant_id  = 'MAG-PROD';</t>
  </si>
  <si>
    <t>[CLMS][OM][MAG][PRO-04-09] update data config CLMS</t>
  </si>
  <si>
    <t>2026-09-08T15:36:52.601+0700</t>
  </si>
  <si>
    <t>2026-09-08T16:12:24.885+0700</t>
  </si>
  <si>
    <t>Dear Team @Phạm Hồng Quang   @Phạm Tuấn Linh CLM - Contract Lifecycle Management cần int data cho golive ngày 04/09. Nhờ anh em thêm giúp nhé. Database:
project gcp: onemg-integration-platform-prd
instance(IP): main (172.31.1.118)
Database name: clm_prod_mysql Query: COLLATE utf8mb4_unicode_ci NULL;
ALTER TABLE Lookup MODIFY COLUMN reference2 varchar(2048) CHARACTER SET utf8mb4 COLLATE utf8mb4_unicode_ci NULL;
ALTER TABLE Lookup MODIFY COLUMN reference3 varchar(2048) CHARACTER SET utf8mb4 COLLATE utf8mb4_unicode_ci NULL;
UPDATE  DocTemplate dt 
SET dt.status = 'DRAFT'
WHERE dt.id = 2;</t>
  </si>
  <si>
    <t>2026-09-08T14:44:01.373+0700</t>
  </si>
  <si>
    <t>2026-09-08T15:19:08.771+0700</t>
  </si>
  <si>
    <t>IP (Host):   ces-production.crcykac8kxtw.ap-southeast-1.rds.amazonaws.com Port:   3306 DB Name:   ces_mh_mpm Command:   update hrm_account set username = 'phuongptt' where email = 'phuongptwindow@ngocdiep.vn';
update hrm_account set username = 'huyennpd' where email = 'huyen.npd@newtecons.vn';
update hrm_account set username = 'muoind' where email = 'duy-muoi.nguyen@arteliagroup.com';
update hrm_account set username = 'trong.ho' where email = 'trong.ho@masterisegroup.com';
update hrm_account set username = 'anmq' where email = 'as6@innojsc.com';
update hrm_account set username = 'hangnt' where email = 'thi-hang.nguyen@arteliagroup.com';
update hrm_account set username = 'hoangna' where email = 'hoangna@coteccons.vn';
update hrm_account set username = 'kiemnv' where email = 'van-kiem.nguyen@arteliagroup.com';
update hrm_account set username = 'tinnt' where email = 'trung-tin.nguyen@arteliagroup.com';
update hrm_account set username = 'linhlhn' where email = 'id@zoostudio-asia.com';</t>
  </si>
  <si>
    <t>[Sao Mộc][Rim] Hỗ trợ cấp database cho service jvaluation core của dự án RIM</t>
  </si>
  <si>
    <t>2026-09-08T10:14:29.983+0700</t>
  </si>
  <si>
    <t>2026-09-09T17:11:54.680+0700</t>
  </si>
  <si>
    <t xml:space="preserve">Hi team DBA, dự án RIM của Sao Mộc đang setup các service để deploy lên production, nhờ team hỗ trợ em tạo database và user theo các thông tin sau: instance:  sm-rim-prod-postgres  - 172.31.4.17 Luồng read: database: sm_rim_jvaluation_core_read - user: sm_rim_jvaluation_core_read Luồng write: database: sm_rim_jvaluation_core_write - user: sm_rim_jvaluation_core_write SAD:   </t>
  </si>
  <si>
    <t>[PROD] [VCM]  Golive tối 26/08/2026</t>
  </si>
  <si>
    <t>2026-09-08T01:07:34.838+0700</t>
  </si>
  <si>
    <t>2026-09-08T01:07:44.441+0700</t>
  </si>
  <si>
    <t>Dear DBA Team, Nhờ team hỗ trợ chạy migrate database. Lệnh là tọa têm cột và bảng có thể chạy trước tối 22h ngày 26/08/2026 Thời gian dự kiến:   21h 30  26/08/2026 Thông tin db sau: Database name: ecom_data_analytics
Database type: MySQL
IP: 172.31.4.10 Lệnh chạy: ALTER TABLE ops_voucher_views
    ADD `description_vn` text null;
ALTER TABLE ops_voucher_views
    ADD `description_en` text null;
ALTER TABLE ops_voucher_views
    ADD `usage_vn` text null;
ALTER TABLE ops_voucher_views
    ADD `usage_en` text null;
ALTER TABLE ops_voucher_views
    ADD `term_of_use_en` text null;
ALTER TABLE ops_voucher_views
    ADD `term_of_use_vn` text null;
CREATE INDEX description_vn_idx ON ops_voucher_views (description_vn(100));
CREATE INDEX description_en_idx ON ops_voucher_views (description_en(100));
CREATE INDEX usage_vn_idx ON ops_voucher_views (usage_vn(100));
CREATE INDEX usage_en_idx ON ops_voucher_views (usage_en(100));
CREATE TABLE merchant_apply_views
(
    `id`         bigint auto_increment
        primary key,
    `name`       varchar(255) not null,
    `name_en`    varchar(255) not null,
    `created_at` datetime     not null default current_timestamp,
    `updated_at` datetime     not null on update current_timestamp,
    `created_by` varchar(100) null,
    key `idx_created_at` (`created_at`),
    key `idx_updated_at` (`updated_at`)
);
CREATE INDEX merchant_name_idx ON merchant_apply_views (name);
CREATE INDEX merchant_name_en_idx ON merchant_apply_views (name_en);
CREATE TABLE ops_voucher_merchant_apply_mapping
(
    `variant_id`  bigint not null,
    `merchant_id` bigint not null,
    primary key (`variant_id`, `merchant_id`),
    key `idx_merchant_id` (`merchant_id`)
);</t>
  </si>
  <si>
    <t>Tạo tài khoản kết nối Database [outsystems_log_UAT] - Môi trường UAT</t>
  </si>
  <si>
    <t>2026-09-07T18:11:50.526+0700</t>
  </si>
  <si>
    <t>2026-09-07T18:23:39.138+0700</t>
  </si>
  <si>
    <t>Chào team DBA, Nhờ các sếp hỗ trợ add giúp em quyền cho user để kết nối và truy vấn dữ liệu với thông tin hệ thống như sau: Server IP:   172.31.0.38 Database:   outsystems_log_UAT Môi trường:  UAT Tên user:  OS_READONLY_UAT Quyền hạn (Permissions) yêu cầu: Quyền truy vấn dữ liệu ( db_datareader  / Select only). Quyền xem cấu trúc database ( VIEW DEFINITION  / View schema để xem cấu trúc bảng, views, stored procedures). Mục đích sử dụng:  Sử dụng để đọc log cho Playwright trong pipeline tạo business logic từ Runtime UAT Em cảm ơn!</t>
  </si>
  <si>
    <t>[OMC][PS2][Prod] Thực hiện xóa partition reconcile cũ theo định kỳ</t>
  </si>
  <si>
    <t>2026-09-07T18:03:48.636+0700</t>
  </si>
  <si>
    <t>2026-09-07T18:03:53.614+0700</t>
  </si>
  <si>
    <t>Thực hiện xóa partition reconcile cũ theo định kỳ Host:  172.31.4.75 DB:  promo_rule_engine Table:  data_reconciliation Thực hiện xóa các partition cũ, chỉ giữ lại từ tháng 8/2026</t>
  </si>
  <si>
    <t>[OMC][GAMI][Prod] Hỗ trợ xuất data cho campaign Đường đua chông gai 2026</t>
  </si>
  <si>
    <t>2026-09-07T17:31:07.558+0700</t>
  </si>
  <si>
    <t>2026-09-07T17:31:18.718+0700</t>
  </si>
  <si>
    <t>Hỗ trợ xuất data cho campaign Đường đua chông gai 2026 Thưởng theo lịch sử phát sinh cộng/trừ xu theo tuần  Host: 172.31.1.14 DB: gamezone Query: Tuần 1 SELECT user_id, SUM(amount) as total 
FROM score_transactions st 
WHERE campaign_id = 859 and created_at &gt;= '2026-08-17 00:00:00' and created_at &lt; '2026-08-31 00:00:00'
group by user_id 
order by total desc; Tuần 2 SELECT user_id, SUM(amount) as total 
FROM score_transactions st 
WHERE campaign_id = 859 and created_at &gt;= '2026-08-31 00:00:00' and created_at &lt; '2026-09-07 00:00:00'
group by user_id 
order by total desc;</t>
  </si>
  <si>
    <t>2026-09-07T16:18:42.230+0700</t>
  </si>
  <si>
    <t>2026-09-07T16:18:48.704+0700</t>
  </si>
  <si>
    <t>Dear team DBA, Nhờ anh/em chạy giúp em lệnh sau để cập nhật cấu hình cho merchant ạ Thông tin db: saas_tpay: mysql://pay-tidb.int.onemount.com:4000/saas_tpay Script UPDATE UNIFIED_MERCHANT_SERVICE SET tcb_merchant_id='PVA01' WHERE id='17407';</t>
  </si>
  <si>
    <t>[Team OneNexus AIP]_Nâng ClickHouse ≥25.12 và tạo database mới (ClickHouse + PostgreSQL) cho Langfuse v4 — PRODUCTION</t>
  </si>
  <si>
    <t>2026-09-07T09:19:14.262+0700</t>
  </si>
  <si>
    <t>2026-09-07T09:19:30.982+0700</t>
  </si>
  <si>
    <t>Hi DBA Team, Team mình chuẩn bị triển khai Langfuse v4 lên production, chạy song song với v3 (v3 giữ nguyên, không đụng tới). Nội dung tương tự ticket non-prod đã tạo trước — nhờ ae support 2 điểm sau: ClickHouse — upgrade version và tạo database mới Hiện tại: 24.8. Langfuse v4 yêu cầu tối thiểu  25.12  ( khuyến nghị 26.3 LTS như cụm non-production ). Cách upgrade (tương tự như cụm non-production) Vì là production có downtime: như đã trao đổi trước mình sẽ làm cùng sau 18h00 ngày 04-09  (dừng ingestion trong lúc upgrade) Nâng version không ảnh hưởng v3 đang chạy — team mình đã test Langfuse v3 chạy bình thường trên ClickHouse 25.12 và đã chạy ổn trên dev. Không cần dựng cụm thứ hai, dùng chung server. Tạo thêm 1 database mới cho v4 + user/password. Không thể dùng chung database với v3 (lý do tương tự như non-production)  team mình đã verify chạy song song được trên cùng 1 server (đã chạy thực tế trên non-production). Disk:  cần dư thêm ~3x dung lượng data Langfuse hiện tại (v4 cần chỗ tạm khi backfill). Đo bằng: SELECT formatReadableSize(sum(bytes_on_disk)) FROM system.parts
WHERE active AND database = '&lt;langfuse_db&gt;'; Migration data production từ database cũ sang database mới : dự kiến 18h ngày 07/09/2026 (khi deploy bản release hệ thống và chuyển kết nối sang langfuse v4) PostgreSQL — 1 database mới Yêu cầu PostgreSQL tối thiểu 15 — nhờ ae check version RDS production, nếu ≥15 thì không cần nâng, chỉ cần tạo database mới cho v4. Team mình sẽ tự làm:  Redis · object storage · secrets · Helm chart.</t>
  </si>
  <si>
    <t>[Merchant-TCB] [PROD] Kiểm tra bản ghi tpay_merchant cho merchant NCC8CCVX</t>
  </si>
  <si>
    <t>2026-09-05T17:57:06.780+0700</t>
  </si>
  <si>
    <t>2026-09-05T17:57:17.173+0700</t>
  </si>
  <si>
    <t>Dear team DBA, Team Merchant Platform đang điều tra lỗi duyệt yêu cầu cập nhật merchant NCC8CCVX trên PROD. Nghi ngờ thiếu hoặc lệch key bản ghi ở bảng tpay_merchant. Nhờ team chạy giúp các câu lệnh bên dưới và gửi lại kết quả ạ. Thông tin database DB_MYSQL_HOST=172.31.4.108 DB_MYSQL_DATABASE=merchant_service_tcb Câu lệnh -- 1a. Row request đang duyệt (nguồn giá trị để đối chiếu)
SELECT id, code, merchant_code, tcb_merchant_code, tcb_customer_t24, branch_id,
       business_license_number, sales_agent_email, source, status, type
FROM tpay_request_merchant WHERE id = 5481481;
-- 1b. Kiểm tra row shadow theo cả 2 key (phân biệt: thiếu hẳn / lệch key)
SELECT id, code, tcb_merchant_code, tcb_customer_t24, branch_id
FROM tpay_merchant
WHERE code = 'NCC8CCVX'
   OR tcb_merchant_code = (SELECT tcb_merchant_code FROM tpay_request_merchant WHERE id = 5481481);
-- 1c. Đếm dữ liệu phụ thuộc (tham khảo phạm vi; bỏ qua nếu tên cột khác)
SELECT
  (SELECT COUNT(*) FROM tpay_store    WHERE tcb_merchant_code = (SELECT tcb_merchant_code FROM tpay_request_merchant WHERE id=5481481)) AS stores,
  (SELECT COUNT(*) FROM tpay_terminal WHERE tcb_merchant_code = (SELECT tcb_merchant_code FROM tpay_request_merchant WHERE id=5481481)) AS terminals; Nhờ team gửi lại kết quả để em xác định phương án bổ sung dữ liệu. Cảm ơn team.</t>
  </si>
  <si>
    <t>[OMC][PS2][Loyalty][PROD] - archive dữ liệu history cho các bảng cần move data sang COLD - Tháng 9/2026</t>
  </si>
  <si>
    <t>2026-09-05T17:29:52.526+0700</t>
  </si>
  <si>
    <t>2026-09-09T18:17:06.649+0700</t>
  </si>
  <si>
    <t>Các bảng cần move data sang COLD, sau đó archive lên GCS: TRANSACTION_HISTORY_ATTRIBUTE TRANSACTION_HISTORY POINT_TRANSACTION COUNTER_TRANSACTION_HISTORY 3 bảng TRANSACTION_HISTORY, POINT_TRANSACTION, COUNTER_TRANSACTION_HISTORY :  Trên môi trường PROD (HOT), Giữ lại data đầy đủ của 6 tháng gần nhất. (tháng n-1, n-2, n-3, n-4, n-5, n-6). Trên môi trường COLD, sẽ có data lịch sử (history 6 tháng tiếp theo) n-7, n-8, n-9, n-10, n-11, n-12. Ví dụ, hiện tại là tháng 9/2026, thì data giữ lại ở db chính PROD là tháng 8/2026, 7/2026, 6/2026, 5/2026, 4/2026, 3/2026. Các tháng lịch sử khác (history 6 tháng tiếp theo) sẽ khai thác trên db COLD: tháng 2/2026, 1/2026, 12/2025, 11/2025, 10/2025, 9/2025.   Bảng TRANSACTION_HISTORY_ATTRIBUTE  : Trên DB chính PROD (HOT), giữ lại data đầy đủ của 3 tháng gần nhất (tháng thứ n-1,n-2,n-3 sau tháng hiện tại). Các data tháng thứ n-4,n-5,n-6 sau tháng n hiện tại thì chuyển sang db COLD.) Ví dụ, hiện tại là tháng 9/2026, thì data giữ lại ở db chính PROD là tháng 8/2026, 7/2026, 6/2026. Các tháng 5/2026, 4/2026, 3/2026 sẽ khai thác trên db COLD.</t>
  </si>
  <si>
    <t>[OMC][PS2][Loyalty][PROD] - archive dữ liệu history cho các bảng PAY_WITH_POINT_TRANSACTION_HISTORY - Tháng 9/2026</t>
  </si>
  <si>
    <t>2026-09-05T17:29:39.815+0700</t>
  </si>
  <si>
    <t>2026-09-15T09:54:59.904+0700</t>
  </si>
  <si>
    <t>hiện tại tháng 9/2026, thì sẽ thực hiện DELETE Xóa data có: status = 'F' and transaction_time &lt; to_date('01/08/2026','dd/MM/yyyy')</t>
  </si>
  <si>
    <t>[OMC][PS2][Loyalty][PROD] - archive dữ liệu history cho các bảng KAFKA_ , TIER_HISTORY - Tháng 9/2026</t>
  </si>
  <si>
    <t>2026-09-05T17:29:27.100+0700</t>
  </si>
  <si>
    <t>2026-09-09T18:53:25.659+0700</t>
  </si>
  <si>
    <t>archive dữ liệu history cho các bảng KAFKA_ , TIER_HISTORY : KAFKA_AUDIT_TRAIL_PRODUCT_INFO KAFKA_AUDIT_TRAIL_CARD_INFO KAFKA_AUDIT_TRAIL_CUSTOMER_PROFILE KAFKA_AUDIT_TRAIL_EARN_TRANSACTION KAFKA_AUDIT_TRAIL_EARN_EVENT TIER_HISTORY</t>
  </si>
  <si>
    <t>[OMC][PS2][Loyalty][PROD] - Thực hiện archive dữ liệu history cho DB Loyalty - Tháng 9/2026</t>
  </si>
  <si>
    <t>2026-09-05T17:24:10.709+0700</t>
  </si>
  <si>
    <t>2026-09-15T09:55:15.471+0700</t>
  </si>
  <si>
    <t>Team DBA cần thực hiện archive dữ liệu lịch sử của 1 số bảng lớn trong DB LOYALTY, để tối ưu dung lượng lưu trữ data , tránh để data lưu trữ quá lớn trong DB dẫn tới chi phí phần cứng tăng và giảm hiệu suất IO khi truy xuất data lớn. Quy định về thời gian lưu trữ data (dự án đã confirm với TCB qua email): Live data tier: không TTL expired bất kể dữ liệu nào Backup tier: Thực hiện backup full 2 lần/tuần và incremental các ngày còn lại Archiving tier:  Dữ liệu Archive được thực hiện 6 tháng/lần và store với retention là 365 days Kế hoạch thực hiện archive dữ liệu history của DB Loyalty , thực hiện trong  tháng 9 năm 2026 Các bảng cần lưu trữ data và thực hiện xóa data history:   Tables Partition column Life time Note KAFKA_AUDIT_TRAIL_PRODUCT_INFO CREATED_AT 1 month KAFKA_AUDIT_TRAIL_CARD_INFO CREATED_AT 1 month KAFKA_AUDIT_TRAIL_CUSTOMER_PROFILE CREATED_AT 1 month KAFKA_AUDIT_TRAIL_EARN_TRANSACTION CREATED_AT 1 month KAFKA_AUDIT_TRAIL_EARN_EVENT CREATED_AT 1 month TIER_HISTORY CREATED_AT 6 month POINT_TRANSACTION_ACCOUNT_BALANCE CREATED_AT 6 month Từ tháng 5/2025,  tạm dừng ko xóa data history bảng này nữa , để CNSP review lại xem có dùng dữ liệu quá 6 tháng ko? PAY_WITH_POINT_TRANSACTION_HISTORY TRANSACTION_TIME Giữ nguyên các partition,chỉ DELETE xóa data theo điều kiện where là:  status = 'F'  and transaction_time đủ full  1 tháng  gần nhất Ví dụ, hiện tại tháng 9/2026, thì sẽ thực hiện DELETE Xóa data có: status = 'F' and transaction_time &lt; to_date('01/08/2026','dd/MM/yyyy') TRANSACTION_HISTORY_ATTRIBUTE CREATED_AT 3 month Tháng hiện tại là tháng n. Trên DB chính PROD (HOT), giữ lại data đầy đủ của 3 tháng gần nhất (tháng thứ n-1,n-2,n-3 sau tháng hiện tại). Các data tháng thứ n-4,n-5,n-6 sau tháng n hiện tại thì chuyển sang db COLD.) Ví dụ, hiện tại là tháng 9/2026, thì data giữ lại ở db chính PROD là tháng 8/2026, 7/2026, 6/2026. Các tháng 5/2026, 4/2026, 3/2026 sẽ khai thác trên db COLD. TRANSACTION_HISTORY TRANSACTION_TIME 6 month Trên môi trường PROD (HOT), Giữ lại data đầy đủ của 6 tháng gần nhất. (tháng n-1, n-2, n-3, n-4, n-5, n-6). Trên môi trường COLD, sẽ có data lịch sử (history 6 tháng tiếp theo) n-7, n-8, n-9, n-10, n-11, n-12. Ví dụ, hiện tại là tháng 9/2026, thì data giữ lại ở db chính PROD là tháng 8/2026, 7/2026, 6/2026, 5/2026, 4/2026, 3/2026. Các tháng lịch sử khác (history 6 tháng tiếp theo) sẽ khai thác trên db COLD: tháng 2/2026, 1/2026, 12/2025, 11/2025, 10/2025, 9/2025. POINT_TRANSACTION TRANSACTION_TIME 6 month Trên môi trường PROD (HOT), Giữ lại data đầy đủ của 6 tháng gần nhất. (tháng n-1, n-2, n-3, n-4, n-5, n-6). Trên môi trường COLD, sẽ có data lịch sử (history 6 tháng tiếp theo) n-7, n-8, n-9, n-10, n-11, n-12. Ví dụ, hiện tại là tháng 9/2026, thì data giữ lại ở db chính PROD là tháng 8/2026, 7/2026, 6/2026, 5/2026, 4/2026, 3/2026. Các tháng lịch sử khác (history 6 tháng tiếp theo) sẽ khai thác trên db COLD: tháng 2/2026, 1/2026, 12/2025, 11/2025, 10/2025, 9/2025. COUNTER_TRANSACTION_HISTORY CREATED_AT 6 month Trên môi trường PROD (HOT), Giữ lại data đầy đủ của 6 tháng gần nhất. (tháng n-1, n-2, n-3, n-4, n-5, n-6). Trên môi trường COLD, sẽ có data lịch sử (history 6 tháng tiếp theo) n-7, n-8, n-9, n-10, n-11, n-12. Ví dụ, hiện tại là tháng 9/2026, thì data giữ lại ở db chính PROD là tháng 8/2026, 7/2026, 6/2026, 5/2026, 4/2026, 3/2026. Các tháng lịch sử khác (history 6 tháng tiếp theo) sẽ khai thác trên db COLD: tháng 2/2026, 1/2026, 12/2025, 11/2025, 10/2025, 9/2025. Phương án làm archive data cho các bảng này: export các partition vi phạm thời gian lưu trữ data life time ONLINE Lưu trữ các partition đã export lên GCS (thời gian lưu trữ trên GCS là 1 năm). Các dữ liệu nào cần khai thác trên COLD, thì sẽ import sang db COLD. Drop các partition đã export + archived trên DB PROD Chạy lại gather statistic cho bảng vừa drop partition (có thể để DB auto chạy cũng được)</t>
  </si>
  <si>
    <t>[Production][Loyatly] - Request account quyền read vào DB Mysql</t>
  </si>
  <si>
    <t>2026-09-05T16:07:24.106+0700</t>
  </si>
  <si>
    <t>2026-09-05T16:08:39.965+0700</t>
  </si>
  <si>
    <t>Dear team, Loyalty có nhu cầu read data Mysql (Gami) trên production phục vụ việc trace bug, Hiện tại đã có account read only, nhờ team cấp thêm quyền view database  promo_rule_engine  cho account  loyalty_read  để team có thể connect vào ạ.   Thông tin DB:  IP: 172.31.4.75 Username: loyalty_read Em xin cảm ơn.</t>
  </si>
  <si>
    <t>[Prod][OMC][GL] Hỗ trợ insert new master data GL</t>
  </si>
  <si>
    <t>2026-09-05T10:39:10.078+0700</t>
  </si>
  <si>
    <t>2026-09-05T10:39:31.207+0700</t>
  </si>
  <si>
    <t>Nhờ team chạy giúp e câu insert master data để cấu hình luồng hạch toán ở GL database :  jdbc:mysql://tidb.int.onemount.com:4000/vinpay_vinpay_prod_saas_ps2_general_ledger?allowMultiQueries=true INSERT INTO general_ledger_data_list(service, data_key, data_value, data_name, created_at, updated_at)
SELECT 'general_ledger',
       'adj_txn_reason_code',
       'ADJ_125',
       'Trả điểm thưởng chương trình "Thăng hạng ngay - Quà trao tay" 2026',
       CURRENT_TIMESTAMP,
       CURRENT_TIMESTAMP
WHERE NOT EXISTS (SELECT 1
                  FROM general_ledger_data_list
                  WHERE service = 'general_ledger'
                    AND data_key = 'adj_txn_reason_code'
                    AND data_value = 'ADJ_125');</t>
  </si>
  <si>
    <t>[CLMS][OM][MAG][PRO-04-09] Init data config CLMS</t>
  </si>
  <si>
    <t>2026-09-05T10:13:57.313+0700</t>
  </si>
  <si>
    <t>2026-09-05T10:52:24.299+0700</t>
  </si>
  <si>
    <t>Dear Team @Phạm Hồng Quang   @Phạm Tuấn Linh   CLM - Contract Lifecycle Management cần int data cho golive ngày 04/09. Nhờ anh em thêm giúp nhé. Database:
project gcp: onemg-integration-platform-prd
instance(IP): main (172.31.1.118)
Database name: clm_prod_mysql  </t>
  </si>
  <si>
    <t>Hỗ trợ tạo database cho service craw-email dự án virtual-account</t>
  </si>
  <si>
    <t>2026-09-05T09:03:30.907+0700</t>
  </si>
  <si>
    <t>2026-09-05T09:03:45.166+0700</t>
  </si>
  <si>
    <t>Hi anh  @Đoàn Việt Hưng  nhờ anh hỗ trợ tạo database giúp em theo thông tin sau: DB Instance:  mag-va-sandbox-postgres.czqi8qus0dv0.ap-southeast-1.rds.amazonaws.com DB Name:  ce-dev</t>
  </si>
  <si>
    <t>2026-09-04T21:07:39.445+0700</t>
  </si>
  <si>
    <t>2026-09-04T22:09:27.505+0700</t>
  </si>
  <si>
    <t>Dear anh  @Đào Công Nghĩa , Tối ngày 04/09 team em dự kiến có lịch golive và có nhu cầu cập nhật các DB sau, nhờ team DBA hỗ trợ. Thời gian chạy:  9h tối ngày 04/09/2026. CR:  Release Plan:    Thông tin DB:  omc-mtp-tidb.int.onemount.com:4000 / omc_merchant_loyalty ALTER TABLE omc_merchant_loyalty.contract
    ADD COLUMN maker VARCHAR(255) NULL DEFAULT NULL,
    ADD COLUMN maker_at TIMESTAMP    NULL DEFAULT NULL,
    ADD COLUMN reviewer_action VARCHAR(20) DEFAULT NULL,
    ADD COLUMN reviewed_at     TIMESTAMP   DEFAULT NULL,
    ADD COLUMN maker_action VARCHAR(20) DEFAULT NULL;
UPDATE omc_merchant_loyalty.contract
SET reviewed_at = COALESCE(hidden_signed_at, rejected_at)
WHERE hidden_signed_at IS NOT NULL
   OR rejected_at IS NOT NULL;
UPDATE omc_merchant_loyalty.contract
SET reviewer_action = CASE
                          WHEN hidden_signed_at IS NOT NULL THEN 'APPROVE'
                          WHEN rejected_at IS NOT NULL THEN 'REJECT'
    END
WHERE hidden_signed_at IS NOT NULL
   OR rejected_at IS NOT NULL;
CREATE INDEX idx_contract_reviewed_at ON omc_merchant_loyalty.contract (reviewed_at);
ALTER TABLE omc_merchant_loyalty.request ADD COLUMN time_condition JSON NULL;
ALTER TABLE omc_merchant_loyalty.vcm_voucher ADD COLUMN has_been_onsite TINYINT(1) NULL DEFAULT NULL;
ALTER TABLE omc_merchant_loyalty.contract DROP COLUMN draft_merchant_data, DROP COLUMN draft_voucher_data;
UPDATE omc_merchant_loyalty.contract SET sales_agent = 'anhhtk3@techcombank.com.vn' WHERE id = 89036;
UPDATE omc_merchant_loyalty.contract SET sales_agent = 'nguyendthn@techcombank.com.vn' WHERE id = 61622; Thanks anh.</t>
  </si>
  <si>
    <t>[Meeting note][PROD] Khởi tạo cơ sở dữ liệu FalkorDB</t>
  </si>
  <si>
    <t>2026-09-04T16:42:44.777+0700</t>
  </si>
  <si>
    <t>2026-09-04T16:42:51.173+0700</t>
  </si>
  <si>
    <t>database-provisioning, falkordb</t>
  </si>
  <si>
    <t>Database information GCP project: Nhờ DBA xác nhận Instance name: meeting-note-falkordb-prod Instance IP/DNS: Cấp mới Database name: meeting-note Time Run ticket: Theo lịch triển khai được phê duyệt Mô tả chi tiết yêu cầu: Khởi tạo FalkorDB cho dự án Meeting note trên môi trường Production. Quy mô dự kiến: Tối đa 1.000.000 nodes Tối đa 20.000.000 edges Khoảng 8 properties/node và 1 property/edge Dung lượng graph ước tính: khoảng 1,5 GB CCU dự kiến: khoảng 100 Sizing ban đầu: 4 vCPU 4 GiB RAM 30 GB persistent SSD 01 instance ban đầu; nếu tiêu chuẩn Production yêu cầu HA, bổ sung 01 replica cùng cấu hình Có thể vertical scale RAM lên 8 GiB khi mức sử dụng RAM vượt 70–75% hoặc theo kết quả benchmark Yêu cầu vận hành: Bật persistence và backup theo tiêu chuẩn DBA Thiết lập monitoring CPU, RAM, disk, latency và cảnh báo Xác nhận phương án HA/replication cho Production Kiểm tra memory thực tế bằng GRAPH.MEMORY USAGE sau khi nạp dữ liệu mẫu</t>
  </si>
  <si>
    <t>[LP][Core][TCB] - Insert master data reason code cho chương trình trả thưởng manual "Thăng hạng ngay - Quà trao tay"</t>
  </si>
  <si>
    <t>2026-09-04T16:41:01.155+0700</t>
  </si>
  <si>
    <t>2026-09-04T16:41:23.671+0700</t>
  </si>
  <si>
    <t>Dear DBA Team, Insert master data reason code cho chương trình trả thưởng manual "Thăng hạng ngay - Quà trao tay" Nhờ team thực hiện insert data sau: Thông tin database: IP: 10.255.23.119 Service name: oneloyaltydb Port: 1521 schema app: OLOYALTY Query INSERT INTO OLOYALTY.REASON_CODE (CODE, NAME, BUSINESS_ID, PROGRAM_ID, FUNCTION_CODE_ID, DESCRIPTION, STATUS, CREATED_BY, CREATED_AT, UPDATED_BY, UPDATED_AT, APPROVED_BY, APPROVED_AT, CREATED_YMD, EN_NAME, DISPLAY_NAME, EN_DISPLAY_NAME) VALUES ('ADJ_125', 'Tặng điểm khi tham gia chương trình Techcombank', 346, 426, 103, 'Tặng điểm khi tham gia chương trình Techcombank', 'A', 'SYSTEM', TIMESTAMP '2026-09-04 00:00:00.000000', 'SYSTEM', TIMESTAMP '2026-09-04 00:00:00.000000', 'SYSTEM', TIMESTAMP '2026-09-04 00:00:00.000000', 20260904, 'Reward points for Techcombank promotion program', 'Trả điểm thưởng chương trình “Thăng hạng ngay - Quà trao tay” 2026', 'Reward points for campaign “Instant Upgrade - Instant Reward” 2026'); INSERT INTO OLOYALTY.ATTRIBUTE_MASTER_DATA (PROGRAM_ID, ATTRIBUTE_CODE, ATTRIBUTE_TYPE, VALUE, STATUS, DESCRIPTION, CREATED_BY, CREATED_AT, UPDATED_BY, UPDATED_AT, APPROVED_BY, APPROVED_AT, CREATED_YMD) VALUES (426, 'TXN_ADJ_REASON', '1', 'ADJ_125', 'A', 'Tặng điểm khi tham gia chương trình Techcombank', 'SYSTEM', TIMESTAMP '2026-09-04 00:00:00.000000', 'SYSTEM', TIMESTAMP '2026-09-04 00:00:00.000000', 'SYSTEM', TIMESTAMP '2026-09-04 00:00:00.000000', 20260904); Theo yêu cầu từ vận hành TCB</t>
  </si>
  <si>
    <t>[UPP][PROD] - Hỗ trợ cấu hình merchant PVA môi trường production</t>
  </si>
  <si>
    <t>2026-09-04T16:38:35.340+0700</t>
  </si>
  <si>
    <t>2026-09-04T16:38:54.337+0700</t>
  </si>
  <si>
    <t>Hi team, Nhờ team hỗ trợ chạy script bên dưới để cấu hình thông tin kết nối cho merchant PVA golive dịch vụ TCB ECom Thông tin DB: saas_tpay: mysql://pay-tidb.int.onemount.com:4000/saas_tpay Script:  UPDATE ECOM_MERCHANT_CONFIG 
SET client_id = 'GIkMssWcjyVWltIXvUtSLjKmgrCFzJEZ', merchant_rsa_public_key='LS0tLS1CRUdJTiBQVUJMSUMgS0VZLS0tLS0KTUlJQklqQU5CZ2txaGtpRzl3MEJBUUVGQUFPQ0FROEFNSUlCQ2dLQ0FRRUF6SmxSNURtVnZMUjlXek1iemYzMQptTSsreFZJT242czFJUVpzYmsyb2VUSkFmVWJZSXk0cmJyenBTclpjcGNDNmhrS0tqdkZvKzBwaldWVnVKcmkyCkNyU2FaTEFTT21Zb0xKNkhKK1F0ajlZd21ub2doYm5NRUlMRzNlMHBnM1FZQ1FNUmZxTVV1L05ZcHAya1cxb0EKN0ppRjNvbDFaS3F4OHIyYmY3UDk3UnVwc09pQ2NRd0dBUG1pTnBuWC9xQWsyWlQzdEh5WGxXSlRyQTgwR2wwYQpPajdkSU5vRWdNdTlUS0d6R1RnaUdWRkh6QW9yQW9RckJERFVndHFGdGxRbzZBMkJnVXc4dzJkQUZ1Z3l4dkd4Ci81SGkzdEwwTjZFdTZWdUJHem1MYmt1UStRMlV6Tm9lbkZZL2lGcTA3NFpqc2F0cENPcDF1cUtIZmthd1hGaWMKeFFJREFRQUIKLS0tLS1FTkQgUFVCTElDIEtFWS0tLS0tCg==', ipn='https://portal.prudential.com.vn/onlinepayment/techcombank/callback' WHERE merchant_code='PVAINS01';
UPDATE ECOM_MERCHANT_CHANNEL_CONFIG SET redirect_url='https://portal.prudential.com.vn/onlinepayment/success' WHERE merchant_code='PVAINS01' Script update cấu hình báo cáo đối soát cho merchant TCGI Thông tin db: mysql://pay-tidb.int.onemount.com:4000/vinidpay_reconciliation Script:  UPDATE UNIFILED_MC_CONFIG SET SERVICE_TYPE='ECOM' where id=12002;</t>
  </si>
  <si>
    <t>2026-09-04T14:40:25.838+0700</t>
  </si>
  <si>
    <t>2026-09-05T09:03:42.741+0700</t>
  </si>
  <si>
    <t>Yêu cầu cấp tài khoản kết nối Database [outsystems_UAT] - Môi trường UAT</t>
  </si>
  <si>
    <t>2026-09-04T14:05:22.081+0700</t>
  </si>
  <si>
    <t>2026-09-04T18:37:25.569+0700</t>
  </si>
  <si>
    <t>Chào team DBA, Nhờ các anh/chị hỗ trợ tạo giúp em một tài khoản (database user) để kết nối và truy vấn dữ liệu với thông tin hệ thống như sau: Server IP:   172.31.0.38 Database:   outsystems_UAT Môi trường:  UAT Quyền hạn (Permissions) yêu cầu: Quyền truy vấn dữ liệu ( db_datareader  / Select only). Quyền xem cấu trúc database ( VIEW DEFINITION  / View schema để xem cấu trúc bảng, views, stored procedures). Mục đích sử dụng:  Xây dựng Pipeline tạo business logic từ Runtime UAT Nhờ anh/chị hỗ trợ tạo và gửi lại thông tin credentials (Username/Password) giúp em. Em cảm ơn!</t>
  </si>
  <si>
    <t>[OMD][TCB-MerchantHUB][PROD] Insert data vào bảng notification_template</t>
  </si>
  <si>
    <t>2026-09-04T12:18:27.276+0700</t>
  </si>
  <si>
    <t>2026-09-04T15:38:07.547+0700</t>
  </si>
  <si>
    <t>Dear anh Linh, Để phục vụ cho golive ngày 05/09 team cần hỗ trợ chạy 2 câu SQL insert data dưới đây ạ (2 DB khác nhau). Thời gian chạy: Trước 21h 05/09 =============================FISCAL============================= DB:  Fiscal instance: mhpos-common-prod-postgres - 172.31.4.36 mhpos_fiscal INSERT INTO public.notification_template (
    id,
    code,
    channel,
    status,
    event_code,
    mtp_template_id,
    app_id,
    recipient_role_codes,
    created_at,
    created_by,
    last_modified_at,
    last_modified_by,
    version,
    deleted,
    client_code
) VALUES (
             gen_random_uuid(),
             'DAILY_TRANSACTION_COUNT',
             'FIRE_BASE',
             'ACTIVE',
             'DAILY_TRANSACTION_COUNT',
             'DAILY_TRANSACTION_COUNT',
             '328aacae-ec4b-4629-8f2f-29f942bfa48d',
             'RoleStaffSoftPos,Quanlycuahang',
             now(),
             NULL,
             now(),
             NULL,
             1,
             false,
             'TSHOP_MERCHANT_POS'
         ); =============================ORDER============================= DB:  Order instance: instance: mhpos-order-prod-postgres - 172.31.4.37 mhpos_oms INSERT INTO public.notification_template (
    id,
    code,
    channel,
    status,
    event_code,
    mtp_template_id,
    app_id,
    recipient_role_codes,
    created_at,
    created_by,
    last_modified_at,
    last_modified_by,
    version,
    deleted,
    client_code
) VALUES (
             gen_random_uuid(),
             'DASHBOARD_TSHOP',
             'FIRE_BASE',
             'ACTIVE',
             'DASHBOARD_TSHOP',
             'DASHBOARD_TSHOP',
             '328aacae-ec4b-4629-8f2f-29f942bfa48d',
             'RoleStaffSoftPos,Quanlycuahang',
             now(),
             NULL,
             now(),
             NULL,
             1,
             false,
             'TSHOP_MERCHANT_POS'
         );</t>
  </si>
  <si>
    <t>[Merchantdise][PROD] Seeding Bán Merchantdise GHYT  04/09/2026</t>
  </si>
  <si>
    <t>2026-09-04T12:17:41.477+0700</t>
  </si>
  <si>
    <t>2026-09-04T15:39:53.506+0700</t>
  </si>
  <si>
    <t>Nhờ  @Đào Công Nghĩa  chạy giúp thông tin dưới đây: project: vincart-prod instance: main ip: 172.31.1.41 DB: vincart_mm_product Script: UPDATE variants
set stock_type = 'INIT'
WHERE id in (1091835,1091836,1091837,1091838);
UPDATE inventories
set channel_code = 'INIT'
WHERE variant_id in (1091835,1091836,1091837,1091838);
UPDATE variant_prices
set channel_code = 'ONEU'
WHERE variant_id in (1091835,1091836,1091837,1091838); Thời gian thực hiện: Chạy sớm nhất có thể.</t>
  </si>
  <si>
    <t>[UPAY][PROD] Update DB AuthOM support AAM cập nhật data user bị sai</t>
  </si>
  <si>
    <t>2026-09-04T11:39:39.054+0700</t>
  </si>
  <si>
    <t>2026-09-04T11:40:18.582+0700</t>
  </si>
  <si>
    <t>Thông tin db authom ạ: project: onemg-general-prod instance: auth-om Master IP: 172.31.4.103 DB: auth_om Script update:</t>
  </si>
  <si>
    <t>[NON-PROD] [06/09/2026] [UPay] Support release plan golive</t>
  </si>
  <si>
    <t>2026-09-04T09:55:06.624+0700</t>
  </si>
  <si>
    <t>2026-09-04T09:57:34.464+0700</t>
  </si>
  <si>
    <t>Hi a   @Nguyễn Văn Dũng  , nhờ a chạy giúp e script bên dưới ở môi trường STAG với ạ. Script:  Thông tin database:  tidb.int.onemount.dev:4000 ALTER TABLE MERCHANT ADD COLUMN master_account VARCHAR(50) NULL;
ALTER TABLE STORE  ADD COLUMN master_account VARCHAR(50) NULL;
ALTER TABLE PAYMENT_METHOD_CONFIG ADD COLUMN master_account VARCHAR(50) NULL;
ALTER TABLE MERCHANT DROP INDEX merchant_code_index;
CREATE UNIQUE INDEX merchant_code_master_account_index
ON MERCHANT (MERCHANT_CODE, MASTER_ACCOUNT);
CREATE UNIQUE INDEX payment_method_config_account_method_index
ON PAYMENT_METHOD_CONFIG (MERCHANT_CODE, SERVICE_CODE, MASTER_ACCOUNT, METHOD_CODE);</t>
  </si>
  <si>
    <t>[PROD] [VCM] Update tên merchant apply cho voucher</t>
  </si>
  <si>
    <t>2026-09-03T17:01:14.125+0700</t>
  </si>
  <si>
    <t>2026-09-03T17:01:20.702+0700</t>
  </si>
  <si>
    <t>Dear DBA team, Nhờ a/e hỗ trợ chạy lệnh insert  merchant apply  mapping. Do voucher bị thiếu liên kết merchant và voucher. Thông tin DB: DB NAME: vincart_mm_product
TYPE: MYSQL
IP : 172.31.1.41 insert into variant_apply_merchant_mapping (apply_merchant_id, variant_id)
values (17, 1091548);</t>
  </si>
  <si>
    <t xml:space="preserve">[NCO][PROD]  Tạo dữ liệu giao dịch refund cho giao dịch NCO ngày 21/07/2026  và  28/07/2026 </t>
  </si>
  <si>
    <t>2026-09-03T16:59:07.893+0700</t>
  </si>
  <si>
    <t>2026-09-03T17:00:59.243+0700</t>
  </si>
  <si>
    <t>Hi  @Đào Công Nghĩa  , Nhờ em chạy giúp thông tin dưới đây: IP: 172.31.4.9 Database: ecom_transaction Script: refund_insert_20260728.sql Reference: Email từ VH trong file đính kèm</t>
  </si>
  <si>
    <t>[Meeting note][NONPROD] Khởi tạo cơ sở dữ liệu FalkorDB</t>
  </si>
  <si>
    <t>2026-09-03T16:51:11.577+0700</t>
  </si>
  <si>
    <t>2026-09-03T16:53:20.386+0700</t>
  </si>
  <si>
    <t>falkordb</t>
  </si>
  <si>
    <t>Database information GCP project: Nhờ DBA xác nhận Instance name: meeting-note-falkordb-nonprod Instance IP/DNS: Cấp mới Database name: meeting-note Time Run ticket: Thực hiện khi ticket được phê duyệt Mô tả chi tiết yêu cầu: Khởi tạo FalkorDB cho dự án Meeting note trên môi trường Non-Production. Quy mô dự kiến: Tối đa 100.000 nodes Tối đa 200.000 edges Khoảng 8 properties/node và 1 property/edge Dung lượng graph ước tính: khoảng 40 MB Tải kiểm thử phục vụ dự án Meeting note Sizing ban đầu: 2 vCPU 2 GiB RAM 20 GB persistent SSD 01 instance Có thể scale theo kết quả kiểm thử và monitoring Yêu cầu vận hành: Bật persistence và backup theo tiêu chuẩn Non-Production Thiết lập monitoring CPU, RAM, disk và latency Kiểm tra memory thực tế bằng GRAPH.MEMORY USAGE sau khi nạp dữ liệu mẫu</t>
  </si>
  <si>
    <t>[Team OneNexus AIP]_Tạo database mới (ClickHouse + PostgreSQL) cho Langfuse v4 — STAGING</t>
  </si>
  <si>
    <t>2026-09-03T16:37:02.463+0700</t>
  </si>
  <si>
    <t>2026-09-03T16:37:08.834+0700</t>
  </si>
  <si>
    <t>Hi DBA Team, Team mình chuẩn bị triển khai Langfuse v4 lên  staging , chạy song song với v3 (v3 giữ nguyên, không đụng tới).  Cụm ClickHouse non-production (dev/staging dùng chung) đã được nâng version theo request trước, nên lần này nhờ anh em support 2 phần sau: ClickHouse — 1 database mới cho v4 staging Cần tạo  1 database mới + user/password  cho v4 trên môi trường staging. Không thể dùng chung database với v3 (lý do tương tự như đã request cho dev env) Tách database thì mỗi bên giữ schema riêng — đã chạy thực tế song song trên dev. Disk:  cần dư thêm ~3x dung lượng data Langfuse staging hiện tại (v4 cần chỗ tạm khi backfill). Đo bằng: SELECT formatReadableSize(sum(bytes_on_disk)) FROM system.parts
WHERE active AND database = '&lt;langfuse_db&gt;'; Grant thêm quyền   SELECT ON system.parts    theo yêu cầu langfuse V4 để fix bug Not enough privileges. To execute this query, it's necessary to have the grant SELECT ON system.parts .  PostgreSQL — 1 database mới tạo thêm database mới Team mình sẽ tự làm:  Redis · object storage · secrets · Helm chart.</t>
  </si>
  <si>
    <t>[LP][Core][TCB] - Insert data phục vụ campaign MKT 092026 (Tháng 09 lần 1)</t>
  </si>
  <si>
    <t>2026-08-29T14:13:04.698+0700</t>
  </si>
  <si>
    <t>2026-08-29T14:13:40.369+0700</t>
  </si>
  <si>
    <t>Dear DBA Team, Nhờ team thực hiện insert data phục vụ campaign MKT 092026 lần 01, theo các bước sau: Thông tin database: IP: 10.255.23.119 Service name: oneloyaltydb Port: 1521 schema app: OLOYALTY Bước 1: Tạo bảng tạm CREATE TABLE OLOYALTY.CST_TARGET_GROUP_092026_01
(
    "ID"             NUMBER(10,0) GENERATED BY DEFAULT ON NULL AS IDENTITY,
    "LOYALTY_ID"           VARCHAR2(32 BYTE) DEFAULT NULL,
    "CST_TARGET_GROUP"           VARCHAR2(256 BYTE) DEFAULT NULL,
    PRIMARY KEY ("ID")
); Bước 02: Load dữ liệu tất cả các files trong thư mục  đính kèm vào bảng tạm   Bước 03: Insert data vào bảng Member Attribute từ bảng bảng tạm 3.1. Kiểm số row bảng   CST_TARGET_GROUP_092026_01 SELECT /*+ parallel(16) */ count(*) FROM OLOYALTY.CST_TARGET_GROUP_092026_01; 3.2 Kiểm tra trùng ,  báo lại dự án nếu có SELECT /*+ parallel(16) */ LOYALTY_ID,count(*) FROM OLOYALTY.CST_TARGET_GROUP_092026_01 GROUP BY LOYALTY_ID HAVING count(*) &gt; 1; 3.3 Kiểm tra số dòng dự kiến insert, báo lại dự án nếu số dòng khác với số dòng của bảng   CST_TARGET_GROUP_092026_01 .   Note: Có thể bỏ qua nếu câu lệnh chạy quá lâu SELECT /*+ parallel(16) */ count(*) FROM OLOYALTY.MEMBER m JOIN OLOYALTY.CST_TARGET_GROUP_092026_01 b ON m.PARTNER_CUSTOMER_ID = b.LOYALTY_ID WHERE m.PROGRAM_ID = 426;   3.4 Chạy lệnh insert INSERT INTO OLOYALTY.MEMBER_ATTRIBUTE (PROGRAM_ID, MEMBER_ID, PROGRAM_ATTRIBUTE_ID, VALUE, STATUS,CREATED_BY)
SELECT 426,
    m.id AS MEMBER_ID,
    423 AS PROGRAM_ATTRIBUTE_ID,
    REPLACE(b.CST_TARGET_GROUP, CHR(13) ,'') AS VALUE,
    'A' AS STATUS,
    'MKT_202609_01'
FROM OLOYALTY.MEMBER m JOIN OLOYALTY.CST_TARGET_GROUP_092026_01 b ON m.PARTNER_CUSTOMER_ID = b.LOYALTY_ID WHERE m.PROGRAM_ID = 426
; 3.5 Kiểm tra kết quả cuối cùng SELECT /*+ parallel(16) */ count(*) FROM OLOYALTY.MEMBER_ATTRIBUTE ma 
WHERE ma.PROGRAM_ATTRIBUTE_ID = 423 AND ma.CREATED_BY = 'MKT_202609_01';   Thanks!</t>
  </si>
  <si>
    <t>[DBA][PROD] - Hỗ trợ cập nhật transaction service name</t>
  </si>
  <si>
    <t>2026-08-29T13:12:07.379+0700</t>
  </si>
  <si>
    <t>2026-08-29T13:12:15.829+0700</t>
  </si>
  <si>
    <t>Dear team DBA, Nhờ anh em chạy giúp em script bên dưới ạ Thông tin db: saas_tpay: mysql://pay-tidb.int.onemount.com:4000/saas_tpay Script: UPDATE TRANSACTION_MASTER SET service_name='ECOM_INTERNATIONAL_CARD' WHERE id in ('77b1c7836e2d42d18adb5c644b3c5115',
'7e39e65d4d4840f1b9581ad474ed99df',
'fa6574973bc742c7aff81c26cb9850c6');</t>
  </si>
  <si>
    <t>[UPAY][QR-Global][Non-Prod] Request tạo database và account truy cập DB cho dự án qr global - đối soát quyết toán</t>
  </si>
  <si>
    <t>2026-08-29T13:11:35.047+0700</t>
  </si>
  <si>
    <t>2026-08-29T13:11:40.205+0700</t>
  </si>
  <si>
    <t>Dear team, Hiện tại em đang cần tạo database với mục đích triển khai dự án qr global với thông tin sau: host/port: jdbc:mysql://tidb.int.onemount.dev:4000 Database name: upay_qr_global_reporting_qc Mong muốn tạo account: Purpose: dùng cho service/system kết nối DB Permission: full access trên database upay_qr_global_reporting_qc Anh/chị vui lòng cung cấp: Username/password cho account Nhờ anh/chị hỗ trợ em với nhé. Em cảm ơn.</t>
  </si>
  <si>
    <t>[PROD] [UPay] Support release plan golive 28/08/2026</t>
  </si>
  <si>
    <t>2026-08-29T09:40:19.744+0700</t>
  </si>
  <si>
    <t>2026-08-29T09:40:31.553+0700</t>
  </si>
  <si>
    <t>Dear anh   @Nguyễn Văn Dũng  anh  @Đào Công Nghĩa   Nhờ anh chạy giúp em script bên dưới khi bắt đầu golive với ạ. Thời gian golive: 23h59p ngày 28/08/2026 Release golive:  Thông tin database:  mysql://pay-tidb.int.onemount.com:4000/saas_tpay Script DROP TABLE IF EXISTS TCB_DEVICE_BRANCH_TRANSFER_HISTORY;
CREATE TABLE IF NOT EXISTS TCB_DEVICE_BRANCH_TRANSFER_HISTORY (
    id                   BIGINT       NOT NULL AUTO_INCREMENT,
    device_id            VARCHAR(128) NOT NULL,
    device_serial_number VARCHAR(128) NOT NULL,
    batch_id             VARCHAR(64)  NOT NULL,
    transferred_at       TIMESTAMP    NOT NULL,
    created_by           VARCHAR(128) NULL,
    old_branch_code      VARCHAR(64)  NULL,
    old_branch_name      VARCHAR(255) NULL,
    new_branch_code      VARCHAR(64)  NOT NULL,
    new_branch_name      VARCHAR(255) NOT NULL,
    PRIMARY KEY (id)
) AUTO_ID_CACHE=1 ENGINE=InnoDB DEFAULT CHARSET=utf8mb4 COLLATE=utf8mb4_unicode_ci;
CREATE INDEX idx_device_transferred_at ON TCB_DEVICE_BRANCH_TRANSFER_HISTORY (device_id, transferred_at);
CREATE INDEX idx_batch_id              ON TCB_DEVICE_BRANCH_TRANSFER_HISTORY (batch_id);
ALTER TABLE TCB_BATCH_MANAGEMENT
    ADD COLUMN file_attachment LONGTEXT NULL COMMENT 'GCS object name of transfer-branch attachment' AFTER file_result;</t>
  </si>
  <si>
    <t>[OMC][AI][PROD] Hỗ trợ chạy lệnh SQL golive ngày 28-08-2026</t>
  </si>
  <si>
    <t>2026-08-28T18:00:42.435+0700</t>
  </si>
  <si>
    <t>2026-08-28T18:02:45.474+0700</t>
  </si>
  <si>
    <t>Dear anh Nghĩa, Team AI OMC có release plan vào 22h tối ngày 28/08, nhờ anh hỗ trợ team chạy các câu lệnh SQL nhé anh Em cảm ơn anh</t>
  </si>
  <si>
    <t xml:space="preserve">[OMC][MFT][Flash Sale OneU] Scale down buffer DB vincart </t>
  </si>
  <si>
    <t>2026-08-28T17:14:02.655+0700</t>
  </si>
  <si>
    <t>2026-08-28T17:14:06.777+0700</t>
  </si>
  <si>
    <t>Theo như kế hoạch đã chốt kịch bản chạy FS OneU cho dịp lễ 2/9/2026 ở CR   , nhờ team DBA hỗ trợ điều chỉnh cấu hình DB vincart như thông tin bên dưới bên dưới Database Instance :  main IP : 172.31.1.41 Điều chỉnh  innodb_buffer_pool_size  xuống  25GB . Thời gian thực hiện : 28/08/2026 Em cám ơn</t>
  </si>
  <si>
    <t>[ECOM][PROD] Cập nhật trạng thái hoàn tất  cho các đơn hàng của GHYT</t>
  </si>
  <si>
    <t>2026-08-28T16:21:55.658+0700</t>
  </si>
  <si>
    <t>2026-08-28T16:22:03.624+0700</t>
  </si>
  <si>
    <t>Nhờ  @Đào Công Nghĩa  chạy giúp thông tin dưới đây: project: vincart-prod instance: main ip: 172.31.1.41 DB: vincart_mm_order Script: UPDATE orders
 SET status='FINISHED', fulfillment_status='SHIPPED', finished_at = now(), updated_at= now()
WHERE
 merchant_code = 'DOOPS26219aKv' and payment_status = 'PAID' and status = 'FINALIZED';
UPDATE fulfillments
SET updated_at= now(), shipped_at = now(), status='SHIPPED'
WHERE order_id in (SELECT id FROM orders WHERE merchant_code = 'DOOPS26219aKv' and payment_status = 'PAID' and  status='FINISHED');</t>
  </si>
  <si>
    <t>[Prod][OMC][GL] Hỗ trợ insert new master data release 27/08/2026.</t>
  </si>
  <si>
    <t>2026-08-28T16:15:08.713+0700</t>
  </si>
  <si>
    <t>2026-08-28T16:15:15.297+0700</t>
  </si>
  <si>
    <t>Nhờ team chạy giúp e câu insert master data để cấu hình luồng hạch toán ở GL database :  jdbc:mysql://tidb.int.onemount.com:4000/vinpay_vinpay_prod_saas_ps2_general_ledger?allowMultiQueries=true INSERT INTO general_ledger_data_list(service, data_key, data_value, data_name, created_at, updated_at)
SELECT 'general_ledger',
       'adj_txn_reason_code',
       'ADJ_124',
       'Tích điểm thưởng khi tham gia chương trình Deal hot 29đ',
       CURRENT_TIMESTAMP,
       CURRENT_TIMESTAMP
WHERE NOT EXISTS (SELECT 1
                  FROM general_ledger_data_list
                  WHERE service = 'general_ledger'
                    AND data_key = 'adj_txn_reason_code'
                    AND data_value = 'ADJ_124');</t>
  </si>
  <si>
    <t>[OMC][NonProd &amp; Prod] Backup dữ liệu trước khi turn off database của dịch vụ Billpay và Topup</t>
  </si>
  <si>
    <t>2026-08-28T14:50:44.374+0700</t>
  </si>
  <si>
    <t>2026-08-28T14:50:50.213+0700</t>
  </si>
  <si>
    <t>Hi  @Đào Công Nghĩa   Hiện tại trên OneU đã dừng cung cấp dịch vụ Billpay và Topup nên anh tạo ticket này nhờ em backup data trên môi trường Prod trước khi bên SRE turn off database: Thông tin database: Billpay: Database:  https://console.cloud.google.com/sql/instances/main/overview?project=vinid-billservice-prod Topup:  Database:  https://console.cloud.google.com/sql/instances?project=vinid-topup-prod Thời gian thực hiện: Sớm nhất có thể.</t>
  </si>
  <si>
    <t xml:space="preserve">[LP][Core][TCB] - Insert master data reason code cho chương trình mừng đại lễ 2.9 </t>
  </si>
  <si>
    <t>2026-08-28T14:49:24.508+0700</t>
  </si>
  <si>
    <t>2026-08-28T14:49:34.344+0700</t>
  </si>
  <si>
    <t>Dear DBA Team, Insert master data reason code cho chương trình mừng đại lễ 2.9  Nhờ team thực hiện insert data sau: Thông tin database: IP: 10.255.23.119 Service name: oneloyaltydb Port: 1521 schema app: OLOYALTY Query INSERT INTO OLOYALTY.REASON_CODE (CODE, NAME, BUSINESS_ID, PROGRAM_ID, FUNCTION_CODE_ID, DESCRIPTION, STATUS, CREATED_BY, CREATED_AT, UPDATED_BY, UPDATED_AT, APPROVED_BY, APPROVED_AT, CREATED_YMD, EN_NAME, DISPLAY_NAME, EN_DISPLAY_NAME) VALUES ('ADJ_124', 'Tặng điểm khi tham gia chương trình Techcombank', 346, 426, 103, 'Tặng điểm khi tham gia chương trình Techcombank', 'A', 'SYSTEM', TIMESTAMP '2026-08-27 00:00:00.000000', 'SYSTEM', TIMESTAMP '2026-08-27 00:00:00.000000', 'SYSTEM', TIMESTAMP '2026-08-27 00:00:00.000000', 20260827, 'Reward points for Techcombank promotion program', 'Tích điểm thưởng khi tham gia chương trình "Deal hot 29đ"', 'Reward from the "Hot deal 29 U-Points" Campaign'); INSERT INTO OLOYALTY.ATTRIBUTE_MASTER_DATA (PROGRAM_ID, ATTRIBUTE_CODE, ATTRIBUTE_TYPE, VALUE, STATUS, DESCRIPTION, CREATED_BY, CREATED_AT, UPDATED_BY, UPDATED_AT, APPROVED_BY, APPROVED_AT, CREATED_YMD) VALUES (426, 'TXN_ADJ_REASON', '1', 'ADJ_124', 'A', 'Tặng điểm khi tham gia chương trình Techcombank', 'SYSTEM', TIMESTAMP '2026-08-27 00:00:00.000000', 'SYSTEM', TIMESTAMP '2026-08-27 00:00:00.000000', 'SYSTEM', TIMESTAMP '2026-08-27 00:00:00.000000', 20260827); Theo yêu cầu từ vận hành TCB</t>
  </si>
  <si>
    <t>[OMD][TMS][PROD] Tắt VM DB oracle và DB mysql của dự án TMS thuộc OMD</t>
  </si>
  <si>
    <t>2026-08-28T12:18:03.687+0700</t>
  </si>
  <si>
    <t>2026-09-03T18:12:28.717+0700</t>
  </si>
  <si>
    <t>@Lê Huy Hùng  anh Hùng ơi, hiện tại các service liên quan đến TMS đã stop. Em check DB Oracle và Mysql cũng ko còn session connect vào DB từ các user service nữa. Vậy em đề xuất thực hiện stop VM DB oracle và DB mysql, để 1 tuần sau, sẽ thực hiện các quy trình backup và xóa DB + VM nhé. THông tin DBs: 1. Oracle https://console.cloud.google.com/compute/instancesDetail/zones/asia-east1-b/instances/oracle-primary?project=onedc-tms-prod 10.255.24.170	oracle-primary service_name: tmsdb Schema: BYTM_PROD Mysql project: onedc-tms-prod instance: tms-mysql-01 Master IP: 172.31.4.129 https://console.cloud.google.com/sql/instances/tms-mysql-01/overview?project=onedc-tms-prod Chứa các DB: omd_tms_audit_prod omd_tms_onedriver_prod omd_tms_planning_prod omd_tms_scdf_server omd_tms_scdf_skipper</t>
  </si>
  <si>
    <t>[OMC][GAMI][Prod] Hỗ trợ xuất data cho campaign AFF CUP 2026 trả thưởng chung cuộc</t>
  </si>
  <si>
    <t>2026-08-28T11:52:52.310+0700</t>
  </si>
  <si>
    <t>2026-08-28T11:53:00.043+0700</t>
  </si>
  <si>
    <t>Hỗ trợ xuất data cho campaign AFF CUP 2026 trả thưởng chung cuộc Host: 172.31.1.14 DB: gami_collection_prod Query: SELECT user_id, SUM(amount) AS total FROM `point_transactions` WHERE campaign_id=853 GROUP by user_id ORDER BY total DESC; Theo yêu cầu của vận hành</t>
  </si>
  <si>
    <t>[DBA-SAPBASIS] Kịch bản test, đo RTO RPO SAP OM</t>
  </si>
  <si>
    <t>2026-08-28T11:05:40.716+0700</t>
  </si>
  <si>
    <t>2026-09-25T10:59:51.507+0700</t>
  </si>
  <si>
    <t>Lên kế hoạch, kịch bản test, đo RTO &amp; RPO cho hệ OM SAP Non-Prod và Prod Mục tiêu đầu ra: - Kiểm tra tính sẵn sàng khôi phục hệ thống SAP khi không có cụm hệ thống DRsite - Đưa ra RTO &amp; RPO khôi phục, xử lý hệ thống nhằm đánh giá, đưa phương án phù hợp</t>
  </si>
  <si>
    <t>[DBA-SAPBASIS] Build AI Agent cho SAP bằng KIRO</t>
  </si>
  <si>
    <t>2026-08-28T10:56:50.830+0700</t>
  </si>
  <si>
    <t>2026-09-11T10:37:39.725+0700</t>
  </si>
  <si>
    <t>Kế hoạch build AI Agent sử dụng KIRO AWS Mục tiêu: Agent tự động analyze, healthcheck hệ thống OM SAP Môi trường: Xây dựng, testing trên môi trường Playground, Non-prod</t>
  </si>
  <si>
    <t>[DBA-SAPBASIS] Trace log alert SAP HCM PROD</t>
  </si>
  <si>
    <t>2026-08-28T10:55:11.158+0700</t>
  </si>
  <si>
    <t>2026-08-28T10:55:11.696+0700</t>
  </si>
  <si>
    <t>Kiểm tra, trace log alert CPU peak của hệ OM SAP HCM PROD Alert time: 12:48 AM 27/08/2026 Chat Thread:  https://chat.google.com/room/AAAA9oACi-s/FAF-4mrRRX4/FAF-4mrRRX4?cls=10</t>
  </si>
  <si>
    <t>[DBA-SAPBASIS] Hỗ trợ issue treo hệ thống SAP DEV HCM</t>
  </si>
  <si>
    <t>2026-08-28T10:53:46.003+0700</t>
  </si>
  <si>
    <t>2026-08-28T10:53:46.499+0700</t>
  </si>
  <si>
    <t>Hỗ trợ kiểm tra lỗi treo, không thể truy cập hệ thống OM SAP ERP DEV,QAS và SAP HCM DEV Nguyên nhân: OOM HANA DB SAP DEV do giai đoạn phát triển các chức năng cho hệ HCM cho MAG Xử lý: Restart HANA DB SAP DEV để giải phóng memory Thời gian xử lý: 21h50 - 22h15 23/08/2026</t>
  </si>
  <si>
    <t>[DBA-SAPBASIS] Monitor resource, backup các hệ thống SAP</t>
  </si>
  <si>
    <t>2026-08-28T10:52:20.608+0700</t>
  </si>
  <si>
    <t>2026-08-28T10:52:21.222+0700</t>
  </si>
  <si>
    <t>Công việc monitor thủ công các hệ thống OM SAP Non-Prod và Prod hàng ngày, đảm bảo hệ thống hoạt động ổn định, tránh sự cố downtime xảy ra</t>
  </si>
  <si>
    <t>[NONPROD][MAG][ONENEXUS] V/v hỗ trợ cdc dự án SAP MAS</t>
  </si>
  <si>
    <t>Story</t>
  </si>
  <si>
    <t>2026-08-28T10:51:52.767+0700</t>
  </si>
  <si>
    <t>2026-08-28T10:52:17.495+0700</t>
  </si>
  <si>
    <t>đội dự án cần hỗ trợ về cdc data SAP MAS, MTR, MPM về NDP với các môi trường DEV, SIT, STG</t>
  </si>
  <si>
    <t>[NONPROD][MAG][ONENEXUS] V/v hỗ trợ cdc dự án SAP MTR</t>
  </si>
  <si>
    <t>2026-08-28T10:51:06.504+0700</t>
  </si>
  <si>
    <t>2026-08-28T11:13:19.807+0700</t>
  </si>
  <si>
    <t>đội dự án cần hỗ trợ về cdc data SAP MAG về NDP với các môi trường DEV, SIT, STG</t>
  </si>
  <si>
    <t>[DBA-SAPBASIS] Tạo RFC Connection tích hợp Client 930 SAP HCM MAG với PIPO</t>
  </si>
  <si>
    <t>2026-08-28T10:50:23.418+0700</t>
  </si>
  <si>
    <t>2026-08-28T10:50:24.085+0700</t>
  </si>
  <si>
    <t>Tạo kết nối tích hợp Client 930 trên hệ SAP HCM MAG PROD tích hợp với PIPO Chi tiết chat thread:  https://chat.google.com/room/AAQAcjFlXJs/1qglTQDVtis/1qglTQDVtis?cls=10 Tạo RFC Connection mới: ZPEOCLNT930_RFC cho client 930 của MAG trên hệ OM SAP HCM PROD tích hợp với hệ OM SAP PIPO PROD</t>
  </si>
  <si>
    <t>[NONPROD][MAG][ONENEXUS] V/v hỗ trợ cdc dự án CRM</t>
  </si>
  <si>
    <t>2026-08-28T10:50:08.071+0700</t>
  </si>
  <si>
    <t>2026-08-28T10:50:15.057+0700</t>
  </si>
  <si>
    <t>đội dự án cần hỗ trợ về cdc data CRM về NDP với các môi trường DEV, SIT, STG</t>
  </si>
  <si>
    <t>[NONPROD][MAG][ONENEXUS] V/v hỗ trợ cdc dự án NewMPM</t>
  </si>
  <si>
    <t>2026-08-28T10:49:17.517+0700</t>
  </si>
  <si>
    <t>2026-08-28T10:49:22.952+0700</t>
  </si>
  <si>
    <t>đội dự án cần hỗ trợ về cdc data NewMPM về NDP với các môi trường DEV, SIT, STG</t>
  </si>
  <si>
    <t>[NONPROD][MAG][ONENEXUS] V/v hỗ trợ cdc dự án FINS</t>
  </si>
  <si>
    <t>2026-08-28T10:48:23.195+0700</t>
  </si>
  <si>
    <t>2026-08-28T10:48:31.751+0700</t>
  </si>
  <si>
    <t>đội dự án cần hỗ trợ về cdc data FINS về NDP với các môi trường DEV, SIT, STG</t>
  </si>
  <si>
    <t>[DBA-SAPBASIS] Trao đổi version hệ thống new SAP S/4HANA MAG</t>
  </si>
  <si>
    <t>2026-08-28T10:47:35.436+0700</t>
  </si>
  <si>
    <t>2026-08-28T10:47:49.039+0700</t>
  </si>
  <si>
    <t>Tư vấn và đề xuất về deploy version cho hệ thống new SAP S/4HANA MAG</t>
  </si>
  <si>
    <t>[IOTHUB] [NONPROD] Hỗ trợ đồng bộ dữ liệu môi trường staging dự án IOTHUB</t>
  </si>
  <si>
    <t>2026-08-27T13:02:53.863+0700</t>
  </si>
  <si>
    <t>Hi anh  @Đoàn Việt Hưng ,  Bên em đang migrate hạ tầng dự án IOTHUB sang môi trường staging mới. ( AWS  account 51826720730 sang 618370023226 ) Nhờ anh cài đặt, đồng bộ dữ liệu từ Database cũ sang Database mới giúp em với ạ. Cám ơn anh nhiều Thông tin chi tiết Database EC2(PostgreSQL + TimescaleDB extension). EC2 DATABASE CŨ EC2 DATABASE MỚI AccountID 51826720730 618370023226 Name EC2 iotekhub-nonprod-postgres iotek-iothub-nonprod-postgres InstanceID i-06a00beb194217c0d i-075d77142964831c2 Private IP 172.20.99.80 10.20.48.10</t>
  </si>
  <si>
    <t>[NONPROD][MAG][ONENEXUS][DBA] V/v hỗ trợ cdc data fins</t>
  </si>
  <si>
    <t>2026-08-28T09:36:26.802+0700</t>
  </si>
  <si>
    <t>2026-09-25T11:41:52.845+0700</t>
  </si>
  <si>
    <t>Đội dự án cấn hỗ trợ về tạo pulication và slot.</t>
  </si>
  <si>
    <t>[MAG][ONENEXUS][DBA] V/v tạo server replication MTR</t>
  </si>
  <si>
    <t>2026-08-28T09:34:37.708+0700</t>
  </si>
  <si>
    <t>2026-08-28T09:34:38.429+0700</t>
  </si>
  <si>
    <t>Để đáp ứng nhu cầu cdc mà không ảnh hưởng để performance hệ thống. cần active server replication dạ readonly đẻ cdc chạy batch job.</t>
  </si>
  <si>
    <t>[MAG][ONENEXUS][DBA] V/v tạo server replication MAS</t>
  </si>
  <si>
    <t>2026-08-28T09:33:17.902+0700</t>
  </si>
  <si>
    <t>2026-08-28T09:33:29.498+0700</t>
  </si>
  <si>
    <t>[omd] Cutoff database pos commerce môi trường production</t>
  </si>
  <si>
    <t>2026-08-27T18:53:00.712+0700</t>
  </si>
  <si>
    <t>2026-08-27T18:59:47.904+0700</t>
  </si>
  <si>
    <t>Check list cutoff cho instance DB của pos-commerce: project: omd-pos-prod instance: omd-pos-commerce DBs: all_database Check connection: expect ko còn connection kết nối tới dump &amp; backup all instance stop instance – note: project: omd-pos-prod
instance: omd-pos-commerce
Master IP: 172.31.1.6
https://console.cloud.google.com/sql/instances/omd-pos-commerce/overview?project=omd-pos-prod
Database version is MySQL 8.0.31
DB:
dms_dto_prod
dms_oms_prod
dms_pcm_prod
dms_promotion_prod
dms_user_prod
litepos_dto_prod
litepos_oms_prod
litepos_pcm_prod
litepos_user_prod</t>
  </si>
  <si>
    <t>[omd] Cutoff database metrics postgre môi trường production</t>
  </si>
  <si>
    <t>2026-08-27T18:45:48.745+0700</t>
  </si>
  <si>
    <t>2026-08-27T18:45:55.721+0700</t>
  </si>
  <si>
    <t>Check list cutoff cho instance DB của metric postgre: project: vinid-b2b-platform-prod instance: postgre-14-metrics IP: 172.31.7.5 https://console.cloud.google.com/sql/instances/postgre-14-metrics/overview?project=vinid-b2b-platform-prod DBs: all_database Check connection: expect ko còn connection kết nối tới dump &amp; backup all instance stop instance</t>
  </si>
  <si>
    <t>[omd] Cutoff database control-tower môi trường production</t>
  </si>
  <si>
    <t>2026-08-27T18:07:54.157+0700</t>
  </si>
  <si>
    <t>2026-08-27T18:32:30.896+0700</t>
  </si>
  <si>
    <t>Hi anh Linh Nhờ anh backup giúp em 1 bản full cho instance này  trước khi delete anh nhé gcp project: vinid-b2b-platform-prod instance: control-tower</t>
  </si>
  <si>
    <t>[Prod][OMC][Gami] Insert attribute mới cho Gami phục vụ release 28/08/2026</t>
  </si>
  <si>
    <t>2026-08-27T18:04:17.050+0700</t>
  </si>
  <si>
    <t>2026-08-27T18:04:22.766+0700</t>
  </si>
  <si>
    <t>Nhờ team chạy query trên prodution giúp Loyalty Gami, phục vụ release 28/08/2026: Host: 172.31.4.75 Db: promo_rule_engine UPDATE `rule_templates`
SET `payload` = JSON_SET(
    `payload`,
    '$.payload.member_attributes.cst_inactive_fx_txn', 'string'
)
WHERE id IN (
    SELECT id
    FROM (SELECT id FROM `rule_templates`) AS temp_table
);
INSERT INTO categories (tenant_id, rule_template_id, `key`, name, field_type, ui_type, operator, group_name, is_master_data, description, status, created_at, updated_at)
SELECT rt.tenant_id, rt.id, 'payload.member_attributes.cst_inactive_fx_txn', '[CST_INACTIVE_FX_TXN] No FX transactions at TCB from 01 Jan 2025 to 30 Jun 2026', 'string', 'COMBOBOX', '==|!=|in|not in', 'Member Attribute', 1, 'No FX transactions at TCB from 01 Jan 2025 to 30 Jun 2026', 'ACTIVE', Now(), Now()
FROM rule_templates rt;
INSERT INTO master_data(tenant_id, categories_id, attribute_code, program_id, created_at, updated_at)
SELECT c.tenant_id, c.id, 'cst_inactive_fx_txn', 426, Now(), Now()
FROM categories c
WHERE c.`key` = 'payload.member_attributes.cst_inactive_fx_txn';</t>
  </si>
  <si>
    <t>[ECOM][PROD] Seeding cấu hình skip màn transaction result cho GHYT</t>
  </si>
  <si>
    <t>2026-08-27T17:13:42.494+0700</t>
  </si>
  <si>
    <t>2026-08-27T17:13:51.227+0700</t>
  </si>
  <si>
    <t>Nhờ  @Đào Công Nghĩa  chạy giúp thông tin dưới đây: project: vincart-prod instance: main ip: 172.31.1.41 DB: vincart_mm_merchant Script: INSERT INTO settings
(created_at, updated_at, merchant_id, setting_key, setting_value, name, status)
VALUES(now(), now(), 766, 'SKIP_TRANSACTION_RESULT', 
'"{\"skip_transaction_result\":true,\"skip_transaction_result_deeplink\":\"one://mnminiapp.com?url=https://merchant.oneu.vn/order-result/{order_code}?cms_code=TESTPILOT-SKIP-UCO-RESULT\"}"', 
'Config skip transaction result', 'active');</t>
  </si>
  <si>
    <t>[PROD][QR247] Hỗ trợ cấu hình thông tin cụm merchant của Sài Gòn Coopmart_P6</t>
  </si>
  <si>
    <t>2026-08-27T15:40:16.597+0700</t>
  </si>
  <si>
    <t>2026-08-27T15:40:25.834+0700</t>
  </si>
  <si>
    <t>Hi team Nhờ anh/em chạy các script để cấu hình các merchant mới của Sài Gòn Coopmart tích hợp TPAY trên môi trường PROD. Thông tin database saas_tpay: mysql://pay-tidb.int.onemount.com:4000/saas_tpay INSERT INTO PARTNER (client_id, name, public_key, enable, merchant_code)
VALUES ('GnwEbKzlfJvqSPpVcUqQbZdlHlUfeYff', 'SGC XLHN', '-----BEGIN PUBLIC KEY-----
MIIBIjANBgkqhkiG9w0BAQEFAAOCAQ8AMIIBCgKCAQEAijT0z6i+jN59g0lIaXwC
ooh14Mf8M2N5W/BMnWj/88iQakOy1atfoqewCx/5WHzgBER+PYIW+gwrBXJgtUjv
M/ZdqhOQvVWdRavhFVvVUL5KSncsEJ4X4kr0gf6faoiFEfkCS/aMh4WAeKvn1uYf
ASUPIhOj6qN/XBesqxZu5L5QhGWMkpYe+ixGjzAwH5e0rBvS755pOxH/nPQEgft8
s8OGfic6rJTW1zmUZLQRsQBw+zde4qrc3EW2+2nDHMD+W3aty0GSbFOkNZf6xCg3
Pz/62nRcTIvE3BsO+lr4rbJg+VaETKO3RbXSotoGJsIPBvqWpdvgiuoc40Q5Dovm
XQIDAQAB
-----END PUBLIC KEY-----', 1, 'SGC_BUO');</t>
  </si>
  <si>
    <t>[omd] Cutoff database pos commerce camunda môi trường production</t>
  </si>
  <si>
    <t>2026-08-27T15:29:18.833+0700</t>
  </si>
  <si>
    <t>2026-08-27T15:39:33.832+0700</t>
  </si>
  <si>
    <t>Check list cutoff cho instance DB của pos-commerce-camunda: project: omd-pos-prod instance: pos-commerce-camunda IP: 172.31.1.4 DBs: all_database Check connection: expect ko còn connection kết nối tới Không cần dump &amp; backup all instance stop instance</t>
  </si>
  <si>
    <t>2026-08-27T15:28:29.527+0700</t>
  </si>
  <si>
    <t>2026-08-27T15:34:54.774+0700</t>
  </si>
  <si>
    <t>Nhờ các anh giúp em chạy script tác động DB Staging để QC test phục vụ cho golive với ạ thông tin DB: jdbc:mysql://tidb.int.onemount.dev:4000/vinpay_saas_tpay_staging?useSSL=false&amp;useTimezone=true&amp;serverTimezone=GMT ALTER TABLE TCB_BATCH_MANAGEMENT
    ADD COLUMN file_attachment LONGTEXT NULL COMMENT 'GCS object name of transfer-branch attachment' AFTER file_result;</t>
  </si>
  <si>
    <t>[omd] Cutoff database b2b commerce camunda môi trường production</t>
  </si>
  <si>
    <t>2026-08-27T15:12:49.875+0700</t>
  </si>
  <si>
    <t>2026-08-27T15:12:59.975+0700</t>
  </si>
  <si>
    <t>B2B_Commerce</t>
  </si>
  <si>
    <t>Check list cutoff cho instance DB của b2b commerce camunda: project: vinid-b2b-platform-prod instance: b2b-commerce-camunda-1 IP:  172.31.4.134 DBs:  b2b_camunda_prod ko cần backup stop instance</t>
  </si>
  <si>
    <t>[OMC][Loyalty MFT] VCM - Cập nhật thông tin face value và purchase price của voucher Linkcare  ngày 27/08/2026</t>
  </si>
  <si>
    <t>2026-08-27T11:46:29.821+0700</t>
  </si>
  <si>
    <t>2026-08-27T12:11:58.179+0700</t>
  </si>
  <si>
    <t>Xuất phát từ nhu cầu đội vận hành CR  https://onemount.atlassian.net/browse/SH-73407 , nhờ team hỗ trợ cập nhật thông tin voucher theo thông tin bên dưới Voucher Distribution - GCP project  vinid-loyalty-prod
- Instance name : voucher-distribution
- Instance IP : 172.31.4.82
- Database : b2b_voucher_distribution Chạy file  SH_73407_vd.sql  đính kèm   One Voucher - GCP project  vinid-loyalty-prod
- Instance name : onevoucher
- Instance IP : 172.31.4.126
- Database : onevc_vwm_prod Chạy file  SH_73407_onevc.sql  đính kèm Thời gian thực hiện : trong ngày 27/08/2026 Thanks team.</t>
  </si>
  <si>
    <t>DBA hỗ trợ backup databse On-Premise  https://merchant-survey.masterisehomes.com/  10.10.17.145</t>
  </si>
  <si>
    <t>2026-08-27T11:18:04.951+0700</t>
  </si>
  <si>
    <t>2026-08-28T09:36:49.899+0700</t>
  </si>
  <si>
    <t>Hỗ trợ ngắt kết nối cho 1 số kho thuộc OMD (26/08)</t>
  </si>
  <si>
    <t>2026-08-27T11:37:11.725+0700</t>
  </si>
  <si>
    <t>2026-08-27T11:37:42.258+0700</t>
  </si>
  <si>
    <t>WMS_Inhouse</t>
  </si>
  <si>
    <t>Hi DBA team, Hiện tại nghiệp vụ có nhu cầu đóng 1 số kho thuộc OMD,  nhờ team DBA hỗ trợ cập nhật giá trị theo thông tin dưới đây. Cụm WMS Project : vinid-b2b-platform-prod Instance/IP : main (read-write): 172.31.4.59 Port : 3306 Database : omd_wms_core Script : DELETE dsc, bd 
FROM data_source_config dsc 
JOIN base_dc bd ON bd.dc_code = dsc.name
WHERE bd.dc_code in ('PHO01','DEMO01');
DELETE r FROM restriction r 
WHERE r.key_restriction = 'DC' AND r.value_restriction in ('PHO01','DEMO01'); Cum WES Project : vinid-b2b-platform-prod Instance/IP : main (read-write): 172.31.1.143 Port : 3306 Database : wes_master Script :  DELETE u from user_warehouse u JOIN warehouse w ON w.id = u.warehouse_id
WHERE w.code in ('PHO01','DEMO01');
DELETE dsc, w 
FROM data_source_config as dsc 
JOIN warehouse as w ON w.data_source_config_id = dsc.id 
WHERE w.code in ('PHO01','DEMO01');
DELETE 
FROM restriction r 
WHERE restriction_key = 'WAREHOUSE' 
  AND `value` in ('PHO01','DEMO01');</t>
  </si>
  <si>
    <t>[Merchantdise][PROD] Seeding Bán Merchantdise GHYT  26/08/2026</t>
  </si>
  <si>
    <t>2026-08-26T17:05:53.506+0700</t>
  </si>
  <si>
    <t>2026-08-26T17:05:59.814+0700</t>
  </si>
  <si>
    <t>Nhờ  @Đào Công Nghĩa  chạy giúp thông tin dưới đây: project: vincart-prod instance: main ip: 172.31.1.41 DB: vincart_mm_product Script: UPDATE variants
set stock_type = 'INIT'
WHERE id in (1090943,1090944,1090945,1090946,1090947);
UPDATE inventories
set channel_code = 'INIT'
WHERE variant_id in (1090943,1090944,1090945,1090946,1090947);
UPDATE variant_prices
set channel_code = 'ONEU'
WHERE variant_id in (1090943,1090944,1090945,1090946,1090947); Thời gian thực hiện: Chạy sớm nhất có thể.</t>
  </si>
  <si>
    <t>Hỗ trợ migrate DB Sitegate AWS về on-premise</t>
  </si>
  <si>
    <t>2026-08-26T14:46:23.796+0700</t>
  </si>
  <si>
    <t>Hi team DBA, nhờ team hỗ trợ migrate database Sitegate AWS về on premise với thông tin như sau: AWS: Instance:  gb-sandbox-postgres.c1c2o0uq0gnv.ap-southeast-1.rds.amazonaws.com DB:  sitegate_app_server On-premise: Host:  10.10.15.20:5432 Em cảm ơn team đã hỗ trợ</t>
  </si>
  <si>
    <t>Hỗ trợ ngắt kết nối cho 1 số kho thuộc OMD</t>
  </si>
  <si>
    <t>2026-08-26T10:56:56.814+0700</t>
  </si>
  <si>
    <t>2026-08-26T10:57:01.336+0700</t>
  </si>
  <si>
    <t>Hi DBA team, Hiện tại nghiệp vụ có nhu cầu đóng 1 số kho thuộc OMD,  nhờ team DBA hỗ trợ cập nhật giá trị theo thông tin dưới đây.   Cụm WMS Project : vinid-b2b-platform-prod Instance/IP : main (read-write): 172.31.4.59 Port : 3306 Database : omd_wms_core Script : file  omd_wms_core.sql  trong file đính kèm Cum WES Project : vinid-b2b-platform-prod Instance/IP : main (read-write): 172.31.1.143 Port : 3306 Database : wes_master Script : file  wes_master.sql  trong file đính kèm</t>
  </si>
  <si>
    <t>[PROD][QR247] Hỗ trợ cấu hình thông tin cụm merchant của Sài Gòn Coopmart_P5</t>
  </si>
  <si>
    <t>2026-08-26T10:56:01.963+0700</t>
  </si>
  <si>
    <t>2026-08-26T10:56:30.349+0700</t>
  </si>
  <si>
    <t>Hi team Nhờ anh/em chạy các script để cấu hình các merchant mới của Sài Gòn Coopmart tích hợp TPAY trên môi trường PROD. Thông tin database saas_tpay: mysql://pay-tidb.int.onemount.com:4000/saas_tpay INSERT INTO PARTNER (client_id, name, public_key, enable, merchant_code)
VALUES ('GnwEbKzlfJvqSPpVcUqQbZdlHlUfeYff', 'SGC XLHN', '-----BEGIN PUBLIC KEY-----
MIIBIjANBgkqhkiG9w0BAQEFAAOCAQ8AMIIBCgKCAQEAijT0z6i+jN59g0lIaXwC
ooh14Mf8M2N5W/BMnWj/88iQakOy1atfoqewCx/5WHzgBER+PYIW+gwrBXJgtUjv
M/ZdqhOQvVWdRavhFVvVUL5KSncsEJ4X4kr0gf6faoiFEfkCS/aMh4WAeKvn1uYf
ASUPIhOj6qN/XBesqxZu5L5QhGWMkpYe+ixGjzAwH5e0rBvS755pOxH/nPQEgft8
s8OGfic6rJTW1zmUZLQRsQBw+zde4qrc3EW2+2nDHMD+W3aty0GSbFOkNZf6xCg3
Pz/62nRcTIvE3BsO+lr4rbJg+VaETKO3RbXSotoGJsIPBvqWpdvgiuoc40Q5Dovm
XQIDAQAB
-----END PUBLIC KEY-----', 1, 'SGC_BHO');
INSERT INTO PARTNER (client_id, name, public_key, enable, merchant_code)
VALUES ('GnwEbKzlfJvqSPpVcUqQbZdlHlUfeYff', 'SGC XLHN', '-----BEGIN PUBLIC KEY-----
MIIBIjANBgkqhkiG9w0BAQEFAAOCAQ8AMIIBCgKCAQEAijT0z6i+jN59g0lIaXwC
ooh14Mf8M2N5W/BMnWj/88iQakOy1atfoqewCx/5WHzgBER+PYIW+gwrBXJgtUjv
M/ZdqhOQvVWdRavhFVvVUL5KSncsEJ4X4kr0gf6faoiFEfkCS/aMh4WAeKvn1uYf
ASUPIhOj6qN/XBesqxZu5L5QhGWMkpYe+ixGjzAwH5e0rBvS755pOxH/nPQEgft8
s8OGfic6rJTW1zmUZLQRsQBw+zde4qrc3EW2+2nDHMD+W3aty0GSbFOkNZf6xCg3
Pz/62nRcTIvE3BsO+lr4rbJg+VaETKO3RbXSotoGJsIPBvqWpdvgiuoc40Q5Dovm
XQIDAQAB
-----END PUBLIC KEY-----', 1, 'SGC_HMO');
INSERT INTO PARTNER (client_id, name, public_key, enable, merchant_code)
VALUES ('GnwEbKzlfJvqSPpVcUqQbZdlHlUfeYff', 'SGC XLHN', '-----BEGIN PUBLIC KEY-----
MIIBIjANBgkqhkiG9w0BAQEFAAOCAQ8AMIIBCgKCAQEAijT0z6i+jN59g0lIaXwC
ooh14Mf8M2N5W/BMnWj/88iQakOy1atfoqewCx/5WHzgBER+PYIW+gwrBXJgtUjv
M/ZdqhOQvVWdRavhFVvVUL5KSncsEJ4X4kr0gf6faoiFEfkCS/aMh4WAeKvn1uYf
ASUPIhOj6qN/XBesqxZu5L5QhGWMkpYe+ixGjzAwH5e0rBvS755pOxH/nPQEgft8
s8OGfic6rJTW1zmUZLQRsQBw+zde4qrc3EW2+2nDHMD+W3aty0GSbFOkNZf6xCg3
Pz/62nRcTIvE3BsO+lr4rbJg+VaETKO3RbXSotoGJsIPBvqWpdvgiuoc40Q5Dovm
XQIDAQAB
-----END PUBLIC KEY-----', 1, 'SGC_TMT');
INSERT INTO PARTNER (client_id, name, public_key, enable, merchant_code)
VALUES ('GnwEbKzlfJvqSPpVcUqQbZdlHlUfeYff', 'SGC XLHN', '-----BEGIN PUBLIC KEY-----
MIIBIjANBgkqhkiG9w0BAQEFAAOCAQ8AMIIBCgKCAQEAijT0z6i+jN59g0lIaXwC
ooh14Mf8M2N5W/BMnWj/88iQakOy1atfoqewCx/5WHzgBER+PYIW+gwrBXJgtUjv
M/ZdqhOQvVWdRavhFVvVUL5KSncsEJ4X4kr0gf6faoiFEfkCS/aMh4WAeKvn1uYf
ASUPIhOj6qN/XBesqxZu5L5QhGWMkpYe+ixGjzAwH5e0rBvS755pOxH/nPQEgft8
s8OGfic6rJTW1zmUZLQRsQBw+zde4qrc3EW2+2nDHMD+W3aty0GSbFOkNZf6xCg3
Pz/62nRcTIvE3BsO+lr4rbJg+VaETKO3RbXSotoGJsIPBvqWpdvgiuoc40Q5Dovm
XQIDAQAB
-----END PUBLIC KEY-----', 1, 'SGC_HTI');
INSERT INTO PARTNER (client_id, name, public_key, enable, merchant_code)
VALUES ('GnwEbKzlfJvqSPpVcUqQbZdlHlUfeYff', 'SGC XLHN', '-----BEGIN PUBLIC KEY-----
MIIBIjANBgkqhkiG9w0BAQEFAAOCAQ8AMIIBCgKCAQEAijT0z6i+jN59g0lIaXwC
ooh14Mf8M2N5W/BMnWj/88iQakOy1atfoqewCx/5WHzgBER+PYIW+gwrBXJgtUjv
M/ZdqhOQvVWdRavhFVvVUL5KSncsEJ4X4kr0gf6faoiFEfkCS/aMh4WAeKvn1uYf
ASUPIhOj6qN/XBesqxZu5L5QhGWMkpYe+ixGjzAwH5e0rBvS755pOxH/nPQEgft8
s8OGfic6rJTW1zmUZLQRsQBw+zde4qrc3EW2+2nDHMD+W3aty0GSbFOkNZf6xCg3
Pz/62nRcTIvE3BsO+lr4rbJg+VaETKO3RbXSotoGJsIPBvqWpdvgiuoc40Q5Dovm
XQIDAQAB
-----END PUBLIC KEY-----', 1, 'SGC_DVD');
INSERT INTO PARTNER (client_id, name, public_key, enable, merchant_code)
VALUES ('GnwEbKzlfJvqSPpVcUqQbZdlHlUfeYff', 'SGC XLHN', '-----BEGIN PUBLIC KEY-----
MIIBIjANBgkqhkiG9w0BAQEFAAOCAQ8AMIIBCgKCAQEAijT0z6i+jN59g0lIaXwC
ooh14Mf8M2N5W/BMnWj/88iQakOy1atfoqewCx/5WHzgBER+PYIW+gwrBXJgtUjv
M/ZdqhOQvVWdRavhFVvVUL5KSncsEJ4X4kr0gf6faoiFEfkCS/aMh4WAeKvn1uYf
ASUPIhOj6qN/XBesqxZu5L5QhGWMkpYe+ixGjzAwH5e0rBvS755pOxH/nPQEgft8
s8OGfic6rJTW1zmUZLQRsQBw+zde4qrc3EW2+2nDHMD+W3aty0GSbFOkNZf6xCg3
Pz/62nRcTIvE3BsO+lr4rbJg+VaETKO3RbXSotoGJsIPBvqWpdvgiuoc40Q5Dovm
XQIDAQAB
-----END PUBLIC KEY-----', 1, 'SGC_GLA');
INSERT INTO PARTNER (client_id, name, public_key, enable, merchant_code)
VALUES ('GnwEbKzlfJvqSPpVcUqQbZdlHlUfeYff', 'SGC XLHN', '-----BEGIN PUBLIC KEY-----
MIIBIjANBgkqhkiG9w0BAQEFAAOCAQ8AMIIBCgKCAQEAijT0z6i+jN59g0lIaXwC
ooh14Mf8M2N5W/BMnWj/88iQakOy1atfoqewCx/5WHzgBER+PYIW+gwrBXJgtUjv
M/ZdqhOQvVWdRavhFVvVUL5KSncsEJ4X4kr0gf6faoiFEfkCS/aMh4WAeKvn1uYf
ASUPIhOj6qN/XBesqxZu5L5QhGWMkpYe+ixGjzAwH5e0rBvS755pOxH/nPQEgft8
s8OGfic6rJTW1zmUZLQRsQBw+zde4qrc3EW2+2nDHMD+W3aty0GSbFOkNZf6xCg3
Pz/62nRcTIvE3BsO+lr4rbJg+VaETKO3RbXSotoGJsIPBvqWpdvgiuoc40Q5Dovm
XQIDAQAB
-----END PUBLIC KEY-----', 1, 'SGC_BLU');
INSERT INTO PARTNER (client_id, name, public_key, enable, merchant_code)
VALUES ('GnwEbKzlfJvqSPpVcUqQbZdlHlUfeYff', 'SGC XLHN', '-----BEGIN PUBLIC KEY-----
MIIBIjANBgkqhkiG9w0BAQEFAAOCAQ8AMIIBCgKCAQEAijT0z6i+jN59g0lIaXwC
ooh14Mf8M2N5W/BMnWj/88iQakOy1atfoqewCx/5WHzgBER+PYIW+gwrBXJgtUjv
M/ZdqhOQvVWdRavhFVvVUL5KSncsEJ4X4kr0gf6faoiFEfkCS/aMh4WAeKvn1uYf
ASUPIhOj6qN/XBesqxZu5L5QhGWMkpYe+ixGjzAwH5e0rBvS755pOxH/nPQEgft8
s8OGfic6rJTW1zmUZLQRsQBw+zde4qrc3EW2+2nDHMD+W3aty0GSbFOkNZf6xCg3
Pz/62nRcTIvE3BsO+lr4rbJg+VaETKO3RbXSotoGJsIPBvqWpdvgiuoc40Q5Dovm
XQIDAQAB
-----END PUBLIC KEY-----', 1, 'SGC_DAK');
INSERT INTO PARTNER (client_id, name, public_key, enable, merchant_code)
VALUES ('GnwEbKzlfJvqSPpVcUqQbZdlHlUfeYff', 'SGC XLHN', '-----BEGIN PUBLIC KEY-----
MIIBIjANBgkqhkiG9w0BAQEFAAOCAQ8AMIIBCgKCAQEAijT0z6i+jN59g0lIaXwC
ooh14Mf8M2N5W/BMnWj/88iQakOy1atfoqewCx/5WHzgBER+PYIW+gwrBXJgtUjv
M/ZdqhOQvVWdRavhFVvVUL5KSncsEJ4X4kr0gf6faoiFEfkCS/aMh4WAeKvn1uYf
ASUPIhOj6qN/XBesqxZu5L5QhGWMkpYe+ixGjzAwH5e0rBvS755pOxH/nPQEgft8
s8OGfic6rJTW1zmUZLQRsQBw+zde4qrc3EW2+2nDHMD+W3aty0GSbFOkNZf6xCg3
Pz/62nRcTIvE3BsO+lr4rbJg+VaETKO3RbXSotoGJsIPBvqWpdvgiuoc40Q5Dovm
XQIDAQAB
-----END PUBLIC KEY-----', 1, 'SGC_CLA');</t>
  </si>
  <si>
    <t>[OMRE][CBP][mongodb][nonprod] Tạo database Mongodb mới cho CBP AI Matching</t>
  </si>
  <si>
    <t>2026-08-25T18:35:48.665+0700</t>
  </si>
  <si>
    <t>2026-08-25T18:36:17.619+0700</t>
  </si>
  <si>
    <t>Hi Team DBA, để phục vụ nhu cầu tạo Config UI cho experimenting, team CBP cần request: 1 Database mới:  omre_cbp_matching_formula_config_nonprod 1 user/role với quyền CRUD vào database trên Vậy nhờ anh em team DBA hỗ trợ xử lý giúp, còn cần thêm thông tin gì thì ping mình ạ</t>
  </si>
  <si>
    <t>[OMRE][CBP][mongodb][PROD] Tạo database Mongodb mới cho CBP AI Matching</t>
  </si>
  <si>
    <t>2026-08-25T18:31:37.577+0700</t>
  </si>
  <si>
    <t>2026-08-25T18:46:02.136+0700</t>
  </si>
  <si>
    <t>Hi Team DBA, để phục vụ nhu cầu tạo Config UI cho experimenting, team CBP cần request: 1 Database mới:  omre_cbp_matching_formula_config_prod 1 user/role với quyền CRUD vào database trên Vậy nhờ anh em team DBA hỗ trợ xử lý giúp, còn cần thêm thông tin gì thì ping mình ạ</t>
  </si>
  <si>
    <t>[PROD][PAY] Kích hoạt UNIFIED_TERMINAL SMARTPOS store CHXT7FG7 — NCCX06A0MM9</t>
  </si>
  <si>
    <t>2026-08-25T17:10:08.017+0700</t>
  </si>
  <si>
    <t>2026-08-25T17:11:24.593+0700</t>
  </si>
  <si>
    <t>Dear team DBA, nhờ team chạy giúp câu lệnh bên dưới ạ. Bối cảnh: kích hoạt UNIFIED_TERMINAL SMARTPOS (QR + CARD) cho store CHXT7FG7 (merchant NCCX06A0MM9). Thông tin database jdbc:mysql://pay-tidb.int.onemount.com:4000/saas_tpay Câu lệnh -- VERIFY truoc
SELECT store_code, service_code, status, om_terminal_id FROM UNIFIED_TERMINAL
WHERE merchant_code='NCCX06A0MM9' AND store_code='CHXT7FG7' AND service_code IN ('SMARTPOS_QR','SMARTPOS_CARD');
-- UPDATE
UPDATE UNIFIED_TERMINAL SET status='ACTIVE', updated_at=NOW()
WHERE merchant_code='NCCX06A0MM9' AND store_code='CHXT7FG7' AND service_code IN ('SMARTPOS_QR','SMARTPOS_CARD');
-- VERIFY sau
SELECT store_code, service_code, status FROM UNIFIED_TERMINAL
WHERE merchant_code='NCCX06A0MM9' AND store_code='CHXT7FG7' AND service_code IN ('SMARTPOS_QR','SMARTPOS_CARD');</t>
  </si>
  <si>
    <t>[PROD][Merchant] Kích hoạt QTT SMARTPOS store CHXT7FG7 — merchant NCCX06A0MM9</t>
  </si>
  <si>
    <t>2026-08-25T17:06:19.784+0700</t>
  </si>
  <si>
    <t>2026-08-29T09:47:50.936+0700</t>
  </si>
  <si>
    <t>Dear team DBA, nhờ team chạy giúp câu lệnh datafix bên dưới ạ. Bối cảnh: QTT SMARTPOS của store CHXT7FG7 (merchant NCCX06A0MM9, terminal HOKINHDOANHUYNUYN) bị thiếu do lỗi khi duyệt tạo terminal; nhờ team bổ sung + kích hoạt theo câu lệnh. Câu lệnh có BIND store_service_id (QR/CARD) ở đầu, DBA kiểm state trước khi chạy INSERT. Thông tin database DB_MYSQL_HOST=172.31.4.108 DB_MYSQL_DATABASE=merchant_service_tcb Câu lệnh SET @mc:='NCCX06A0MM9'; SET @st:='CHXT7FG7'; SET @tt:='HOKINHDOANHUYNUYN'; SET @code:='HOKINHDOANHUYNUYN';
SELECT ss.id INTO @qr_ss  FROM tpay_store_service ss JOIN tpay_store s ON s.id=ss.store_id JOIN tpay_service sv ON sv.id=ss.service_id
 WHERE s.tcb_merchant_code=@mc AND s.tcb_store_code=@st AND sv.code='SMARTPOS_QR'   AND ss.deleted_at IS NULL LIMIT 1;
SELECT ss.id INTO @card_ss FROM tpay_store_service ss JOIN tpay_store s ON s.id=ss.store_id JOIN tpay_service sv ON sv.id=ss.service_id
 WHERE s.tcb_merchant_code=@mc AND s.tcb_store_code=@st AND sv.code='SMARTPOS_CARD' AND ss.deleted_at IS NULL LIMIT 1;
SELECT @qr_ss AS qr_ss, @card_ss AS card_ss;
UPDATE tpay_store SET status='ACTIVE', updated_at=NOW() WHERE tcb_merchant_code=@mc AND tcb_store_code=@st;
UPDATE tpay_store_service SET status='ACTIVE', mid='M02281020960112', sid='S06879498018947', updated_at=NOW() WHERE id IN (@qr_ss,@card_ss);
INSERT INTO tpay_terminal
  (created_at,updated_at,approved_at,approved_by,created_by,updated_by,code,name,status,
   tcb_merchant_code,tcb_store_code,tcb_terminal_code,tcb_merchant_id,tcb_store_id,tcb_terminal_id,
   merchant_code,store_code,source,contract_type,mcc,virtual_account_number,tcb_linkage_status)
SELECT NOW(),NOW(),NOW(),
   (SELECT approved_by FROM tpay_terminal WHERE tcb_merchant_code=@mc AND tcb_store_code='CHGBUN6N' AND tcb_terminal_code=@tt LIMIT 1),
   r.created_by,r.updated_by,@code,'HO KINH DOANH UYN UYN','ACTIVE',
   r.tcb_merchant_code,r.tcb_store_code,r.tcb_terminal_code,r.tcb_merchant_id,r.tcb_store_id,r.tcb_terminal_id,
   r.merchant_code,r.store_code,r.source,r.contract_type,'5812','MS18T08730197418786',
   (SELECT tcb_linkage_status FROM tpay_terminal WHERE tcb_merchant_code=@mc AND tcb_store_code='CHGBUN6N' AND tcb_terminal_code=@tt LIMIT 1)
FROM tpay_request_terminal r WHERE r.tcb_merchant_code=@mc AND r.tcb_terminal_code=@tt AND r.tcb_store_code=@st LIMIT 1;
SET @tid_new := LAST_INSERT_ID();
INSERT INTO tpay_terminal_service (created_at,updated_at,terminal_code,store_service_id,status,mid,tid,virtual_account_number,qr_url,mcc,source)
VALUES (NOW(),NOW(),@code,@qr_ss,'ACTIVE','M02281020960112','T08730197418786','MS18T08730197418786',
        '00020101021138630010A000000727013300069704070119MS18T087301974187860208QRIBFTTA53037045802VN6304948C','5812',
        (SELECT r.source FROM tpay_request_terminal r WHERE r.tcb_merchant_code=@mc AND r.tcb_terminal_code=@tt AND r.tcb_store_code=@st LIMIT 1));
INSERT INTO tpay_terminal_service (created_at,updated_at,terminal_code,store_service_id,status,mid,tid,mcc,source)
VALUES (NOW(),NOW(),@code,@card_ss,'ACTIVE','OMSP004177','60006646','5812',
        (SELECT r.source FROM tpay_request_terminal r WHERE r.tcb_merchant_code=@mc AND r.tcb_terminal_code=@tt AND r.tcb_store_code=@st LIMIT 1));
UPDATE tpay_request_terminal SET status='APPROVED', code=@code, tpay_terminal_id=@tid_new, approved_at=NOW(), updated_at=NOW()
WHERE tcb_merchant_code=@mc AND tcb_terminal_code=@tt AND tcb_store_code=@st AND status&lt;&gt;'APPROVED';
-- POST-VERIFY
SELECT tcb_store_code,code,tcb_terminal_code,status,virtual_account_number,mcc FROM tpay_terminal WHERE tcb_merchant_code=@mc AND tcb_terminal_code=@tt;
SELECT terminal_code,store_service_id,status,mid,tid,virtual_account_number,qr_url FROM tpay_terminal_service WHERE terminal_code=@code;
SELECT id,status,mid,sid FROM tpay_store_service WHERE id IN (@qr_ss,@card_ss);
SELECT tcb_store_code,status FROM tpay_store WHERE tcb_merchant_code=@mc AND tcb_store_code=@st;</t>
  </si>
  <si>
    <t>[Kafka][Prod] [topic] Bổ sung cấu hình debezium_heartbeat cho connector omd-postgresql-172-31-3-10-salestools-metrics-connector</t>
  </si>
  <si>
    <t>2026-08-25T16:35:17.240+0700</t>
  </si>
  <si>
    <t>2026-08-25T17:57:33.270+0700</t>
  </si>
  <si>
    <t>Bổ sung cấu hình debezium_heartbeat cho connector omd-postgresql-172-31-3-10-salestools-metrics-connector Để không bị tình trạng file slot của postgres lớn khi các bảng ko có data thay đổi.</t>
  </si>
  <si>
    <t>[Kafka][Prod] Tạo kafka topic phục vụ sourcing dữ liệu SmartPos sang TCB</t>
  </si>
  <si>
    <t>2026-08-25T16:17:45.999+0700</t>
  </si>
  <si>
    <t>2026-08-25T18:16:06.125+0700</t>
  </si>
  <si>
    <t>Dear team DBA, Hiện tại team đang có nhu cầu kéo bổ sung dữ liệu các bảng sau phục vụ mục đích xây dựng báo cáo và sourcing sang TCB  https://onemount.atlassian.net/browse/DWHV2-13054 , nhờ anh Linh tạo kafka topic ở môi trường PROD giúp team để kéo data về DP. PROD: IP host:172.31.4.32 Schema: saas_tpay Table list: SMARTPOS_DEVICE_MAPPING Thanks team, Cong</t>
  </si>
  <si>
    <t>[TPAY][NON-PROD] Tạo tài khoản SFTP cho merchant THACOHCM lấy file báo cáo đối soát</t>
  </si>
  <si>
    <t>2026-08-25T13:12:45.165+0700</t>
  </si>
  <si>
    <t>2026-08-25T13:12:55.494+0700</t>
  </si>
  <si>
    <t>Dự án Tpay cần cấp tài khoản và 1 thư mục con trong thư mục trong thư mục tpay dành cho đối tác THACOHCM để đọc file từ sFTP server. Thông tin sFTP server cần kết nối đến: Non-prod:  35.229.130.107:2022 Nhờ team support tạo server và cấp account cho dự án. Em tên thư mục và folder ạ. Account: thacohcm Folder: thacohcm</t>
  </si>
  <si>
    <t>Xin Tạo Database trên Cloud SQL Instance</t>
  </si>
  <si>
    <t>2026-08-25T10:29:38.506+0700</t>
  </si>
  <si>
    <t>2026-08-25T10:29:45.989+0700</t>
  </si>
  <si>
    <t>sp</t>
  </si>
  <si>
    <t>Team SP xin tạo Database trên Cloud SQL Instance main-postgres  Nhằm Lưu trữ log backup/restore tập trung cho cluster Vault, phục vụ giám sát qua Grafana Dashboard. Project:	vinid-app-common-dev Cloud SQL Instance : main-postgres  Private IP address : 172.31.1.12 Database Name: vault</t>
  </si>
  <si>
    <t>[PROD] [UPay] Support release plan golive 22/08/2026</t>
  </si>
  <si>
    <t>2026-08-25T10:11:27.979+0700</t>
  </si>
  <si>
    <t>2026-08-25T10:11:42.978+0700</t>
  </si>
  <si>
    <t>Dear anh   @Nguyễn Văn Dũng  anh  @Nguyễn Văn Khải  , Nhờ anh chạy giúp em script bên dưới khi bắt đầu golive với ạ. Thời gian golive: 23h59p ngày 22/08/2026 Release golive:    CR:    Thông tin database:  mysql://pay-tidb.int.onemount.com:4000/saas_tpay Script CREATE TABLE wallet_payment_attempt_histories (
  id                      BIGINT        NOT NULL AUTO_INCREMENT,
  gw_transaction_id       VARCHAR(128)  NULL,
  merchant_id             VARCHAR(64)   NOT NULL,
  provider                VARCHAR(32)   NOT NULL,
  provider_transaction_id VARCHAR(256)  NOT NULL,
  idempotency_key         VARCHAR(128)  NOT NULL,
  amount_value            DECIMAL(19,2) NOT NULL,
  status                  VARCHAR(32)   NOT NULL,
  processor               VARCHAR(64)   NULL,
  processor_reference_id  VARCHAR(256)  NULL,
  result_code             VARCHAR(128)  NULL,
  result_message          VARCHAR(512)  NULL,
  request_id              VARCHAR(128)  NOT NULL,
  trace_id                VARCHAR(128)  NULL,
  payment_data            VARCHAR(2048) NULL,
  created_at              DATETIME(3)   NOT NULL DEFAULT CURRENT_TIMESTAMP(3),
  PRIMARY KEY (id)
);
CREATE INDEX idx_wpah_gw_transaction_id        ON wallet_payment_attempt_histories (gw_transaction_id);
CREATE INDEX idx_wpah_provider_provider_txn_id ON wallet_payment_attempt_histories (provider, provider_transaction_id);
CREATE INDEX idx_wpah_idempotency_key          ON wallet_payment_attempt_histories (idempotency_key);
ALTER TABLE CARD_PAYMENT_TRANSACTION_DETAIL
  ADD COLUMN digital_wallet VARCHAR(32) NULL AFTER provider;</t>
  </si>
  <si>
    <t>[CLMS][OM][MAG][PRO-22-08] Init data config CLMS</t>
  </si>
  <si>
    <t>2026-08-24T12:18:28.018+0700</t>
  </si>
  <si>
    <t>2026-08-24T16:15:08.002+0700</t>
  </si>
  <si>
    <t>Dear Team @Phạm Hồng Quang   @Hà Văn Vượng CLM - Contract Lifecycle Management cần int data cho sprint golive ngày 22/08. Anh em thêm giúp nhé. Database:
project gcp: onemg-integration-platform-prd
instance(IP): main (172.31.1.118)
Database name: clm_prod_mysql</t>
  </si>
  <si>
    <t>[Team OneNexus AIP]_tạo database mới PostgreSQL cho Langfuse v4</t>
  </si>
  <si>
    <t>2026-08-24T11:13:52.095+0700</t>
  </si>
  <si>
    <t>2026-08-24T11:17:24.970+0700</t>
  </si>
  <si>
    <t>Hi DBA Team, Team mình dựng thêm một instance Langfuse v4 để develop, chạy song song với v3 (v3 giữ nguyên, không đụng tới). Nhờ ae support  PostgreSQL — 1 database mới RDS đang 18.4, vượt yêu cầu (min 15) → không cần nâng, chỉ cần tạo database mới cho v4. Team mình sẽ tự làm: Redis (đổi db index trên ElastiCache hiện tại) · object storage (MinIO như v3)</t>
  </si>
  <si>
    <t>[Team OneNexus AIP]_tạo database mới ClickHouse cho Langfuse v4</t>
  </si>
  <si>
    <t>2026-08-24T11:13:29.603+0700</t>
  </si>
  <si>
    <t>2026-08-24T11:17:22.925+0700</t>
  </si>
  <si>
    <t>Hi DBA Team, Team mình dựng thêm một instance Langfuse v4 để develop, chạy song song với v3 (v3 giữ nguyên, không đụng tới). Nhờ ae support 2 điểm sau: ClickHouse — nâng version + 1 database mới Cần tạo thêm 1 database mới cho v4 + user/password. Không thể dùng chung database với v3: v4 tự chạy schema migration khi start, và 3 migration cuối là lệnh DROP — bỏ event_log, dataset_run_items, project_environments. v3 vẫn đang query 2 trong 3 bảng đó, nên chung database thì v4 vừa lên là v3 hỏng. Tách database thì mỗi bên giữ schema riêng — team mình đã verify chạy song song được trên cùng 1 server. Disk: cần dư thêm ~3x dung lượng data Langfuse hiện tại (v4 cần chỗ tạm khi backfill). Đo bằng: SELECT formatReadableSize(sum(bytes_on_disk)) FROM system.parts WHERE active AND database = '&lt;langfuse_db&gt;'; Team mình sẽ tự làm: Redis (đổi db index trên ElastiCache hiện tại) · object storage (MinIO như v3)</t>
  </si>
  <si>
    <t>[Team OneNexus AIP]_Nâng ClickHouse 24.8 → 25.12cho Langfuse v4</t>
  </si>
  <si>
    <t>2026-08-24T11:13:03.992+0700</t>
  </si>
  <si>
    <t>2026-08-24T11:17:20.926+0700</t>
  </si>
  <si>
    <t>Hi DBA Team, Team mình dựng thêm một instance Langfuse v4 để develop, chạy song song với v3 (v3 giữ nguyên, không đụng tới). Nhờ ae support 2 điểm sau: ClickHouse — nâng version + 1 database mới Hiện tại: 24.8. Langfuse v4 yêu cầu tối thiểu 25.12 (khuyến nghị 26.4). Cách nâng: 24.8 → 25.12 cách nhau ~16 tháng, vượt cửa sổ tương thích 1 năm của ClickHouse. Doc yêu cầu nâng có downtime (stop toàn bộ → nâng → start lại) hoặc qua 1 bản trung gian (25.3 hoặc 25.8 LTS). Rolling upgrade để lẫn version cách &gt;1 năm trong cùng cluster là rủi ro — team chọn đường phù hợp với cụm. Nâng version không ảnh hưởng v3 đang chạy — team mình đã test Langfuse v3 chạy bình thường trên ClickHouse 25.12. Không cần dựng cụm thứ hai, dùng chung server Team mình sẽ tự làm: Redis (đổi db index trên ElastiCache hiện tại) · object storage (MinIO như v3)</t>
  </si>
  <si>
    <t>[Team OneNexus AIP]_Nâng ClickHouse 24.8 → 25.12+ và tạo database mới (ClickHouse + PostgreSQL) cho Langfuse v4</t>
  </si>
  <si>
    <t>2026-08-24T11:12:00.258+0700</t>
  </si>
  <si>
    <t>2026-08-24T11:18:13.656+0700</t>
  </si>
  <si>
    <t>Hi DBA Team,
Team mình dựng thêm một instance Langfuse v4 để develop, chạy song song với v3 (v3 giữ nguyên, không đụng tới). Nhờ ae support 2 điểm sau:
1. ClickHouse — nâng version + 1 database mới
- Hiện tại: 24.8. Langfuse v4 yêu cầu tối thiểu 25.12 (khuyến nghị 26.4).
- Cách nâng: 24.8 → 25.12 cách nhau ~16 tháng, vượt cửa sổ tương thích 1 năm của ClickHouse. Doc yêu cầu nâng có downtime (stop toàn bộ → nâng → start lại) hoặc qua 1 bản trung gian (25.3 hoặc 25.8 LTS). Rolling upgrade để lẫn version cách &gt;1 năm trong cùng cluster là rủi ro — team chọn đường phù hợp với cụm.
- Nâng version không ảnh hưởng v3 đang chạy — team mình đã test Langfuse v3 chạy bình thường trên ClickHouse 25.12. Không cần dựng cụm thứ hai, dùng chung server.
- Cần tạo thêm 1 database mới cho v4 + user/password.
  - Không thể dùng chung database với v3: v4 tự chạy schema migration khi start, và 3 migration cuối là lệnh DROP — bỏ event_log, dataset_run_items, project_environments. v3 vẫn đang query 2 trong 3 bảng đó, nên chung database thì v4 vừa lên là v3 hỏng. Tách database thì mỗi bên giữ schema riêng — team mình đã verify chạy song song được trên cùng 1 server.
- Disk: cần dư thêm ~3x dung lượng data Langfuse hiện tại (v4 cần chỗ tạm khi backfill). Đo bằng:
SELECT formatReadableSize(sum(bytes_on_disk)) FROM system.parts
WHERE active AND database = '&lt;langfuse_db&gt;';
2. PostgreSQL — 1 database mới
- RDS đang 18.4, vượt yêu cầu (min 15) → không cần nâng, chỉ cần tạo database mới cho v4.
Team mình sẽ tự làm: Redis (đổi db index trên ElastiCache hiện tại) · object storage (MinIO như v3)</t>
  </si>
  <si>
    <t>2026-08-22T19:09:23.216+0700</t>
  </si>
  <si>
    <t>2026-08-22T19:10:03.800+0700</t>
  </si>
  <si>
    <t>Dear anh Linh, Anh chạy giúp em sql script bên dưới ạ. Mục đích là để insert thông tin về authentication của  NSP  , dữ liệu được dùng để validate token khi client call vào ESB  Thông tb db : schema: b2b_esb project: onemg-integration-platform-prd instance: main Master IP: 172.31.1.118 Thanks anh ạ!!!! INSERT INTO `auth0_info` (`client_id`,`sign_certificate`, `resource`, `create_by`, `create_date`)
 VALUES ('CkouEDhOHBcHcIYFZMtnInsqmTaLbTtk', '.well-known/openid-configuration', 'CLMS_HUB', 'daibq', '2026-06-26 00:00:00')</t>
  </si>
  <si>
    <t>[OneID] Yêu cầu khởi tạo Redis cho dự án OneID</t>
  </si>
  <si>
    <t>2026-08-22T18:57:40.048+0700</t>
  </si>
  <si>
    <t>2026-08-22T19:00:43.048+0700</t>
  </si>
  <si>
    <t>OneID</t>
  </si>
  <si>
    <t>Dear team DBA, Để chuẩn bị môi trường triển khai và tích hợp cho dự án  OneID  (Hệ thống Định danh &amp; Liên kết tài khoản tập trung), team dự án OneID xin gửi yêu cầu khởi tạo In-Memory Cache - Redis cho môi trường  Non-Production  ( QC / UAT ). Redis (In-Memory Cache &amp; Session Management) Phục vụ lưu trữ Session IdP, CSRF token, Token Custody phía BFF và Rate limiting. Engine / Version:  Redis 7.x (Standalone) Instance / Service Name:   oneid-redis-nonprod Cấu hình đề xuất:  1 vCPU, 2GB RAM Xác thực:  Password Auth / Redis ACL ( username: default  hoặc  oneid_app ) Phân vùng Keyspace sử dụng: idp:* : Session &amp; Code state của IdP Server link:* : Ephemeral Linking Transactions bff:* : Token Custody &amp; Cookie Session của Mini App BFF admin:* : Ops Session của Admin BFF</t>
  </si>
  <si>
    <t>[OM][ESB][CLMS][MSQL][PROD] Tạo tài khoản, table, grand quyền trên database clm_prod_mysql</t>
  </si>
  <si>
    <t>2026-08-22T17:55:27.614+0700</t>
  </si>
  <si>
    <t>2026-08-24T18:09:02.423+0700</t>
  </si>
  <si>
    <t>Dear anh Linh, Hiện team ESB đang cần tạo các thông tin tài khoản truy cập, table,   trên schema : clm_prod_mysql . Mục đích để luồng transform data từ CTMS về các table tương ứng theo business trên clm_prod_mysql. Us :  https://onemount.atlassian.net/browse/CLMS-2720 Vậy nhờ anh tạo các thông tin tương theo thông tin bên dưới. I) Tạo tài khoản và grant quyền Username Password Permission Thông tin service yêu cầu kết nối Thông tin db cần kết nối esb_clms_sync_prod Team DBA tạo và cung cấp Read (trên các bảng đang có hiện tại trên database) Service ESB Yêu cầu kết nối:  Từ cụm onemg-integration-platform-prd project gcp: onemg-integration-platform-prod instance: main DB name: clm_prod_mysql Thông tin tài khoản khi tạo xong gửi về mail :  @Bùi Quang Đại   ,  @Chu Văn Châu  ,  @Phạm Hồng Quang II) Tạo (clone) bảng và grant quyền cho tài khoản esb_clms_sync_prod. Tên bảng Permission Cấu trúc bảng Thông tin db contract_extract_ctms_sync GET / SELECT INSERT UPDATE DELETE tạo tên column và data type giống  bảng  clm_prod_mysql.Contract Note : chỉ cần clone tên column, data type. Không cần clone data. Không cần clone các Relationship project gcp: onemg-integration-platform-prod instance: main DB name: clm_prod_mysql contract_party_extract_ctms_sync GET / SELECT INSERT UPDATE DELETE tạo tên column và data type giống  bảng  clm_prod_mysql.ContractParty Note : chỉ cần clone tên column, data type. Không cần clone data. Không cần clone các Relationship project gcp: onemg-integration-platform-prod instance: main DB name: clm_prod_mysql attachment_extract_ctms_sync GET / SELECT INSERT UPDATE DELETE ttạo tên column và data type giống  bảng  clm_prod_mysql.Attachment Note : chỉ cần clone tên column, data type. Không cần clone data. Không cần clone các Relationship project gcp: onemg-integration-platform-prod instance: main DB name: clm_prod_mysql document_media_extract_ctms_sync GET / SELECT INSERT UPDATE DELETE tạo tên column và data type giống  bảng  clm_prod_mysql.DocumentMedia Note : chỉ cần clone tên column, data type. Không cần clone data. Không cần clone các Relationship project gcp: onemg-integration-platform-prod instance: main DB name: clm_prod_mysql lookup_extract_ctms_sync GET / SELECT INSERT UPDATE DELETE tạo tên column và data type giống  bảng  clm_prod_mysql.Lookup Note : chỉ cần clone tên column, data type. Không cần clone data. Không cần clone các Relationship project gcp: onemg-integration-platform-prod instance: main DB name: clm_prod_mysql</t>
  </si>
  <si>
    <t>[OMC] Hỗ trợ golive ngày 20/08</t>
  </si>
  <si>
    <t>2026-08-22T17:53:45.496+0700</t>
  </si>
  <si>
    <t>2026-08-22T17:53:50.671+0700</t>
  </si>
  <si>
    <t>Dear anh Nghĩa, Vào 22h ngày 20/08 team AI và MTP có thực hiện golive một số tính năng Nhờ anh trực cùng team và chạy các câu lệnh SQL trên PROD ạ Thông tin SQL em sẽ để vào comment nhé ạ Em cảm ơn anh</t>
  </si>
  <si>
    <t>[OneID] Yêu cầu khởi tạo Database cho dự án OneID</t>
  </si>
  <si>
    <t>2026-08-22T14:26:01.250+0700</t>
  </si>
  <si>
    <t>2026-08-22T14:26:08.252+0700</t>
  </si>
  <si>
    <t>Dear team SRE, Để chuẩn bị môi trường triển khai và tích hợp cho dự án  OneID  (Hệ thống Định danh &amp; Liên kết tài khoản tập trung), team dự án OneID xin gửi yêu cầu khởi tạo các thành phần Database cho môi trường  Non-Production  ( QC/UAT ). Chi tiết thông số kỹ thuật và cấu hình yêu cầu như sau: PostgreSQL (Relational Database) Phục vụ lưu trữ dữ liệu Core Identity, IdP và Admin Portal. Thông số Database 1:  oneid  (Core &amp; IdP) Database 2:  oneid_admin  (Admin Portal) Engine / Version PostgreSQL 15+ (hoặc Cloud SQL PG) PostgreSQL 15+ (cùng cluster với  oneid ) Tên Database oneid oneid_admin Encoding / Collation UTF8  /  en_US.UTF-8 UTF8  /  en_US.UTF-8 Schemas cần tạo idp ,  core ,  platform ,  public public Extensions uuid-ossp ,  pgcrypto uuid-ossp Database User &amp; Quyền •  oneid_app : Quyền CRUD, SEQUENCE trên các schema  idp ,  core ,  platform •  oneid_migrator   (nếu tách) : Quyền DDL để chạy Flyway Migration •  oneid_admin_app : Quyền CRUD trên DB -    oneid_admin Cấu hình đề xuất (Non-prod) 2 vCPU, 4GB RAM, 20GB SSD Storage (Auto-grow) (Dùng chung instance/cluster với DB   oneid ) Sau khi hoàn tất, kính nhờ team bàn giao lại thông tin kết nối cho team OneID qua email: tung.pham3@onemount.com Rất mong nhận được sự hỗ trợ từ team Hạ tầng.</t>
  </si>
  <si>
    <t>[OneID] [MongoDB][nonprod] Yêu cầu khởi tạo MongoDB cho dự án OneID</t>
  </si>
  <si>
    <t>2026-08-21T17:28:18.091+0700</t>
  </si>
  <si>
    <t>2026-08-21T18:02:50.323+0700</t>
  </si>
  <si>
    <t>Dear team DBA, Để chuẩn bị môi trường triển khai và tích hợp cho dự án  OneID  (Hệ thống Định danh &amp; Liên kết tài khoản tập trung), team dự án OneID xin gửi yêu cầu khởi tạo Document Store cho môi trường  Non-Production  ( QC / UAT ). Chi tiết thông số kỹ thuật và cấu hình yêu cầu như sau: MongoDB (Audit Log Store) Phục vụ lưu trữ tamper-evident WORM audit log (Module Audit Ingestion). Engine / Version:  MongoDB 6.x / 7.x Database Name:   oneid_audit Collection chính:   audit_event User &amp; Quyền:   oneid_audit_user  (ReadWrite trên database  oneid_audit ) Cấu hình đề xuất:  1 - 2 vCPU, 2 - 4GB RAM, 20GB SSD Storage Sau khi hoàn tất, kính nhờ team bàn giao lại thông tin kết nối cho team OneID qua email:  tung.pham3@onemount.com Rất mong nhận được sự hỗ trợ từ team DBA.</t>
  </si>
  <si>
    <t>[UPAY][NON-PROD] Thêm cột cho bảng ORDER_INFORMATION</t>
  </si>
  <si>
    <t>2026-08-21T17:23:30.018+0700</t>
  </si>
  <si>
    <t>2026-08-21T17:23:35.233+0700</t>
  </si>
  <si>
    <t>Hi anh   @Nguyễn Văn Dũng  anh  @Đào Công Nghĩa Nhờ anh chạy giúp em script bên dưới trên môi trường  STAGING  với a Thông tin database:  vinpay_saas_tpay_staging Script: alter table ORDER_INFORMATION
    add order_duration int null;
alter table ORDER_INFORMATION
    add order_narrative varchar(25) null;</t>
  </si>
  <si>
    <t>[SoftPOS] [PROD] Xử lý bản ghi trùng DEVICE_TERMINAL_SOFTPOS - merchant NCCEQ9RE</t>
  </si>
  <si>
    <t>2026-08-21T17:20:47.010+0700</t>
  </si>
  <si>
    <t>2026-08-21T17:20:53.452+0700</t>
  </si>
  <si>
    <t>Dear team DBA. Team Pay nhờ team DBA hỗ trợ xoá 1 bản ghi bị trùng trong bảng DEVICE_TERMINAL_SOFTPOS (merchant NCCEQ9RE, terminal TM2607130OEIP bị double-insert), giữ id=1727982, xoá id=1727983. Thông tin database jdbc:mysql://pay-tidb.int.onemount.com:4000/saas_tpay Câu lệnh DELETE FROM DEVICE_TERMINAL_SOFTPOS WHERE id = 1727983 AND merchant_code = 'NCCEQ9RE' AND terminal_id = 'TM2607130OEIP';</t>
  </si>
  <si>
    <t>2026-08-21T17:17:57.090+0700</t>
  </si>
  <si>
    <t>2026-08-21T17:18:04.110+0700</t>
  </si>
  <si>
    <t>[OneNexus][FDP][Prod] Hỗ trợ chuẩn bị Database cho FDP Production ImmuDB</t>
  </si>
  <si>
    <t>2026-08-21T16:15:29.810+0700</t>
  </si>
  <si>
    <t>2026-08-21T16:19:03.779+0700</t>
  </si>
  <si>
    <t>FDP_Federated_Data_Platform, Prod</t>
  </si>
  <si>
    <t>Hi DBA, Team mình sẽ chuẩn bị go live cho production, nhờ bạn support chuẩn bị các DB sau nhé: ImmuDB (Trên EKS) auditprod audit-service Cảm ơn team nhé.</t>
  </si>
  <si>
    <t>[OneNexus][FDP][Prod] Hỗ trợ chuẩn bị Database cho FDP Production Valkey</t>
  </si>
  <si>
    <t>2026-08-21T16:15:15.022+0700</t>
  </si>
  <si>
    <t>2026-08-21T16:19:02.070+0700</t>
  </si>
  <si>
    <t>Hi DBA, Team mình sẽ chuẩn bị go live cho production, nhờ bạn support chuẩn bị các DB sau nhé: Valkey instance Cảm ơn team nhé.</t>
  </si>
  <si>
    <t>[OneNexus][FDP][Prod] Hỗ trợ chuẩn bị Database cho FDP Production Postgres</t>
  </si>
  <si>
    <t>2026-08-21T16:15:05.016+0700</t>
  </si>
  <si>
    <t>2026-08-21T16:19:00.205+0700</t>
  </si>
  <si>
    <t>Hi DBA, Team mình sẽ chuẩn bị go live cho production, nhờ bạn support chuẩn bị các DB sau nhé: Postgres RDS instance, các DB bao gồm: fdp_iam_prod iam-service fdp_admin_prod admin-service fdp_identity_prod identity-service fdp_policy_engine_prod policy-engine fdp_api_gateway_prod api-gateway fdp_consent_prod shared-consent-store fdp_data_contract_prod data-contract-monitoring fdp_openmetadata_prod OpenMetadata fdp_common_prod shared / Iceberg JDBC catalog Cảm ơn team nhé.</t>
  </si>
  <si>
    <t>[OneNexus][FDP][Prod] Hỗ trợ chuẩn bị Database cho FDP Production</t>
  </si>
  <si>
    <t>2026-08-21T16:14:12.480+0700</t>
  </si>
  <si>
    <t>2026-08-21T16:19:16.301+0700</t>
  </si>
  <si>
    <t>Hi DBA, Team mình sẽ chuẩn bị go live cho production, nhờ bạn support chuẩn bị các DB sau nhé: Postgres RDS instance, các DB bao gồm: fdp_iam_prod iam-service fdp_admin_prod admin-service fdp_identity_prod identity-service fdp_policy_engine_prod policy-engine fdp_api_gateway_prod api-gateway fdp_consent_prod shared-consent-store fdp_data_contract_prod data-contract-monitoring fdp_openmetadata_prod OpenMetadata fdp_common_prod shared / Iceberg JDBC catalog Valkey instance ImmuDB (Trên EKS) auditprod audit-service Cảm ơn team nhé.</t>
  </si>
  <si>
    <t>[Merchant-TCB] [PROD] Tạo permission catalog SmartPOS special-transaction (PB-32695)</t>
  </si>
  <si>
    <t>2026-08-21T15:10:35.690+0700</t>
  </si>
  <si>
    <t>2026-08-21T15:10:41.693+0700</t>
  </si>
  <si>
    <t>Dear team DBA, nhờ team chạy giúp câu lệnh bên dưới trên PROD ạ. Mục đích: chuẩn bị golive   — bổ sung permission cấu hình loại giao dịch đặc thù cho merchant SmartPOS. Thông tin database DB_MYSQL_HOST=172.31.4.108 DB_MYSQL_DATABASE=merchant_service_tcb (JDBC app: jdbc:mysql://vinid-merchant-prod--merchant-tcb.cloudsql.int:3306/merchant_service_tcb) Câu lệnh (idempotent — chỉ INSERT nếu code chưa tồn tại) INSERT INTO tpay_permission (created_at, updated_at, module, code, name, description)
SELECT NOW(), NOW(), 'SmartPOS',
       'create:merchant_smartpos_configure_transactiontype',
       'Cấu hình loại giao dịch đặc thù cho merchant SmartPOS',
       'Cấu hình loại giao dịch đặc thù cho merchant SmartPOS'
FROM DUAL
WHERE NOT EXISTS (SELECT 1 FROM tpay_permission
                  WHERE code='create:merchant_smartpos_configure_transactiontype');</t>
  </si>
  <si>
    <t>[UPP][Staging-NonProd] Thêm bảng mới cập nhật cấu hình system config cho tính năng APPLE PAY</t>
  </si>
  <si>
    <t>2026-08-21T15:00:33.019+0700</t>
  </si>
  <si>
    <t>2026-08-21T15:00:41.477+0700</t>
  </si>
  <si>
    <t>Hi anh   @Nguyễn Văn Dũng  anh  @Đào Công Nghĩa   Nhờ anh chạy giúp em script bên dưới trên môi trường  STAG  với a Release golive:    CR:    Thông tin database:  vinpay_saas_tpay_staging Script:  CREATE TABLE wallet_payment_attempt_histories (
  id                      BIGINT        NOT NULL AUTO_INCREMENT,
  gw_transaction_id       VARCHAR(128)  NULL,
  merchant_id             VARCHAR(64)   NOT NULL,
  provider                VARCHAR(32)   NOT NULL,
  provider_transaction_id VARCHAR(256)  NOT NULL,
  idempotency_key         VARCHAR(128)  NOT NULL,
  amount_value            DECIMAL(19,2) NOT NULL,
  status                  VARCHAR(32)   NOT NULL,
  processor               VARCHAR(64)   NULL,
  processor_reference_id  VARCHAR(256)  NULL,
  result_code             VARCHAR(128)  NULL,
  result_message          VARCHAR(512)  NULL,
  request_id              VARCHAR(128)  NOT NULL,
  trace_id                VARCHAR(128)  NULL,
  payment_data            VARCHAR(2048) NULL,
  created_at              DATETIME(3)   NOT NULL DEFAULT CURRENT_TIMESTAMP(3),
  PRIMARY KEY (id)
);
CREATE INDEX idx_wpah_gw_transaction_id        ON wallet_payment_attempt_histories (gw_transaction_id);
CREATE INDEX idx_wpah_provider_provider_txn_id ON wallet_payment_attempt_histories (provider, provider_transaction_id);
CREATE INDEX idx_wpah_idempotency_key          ON wallet_payment_attempt_histories (idempotency_key);
ALTER TABLE CARD_PAYMENT_TRANSACTION_DETAIL
  ADD COLUMN digital_wallet VARCHAR(32) NULL AFTER provider;
INSERT INTO SYSTEM_CONFIGURATION (SYSTEM_PARAM_CODE,
                                  SYSTEM_PARAM_NAME, SYSTEM_PARAM_VALUE, IS_ACTIVE,
                                  IS_ENCRYPTED, CREATED_BY, UPDATED_BY, UPDATED_DATE,
                                  CREATED_DATE)
VALUES ('SYNC_DATA_DIGITAL_WALLET_CONFIG', 'Digital wallet for search payment transaction',
        'APPLE_PAY:APPLE PAY,SAMSUNG_PAY:SAMSUNG PAY', 1, null, null, null, now(),
        now());</t>
  </si>
  <si>
    <t>[MERCHANT_HUB] - FORCE RLS một số table DB payment PROD</t>
  </si>
  <si>
    <t>2026-08-21T11:32:06.743+0700</t>
  </si>
  <si>
    <t>2026-08-23T13:46:30.626+0700</t>
  </si>
  <si>
    <t>Nhờ các a cập nhật giúp team force RLS theo thông tin sau ạ Script ALTER TABLE public.payment_info ENABLE ROW LEVEL SECURITY;
ALTER TABLE public.payment_info FORCE ROW LEVEL SECURITY;
ALTER TABLE public.payment_transaction ENABLE ROW LEVEL SECURITY;
ALTER TABLE public.payment_transaction FORCE ROW LEVEL SECURITY; Thông tin DB instance: mhpos-common-prod-postgres - 172.31.4.36
mhpos_payment Thời gian thực hiện: Sau khi hệ thống deploy PROD done vào  tối ngày 22/8/2026 . Ticket sẽ được đính vào release note và SRE sẽ báo sau khi thực hiện xong ạ. Dự kiến khoảng  22h</t>
  </si>
  <si>
    <t>[UPay][Prod] Hỗ trợ update status merchant sang waiting active</t>
  </si>
  <si>
    <t>2026-08-21T11:12:27.616+0700</t>
  </si>
  <si>
    <t>2026-08-21T11:12:41.493+0700</t>
  </si>
  <si>
    <t>Dear team DBA, Nhờ các anh chạy giúp em 2 lệnh sau để update status merchant sang waiting active UPDATE UNIFIED_MERCHANT SET status = 'WAITING_ACTIVE'  where merchant_code = 'NCC5STYX'; Em xin cảm ơn ạ!</t>
  </si>
  <si>
    <t>[PROD][Ticketing] Update inventory for ticketing at 20/08/2026</t>
  </si>
  <si>
    <t>2026-08-20T18:07:32.599+0700</t>
  </si>
  <si>
    <t>2026-08-20T18:37:40.986+0700</t>
  </si>
  <si>
    <t>Ticket</t>
  </si>
  <si>
    <t>Hi  @Đào Công Nghĩa Nhờ em chạy giúp anh thông tin script dưới đây: IP/Host: 172.31.1.3 Database:  vinticket Scripts: update ticket_types set on_hold_qty = 0, available_qty = 2 where id = 5417;
update ticket_types set on_hold_qty = 0, available_qty = 20 where id = 5418;
update ticket_types set on_hold_qty = 0, available_qty = 3 where id = 5419;
update ticket_types set on_hold_qty = 0, available_qty = 12 where id = 5420; Update redis: IP: 172.31.0.244
DB: 0
HSET EVENT:1101:TICKET_TYPE:5417 "max" "1904" "on_hold" "0" "sold" "1902" "available" "2"
HSET EVENT:1101:TICKET_TYPE:5418 "max" "6480" "on_hold" "0" "sold" "6460" "available" "20"
HSET EVENT:1101:TICKET_TYPE:5419 "max" "3200" "on_hold" "0" "sold" "3197" "available" "3"
HSET EVENT:1101:TICKET_TYPE:5420 "max" "5230" "on_hold" "0" "sold" "5288" "available" "12"</t>
  </si>
  <si>
    <t>[OMC][Loyalty MFT] VCM - Cập nhật thông tin voucher ngày 20/08/2026</t>
  </si>
  <si>
    <t>2026-08-20T17:41:19.136+0700</t>
  </si>
  <si>
    <t>2026-08-20T17:41:24.858+0700</t>
  </si>
  <si>
    <t>Xuất phát từ nhu cầu đội vận hành CR  https://onemount.atlassian.net/browse/SH-73141 , nhờ team hỗ trợ cập nhật thông tin voucher theo thông tin bên dưới Voucher Distribution - GCP project  vinid-loyalty-prod
- Instance name : voucher-distribution
- Instance IP : 172.31.4.82
- Database : b2b_voucher_distribution Chạy file  SH_73141_vd.sql  đính kèm One Voucher - GCP project  vinid-loyalty-prod
- Instance name : onevoucher
- Instance IP : 172.31.4.126
- Database : onevc_vwm_prod Chạy file  SH_73141_onevc.sql  đính kèm Thời gian thực hiện : trong ngày 20/08/2026 Thanks team.</t>
  </si>
  <si>
    <t>[OM][ESB][CLMS][MSQL][NONPROD] Tạo tài khoản, bảng, grand quyền trên database clm_{qc/uat}_mysql</t>
  </si>
  <si>
    <t>2026-08-20T17:39:33.297+0700</t>
  </si>
  <si>
    <t>2026-08-20T18:48:42.333+0700</t>
  </si>
  <si>
    <t>Dear anh Linh, Hiện team ESB đang cần tạo các thông tin {{username/password }}và {{grant permission }} trên schema :  clm_{qc/uat}_mysql  . Mục đích để luồng transform data từ CTMS về các table tương ứng theo business trên  clm_{qc/uat}_mysql .  Us :  https://onemount.atlassian.net/browse/CLMS-2720 Vậy nhờ anh tạo các thông tin tương Theo thông tin bên dưới. Thông tb db : I) Tạo tài khoản và grant quyền Username Password Permission Thông tin service yêu cầu kết nối Thông tin db cần kết nối esb_clms_sync_{qc/uat } Team DBA tạo và cung cấp Read (trên các bảng đang có hiện tại trên database) Service ESB Yêu cầu kết nối:  Từ cụm onemg-integration-platform-np project gcp: vinid-app-common-dev instance: main-mysql-8 DB name: clm_{qc/uat}_mysql Thông tin tài khoản khi tạo xong gửi về mail :  @Bùi Quang Đại   ,  @Chu Văn Châu  ,  @Phạm Hồng Quang   II) Tạo (clone) bảng và grant quyền cho user esb_clms_sync_{qc/uat}. Tên bảng Permission Cấu trúc bảng Thông tin db contract_extract_ctms_sync GET / SELECT INSERT UPDATE  DELETE tạo tên column và data type giống  bảng  clm_{qc/uat}_mysql.Contract Note : chi vần clone tên column data type. Không cần clone data. Không cần clone các Relationship project gcp: vinid-app-common-dev instance: main-mysql-8 DB name: clm_{qc/uat}_mysql contract_party_extract_ctms_sync GET / SELECT INSERT UPDATE  DELETE tạo tên column và data type giống  bảng  clm_{qc/uat}_mysql.ContractParty Note : chi vần clone tên column data type. Không cần clone data. Không cần clone các Relationship project gcp: vinid-app-common-dev instance: main-mysql-8 DB name: clm_{qc/uat}_mysql attachment_extract_ctms_sync GET / SELECT INSERT UPDATE  DELETE ttạo tên column và data type giống  bảng  clm_{qc/uat}_mysql.Attachment Note : chi vần clone tên column data type. Không cần clone data. Không cần clone các Relationship project gcp: vinid-app-common-dev instance: main-mysql-8 DB name: clm_{qc/uat}_mysql document_media_extract_ctms_sync GET / SELECT INSERT UPDATE  DELETE tạo tên column và data type giống  bảng  clm_{qc/uat}_mysql.DocumentMedia Note : chi vần clone tên column data type. Không cần clone data. Không cần clone các Relationship project gcp: vinid-app-common-dev instance: main-mysql-8 DB name: clm_{qc/uat}_mysql lookup_extract_ctms_sync GET / SELECT INSERT UPDATE  DELETE tạo tên column và data type giống  bảng  clm_{qc/uat}_mysql.Lookup Note : chi vần clone tên column data type. Không cần clone data. Không cần clone các Relationship project gcp: vinid-app-common-dev instance: main-mysql-8 DB name: clm_{qc/uat}_mysql</t>
  </si>
  <si>
    <t>[LP][Core][TCB] - Support vận hành update file MFT ngày 20260819</t>
  </si>
  <si>
    <t>2026-08-20T17:33:16.550+0700</t>
  </si>
  <si>
    <t>2026-08-20T17:33:25.175+0700</t>
  </si>
  <si>
    <t>Support vận hành update file MFT ngày 20260819, do thứ tự ngày lake đẩy vào hệ thống đang không đúng thứ tự. Vận hành đang cancle ngày 20260819, cần bật lại để xử lý, portal đang chặn, cần thực hiện update DB Thông tin database: IP: 10.255.23.119 Service name: oneloyaltydb Port: 1521 schema app: OLOYALTY Query: UPDATE CONTROL_FILE_HISTORY SET IS_IGNORED ='N' WHERE ID = 9725; Teams</t>
  </si>
  <si>
    <t>[omd][b2b-commerce][prod] Xoá VMs cụm mongo production của b2b OMD</t>
  </si>
  <si>
    <t>2026-08-20T17:07:25.158+0700</t>
  </si>
  <si>
    <t>2026-08-25T18:16:39.229+0700</t>
  </si>
  <si>
    <t>omd_b2b</t>
  </si>
  <si>
    <t>Hi anh  @Phạm Tuấn Linh   Cụm mongo b2b omd mình đã off DB của b2b và đồng thời cũng đã chuyển xong các DB còn chạy cho MAG và TCB SaleApp sang cụm khác VMs cũng đã shutdown từ 17/08/2026 Nhờ ko còn sử dụng nữa mình sẽ delete các VMs này để giải phóng resource nhé b2b-mongo-ilb-prod-1       10.255.32.53 b2b-mongo-ilb-prod-2       10.255.32.54 b2b-mongo-manager-prod-01  10.255.32.24 b2b-mongo-prod-1           10.255.32.20 b2b-mongo-prod-2           10.255.32.21 b2b-mongo-prod-3           10.255.32.22 b2b-mongo-prod-4           10.255.32.23</t>
  </si>
  <si>
    <t>[OMC][DP][topic][PROD] V/v tạo topic bảng mới</t>
  </si>
  <si>
    <t>2026-08-20T17:06:10.321+0700</t>
  </si>
  <si>
    <t>2026-09-05T16:10:08.743+0700</t>
  </si>
  <si>
    <t>Dear Linh, Em tạo giúp anh topic bảng sau trên Loyalty với nhé: KAFKA_AUDIT_TRAIL_CUSTOMER_PROFILE</t>
  </si>
  <si>
    <t>[QR247][PROD] Hỗ trợ cấu hình merchant QR247 cho Vinmec</t>
  </si>
  <si>
    <t>2026-08-20T15:23:40.967+0700</t>
  </si>
  <si>
    <t>2026-08-20T15:23:54.861+0700</t>
  </si>
  <si>
    <t>Dear team, Nhờ anh/em chạy script bên dưới để onboard merchant mới tích hợp dịch vụ QR247 cho Vinmec Thông tin DB:  mysql://pay-tidb.int.onemount.com:4000/saas_tpay Script:  INSERT INTO PARTNER (client_id, name, public_key, enable, merchant_code)
VALUES ('GtZsiXgixweDUkYOCElqSsBXyEbbYMGd', 'CTCP BENH VIEN DKQT VINMEC', '-----BEGIN PUBLIC KEY-----
MIIBIjANBgkqhkiG9w0BAQEFAAOCAQ8AMIIBCgKCAQEAum0jsTicti/tCXxB9vcz
k/KzF8io5sw+WKp1kyUHCIVUy9vJNtT0ysXfjokht3obo30BqvL8khufnIscbJHV
khuO14kGCwX6xJFolGP++o2YkvEpbw87QIAmf8snlPw61rK6OoovP+k4noV5e3aN
t9U7j1iLp3J2d3SkvN7dBuZuxubP11mCWSG/Y0xkCr7i6SAN5WtvI54L3jgKEy42
Ahsi2uigyxVXJm5kepc/UPrOwk1zyMTpZOVG/JQDu1zskNn34PKufrL8zM14KjXd
Sf9NwSPly3uUXLSTxDs//te+AbcP4qUHPYO1QKdccFNJApMpGudgSTAKWE+F31Aw
SwIDAQAB
-----END PUBLIC KEY-----', 1, '40249520');</t>
  </si>
  <si>
    <t>[FDP][Non-Prod] Xác nhận backup/restore PostgreSQL (RDS) và Redis cho FDP — RTO 120 phút / RPO 30 phút</t>
  </si>
  <si>
    <t>2026-08-20T11:51:14.630+0700</t>
  </si>
  <si>
    <t>2026-08-20T11:51:35.467+0700</t>
  </si>
  <si>
    <t>backup, restore</t>
  </si>
  <si>
    <t>Liên quan ticket   (DR &amp; Backup cho hệ thống FDP). FDP đang handle phần RTO 120 phút / RPO 30 phút. RDS PostgreSQL và Redis nằm ngoài IaC của FDP và do team DBA quản lý, nên phía FDP không tự kiểm tra được trạng thái backup. Nhờ team DBA xác nhận giúp các điểm sau: Automated backup của các instance này có đang bật không? BackupRetentionPeriod hiện tại là bao nhiêu ngày? Point-in-time recovery (PITR) có khả dụng không? Cửa sổ PITR lùi được tối đa bao lâu? Thời gian restore thực tế ước tính cho một instance là bao lâu? (Để đối chiếu với cam kết RTO 120 phút.) Có snapshot thủ công hoặc snapshot chia sẻ cross-account không? Có backup cross-region không? Nếu mất region ap-southeast-1 thì phương án là gì? Multi-AZ đang bật không? Mất 1 AZ thì thời gian failover khoảng bao lâu? Quy trình để FDP yêu cầu restore về một mốc thời gian cụ thể là gì, và mất bao lâu kể từ lúc mở ticket?</t>
  </si>
  <si>
    <t>2026-08-20T10:45:06.708+0700</t>
  </si>
  <si>
    <t>2026-08-20T10:45:12.584+0700</t>
  </si>
  <si>
    <t>[VCM] Export danh sách voucher đang đồng bộ sai master hashtag</t>
  </si>
  <si>
    <t>2026-08-19T23:18:47.097+0700</t>
  </si>
  <si>
    <t>2026-08-19T23:35:37.045+0700</t>
  </si>
  <si>
    <t>Hiện tại các voucher sau ngày 25/04/2026 đang bị đồng bộ sai thông tin master hashtag, nhờ team Database Service support export danh sách voucher có thời gian update sau ngày 25/04/2026 ạ. Thông tin database: vincart_mm_product  (IP:  172.31.1.41) B1: Lấy số lượng master hashtag của variant: SELECT
	v.code,
	COUNT(*) numberRows
FROM
	vincart_mm_product.variants v
LEFT JOIN vincart_mm_product.llm_master_hashtag l ON
	v.id = l.variant_id
LEFT JOIN vincart_mm_product.entity_attributes_values e ON
	v.id = e.entity_id
	AND e.`type` = 'VARIANT'
WHERE
	l.updated_at &gt; '2026-04-25 00:00:00'
	OR v.updated_at &gt; '2026-04-25 00:00:00'
	OR l.id IS NULL
GROUP BY
	v.code; Bước 2: Lấy danh sách variant code: SELECT
	DISTINCT v.code
FROM
	vincart_mm_product.variants v
INNER JOIN vincart_mm_product.languages l ON
	v.id = l.entity_id
WHERE
	l.updated_at &gt; '2026-04-25 00:00:00'
	OR v.updated_at &gt; '2026-04-25 00:00:00'; Cảm ơn team nhiều ạ.</t>
  </si>
  <si>
    <t>[MAG][NSP] Nhờ restore một số tables ở môi trường QC của database mag_sales_platform_qc</t>
  </si>
  <si>
    <t>2026-08-19T16:24:03.104+0700</t>
  </si>
  <si>
    <t>2026-08-19T18:02:53.228+0700</t>
  </si>
  <si>
    <t>Dear DBA teams, Dự án MAG NSP do sai sót đã xóa mất một số dữ liệu trong quá trình testing của một số bảng (theo danh sách dưới đây), nhờ các anh/chị team DBA hỗ trợ lấy lại dữ liệu backup của các bảng này để insert trở lại vào DB Thông tin chi tiết Instance URL:  mag-common-sandbox-postgres.czqi8qus0dv0.ap-southeast-1.rds.amazonaws.com Database:  mag_sales_platform_qc Tables prd_flat_liquidation_ticket prd_flat_liquidation_ticket_item prd_ticket_item prd_appointment_detail prd_ticket prd_ticket_action_log prd_ticket_item_data Cám ơn anh/chị đã hỗ trợ ạ</t>
  </si>
  <si>
    <t>[UPP][Staging-NonProd] Cập nhật bảng FEE PROFILE</t>
  </si>
  <si>
    <t>2026-08-19T11:27:59.911+0700</t>
  </si>
  <si>
    <t>2026-08-19T11:28:13.742+0700</t>
  </si>
  <si>
    <t>Hi a   @Nguyễn Văn Dũng  ,  Nhờ a chạy giúp e script bên dưới trên môi trường  STAG  với a Release golive:    CR:  https://onemount.atlassian.net/servicedesk/customer/portal/15/SH-72809?created=true Thông tin database:  tidb.int.onemount.dev Script: ALTER TABLE FEE_PROFILE ADD COLUMN cif VARCHAR(150) DEFAULT NULL;</t>
  </si>
  <si>
    <t>[QR247][PROD] - Cấu hình kết nối QR247 cho merchant BUTL</t>
  </si>
  <si>
    <t>2026-08-19T11:26:36.373+0700</t>
  </si>
  <si>
    <t>2026-08-19T18:08:21.108+0700</t>
  </si>
  <si>
    <t>Dear team DBA, Nhờ anh/em chạy giúp em lệnh bên dưới để cấu hình thông tin kết nối cho merchant BUTL Thông tin database  mysql://pay-tidb.int.onemount.com:4000/saas_tpay Script: INSERT INTO PARTNER (client_id, name, public_key, enable, merchant_code)
VALUES ('fosgtXYIYCLRVMdJWCQPpRPxjJHgDXIK', 'BAN UONG TOI LAI', '-----BEGIN PUBLIC KEY-----
MIIBIjANBgkqhkiG9w0BAQEFAAOCAQ8AMIIBCgKCAQEArerUK7T1dVwNe9LRN6CW
kZyMHSRT8jGIHR3DoYm5xGo6gJJhtAV/anGZtcVM3qhVGhL+v+8BmmPBys5G2qwO
CKsgVhACJmXRdzXyUMd3OILjSBpnoxhgS7Xbzo4XMqlS3vZYxP+X7sn1FczHSA9a
qhmhg4TzIVdLIzkmTeqXw1yJDutHrJ7itWXBH/wEFg7ZFKdtVBLFxIEv9fJbnr29
amIK9sh+RCnnFyX15TIOMWrzIjmKjiWmFFtUyLYKl9bCy20gakCdzezlejhlUSt4
yabmqbLieLoorBTI8RY8Szn4QoZAuKF+dE+BxaQg+ZqnUgNPS3jEvgsRGjWHCLcR
NQIDAQAB
-----END PUBLIC KEY-----
', 1, 'BUTL');
INSERT INTO MERCHANT_RECONCILE (merchant_code, tenant, enable, sftp_folder, pgp_public_key_base64, pgp_partner_id, days_to_subtract, max_records_per_file, priority) VALUES ('BUTL', 'OME', 1, '/butl', 'LS0tLS1CRUdJTiBQR1AgUFVCTElDIEtFWSBCTE9DSy0tLS0tCgptUUlOQkdwNWVpUUJFQUMzTkZJcDBIQ1hUN3dUcVA1YjMwUGNaQkpPYjQzYTdmb1d3cUZZMXVGWndSQVVXVDNMCkdIK0FTVDFNcEFOQ2RRVnBhZVowTGFjNWE0NEVOalFkaStpYVVOUTJjbzV4YmRCeW9vUjREN1pyM256SUl0Qk8KNzRjSDhia3Qxam5uRENMSmdyNkNLUlcxeFRQaVN5TktSQy83Tks2MzE3d1FERTZjNUlaeXo2WlpmQkhzc2JGTApBRnhxdVdITFZjUCtIMVNNVURqU0RrRk9mc3FBMTlkT0IzNG5KQWdyS0w0TU1hQWtPNVdJY0lRa1ArNTRiNHhPClc5SHFGS1ZWZVF4UXRMdG1BeW94eHM2czZtalg5MTdvT1JlWG00emIwMWxlb1JKR2tlMmJLWm5JdUlRNmduMFoKMXJtSVdacWJzZ28xMVprbzMxNmhaMkpFRGtNTktDNURmTDduSDBJTkhmQnBQUG5oQk1EK1d2VjF2eXRwZGxsUwpQbGNqVVovRmF0VTM2cldMZnYxU1greEpIeU1RZTJzcTNQVFZya2pVVXQ1OW1ocDA4MHVTN3dQMGFxRHZ2eVUxCnJzNTYyV1B4UmE0RENHQUZoNnBaMVZOYnVCdWV2bi9WMGc4RUtISlBmZ0w4NWs2em9rWVdiaFdMbGxrdHlMRmMKUmg5VEhPZVpNT2hwczhweTdxK1cxNTM1VTJJVVZsYjJWN1ltdzRReUZ6aFVhc0s5UGRzN2lVd2M4Y0QzZ0ZJcQptckFHbXhJTWZablN6WGR6MzQ2TlRvdnU1djJiTnZZSlM2cW1BOEJ3cUIwN0Zhei93UFY1NlNyQ3ZzZFNtVE9ZCnJLakpiT0VkT0NlKzR1SXFpR2EyTHRDeHlNSytUN0hRTVhOVlBGYkU5UW1GN2NWVUxxZlBKanRxMFFBUkFRQUIKdENSQ1ZWUk1JRkJoZVcxbGJuUWdQR2x1Wm05QVltRnVkVzl1WjNSdmFXeGhhUzUyYmo2SkFsSUVFd0VJQUR3VwpJUVMyUmFESStZVlIraGMwd2hlYW5ISlNSSmk2aEFVQ2FubDZKQUliQXdVTENRZ0hBZ01pQWdFR0ZRb0pDQXNDCkJCWUNBd0VDSGdjQ0Y0QUFDZ2tRbXB4eVVrU1l1b1NpNkJBQW44amdxSGZRSjhqQUtqOUVRaVVnTW1aN2k3R1gKbDVlQUtuMVBKUFdXSVJ5M2JSZFZua1lGL3BqRXA2bFBXNDBhcEF4VG5FK3NDcVc1WlRkaHpNZnQ4M1pDT3ZSLwp5TWlQMDRRS3lqanRiTGMrV3R1aGFpR2E4ZTFKVjJ3N0ZnNVVKdkxabXRjSi9oRGtiOXdscVhNbkJpRmFnOXZnCnF5SHNJTS90Qlh1UGFuTzEwcmttV3NRNjhSUzVJSkMweWVJN1NSWUwwT1RBRC9XZWhtT1VkYncyeENjRFE5V3MKZTFybXZidFFyV2dIY2owTiszcklGeGZrbVlKM3FDM0g4NmRHNmlQZGdXaXdhWTdPQ0NaWi9ncHhwVFpOc1RTMQpnV000SzIzSW4yU2NhRlpoR2ttNWJ0eEV2YU1NRmVJVlpIRVRNZlRKQUhoZ1NPNmlEV1QwaG1SNFo3cW1YMDUvCkMvWTJ1WUZnU0hram8xMi9hZlJpU3hhNXlTM0JwZ0puTDgxTzBwOWpKWHJzV1gzY0RHTzFYakNlR28zcENxWEEKeEUrTExISHNqWDFXaFpSczFsL3UwR3psVCtVRkJKejZraWdTS0JiSk9rek56c3VGOXhXWTZSRk9QMVoxdzhhNApQQ3M1OUtuaStiYjZGQ2tnYWNkQmltbytBL3BCdDc2L0VkREN3K0ZHODV4dFdhRWt5OFdWZ0FyOWVMT0NBbkNVCkNaUU1nSjBXb3lnTU1jOWFLOWhXSHJjWWp4b1ZlbWlVbzNhUWNLNXhDRjd0VHJpRHBNQVJMT2xNd2cyUE1zN2MKV2FNR08wcXJJa0h3WXJsRitwbjEzV2NtZVdlYXE4NjY4VzZuUE5JbVJ3MVpzY0FaSUQwaGlhWm02dEpHaW5URgpxR1FYMVZHdXJscG4zUFM1QWcwRWFubDZKQUVRQUxDM3VqODRNT3dXTklkdk4wcFZxTkFlcG52K3ZoV2wwVUZDCmpLU3VwVDBJWlRhMEgvOHBDbGo2dTZPT1FBeDFlSU9TalpEMVBUSUNGY1NtTWQ1aThkZi9kMGFVc3dPdDMwYXUKVUxyWWZqUWMzb3V6a3JKZmdPVGdlSGd3NVg1Nld0M1hOZkpLVkVEZ0YvR091by80YnBOUlpUZzYxakp6Nk5ZdgpHU2dweG0rVitxTU9yQXliUEIxMjZDMy9XaE9DQzlOOW56enowaUI0bnk5TEoweDZURElvck05eml0Wm9YZDdhCmZJSXhaNkdXUGRCbzNIREd2amxzZ3JocUFqclhjMjF5cnBJd2laYmtFczZMUjVsbUdPd3gwdUpTVjhzVWdibEwKdDRrNkgwY3MzOE9RUjZRRTFFNVlFbGVQalZwZWpuNUZWQnNpTDNzRzdpMVgvTXBsQWNCRzN1blFsVHBLSi9hNApnWTdIam5FU21KZHNiYklRM1JvWmVncC9kYjAzWE5UTi9kNktMeVVDdFlTZ3h4K1h1eTRzYUxTWlEvempJZHRrClBDa3QzSVFidFRtSENXRU5CTEZ1eDVYVEZScURmcVphWGZjTWlCSlRnWGNQWDd4cE1xR2JvSVl0WHpwbFBPSFMKVU5LcCtNbnlsSUhGSXFPeDRESEhpNm9CKy9rd2FBeUkybjI4SlBISWRLY3N6Nno2NDFvZlhKTHNuQzJmVTFrUQovamUvdTRUTXZwZmhHU0J3aUVQUUwyVEQ5bE9ucFppeWwvanJQR2lYV1hiK0k0T1ZVT1N3ODNHQ1JucHRmYTIzCll1akYrbUhqKysxM0Q1MjhUQWFveVdvenJJNnhsZ1dTR3N5RW9oYXdmamFGRTFoRG5SLy90YjRNTm91UnVMWFQKZnhxMm9jVWxBQkVCQUFHSkFqWUVHQUVJQUNBV0lRUzJSYURJK1lWUitoYzB3aGVhbkhKU1JKaTZoQVVDYW5sNgpKQUliREFBS0NSQ2FuSEpTUkppNmhNV1ZEL3dNdGNkcE9RY0NsRm9nbE94R29keTdNVFhsTk81WUJXNXRSSGFXCjdjMEs4c0Y1STFSeUo1ejRxNnBnaWdqeUZYS2Z0ckMyUWFpK0Vxa3gvWTR2RlJ4NytyUSs0MTYvTFRlV3QrcEYKTW01ckpSVlVCSzNQbFNTR3ZEbU15TktZYnBMQkxNdmNSZGJ4SmlIY3krR0ZLR1grSkR0SVZXSk9vYTgybXpyTwpOOWlxZlo3U0JsZGhmUHNPalVrK0MyNnptenpUM1h6ajExcU5YNjduNmNRRkVDaThsZ0VHdytLanhlUWh4dGc1CldER01adkp4MHZ6OVFVOWtGN3cvSkNueUh4OUU0QWFHcEh6ZjFMclBvdkFCUU1zY1RmT1JMcHlkMmU1dGdSTUEKUWEvcHlNcFpFRXpXNmowV3lJWEJ5ZDBwQWh4R0h0MzdoWG5aOUJVRkRlMW9zQ3Azby9wcGEwQ2Z2OHN4dUtHawpObG9VS21ZM3kyekZ6M3ZLLzY5UGI0dmFuTVNRdXo3QzlENHpNSDQ3aDdkcFJDQ3AvWElHdjhKcTBVeEdkbWlKClgrMUJHZmVvdkxTYjBSTTQ4K0VjYkZZcDdiR2R0aktOV1A0T1lyZEpicVlGaG42YjhjYW9GUnAwRUJkNXRnTkgKT2dhTnFBdUdNdjYwc2RnZDhZNU9MN2I1VFV6UW5qNm50RjJpSkZTNWFDR2FzYW8ra3BNckYxWWthOG9NcndlRApYN0RWV3RJQzFUVVAvVERDOVBmdnBsQ2lvYmxZYllpRmdzdVV2YmkrNmdQUEpiQVZFRjRnc0xrTlJKeWVudlY5CjNqRTRrNlZFMlpabWNkU3dSS2ZadXZNbnUzdjhPOU9DZ0oweHorU2tCYjhtcndVTGo0RUZRU05HZVp1MnM5TlYKUlBOdUtBPT0KPXFibWkKLS0tLS1FTkQgUEdQIFBVQkxJQyBLRVkgQkxPQ0stLS0tLQo=', 'info@banuongtoilai.vn', 1, 10000, 999);</t>
  </si>
  <si>
    <t>[OMRE-PROD] Tăng giới hạn column</t>
  </si>
  <si>
    <t>2026-08-18T22:37:32.966+0700</t>
  </si>
  <si>
    <t>2026-08-18T22:37:46.555+0700</t>
  </si>
  <si>
    <t>Dear team, Nhằm phục vụ cho việc tăng giới hạn của column trong table thuộc DB onehs_ivm_prod, nhờ team review giúp em câu query sau  ALTER TABLE VALUATION_OBJECT
MODIFY COLUMN sector_code VARCHAR(255) null comment 'Mã phân khu',
ALGORITHM=INPLACE,
LOCK=NONE; Em cảm ơn ạ</t>
  </si>
  <si>
    <t>[OMC] Update cấu hình segmentation</t>
  </si>
  <si>
    <t>2026-08-18T17:05:11.492+0700</t>
  </si>
  <si>
    <t>2026-08-18T17:05:20.777+0700</t>
  </si>
  <si>
    <t>Dear anh  @Phạm Tuấn Linh , nhờ anh chạy giúp em script sau với ạ. -- DB: 172.31.1.21
-- Schema: mtp_martech_profile
UPDATE mtp_anonymous_profile_segmentation_job
SET properties = '{"AND":[{"attribute":"cst_target_group","operator":"","data_type":"","value":"","operator_expr":"JSON_CONTAINS(cst_target_group, ''[\\"PILOT_SnPwithVoucher_082026\\"]'')"}]}'
WHERE id IN ('34ea6d3f-8078-48f9-bb11-1a22e93d4f7b','456a8194-e8e4-48d2-813a-a99a9300dbf1'); Best regards Dinh Quang Nguyen</t>
  </si>
  <si>
    <t>[OMD][mongodb] Chuyển đổi monoDB dự án SaleApp + off các VM mongoDB B2B</t>
  </si>
  <si>
    <t>2026-08-18T16:51:29.140+0700</t>
  </si>
  <si>
    <t>2026-08-18T16:52:24.744+0700</t>
  </si>
  <si>
    <t xml:space="preserve">1. DBA thực hiện chuyển đổi mongoDB  omd_tc_saleapp_prod  : Dự án SaleApp chạy trên mongoDB, trước đây cài chung trên instance mongoDB của OMD. Hiện tại, OMD có nhu cầu thu hồi tài nguyên của cụm mongoDB này, nên cần thực hiện migrate DB của SaleApp sang 1 instance khác. Thông tin DB cũ: 10.255.32.55 - 27017 Thông tin instance VM chạy DB mới: vinshop-cms-mongod-01 - 10.255.24.63 (vinshop-cms-mongod-01.asia-east1-a.c.vinid-merchant-prod.internal:27017) vinshop-cms-mongod-02 - 10.255.24.64 (vinshop-cms-mongod-02.asia-east1-b.c.vinid-merchant-prod.internal:27017) vinshop-cms-mongod-03 - 10.255.24.65 (vinshop-cms-mongod-03.asia-east1-c.c.vinid-merchant-prod.internal:27017) 2. Sau khi chuyển đổi thành công, thực hiện off các VM mongoDB B2B để tiết kiệm chi phí hạ tầng Các server thuộc project:  https://console.cloud.google.com/compute/instances?project=vinid-b2b-platform-prod&amp;instancessize=50&amp;instancesquery=%255B%257B_22k_22_3A_22_22_2C_22t_22_3A10_2C_22v_22_3A_22_5C_22mongo_5C_22_22%257D%255D CR đã được approve thực hiện:   </t>
  </si>
  <si>
    <t>[PROD] [UPay] Support update om_merchant_id cho merchant onboard smartpos</t>
  </si>
  <si>
    <t>2026-08-18T16:41:16.622+0700</t>
  </si>
  <si>
    <t>2026-08-18T16:45:14.367+0700</t>
  </si>
  <si>
    <t>Hi anh  @Nguyễn Văn Dũng  , anh  @Đào Công Nghĩa   Nhờ team support chạy script sau giúp em với ạ: I. Thông tin database:   mysql://pay-tidb.int.onemount.com:4000/saas_tpay Script: UPDATE UNIFIED_MERCHANT_SERVICE
SET om_merchant_id = 'MC260701NU6M2'
where om_merchant_id = 'MC260701NU6M1';
UPDATE UNIFIED_STORE
SET om_store_id = 'ST260701DUKNB'
where om_store_id = 'ST260701DUKNA';
UPDATE UNIFIED_TERMINAL
SET om_terminal_id = 'TM26070134LA8'
where om_terminal_id = 'TM26070134LA7';</t>
  </si>
  <si>
    <t>[Merchant-TCB] Datafix dedup tpay_merchant_documents 3 nhom (giu dong moi nhat) - Prod</t>
  </si>
  <si>
    <t>2026-08-18T14:48:56.945+0700</t>
  </si>
  <si>
    <t>2026-08-18T15:50:21.820+0700</t>
  </si>
  <si>
    <t>Dear team DBA, nhờ team hỗ trợ dedup dữ liệu trùng như bên dưới ạ. Chạy theo thứ tự B0 -&gt; B1 -&gt; B2 -&gt; B3 (B4 là rollback nếu cần). Bối cảnh Bảng tpay_merchant_documents có 3 nhóm trùng (tcb_merchant_code, service_type) làm approve SoftPOS/SmartPOS trên OPS Portal lỗi 500 (NonUniqueResultException). Kết quả pre-check từ  . Xử lý: mỗi nhóm GIỮ dòng mới nhất, XÓA dòng cũ + items + request của nó. GIỮ: 15331 (NCCEGCB9/SoftPos), 12779 (NCCNTH/SoftPos), 23136 (NCCYHSM4/SMARTPOS) XÓA: 14874, 12778, 23135 (kèm items + requests của chúng) Thông tin database DB_MYSQL_HOST=172.31.4.108 DB_MYSQL_DATABASE=merchant_service_tcb (GCP Cloud SQL instance merchant-tcb / project vinid-merchant-prod) B0 - Re-verify (chạy TRƯỚC TIÊN) Kỳ vọng đúng 3 nhóm (NCCEGCB9/SoftPos, NCCNTH/SoftPos, NCCYHSM4/SMARTPOS), mỗi nhóm 2 dòng. Nếu KHÁC -&gt; DỪNG và báo lại team ạ. SELECT tcb_merchant_code, service_type, COUNT(*) c
FROM tpay_merchant_documents
GROUP BY tcb_merchant_code, service_type
HAVING COUNT(*) &gt; 1; B1 - Backup CDC-safe (con backup theo FK value) CREATE TABLE bak_tmd_dedup_20260818       LIKE tpay_merchant_documents;
CREATE TABLE bak_tmd_items_dedup_20260818 LIKE tpay_merchant_document_items;
CREATE TABLE bak_tmd_reqs_dedup_20260818  LIKE tpay_merchant_document_requests;
INSERT INTO bak_tmd_dedup_20260818       SELECT * FROM tpay_merchant_documents         WHERE id IN (14874, 12778, 23135);
INSERT INTO bak_tmd_items_dedup_20260818 SELECT * FROM tpay_merchant_document_items    WHERE tpay_merchant_document_id IN (14874, 12778, 23135);
INSERT INTO bak_tmd_reqs_dedup_20260818  SELECT * FROM tpay_merchant_document_requests WHERE tpay_merchant_document_id IN (14874, 12778, 23135); B2 - Delete con TRƯỚC, cha SAU (kỳ vọng items=13, requests=3, parents=3; nếu số dòng ảnh hưởng KHÁC -&gt; DỪNG) DELETE FROM tpay_merchant_document_items    WHERE tpay_merchant_document_id IN (14874, 12778, 23135);
DELETE FROM tpay_merchant_document_requests WHERE tpay_merchant_document_id IN (14874, 12778, 23135);
DELETE FROM tpay_merchant_documents         WHERE id IN (14874, 12778, 23135); B3 - Verify (kỳ vọng: câu 1 = 0 dòng; câu 2: 15331=4, 12779=4, 23136=5) SELECT tcb_merchant_code, service_type, COUNT(*) c
FROM tpay_merchant_documents
GROUP BY tcb_merchant_code, service_type HAVING COUNT(*) &gt; 1;
SELECT tpay_merchant_document_id, COUNT(*) item_count
FROM tpay_merchant_document_items
WHERE tpay_merchant_document_id IN (15331, 12779, 23136)
GROUP BY tpay_merchant_document_id; B4 - Rollback (chỉ khi cần) - cha TRƯỚC, rồi requests, rồi items INSERT INTO tpay_merchant_documents         SELECT * FROM bak_tmd_dedup_20260818;
INSERT INTO tpay_merchant_document_requests SELECT * FROM bak_tmd_reqs_dedup_20260818;
INSERT INTO tpay_merchant_document_items    SELECT * FROM bak_tmd_items_dedup_20260818; Cảm ơn team.</t>
  </si>
  <si>
    <t>[PROD] [Merchant-TCB] Update Mã đăng ký kinh doanh merchant NCC450AX (OMDK_250901 -&gt; OMDK250901)</t>
  </si>
  <si>
    <t>2026-08-18T14:47:58.760+0700</t>
  </si>
  <si>
    <t>2026-08-18T14:48:15.303+0700</t>
  </si>
  <si>
    <t>Mục đích: đồng bộ MySQL với ES sau khi update Mã đăng ký kinh doanh (business license number) của merchant NCC450AX từ OMDK_250901 → OMDK250901 (bỏ dấu '_'). ES đã được tạo ticket update tại   ( https://onemount.atlassian.net/browse/SH-73083 ). Code app luôn ghi cả ES + MySQL nên cần update MySQL cho khớp, tránh desync. Thông tin database DB_MYSQL_HOST=vinid-merchant-prod--merchant-tcb.cloudsql.int:3306 DB_MYSQL_DATABASE=merchant_service_tcb B1. Pre-check (read-only, xác nhận trạng thái trước khi update) SELECT id, code, tcb_merchant_code, business_license_number FROM tpay_merchant WHERE code='NCC450AX';
-- kỳ vọng: 1 dòng, business_license_number='OMDK_250901'. Nếu đã là OMDK250901 =&gt; đã đồng bộ, DỪNG.
SELECT id, merchant_code, business_license_number, status FROM tpay_request_merchant WHERE business_license_number='OMDK_250901';
-- (flag) bản ghi request/audit còn giữ giá trị cũ; luồng SoftPOS validate đọc bảng này.
--        Nếu có dòng status in-flight =&gt; tạm dừng, confirm nghiệp vụ trước khi update B2 (KHÔNG tự sửa bảng audit). B2. Update (kỳ vọng affected = 1 dòng) START TRANSACTION;
UPDATE tpay_merchant SET business_license_number='OMDK250901' WHERE code='NCC450AX' AND business_license_number='OMDK_250901';
-- kiểm tra affected rows = 1 rồi COMMIT; nếu ≠ 1 thì ROLLBACK và báo lại
COMMIT; B3. Verify SELECT id, code, tcb_merchant_code, business_license_number FROM tpay_merchant WHERE code='NCC450AX';</t>
  </si>
  <si>
    <t>[PROD] Xử lý backup và xóa data ROC</t>
  </si>
  <si>
    <t>2026-08-18T14:47:35.425+0700</t>
  </si>
  <si>
    <t>2026-08-18T14:47:39.867+0700</t>
  </si>
  <si>
    <t>Tpay</t>
  </si>
  <si>
    <t>Dear team DBA, Do team sẽ không tiếp tục thực hiện đồng bộ cho các giao dịch có partner = ROC nên nhờ anh/em DBA thực hiện clear data theo script bên dưới để giảm dung lượng DB và giảm tải cho hệ thống ạ. Thông tin DB:  mysql://pay-tidb.int.onemount.com:4000/saas_tpay ---Câu lệnh select để backup
SELECT * FROM TRANSACTION_MASTER WHERE partner = 'ROC';
SELECT * FROM TRANSACTION_DETAIL  WHERE partner = 'ROC';
SELECT * FROM TCB_MERCHANT_TRANSACTION WHERE partner_id  = 'ROC';
---Câu lệnh DELETE theo batch
BATCH ON id LIMIT 10000 
DELETE FROM TRANSACTION_DETAIL 
WHERE partner = 'ROC';
BATCH ON id LIMIT 10000 
DELETE FROM TRANSACTION_MASTER 
WHERE partner = 'ROC';
BATCH ON id LIMIT 10000 
DELETE FROM TCB_MERCHANT_TRANSACTION 
WHERE partner_id = 'ROC'; Do lượng data ở mỗi bảng là khoảng 8 triệu bản ghi nên cần xử lý xóa theo batch và thực hiện vào thời điểm thấp tải, từ 00h đến 04h sáng. Nhờ anh/em DBA hỗ trợ thực hiện ạ</t>
  </si>
  <si>
    <t>[OMC] Update dữ liệu segmentation</t>
  </si>
  <si>
    <t>2026-08-18T14:46:04.811+0700</t>
  </si>
  <si>
    <t>2026-08-18T14:46:10.362+0700</t>
  </si>
  <si>
    <t>Dear anh  @Nguyễn Văn Dũng  , nhờ anh chạy giúp em script trong file đính kèm ạ DB: TiDB- OMC Best regards Dinh Quang Nguyen</t>
  </si>
  <si>
    <t>[UPP][PGW] - Hỗ trợ cập nhật manual mcc cho merchant event giải chạy SUNRISEVIETNAM</t>
  </si>
  <si>
    <t>2026-08-18T14:44:30.714+0700</t>
  </si>
  <si>
    <t>2026-08-18T14:44:43.349+0700</t>
  </si>
  <si>
    <t>Dear team DBA, Nhờ các anh chạy lệnh update bên dưới giúp em ạ Thông tin DB:  jdbc:mysql://vinpay-sql-onehub-master.int.vinid.net:3306/pay_payment_gateway Script: UPDATE MERCHANT SET mcc='4722' WHERE id in (1264,1265);</t>
  </si>
  <si>
    <t>2026-08-18T12:03:52.714+0700</t>
  </si>
  <si>
    <t>2026-08-18T12:04:01.916+0700</t>
  </si>
  <si>
    <t>Dear team DBA, nhờ team hỗ trợ chạy các câu lệnh SELECT read-only bên dưới trên PROD ạ. Bối cảnh OPS Portal approve SoftPOS request-terminal đang lỗi HTTP 500 (NonUniqueResultException: query did not return a unique result: 2) do bảng tpay_merchant_documents có &gt;1 dòng cùng (tcb_merchant_code, service_type). Nhờ team chạy các SELECT read-only dưới đây để xác định phạm vi và chi tiết dòng trùng (kết quả sẽ dùng cho ticket dedup tiếp theo). Thông tin database DB_MYSQL_HOST=172.31.4.108 DB_MYSQL_DATABASE=merchant_service_tcb (GCP Cloud SQL instance merchant-tcb / project vinid-merchant-prod) Q1 - Tất cả nhóm cha trùng SELECT tcb_merchant_code, service_type, COUNT(*) AS c
FROM tpay_merchant_documents
GROUP BY tcb_merchant_code, service_type
HAVING COUNT(*) &gt; 1
ORDER BY c DESC, tcb_merchant_code; Q2 - Chi tiết dòng cha trùng (kèm created_by/created_at) SELECT d.id, d.code, d.status, d.tcb_merchant_code, d.service_type, d.document_types,
       d.created_at, d.created_by, d.updated_at, d.updated_by, d.approved_at, d.approved_by
FROM tpay_merchant_documents d
JOIN (SELECT tcb_merchant_code, service_type FROM tpay_merchant_documents
      GROUP BY tcb_merchant_code, service_type HAVING COUNT(*) &gt; 1) g
  ON g.tcb_merchant_code = d.tcb_merchant_code AND g.service_type = d.service_type
ORDER BY d.tcb_merchant_code, d.service_type, d.id; Q3 - Đếm con mỗi dòng cha (items = dữ liệu thật, requests = audit) SELECT d.id AS document_id,
       (SELECT COUNT(*) FROM tpay_merchant_document_items  i WHERE i.tpay_merchant_document_id = d.id) AS item_count,
       (SELECT COUNT(*) FROM tpay_merchant_document_requests r WHERE r.tpay_merchant_document_id = d.id) AS request_count
FROM tpay_merchant_documents d
JOIN (SELECT tcb_merchant_code, service_type FROM tpay_merchant_documents
      GROUP BY tcb_merchant_code, service_type HAVING COUNT(*) &gt; 1) g
  ON g.tcb_merchant_code = d.tcb_merchant_code AND g.service_type = d.service_type
ORDER BY d.tcb_merchant_code, d.service_type, d.id; Q4 - Dump items các cha trùng (để chốt dòng giữ) SELECT i.id, i.tpay_merchant_document_id, i.document_type, i.tpay_terminal_id, i.tpay_store_id,
       i.created_at, i.created_by
FROM tpay_merchant_document_items i
JOIN tpay_merchant_documents d ON d.id = i.tpay_merchant_document_id
JOIN (SELECT tcb_merchant_code, service_type FROM tpay_merchant_documents
      GROUP BY tcb_merchant_code, service_type HAVING COUNT(*) &gt; 1) g
  ON g.tcb_merchant_code = d.tcb_merchant_code AND g.service_type = d.service_type
ORDER BY i.tpay_merchant_document_id, i.id; Q5 - Probe tpay_merchant (theo tcb_merchant_code) SELECT tcb_merchant_code, COUNT(*) AS c
FROM tpay_merchant
GROUP BY tcb_merchant_code
HAVING COUNT(*) &gt; 1; Cảm ơn team.</t>
  </si>
  <si>
    <t>[PROD] [UPay] Support update account number cho merchant onboard smartpos và update email_verified cho MAG-PROD</t>
  </si>
  <si>
    <t>2026-08-18T11:19:19.346+0700</t>
  </si>
  <si>
    <t>2026-08-18T11:19:25.561+0700</t>
  </si>
  <si>
    <t>AuthOM, Smartpos</t>
  </si>
  <si>
    <t>Hi anh  @Nguyễn Văn Dũng  , anh  @Đào Công Nghĩa   Nhờ team support chạy script sau giúp em với ạ: I. Thông tin database:   mysql://pay-tidb.int.onemount.com:4000/saas_tpay Script: START TRANSACTION;
DELETE sa
FROM SERVICE_ACCOUNT sa
         JOIN SERVICE s ON s.ID = sa.SERVICE_ID
         JOIN ACCOUNT a ON a.ID = sa.ACCOUNT_ID
WHERE s.MERCHANT_CODE = 'NCCH3CG9'
  AND s.MASTER_ACCOUNT = '25219949999'
  AND s.SERVICE_CODE = 'SMARTPOS_QR'
  AND s.STORE_CODE IS NULL
  AND a.ACCOUNT_BY_PURPOSE IN ('COLLECTION', 'FEE', 'REFUND');
INSERT INTO ACCOUNT (MERCHANT_CODE,
                     BANK_NAME,
                     BRANCH_NAME,
                     ACCOUNT_NUMBER,
                     ACCOUNT_NAME,
                     ACCOUNT_BY_PURPOSE,
                     STATUS,
                     CREATED_AT,
                     CREATED_BY,
                     UPDATED_AT,
                     UPDATED_BY)
VALUES ('NCCH3CG9',
        'Ngân hàng TMCP Kỹ Thương Việt Nam',
        'NGAN HANG KY THUONG (TECHCOMBANK)',
        '25219949999',
        'CHU TIEN DAT',
        'FEE',
        1,
        CURRENT_TIMESTAMP,
        'huyennt87@techcombank.com.vn',
        CURRENT_TIMESTAMP,
        'thaotp13@techcombank.com.vn');
INSERT INTO SERVICE_ACCOUNT (SERVICE_ID,
                             ACCOUNT_ID,
                             CREATED_AT,
                             CREATED_BY,
                             UPDATED_AT,
                             UPDATED_BY)
SELECT s.ID,
       LAST_INSERT_ID(),
       CURRENT_TIMESTAMP,
       'thaotp13@techcombank.com.vn',
       CURRENT_TIMESTAMP,
       'thaotp13@techcombank.com.vn'
FROM SERVICE s
WHERE s.MERCHANT_CODE = 'NCCH3CG9'
  AND s.MASTER_ACCOUNT = '25219949999'
  AND s.SERVICE_CODE = 'SMARTPOS_QR'
  AND s.STORE_CODE IS NULL;
INSERT INTO ACCOUNT (MERCHANT_CODE,
                     BANK_NAME,
                     BRANCH_NAME,
                     ACCOUNT_NUMBER,
                     ACCOUNT_NAME,
                     ACCOUNT_BY_PURPOSE,
                     STATUS,
                     CREATED_AT,
                     CREATED_BY,
                     UPDATED_AT,
                     UPDATED_BY)
VALUES ('NCCH3CG9',
        'Ngân hàng TMCP Kỹ Thương Việt Nam',
        'NGAN HANG KY THUONG (TECHCOMBANK)',
        '25219949999',
        'CHU TIEN DAT',
        'REFUND',
        1,
        CURRENT_TIMESTAMP,
        'huyennt87@techcombank.com.vn',
        CURRENT_TIMESTAMP,
        'thaotp13@techcombank.com.vn');
INSERT INTO SERVICE_ACCOUNT (SERVICE_ID,
                             ACCOUNT_ID,
                             CREATED_AT,
                             CREATED_BY,
                             UPDATED_AT,
                             UPDATED_BY)
SELECT s.ID,
       LAST_INSERT_ID(),
       CURRENT_TIMESTAMP,
       'thaotp13@techcombank.com.vn',
       CURRENT_TIMESTAMP,
       'thaotp13@techcombank.com.vn'
FROM SERVICE s
WHERE s.MERCHANT_CODE = 'NCCH3CG9'
  AND s.MASTER_ACCOUNT = '25219949999'
  AND s.SERVICE_CODE = 'SMARTPOS_QR'
  AND s.STORE_CODE IS NULL;
INSERT INTO ACCOUNT (MERCHANT_CODE,
                     BANK_NAME,
                     BRANCH_NAME,
                     ACCOUNT_NUMBER,
                     ACCOUNT_NAME,
                     ACCOUNT_BY_PURPOSE,
                     STATUS,
                     CREATED_AT,
                     CREATED_BY,
                     UPDATED_AT,
                     UPDATED_BY)
VALUES ('NCCH3CG9',
        'Ngân hàng TMCP Kỹ Thương Việt Nam',
        'NGAN HANG KY THUONG (TECHCOMBANK)',
        '25219949999',
        'CHU TIEN DAT',
        'COLLECTION',
        1,
        CURRENT_TIMESTAMP,
        'huyennt87@techcombank.com.vn',
        CURRENT_TIMESTAMP,
        'thaotp13@techcombank.com.vn');
SELECT LAST_INSERT_ID() AS QR_COLLECTION_ACCOUNT_ID;
UPDATE UNIFIED_MERCHANT_SERVICE
SET MASTER_ACCOUNT_ID = LAST_INSERT_ID(),
    UPDATED_BY        = 'thaotp13@techcombank.com.vn',
    UPDATED_AT        = CURRENT_TIMESTAMP
WHERE MERCHANT_CODE = 'NCCH3CG9'
  AND MASTER_ACCOUNT = '25219949999'
  AND SERVICE_CODE = 'SMARTPOS_QR';
UPDATE SERVICE
SET MASTER_ACCOUNT_ID = LAST_INSERT_ID(),
    UPDATED_BY        = 'thaotp13@techcombank.com.vn',
    UPDATED_AT        = CURRENT_TIMESTAMP
WHERE MERCHANT_CODE = 'NCCH3CG9'
  AND MASTER_ACCOUNT = '25219949999'
  AND SERVICE_CODE = 'SMARTPOS_QR';
INSERT INTO SERVICE_ACCOUNT (SERVICE_ID,
                             ACCOUNT_ID,
                             CREATED_AT,
                             CREATED_BY,
                             UPDATED_AT,
                             UPDATED_BY)
SELECT s.ID,
       LAST_INSERT_ID(),
       CURRENT_TIMESTAMP,
       'thaotp13@techcombank.com.vn',
       CURRENT_TIMESTAMP,
       'thaotp13@techcombank.com.vn'
FROM SERVICE s
WHERE s.MERCHANT_CODE = 'NCCH3CG9'
  AND s.MASTER_ACCOUNT = '25219949999'
  AND s.SERVICE_CODE = 'SMARTPOS_QR'
  AND s.STORE_CODE IS NULL;
COMMIT;
ROLLBACK;
START TRANSACTION;
DELETE sa
FROM SERVICE_ACCOUNT sa
         JOIN SERVICE s ON s.ID = sa.SERVICE_ID
         JOIN ACCOUNT a ON a.ID = sa.ACCOUNT_ID
WHERE s.MERCHANT_CODE = 'NCCH3CG9'
  AND s.MASTER_ACCOUNT = '25219949999'
  AND s.SERVICE_CODE = 'SMARTPOS_CARD'
  AND s.STORE_CODE IS NULL
  AND a.ACCOUNT_BY_PURPOSE IN ('COLLECTION', 'FEE', 'REFUND');
INSERT INTO ACCOUNT (MERCHANT_CODE,
                     BANK_NAME,
                     BRANCH_NAME,
                     ACCOUNT_NUMBER,
                     ACCOUNT_NAME,
                     ACCOUNT_BY_PURPOSE,
                     STATUS,
                     CREATED_AT,
                     CREATED_BY,
                     UPDATED_AT,
                     UPDATED_BY)
VALUES ('NCCH3CG9',
        'Ngân hàng TMCP Kỹ Thương Việt Nam',
        'NGAN HANG KY THUONG (TECHCOMBANK)',
        '25219949999',
        'CHU TIEN DAT',
        'FEE',
        1,
        CURRENT_TIMESTAMP,
        'huyennt87@techcombank.com.vn',
        CURRENT_TIMESTAMP,
        'thaotp13@techcombank.com.vn');
INSERT INTO SERVICE_ACCOUNT (SERVICE_ID,
                             ACCOUNT_ID,
                             CREATED_AT,
                             CREATED_BY,
                             UPDATED_AT,
                             UPDATED_BY)
SELECT s.ID,
       LAST_INSERT_ID(),
       CURRENT_TIMESTAMP,
       'thaotp13@techcombank.com.vn',
       CURRENT_TIMESTAMP,
       'thaotp13@techcombank.com.vn'
FROM SERVICE s
WHERE s.MERCHANT_CODE = 'NCCH3CG9'
  AND s.MASTER_ACCOUNT = '25219949999'
  AND s.SERVICE_CODE = 'SMARTPOS_CARD'
  AND s.STORE_CODE IS NULL;
INSERT INTO ACCOUNT (MERCHANT_CODE,
                     BANK_NAME,
                     BRANCH_NAME,
                     ACCOUNT_NUMBER,
                     ACCOUNT_NAME,
                     ACCOUNT_BY_PURPOSE,
                     STATUS,
                     CREATED_AT,
                     CREATED_BY,
                     UPDATED_AT,
                     UPDATED_BY)
VALUES ('NCCH3CG9',
        'Ngân hàng TMCP Kỹ Thương Việt Nam',
        'NGAN HANG KY THUONG (TECHCOMBANK)',
        '25219949999',
        'CHU TIEN DAT',
        'REFUND',
        1,
        CURRENT_TIMESTAMP,
        'huyennt87@techcombank.com.vn',
        CURRENT_TIMESTAMP,
        'thaotp13@techcombank.com.vn');
INSERT INTO SERVICE_ACCOUNT (SERVICE_ID,
                             ACCOUNT_ID,
                             CREATED_AT,
                             CREATED_BY,
                             UPDATED_AT,
                             UPDATED_BY)
SELECT s.ID,
       LAST_INSERT_ID(),
       CURRENT_TIMESTAMP,
       'thaotp13@techcombank.com.vn',
       CURRENT_TIMESTAMP,
       'thaotp13@techcombank.com.vn'
FROM SERVICE s
WHERE s.MERCHANT_CODE = 'NCCH3CG9'
  AND s.MASTER_ACCOUNT = '25219949999'
  AND s.SERVICE_CODE = 'SMARTPOS_CARD'
  AND s.STORE_CODE IS NULL;
INSERT INTO ACCOUNT (MERCHANT_CODE,
                     BANK_NAME,
                     BRANCH_NAME,
                     ACCOUNT_NUMBER,
                     ACCOUNT_NAME,
                     ACCOUNT_BY_PURPOSE,
                     STATUS,
                     CREATED_AT,
                     CREATED_BY,
                     UPDATED_AT,
                     UPDATED_BY)
VALUES ('NCCH3CG9',
        'Ngân hàng TMCP Kỹ Thương Việt Nam',
        'NGAN HANG KY THUONG (TECHCOMBANK)',
        '25219949999',
        'CHU TIEN DAT',
        'COLLECTION',
        1,
        CURRENT_TIMESTAMP,
        'huyennt87@techcombank.com.vn',
        CURRENT_TIMESTAMP,
        'thaotp13@techcombank.com.vn');
SELECT LAST_INSERT_ID() AS CARD_COLLECTION_ACCOUNT_ID;
UPDATE UNIFIED_MERCHANT_SERVICE
SET MASTER_ACCOUNT_ID = LAST_INSERT_ID(),
    UPDATED_BY        = 'thaotp13@techcombank.com.vn',
    UPDATED_AT        = CURRENT_TIMESTAMP
WHERE MERCHANT_CODE = 'NCCH3CG9'
  AND MASTER_ACCOUNT = '25219949999'
  AND SERVICE_CODE = 'SMARTPOS_CARD';
UPDATE SERVICE
SET MASTER_ACCOUNT_ID = LAST_INSERT_ID(),
    UPDATED_BY        = 'thaotp13@techcombank.com.vn',
    UPDATED_AT        = CURRENT_TIMESTAMP
WHERE MERCHANT_CODE = 'NCCH3CG9'
  AND MASTER_ACCOUNT = '25219949999'
  AND SERVICE_CODE = 'SMARTPOS_CARD';
INSERT INTO SERVICE_ACCOUNT (SERVICE_ID,
                             ACCOUNT_ID,
                             CREATED_AT,
                             CREATED_BY,
                             UPDATED_AT,
                             UPDATED_BY)
SELECT s.ID,
       LAST_INSERT_ID(),
       CURRENT_TIMESTAMP,
       'thaotp13@techcombank.com.vn',
       CURRENT_TIMESTAMP,
       'thaotp13@techcombank.com.vn'
FROM SERVICE s
WHERE s.MERCHANT_CODE = 'NCCH3CG9'
  AND s.MASTER_ACCOUNT = '25219949999'
  AND s.SERVICE_CODE = 'SMARTPOS_CARD'
  AND s.STORE_CODE IS NULL;
COMMIT;
ROLLBACK; II. Thông tin database:   Project:   onemg-general-prod Instance:   auth-om Master IP:   172.31.4.103 Database:   auth_om Script:   UPDATE `User` SET email_verified = 1 WHERE tenant_id = 'MAG-PROD' AND db_id = '23307';</t>
  </si>
  <si>
    <t>2026-08-18T09:06:55.442+0700</t>
  </si>
  <si>
    <t>Để phục vụ cho việc golive dashboard OneHub V4, nhờ team phân quyền cho worker của OneNexus connect qua MySQL DB prod của CBP như sau: Mysql (172.31.0.67): Môi trường: prod User hiện tại: onx_dp_cdp_onehub_readonly Danh sách bảng cần phân quyền thêm (SELECT): omre_cbp_collab: inq_bookings inq_inquiry_contacts Ghi chú: Hai bảng trên là phần bổ sung so với lần xin quyền cho V3 ( ), các bảng còn lại đã được cấp từ trước, không cần cấp lại. Nhờ team xác nhận giúp bảng inq_bookings có tồn tại trên omre_cbp_collab của prod không ạ (SHOW TABLES FROM omre_cbp_collab LIKE 'inq_bookings'). Bên em mới đo được trên QC/UAT, prod chưa kiểm tra được. Lưu ý inq_soft_bookings là bảng KHÁC, không nằm trong yêu cầu này. Em cảm ơn team!</t>
  </si>
  <si>
    <t>[UPP][PGW] - Hỗ trợ cập nhật manual mcc cho merchant event bán vé Chung kết Asean Hyundai Cup 2026</t>
  </si>
  <si>
    <t>2026-08-17T17:57:49.854+0700</t>
  </si>
  <si>
    <t>2026-08-17T17:57:55.754+0700</t>
  </si>
  <si>
    <t>Dear team DBA, Nhờ các anh chạy lệnh update bên dưới giúp em ạ Thông tin DB:  jdbc:mysql://vinpay-sql-onehub-master.int.vinid.net:3306/pay_payment_gateway Script: UPDATE MERCHANT SET mcc='4722' WHERE id in (1280,1281);</t>
  </si>
  <si>
    <t>[OMD][TCB-MerchantHUB][PROD] Insert data vào bảng digital_signature_contract_v2</t>
  </si>
  <si>
    <t>2026-08-17T16:28:14.872+0700</t>
  </si>
  <si>
    <t>2026-08-17T16:28:30.375+0700</t>
  </si>
  <si>
    <t>Dear anh Linh, Do đồng bộ thông tin giữa FPT và OM bị lỗi và k thể retry lại đc nên team cần hỗ trợ insert 1 dòng dữ liệu vào bảng  digital_signature_contract_v2  ạ. Thời gian chạy: ngày 17/08 DB:  Fiscal instance: mhpos-common-prod-postgres - 172.31.4.36 mhpos_fiscal SQL: INSERT INTO public.digital_signature_contract_v2 (
    merchant_id,
    id,
    created_at,
    deleted,
    version,
    pass_code,
    e_invoice_registrations_id,
    agreement_uuid,
    d_signature_serial,
    owner,
    valid_to,
    valid_from,
    remaining_counter,
    signed_counter
)
VALUES (
           7892493334368045987,
           gen_random_uuid(),
           CURRENT_TIMESTAMP,
           FALSE,
           0,
           '07563752',
           '12de16f0-a6e1-4fd2-ad31-f283392da20a'::uuid,
           'TCB_NCCWD4D41K7',
           '540101046CD49A822283E90A2C2C4282',
           'HỘ KINH DOANH ĐẶNG THỊ MINH THU DVKT',
           TIMESTAMP '2027-08-06 20:09:00',
           TIMESTAMP '2026-08-06 19:59:03',
           -1,
           0
       );</t>
  </si>
  <si>
    <t>[MAG][Fins Platform][NonProd] Nhờ cấp database nôi trương Non-prod</t>
  </si>
  <si>
    <t>2026-08-17T16:15:59.697+0700</t>
  </si>
  <si>
    <t>Nhờ tạo giúp em database Non-Prod trên RDS trên hạ tâng MAG AWS theo thông tin sau fins-platform-bpm-dev fins-platform-bpm-qc fins-platform-bpm-uat</t>
  </si>
  <si>
    <t>[OMC][MTP] Clear dữ liệu tracking tháng 7-8/2026</t>
  </si>
  <si>
    <t>2026-08-17T16:06:20.219+0700</t>
  </si>
  <si>
    <t>2026-08-17T16:06:32.896+0700</t>
  </si>
  <si>
    <t>tracking</t>
  </si>
  <si>
    <t>Dear anh  @Nguyễn Văn Dũng  ,  @Đào Công Nghĩa  , nhờ a/e chạy giúp e scripts sau với ạ: -- OMC
use omc_mtp_tracking_events;
ALTER TABLE omc_mtp_tracking_events.mtp_tracking_events_omc  DROP INDEX idx_u_message_id;
ALTER TABLE omc_mtp_tracking_events.mtp_tracking_events_omc DROP PARTITION p20260801;
ALTER TABLE omc_mtp_tracking_events.mtp_tracking_events_omc DROP PARTITION p20260702;
ALTER TABLE omc_mtp_tracking_events.mtp_tracking_events_context_omc DROP PARTITION p20260702;
ALTER TABLE omc_mtp_tracking_events.mtp_tracking_events_context_omc DROP PARTITION p20260801;
ALTER TABLE omc_mtp_tracking_events.mtp_tracking_event_sessions DROP PARTITION p2026_07;
use omc_mtp_martech_activation;
ALTER TABLE omc_mtp_martech_activation.mtp_ads_events DROP PARTITION p2026_07;
ALTER TABLE omc_mtp_martech_activation.mtp_push_events DROP PARTITION p2026_07;
ALTER TABLE omc_mtp_martech_activation.mtp_tracking_email_events DROP PARTITION p2026_07;
ALTER TABLE omc_mtp_martech_activation.mtp_tracking_email_notifications DROP PARTITION p2026_07;
ALTER TABLE omc_mtp_martech_activation.mtp_tracking_fcm_messages DROP PARTITION p2026_07;
ALTER TABLE omc_mtp_martech_activation.mtp_tracking_push_notifications DROP PARTITION p2026_07;
-- OMRE
use omre_mtp_tracking_events;
ALTER TABLE omre_mtp_tracking_events.mtp_tracking_events_omre  DROP INDEX idx_u_message_id;
ALTER TABLE omre_mtp_tracking_events.mtp_tracking_events_omre drop partition p20260801;
ALTER TABLE omre_mtp_tracking_events.mtp_tracking_events_omre drop partition p20260702;
ALTER TABLE omre_mtp_tracking_events.mtp_tracking_events_context_omre DROP PARTITION p20260801;
ALTER TABLE omre_mtp_tracking_events.mtp_tracking_events_context_omre DROP PARTITION p20260702;
-- create global index
use omc_mtp_tracking_events;
ALTER TABLE omc_mtp_tracking_events.mtp_tracking_events_omc ADD UNIQUE INDEX idx_u_message_id (message_id) GLOBAL;
use omre_mtp_tracking_events;
ALTER TABLE omre_mtp_tracking_events.mtp_tracking_events_omre ADD UNIQUE INDEX idx_u_message_id (message_id) GLOBAL; Best regards Dinh Quang Nguyen</t>
  </si>
  <si>
    <t>[PROD] [14-15/08/2026] [UPay] Support release plan golive</t>
  </si>
  <si>
    <t>2026-08-17T15:53:10.192+0700</t>
  </si>
  <si>
    <t>2026-08-17T15:53:42.472+0700</t>
  </si>
  <si>
    <t>Hi a   @Nguyễn Văn Dũng  , nhờ a chạy giúp e script bên dưới khi bắt đầu golive với ạ Thời gian golive: 23h59p ngày 14/08/2026 Release golive:    CR:    Thông tin database:  mysql://pay-tidb.int.onemount.com:4000/saas_tpay Script:  ALTER TABLE TRANSACTION_MASTER ADD COLUMN partner_code VARCHAR(50) NULL;</t>
  </si>
  <si>
    <t>[om][track&amp;trace][mongodb] Tạo mongo database cho track&amp;trace phục vụ cho việc chuyển cụm mongo</t>
  </si>
  <si>
    <t>2026-08-17T12:36:56.871+0700</t>
  </si>
  <si>
    <t>2026-08-17T14:36:20.374+0700</t>
  </si>
  <si>
    <t>Hi anh Linh  Như đã thống nhất phương án Nhờ anh tạo giúp em DB cho Track&amp;Trace trên cụm mongo vinshop cms DB name:  trackandtrace ( thông tin user/pass reffer lấy theo thông tin đang chạy) - em sẽ gửi riêng</t>
  </si>
  <si>
    <t>[om][TCB SaleApp][mongodb] Tạo mongo database cho TCB SaleApp phục vụ cho việc chuyển cụm mongo</t>
  </si>
  <si>
    <t>2026-08-17T09:23:15.104+0700</t>
  </si>
  <si>
    <t>2026-08-17T14:59:52.165+0700</t>
  </si>
  <si>
    <t>TCB_SaleApp</t>
  </si>
  <si>
    <t>Hi anh Linh  Như đã thống nhất phương án Nhờ anh tạo giúp em DB cho TCB SaleApp  trên cụm mongo vinshop cms DB name: omd_tc_saleapp_prod ( thông tin user/pass reffer lấy theo thông tin đang chạy) - em sẽ gửi riêng</t>
  </si>
  <si>
    <t>[OneU] [UCO] Configure service code for HEALTHCARE, TQR and MQR</t>
  </si>
  <si>
    <t>2026-08-15T17:31:42.496+0700</t>
  </si>
  <si>
    <t>2026-08-15T17:31:50.817+0700</t>
  </si>
  <si>
    <t>Hi  @Đào Công Nghĩa Nhờ em chạy giúp anh thông tin script dưới đây: IP/Host:  172.31.4.9 Database:  ecom_configuration Scripts: INSERT INTO services
(created_at, updated_at, code, name, vi_title, en_title, icon)
VALUES(now(), now(), 'TQR', 'Thanh toán TQR', 'Thanh toán TQR', 'TQR payment', 'asset://ic_24transaction_cart');
INSERT INTO services
(created_at, updated_at, code, name, vi_title, en_title, icon)
VALUES(now(), now(), 'MQR', 'Thanh toán MQR', 'Thanh toán MQR', 'MQR payment', 'asset://ic_24transaction_cart');
INSERT INTO services
(created_at, updated_at, code, name, vi_title, en_title, icon)
VALUES(now(), now(), 'HEALTHCARE', 'Thanh toán IVIE', 'Thanh toán IVIE', 'IVIE Payment', 'asset://ic_24transaction_cart');</t>
  </si>
  <si>
    <t>[PROD][OSC] Cấu hình thông tin merchant thanh toán cho IVIE</t>
  </si>
  <si>
    <t>2026-08-15T15:54:21.793+0700</t>
  </si>
  <si>
    <t>2026-08-15T15:54:30.412+0700</t>
  </si>
  <si>
    <t>Hi  @Đào Công Nghĩa Nhờ em chạy giúp anh thông tin script dưới đây: IP/Host:  mysql://pay-tidb.int.onemount.com:4000/osc Database:  osc Scripts: INSERT INTO OSC_MERCHANT_PAYMENT_CHANNEL
(merchant_code, payment_channel, enable, created_at, updated_at)
VALUES('DOOPS25354cyy', 'online', 1, now(), now());
INSERT INTO OSC_MERCHANT_PAYMENT_INSTRUMENT
(merchant_code, payment_instrument, enable, created_at, updated_at)
VALUES('DOOPS25354cyy', 'ATA', 1, now(), now());
INSERT INTO OSC_MERCHANT_PAYMENT_INSTRUMENT
(merchant_code, payment_instrument, enable, created_at, updated_at)
VALUES('DOOPS25354cyy', 'RTP', 1, now(), now());
INSERT INTO OSC_MERCHANT_PAYMENT_INSTRUMENT
(merchant_code, payment_instrument, enable, created_at, updated_at)
VALUES('DOOPS25354cyy', 'IN_APP', 1, now(), now());
#Cấu hình order ttl và request ttl
INSERT INTO OSC_MERCHANT
(partner_code, merchant_id, maintain, mqr_code, mqr_data, order_ttl, request_ttl, active, created_at, updated_at)
VALUES(NULL, 'DOOPS25354cyy', NULL, NULL, NULL, 6000, 3000, 1, now(), now());</t>
  </si>
  <si>
    <t>[VCM] Cập nhật số lượng voucher do đang bị lệch tồn giữa các hệ thống</t>
  </si>
  <si>
    <t>2026-08-15T12:25:49.133+0700</t>
  </si>
  <si>
    <t>2026-08-15T12:26:00.447+0700</t>
  </si>
  <si>
    <t>Theo trao đổi trong thread chat  https://chat.google.com/room/AAAAJGjzb3g/QCWx7Nn47uw/QCWx7Nn47uw?cls=10  thì đang xảy ra tình trạng lệch tồn giữ OneVC so với VD và VMM nên nhờ DBA thực hiện cập nhật số lương tồn cho voucher  VD_VC_1779425627449  theo các bước: Bước 1: Lấy ra thông tin voucher trong table distribute_lock: SELECT
	d.sale_code,
	d.total_stock,
	d.current_stock
FROM
	onevc_vsm_prod.distribute_lock d
WHERE
	d.sale_code = 'VD_VC_1779425627449'; Bước 2: Dựa trên kết quả của bước 1, nếu giá trị của  total_stock = 13000  và  current_stock = 13000  thì thực hiện script sau để update lại giá trị của  current_stock . UPDATE
	onevc_vsm_prod.distribute_lock d
SET
	d.current_stock = 12999
WHERE
	d.sale_code = 'VD_VC_1779425627449'; Cảm ơn team DBA nhiều ạ.</t>
  </si>
  <si>
    <t>Release Plan 08/08/2026 - Golive OneU - UCO SDK</t>
  </si>
  <si>
    <t>2026-08-15T00:41:36.671+0700</t>
  </si>
  <si>
    <t>2026-08-15T00:41:46.255+0700</t>
  </si>
  <si>
    <t>Hi  @Đào Công Nghĩa  , Nhờ em chạy giúp thông tin dưới đây: IP:  172.31.4.9 Database:  ecom_transaction Script: ## Alter table
ALTER TABLE `transactions`
    ADD COLUMN `partner_user_id` varchar(50);
CREATE INDEX `idx_transactions_partner_user_id` ON `transactions` (`partner_user_id`); Note: Bảng dữ liệu lớn nên chạy buối tổi trước khi golive để tránh ảnh hưởng dịch vụ Thời gian chạy: 22h ngày 12/08/2026</t>
  </si>
  <si>
    <t>[EzPay] [OSC] - Add column for osc order</t>
  </si>
  <si>
    <t>2026-08-15T00:41:04.124+0700</t>
  </si>
  <si>
    <t>2026-08-15T00:41:17.600+0700</t>
  </si>
  <si>
    <t>Hi  @Đào Công Nghĩa   Nhờ em chạy giúp anh thông tin script dưới đây: IP/Host:  mysql://pay-tidb.int.onemount.com:4000/osc Database:  osc Scripts: ALTER TABLE OSC_CUSTOMER ADD COLUMN partner_user_id VARCHAR(100);</t>
  </si>
  <si>
    <t>[DBA-SAPBASIS] Alert peak CPU SAP HCM PROD và review luồng tích hợp HCM</t>
  </si>
  <si>
    <t>2026-08-14T18:08:00.655+0700</t>
  </si>
  <si>
    <t>2026-08-14T18:08:01.406+0700</t>
  </si>
  <si>
    <t>Hỗ trợ xử lý, trace job gây alert peak CPU SAP HCM PROD 04:12 PM 12/08/2026 https://chat.google.com/room/AAAA9oACi-s/ttlccdn3s2A/ttlccdn3s2A?cls=10</t>
  </si>
  <si>
    <t>[PROD] [DISCOUNT SMARTPOS] Cập nhật thông tin bảng condition template</t>
  </si>
  <si>
    <t>2026-08-14T18:05:38.133+0700</t>
  </si>
  <si>
    <t>2026-08-14T18:05:44.430+0700</t>
  </si>
  <si>
    <t>Để hỗ trợ việc golive theo  CR , nhờ các anh em support cập nhật dữ liệu như thông tin bên dưới Thời gian thực hiện:   14/08/2026 Thông tin DB Mysql: GCP project : vinid-loyalty-prod
Instance name : discount-smartpos
Instance IP : 172.31.4.115
Database name : discount_smartpos Chạy script sau: UPDATE condition_templates
SET statement = '{"Field":{"PosPromotion":{"ID":1,"Store":{"Code":"string","Name":"string"},"Amount":1.1,"Status":"string","UserID":"string","Merchant":{"Code":"string","Name":"string"},"Terminal":{"Code":"string","Name":"string"},"FeeAmount":1.1,"Description":"string","ServiceCode":"string","TotalAmount":1.1,"MoneySources":[{"ID":"string","Name":"string","Amount":1.1,"BankCode":"string","CardType":"string","PaidAmount":1.1,"PaymentChannel":"string","CardNumberPrefix":"string","PaymentMethodCode":"string","CardFormFactor":"string"}],"OrderDetails":{"Code":"string","Items":[{"Sku":"string","Code":"string","Name":"string","Unit":"string","Price":1.1,"ImageURL":"string","Merchant":{"MID":"string","TID":"string","Code":"string","Name":"string"},"Quantity":1,"ExtraData":{"Barcode":"string"},"ProductID":"string","UnitPrice":1.1,"VariantID":"string","Description":"string","ProductCode":"string","VariantCode":"string","CategoryCode":"string","CategoryName":"string","DiscountPrice":1.1}],"Status":"string","UserID":"string","Loyalty":{"TotalRedeemPointAmount":1},"CreatedAt":1,"ExpiredAt":1,"FinishedAt":1,"TotalAmount":1.1,"ShippingFees":[{"ShippingFee":1.1,"MerchantCode":"string"}],"TotalDiscount":1.1,"ShippingMethod":{"Code":"string","Name":"string"},"ShoppingMethod":{"Code":"string","Name":"string"},"ShippingAddress":{"Ward":{"Code":"string","Name":"string"},"Address":"string","District":{"Code":"string","Name":"string"},"Receiver":{"Name":"string","PhoneNumber":"string"},"Province ":{"Code":"string","Name":"string"}},"TotalItemsAmount":1.1,"TotalShippingFee":1.1,"ApplyWithPartnerCampaign":0,"TotalAppliedPromotionAmount":1.1},"PaymentInstrument":"string","VerificationMethod":"string"}}}'
WHERE code = 'POS_PROMOTION';  Thanks team</t>
  </si>
  <si>
    <t>[DBA-SAPBASIS] Update parameter timeout session SAP GUI HCM</t>
  </si>
  <si>
    <t>2026-08-14T17:54:44.701+0700</t>
  </si>
  <si>
    <t>2026-08-14T17:54:45.483+0700</t>
  </si>
  <si>
    <t>Update parameter Timed out session trên SAP GUI của hệ SAP HCM PROD do yêu cầu tăng thời gian màn hình làm việc từ user MAG Parameter: rdisp/gui_auto_logout Old value: 3600s New value: 5400s</t>
  </si>
  <si>
    <t>[om][clms] Tạo mongo database cho CLMS phục vụ cho việc chuyển cụm mongo</t>
  </si>
  <si>
    <t>2026-08-14T14:56:47.648+0700</t>
  </si>
  <si>
    <t>2026-08-17T09:22:15.573+0700</t>
  </si>
  <si>
    <t>Hi anh Linh  Như đã thống nhất phương án Nhờ anh tạo giúp em DB cho clms trên cụm mongo vinshop cms DB name: omd_clms ( thông tin user/pass reffer lấy theo thông tin đang chạy) - em sẽ gửi riêng</t>
  </si>
  <si>
    <t xml:space="preserve">[OMRE][Prod] Xin cấp database mysql PROD </t>
  </si>
  <si>
    <t>2026-08-14T11:42:17.243+0700</t>
  </si>
  <si>
    <t>2026-08-24T09:35:10.403+0700</t>
  </si>
  <si>
    <t>Dear DBA Team, Team AML (Risk &amp; Fraud – CBP) xin cấp mới 01 database MySQL trên môi trường Production cho service "aml" (Anti-Money Laundering). Đây là service mới, hiện đã chạy ổn định ở QC. Database information GCP project      : omre-cobroker-prod Instance name    : omre-cbp-prod-mysql Instance IP/DNS  : omre-cobroker-prod--omre-cbp-prod-mysql.cloudsql.int.:3306 Database name    : omre_cbp_aml DB username      : omre_cbp_aml Time Run ticket  : Trong giờ hành chính, ngày làm việc gần nhất.                    Yêu cầu chỉ TẠO MỚI database/user, không tác động tới database                    hiện hữu nên không cần downtime. Mô tả chi tiết yêu cầu: Tạo database Tên       : omre_cbp_aml Charset   : utf8mb4 Collation : utf8mb4_unicode_ci (Đặt tên theo đúng quy ước của CBP template: ${company} ${project} ${repo}${env_suffix} = omre + cbp + aml + "" ) Tạo user và phân quyền Username : omre_cbp_aml Quyền trên omre_cbp_aml.* :   SELECT, INSERT, UPDATE, DELETE            (vận hành)   CREATE, ALTER, DROP, INDEX, REFERENCES    (chạy migration) Chỉ cấp quyền trong phạm vi schema omre_cbp_aml, không cần quyền global. Lưu ý về quyền DDL: service tự chạy migration lúc khởi động container (bootstrap-db.mjs → drizzle migrate) nên cần quyền DDL trên chính schema của nó. Nếu policy Production không cho phép app tự chạy DDL, team AML sẵn sàng chuyển sang phương án: DBA chạy sẵn script tạo bảng, app chỉ giữ quyền DML. Nhờ anh/chị xác nhận giúp phương án nào phù hợp. Thông tin schema 13 bảng, do migration của service tự tạo:   user, account, session, verification,   contacts, contact_status_logs, roles, user_roles,   omre_legal_pcrt_nationality, legal_pcrt_black_list,   legal_pcrt_screening_search_log,   dremio_sync_state, dremio_sync_runs Có foreign key (ON DELETE CASCADE) giữa các bảng auth và bảng contacts, nên user cần quyền REFERENCES. Có cột kiểu JSON (roles.permissions) và datetime/timestamp fsp=3 → yêu cầu MySQL 8.x. Ứng dụng kết nối Từ GKE cluster omre-cobroker-prod, namespace prod Deployment aml-web (ServiceAccount wi-aml, Workload Identity) CronJob aml-dremio-sync (đồng bộ dữ liệu từ Dremio về MySQL) Connection pool: 10 connection/pod, tối đa 5 pod → ước tính tối đa ~50 connection đồng thời, cộng thêm ~2 connection cho job migration lúc khởi động. Kết nối dùng timezone UTC. Ước lượng dung lượng Trên QC hiện có ~1.500 bản ghi bảng contacts (dữ liệu sync từ Dremio). Dữ liệu Production dự kiến lớn hơn và tăng dần theo ngày do sync định kỳ. Dung lượng khởi tạo dự kiến &lt; 5 GB trong 6 tháng đầu.</t>
  </si>
  <si>
    <t>SAP-MAG migrate view từ DEV MDMSTG qua MDM production</t>
  </si>
  <si>
    <t>2026-08-14T11:42:01.901+0700</t>
  </si>
  <si>
    <t xml:space="preserve">Dear anh, Support migrate giúp em các view ở schema MDMSTG hệ dev qua production schema MDM có constraint “VI_” Thank for support. </t>
  </si>
  <si>
    <t>[OMC][DISCOUNT SMARTPOS][PROD] Xin cấp tài khoản quyền read truy cập db</t>
  </si>
  <si>
    <t>2026-08-14T11:29:27.227+0700</t>
  </si>
  <si>
    <t>2026-08-14T15:45:25.177+0700</t>
  </si>
  <si>
    <t>Do nhu cầu  chủ động check thông tin db trên prod  để hỗ trợ các bên liên quan trong quá trình phát triển, nhờ team Cấp  quyền read  với username  thachnn3 Thông tin database GCP project : vinid-loyalty-prod Instance name : discount-smartpos Instance IP : 172.31.4.115 Database name : discount_smartpos, budget_smartpos Thanks team.</t>
  </si>
  <si>
    <t>[OMC][CORE][PS2][Prod] Hỗ trợ lấy data từ backup file lên DB Cold</t>
  </si>
  <si>
    <t>2026-08-14T10:43:02.446+0700</t>
  </si>
  <si>
    <t>2026-08-14T14:55:21.523+0700</t>
  </si>
  <si>
    <t>Hỗ trợ restore data từ backup file lên DB Cold để phục vụ trace issuse từ đội CSKH report Table: KAFKA_AUDIT_TRAIL_CUSTOMER_PROFILE DB restore: Oracle Cold 10.255.23.29 =&gt;  https://console.cloud.google.com/compute/instancesDetail/zones/asia-east1-b/instances/oneloyalty-oracle-cold?project=oneid-loyalty-core-prod Data: tháng 5/2026</t>
  </si>
  <si>
    <t>[NON-PROD] [14-15/08/2026] [UPay] Support release plan golive</t>
  </si>
  <si>
    <t>2026-08-14T09:57:19.659+0700</t>
  </si>
  <si>
    <t>2026-08-14T09:57:26.975+0700</t>
  </si>
  <si>
    <t>Hi a   @Nguyễn Văn Dũng  , nhờ a chạy giúp e script bên dưới trên môi trường STAG với a Release golive:    CR:    Thông tin database:  tidb.int.onemount.dev Script:  ALTER TABLE TRANSACTION_MASTER ADD COLUMN partner_code VARCHAR(50) NULL; ALTER TABLE PARTNER ADD COLUMN partner_code VARCHAR(50) NULL; ALTER TABLE DEVICE_TERMINAL_SOFTPOS ADD COLUMN partner_code VARCHAR(50) NULL, ADD COLUMN partner_device_infor LONGTEXT NULL; ALTER TABLE FEE_PROFILE ADD COLUMN fee_profile_type VARCHAR(20) DEFAULT NULL;</t>
  </si>
  <si>
    <t>Hỗ trợ migrate database dự án Mag-Survey</t>
  </si>
  <si>
    <t>2026-08-14T09:15:58.115+0700</t>
  </si>
  <si>
    <t>Hi anh  @Đoàn Việt Hưng  nhờ anh hỗ trợ migrate database dự án Mag-Survey ở onpremise lên AWS giúp em: RDS:  mag-msc-prod-postgres.cpakmik6c8ax.ap-southeast-1.rds.amazonaws.com Account:  MAG-Production Em cảm ơn anh đã hỗ trợ</t>
  </si>
  <si>
    <t>[VINPAY][PROD] Hỗ trợ cập nhật thông tin giao dịch thanh toán Cổng UPPay</t>
  </si>
  <si>
    <t>2026-08-14T08:59:15.557+0700</t>
  </si>
  <si>
    <t>2026-08-14T08:59:29.330+0700</t>
  </si>
  <si>
    <t>Dear team DBA, Nhờ anh/em update giúp em thông tin giao dịch theo script bên dưới Thông tin Database:  jdbc:mysql://vinpay-sql-onehub-master.int.vinid.net:3306/pay_payment_gateway UPDATE PGTBD_TRANSACTION SET provider_transaction_id='7835063889' where payment_transaction_id='pg-bTXPKDOmOWZFg426Tih9oo';</t>
  </si>
  <si>
    <t>[omd] Cutoff database b2b môi trường production</t>
  </si>
  <si>
    <t>2026-08-14T08:58:52.018+0700</t>
  </si>
  <si>
    <t>2026-08-14T08:58:56.609+0700</t>
  </si>
  <si>
    <t>Check list cutoff cho instance DB của b2b: project: vinid-b2b-platform-prod instance: b2b-commerce DBs: b2b_oms_prod, b2b_pcm_prod, b2b_user_prod, b2b_promotion_prod 1. Check connection: expect ko còn connection kết nối tới 2. dump &amp; backup all instance 3. stop instance</t>
  </si>
  <si>
    <t>[TPAY][NON-PROD] Tạo tài khoản SFTP cho merchant BV Bạch Mai lấy file báo cáo đối soát</t>
  </si>
  <si>
    <t>2026-08-14T08:58:04.381+0700</t>
  </si>
  <si>
    <t>2026-08-14T08:58:08.323+0700</t>
  </si>
  <si>
    <t>Dự án Tpay cần cấp tài khoản và 1 thư mục con trong thư mục trong thư mục tpay dành cho đối tác BV Bạch Mai để đọc file từ sFTP server. Thông tin sFTP server cần kết nối đến: Non-prod:  35.229.130.107:2022 Nhờ team support tạo server và cấp account cho dự án. Em tên thư mục và folder ạ. Account: bvbmuat Folder: bvbmuat</t>
  </si>
  <si>
    <t>[PROD][UPAY][BO] Off các job tự động hạch toán đối soát của đối tác OMD</t>
  </si>
  <si>
    <t>2026-08-13T15:08:09.434+0700</t>
  </si>
  <si>
    <t>2026-08-13T15:08:18.046+0700</t>
  </si>
  <si>
    <t>Hi a   @Đào Công Nghĩa  , nhờ a chạy giúp e script bên dưới với ạ Thông tin database:  172.31.1.133:3306/bo UPDATE BATCH_TRIGGER_CONFIG
  SET STATUS = 9,
      VERSION = COALESCE(VERSION, 0) + 1,
      UPDATE_DATETIME = NOW()
  WHERE STATUS = 1
    AND PARAM LIKE '%VN0010099%'
    AND ID IN (
      'batch.trigger.batch.job.accounting.push.file.sap.omd.async',
      'batch.trigger.batch.job.auto.settle.billing.payment',
      'batch.trigger.batch.job.auto.total.reconcile',
      'batch.trigger.batch.job.auto.total.reconcile.backdate',
      'batch.trigger.batch.job.auto.total.reconcile.backup',
      'batch.trigger.batch.job.auto.total.reconcile.logcost',
      'batch.trigger.batch.job.courier.dremio.order.omd.new',
      'batch.trigger.batch.job.courier.dremio.order.omd.new.2',
      'batch.trigger.batch.job.courier.fee.stop.dremio',
      'batch.job.courier.order.fee.settle.dremio',
      'batch.job.courier.trip.dremio',
      'batch.trigger.batch.job.fee.charge.settle.item',
      'batch.trigger.batch.job.ops-transaction.accounting.omd',
      'batch.trigger.batch.job.order-transaction.accounting.omd',
      'batch.trigger.batch.job.payment-transaction.accounting.omd',
      'batch.job.reconcile.auto.approve.monitor.completed.cod.adj',
      'batch.job.reconcile.auto.approve.monitor.completed.cod.ord',
      'batch.job.reconcile.auto.approve.monitor.completed.cogs.adj',
      'batch.job.reconcile.auto.approve.monitor.completed.cogs.ord',
      'batch.job.reconcile.auto.approve.monitor.completed.logcost',
      'batch.job.reconcile.auto.approve.monitor.completed.retail',
      'batch.job.reconcile.auto.approve.monitor.waiting',
      'batch.job.reconcile.auto.approve.monitor.waiting.logcost.retail',
      'batch.job.reconcile.auto.approve.monitor.waiting.retail',
      'batch.job.rerun.reconcile',
      'batch.trigger.batch.job.settlement.shipment.distribution'
  );
  UPDATE BATCH_TRIGGER_CONFIG
  SET PARAM = REPLACE(
                  REPLACE(
                      REPLACE(PARAM, 'VN0010099$$$', ''),
                      '$$$VN0010099', ''
                  ),
                  'VN0010099', ''
              ),
      VERSION = COALESCE(VERSION, 0) + 1,
      UPDATE_DATETIME = NOW()
  WHERE PARAM LIKE '%VN0010099%'
    AND ID IN (
      'batch.job.courier.dremio.brand.plant',
      'batch.job.courier.order.voucher.settle.dremio',
      'batch.job.event.material.serial.dremio',
      'batch.trigger.batch.job.fee.charge.order',
      'batch.trigger.batch.job.fee.charge.summary'
  );</t>
  </si>
  <si>
    <t>[Kara] Yêu cầu query dữ liệu trên môi trường Prod</t>
  </si>
  <si>
    <t>2026-08-13T10:59:34.433+0700</t>
  </si>
  <si>
    <t>2026-08-13T10:59:42.867+0700</t>
  </si>
  <si>
    <t>DB</t>
  </si>
  <si>
    <t>Hiện team em đang gặp lỗi như trong ảnh đính kèm, cụ thể là phía Keystone đã trả về kết quả đúng theo phân loại speaker nhưng khi hiển thị trên FE chỉ duy nhất một speaker. Em muốn tạo request xem service worker của Kara đang parse ra speaker và lưu vào DB thế nào. Cụ thể em muốn query toàn bộ kết quả transcript trong khoảng từ 17h20 đến 17h30 ngày 11/8. Câu query em muốn chạy ở phần file đính kèm và mong muốn nhận lại kết quả dạng Json</t>
  </si>
  <si>
    <t>[UPP] [PGW] - Hỗ trợ xóa các liên kết bị lỗi "Invalid token" cho luồng TCB Direct</t>
  </si>
  <si>
    <t>2026-08-12T18:06:48.817+0700</t>
  </si>
  <si>
    <t>2026-08-12T18:06:54.196+0700</t>
  </si>
  <si>
    <t>Dear team DBA, Nhờ anh/em chạy giúp em 2 lệnh sau để deactive các liên kết thẻ đang gặp lỗi Invalid token ---Lệnh deactive các bản ghi trong bảng CUSTOMER_REFERENCE_LINK_BANK có liên kết thẻ bị Invalid token
UPDATE CUSTOMER_REFERENCE_LINK_BANK SET is_active='false' WHERE customer_reference_link_bank_id in ('17207','17210','17218','17264','17368','17434','17453','17454','17522','17560','17589','17611','36310','36570','36711','36757','37122','37215','37483','37872','43910','43998','44063','44068','44080','44171','44282','44328','44367','44378','44427','44437','44440','44459','44580','44774','44831','44851','44861','44936','45049','45136','45145','45210','45224','45255','45275','45277','45387','45393','45516','45634','45644','45655','45767','45845','45877','45888','45943','46028','46056','46105','46129','46164','46290','46422','46446','46455','46460','46517','46521','46760','46777','46885','46898','46916','47158','47196','47229','47274','47403','47438','47439','47451','47455','47549','47579','47623','47678','47713','47880','47958','48260','48288','48428','48431','48531','48708','48733','48799','48843','49202','49247','49272','49566','49593','49632','49669','50075','50103','50359','50487','50544','51046','51166','51172','51415','51434','51471','51680','51706','52528','52541','52578','52643','52727','52761','52763','52860','52923','53065','53277','53435','53453','53495','53700','53849','53943','53944','53993','53994','54038','54220','54225','54426','54517','54561','54684','54782','54814','54831','54839','55009','55375','55594','55795','55802','55819','55874','55889','55897','56102','56134','56288','56303','56332','56556','56654','56723','56842','56901','57195','57394','57433','57552','57630','57671','57761','58127','58137','58186','58346','58377','58398','58402','58432','58506','58571','58921','59198','59257','59283','59341','59582','59738','59776','59845','59872','59953','60012','60043','60045','60053','60104','60332','60468','60539','60606','60769','60913','60933','60999','61049','61326','61424','61791','61937','62223','62348','62713','62977','63053','63141','63184','63237','63241','63426','63492','63703','63907','63944','63953','64003','64234','64345','64353','64375','64435','64565','64840','65030','65094','65294','65314','65401','65543','65646','65647','65679','65694','65755','65801','65803','65883','65887','65890','65922','65997','66113','66270','66311','66525','66657','67133','67318','67361','67584','67727','67906','67919','68073','68110','68124','68159','68183','68230','68349','68415','68494','68600','68630','68640','68654','68655','68677','68712','68755','69023','69024','69086','69096','69236','69353','69484','69610','69728','70011','70479','70816','70936','71396','71442','71471','71669','71779','71808','71829','71857','71975','72009','72247','72314','72494','72776','72925','73076','73146','73265','73349','73362','73424','73820','73848','74050','74116','74208','74274','74401','74585','74617','74707','74790','74837','74886','74951','75056','75161','75220','75226','75397','75506','75711','75998','76398','76740','76748','76771','76834','76836','76940','76966','77018','77219','77239','77269','77831','77871','77891','77941','78022','78043','78130','78212','78444','78456','78669','78696','78777','79292','79389','79473','80021','80044','80337','80817','80908','81109','81299','81322','81542','81545','81619','82125','82899','83577','83769','84685','84953','85280','85703','85781','85928','85937','85985','85999','86000','86144','86163','86262','86368','86379','86484','86539','86592','86729','86761','86894','86982','87031','87098','87295','87361','87456','87547','87583','87584','87640','87875','87936','88069','88384','88497','88551','88604','88846','88891','89029','89108','89403','89831','89939','89940','90019','90116','90228','90260','90315','90468','90470','90539','91028','91051','91205','91233','91240','91241','91256','91586','91603','91718','91738','91772','91827','91868','91869','91940','91958','92048','92091','92312','92435','92456','92656','93019','93342','93344','93663','94025','94232','95017','95107','95308','95340','95464','95905','96079','96940')</t>
  </si>
  <si>
    <t>[Merchantdise][PROD] Seeding Bán Merchantdise GHYT  12/08/2026</t>
  </si>
  <si>
    <t>2026-08-12T16:22:30.590+0700</t>
  </si>
  <si>
    <t>2026-08-12T16:22:39.532+0700</t>
  </si>
  <si>
    <t>Nhờ  @Đào Công Nghĩa  chạy giúp thông tin dưới đây: project: vincart-prod instance: main ip: 172.31.1.41 DB: vincart_mm_product Script: UPDATE variants
set stock_type = 'INIT'
WHERE id in (1089266,1089267,1089268,
1089269);
UPDATE inventories
set channel_code = 'INIT'
WHERE variant_id in (1089266,1089267,1089268,1089269);
UPDATE variant_prices
set channel_code = 'ONEU'
WHERE variant_id in (1089266,1089267,1089268,1089269); Thời gian thực hiện: Chạy sớm nhất có thể.</t>
  </si>
  <si>
    <t xml:space="preserve">Cập nhật thông tin nguồn hàng </t>
  </si>
  <si>
    <t>2026-08-12T15:35:08.083+0700</t>
  </si>
  <si>
    <t>2026-08-12T15:41:30.679+0700</t>
  </si>
  <si>
    <t>Dear team, Nhờ team update thông tin ekyc sau cho agent trên hệ thống agent app. Service   :  master-data HOST      :  omre-onehs-mysql-main.int.onemount.com   PORT      :  3306 DATABASE  :  onehs_dictionary           TABLE     :  INVENTORY_PROPERTIES    [Master-data] Đổi quỹ inventory INV.R8BVZW (hàng SOLD, low-rise) B1 — verify: SELECT id, inventory_code, status, classify, inventory_type
FROM onehs_dictionary.INVENTORY_PROPERTIES
WHERE inventory_code = 'INV.R8BVZW';   -- kỳ vọng: status=SOLD, inventory_type=CROSS B2 — update: UPDATE onehs_dictionary.INVENTORY_PROPERTIES
SET inventory_type = 'TRANSFER-CROSS',
    last_modified_by = '&lt;ops_email&gt;',
    last_modified_date = &lt;now&gt;
WHERE id = '3411868d-d592-48ef-acc7-e88233d27718';</t>
  </si>
  <si>
    <t>[PROD] Request tạo schema cho dự án CBP</t>
  </si>
  <si>
    <t>2026-08-12T12:16:41.680+0700</t>
  </si>
  <si>
    <t>PROD</t>
  </si>
  <si>
    <t>Em chào anh/chị, Anh/chị tạo giúp em schema cho môi trường prod cho service này giúp em với ạ. (Repo:  https://gitlab.id.vin/1housing/cbp/apply/backend/policy-engine/apps/pms-web.git ) schema: omre_cbp_pms user: omre_cbp_pms name: omre-cbp-prod-mysql IP: 172.31.4.127 project: omre-cobroker-prod</t>
  </si>
  <si>
    <t>V/v tạo topic bảng mới</t>
  </si>
  <si>
    <t>2026-08-12T12:00:23.009+0700</t>
  </si>
  <si>
    <t>2026-08-12T12:00:28.220+0700</t>
  </si>
  <si>
    <t>Dear Dũng, Do nhu cầu sử dụng dữ liệu để làm báo cáo và phân tích của DA, nhờ em hỗ trợ tạo giúp anh topic cho bảng trên tidb để anh kéo dữ liệu về DP cho DA nhé. Thông tin chi tiết: DB:  omc-mtp-tidb.int.onemount.com:4000 Schema: omc_merchant_loyalty Table: request Team DP đã tạo xong: data-platform-omc-omc_merchant_loyalty.omc_merchant_loyalty.request</t>
  </si>
  <si>
    <t>[PROD] [UPay] Support update account number cho merchant onboard smartpos</t>
  </si>
  <si>
    <t>2026-08-12T11:58:09.317+0700</t>
  </si>
  <si>
    <t>2026-08-12T11:58:20.703+0700</t>
  </si>
  <si>
    <t>Hi anh  @Nguyễn Văn Dũng  , anh  @Đào Công Nghĩa   Nhờ team support chạy script sau giúp em với ạ: Thông tin database:  mysql://pay-tidb.int.onemount.com:4000/saas_tpay Script: UPDATE ACCOUNT
SET ACCOUNT_NUMBER = '19040163715018',
    ACCOUNT_NAME   = 'CT TNHH MTHL-CN CANGTAU KHACH QT HL',
    BANK_NAME      = 'Ngân hàng TMCP Kỹ Thương Việt Nam',
    BRANCH_NAME    = 'NGAN HANG KY THUONG (TECHCOMBANK)',
    UPDATED_BY     = 'Nhilu@techcombank.com.vn',
    UPDATED_AT     = CURRENT_TIMESTAMP
WHERE ID IN (5364578, 5364579, 5364580)
  AND MERCHANT_CODE = 'CTQT_HA_LONG'
  AND ACCOUNT_NUMBER = '19040164475010'
  AND STATUS = 1;
UPDATE SERVICE
SET MASTER_ACCOUNT    = '19040163715018',
    MASTER_ACCOUNT_ID = 5364578,
    FEE_PROFILE       = 'CIBGSUNGROUP',
    MERCHANT_REF      = 'CTQT_HA_LONG',
    UPDATED_BY        = 'Nhilu@techcombank.com.vn',
    UPDATED_AT        = CURRENT_TIMESTAMP
WHERE MERCHANT_CODE = 'CTQT_HA_LONG'
  AND SERVICE_CODE IN ('SMARTPOS_CARD', 'SMARTPOS_QR')
  AND MASTER_ACCOUNT = '19040164475010'
  AND STATUS = 'ACTIVE';
UPDATE UNIFIED_MERCHANT_SERVICE
SET MASTER_ACCOUNT    = '19040163715018',
    MASTER_ACCOUNT_ID = '5364578',
    UPDATED_BY        = 'Nhilu@techcombank.com.vn',
    UPDATED_AT        = CURRENT_TIMESTAMP
WHERE MERCHANT_CODE = 'CTQT_HA_LONG'
  AND SERVICE_CODE IN ('SMARTPOS_CARD', 'SMARTPOS_QR')
  AND MASTER_ACCOUNT = '19040164475010';
UPDATE UNIFIED_STORE
SET MASTER_ACCOUNT = '19040163715018',
    UPDATED_BY     = 'Nhilu@techcombank.com.vn',
    UPDATED_AT     = CURRENT_TIMESTAMP
WHERE MERCHANT_CODE = 'CTQT_HA_LONG'
  AND SERVICE_CODE IN ('SMARTPOS_CARD', 'SMARTPOS_QR')
  AND MASTER_ACCOUNT = '19040164475010';
UPDATE SMARTPOS_MERCHANT_TRANSACTION_TYPE
SET MASTER_ACCOUNT = '19040163715018',
    IS_ACTIVE      = 1,
    UPDATED_AT     = CURRENT_TIMESTAMP
WHERE MERCHANT_CODE = 'CTQT_HA_LONG'
  AND SERVICE_CODE IN ('SMARTPOS_CARD', 'SMARTPOS_QR')
  AND MASTER_ACCOUNT = '19040164475010'
  AND TRANSACTION_TYPE IN ('REVERSAL', 'VOID', 'SALE', 'SETTLE');</t>
  </si>
  <si>
    <t>[VINPAY][PROD] Xin cấp mới Redis server</t>
  </si>
  <si>
    <t>2026-08-12T11:32:24.538+0700</t>
  </si>
  <si>
    <t>2026-08-12T11:32:46.907+0700</t>
  </si>
  <si>
    <t xml:space="preserve">Dear các anh DBA, Nhờ các anh cấp thêm mới Redis Server giúp em. Thông tin cụ thể: project: vinpay phân vùng: pci sizing dự tính: 1-2 vCPU, 1GB Ram mục đích sử dụng: caching + stream event kiến trúc redis: standalone Tài liệu bổ sung: SAD:   Sizing:   </t>
  </si>
  <si>
    <t>[ECMP][non-prod][prod] tạo DB trên môi trường non-prod và prod cho ECMP</t>
  </si>
  <si>
    <t>2026-08-12T11:27:48.310+0700</t>
  </si>
  <si>
    <t>2026-08-12T11:28:04.281+0700</t>
  </si>
  <si>
    <t>Môi trường Non-Prod (QC) Mô tả:   1. Mục tiêu:  Cấp phát hạ tầng lưu trữ dữ liệu (DB &amp; Cache) trên AWS cho dự án CMP môi trường QC ( cmp.int.onemount.dev ). Nhằm tối ưu chi phí, môi trường này chỉ cần chạy cấu hình Single-node. Yêu cầu chi tiết: Database (Amazon RDS - PostgreSQL): Cấu hình: Single-AZ (1 node). Yêu cầu bắt buộc: Hỗ trợ kiểu dữ liệu JSONB và GIN Indexing. Cache (Amazon ElastiCache - Redis): Cấu hình: Standalone (1 node). Môi trường Production (PROD) Mô tả:   1. Mục tiêu:  Cấp phát hạ tầng lưu trữ dữ liệu (DB &amp; Cache) trên AWS cho dự án CMP môi trường Production ( cmp.int.onemount.com ). Yêu cầu đáp ứng High Availability (HA) theo chuẩn AWS. Yêu cầu chi tiết: Database (Amazon RDS - PostgreSQL): Cấu hình:  Master/Slave (Multi-AZ Deployment)  để đảm bảo dự phòng và tự động Failover. Yêu cầu bắt buộc: Hỗ trợ kiểu dữ liệu JSONB và GIN Indexing (để lưu custom metadata). Cache (Amazon ElastiCache - Redis): Cấu hình:  Redis Cluster 3 nodes  (Phân bổ Multi-AZ, gồm 1 Primary và 2 Replicas) để đảm bảo High Availability và chia sẻ tải. Output mong đợi: Cung cấp RDS Endpoint (Writer/Reader endpoints), Port, Username/Password an toàn (qua AWS Secrets Manager hoặc kênh bảo mật). Cung cấp Redis Cluster Configuration Endpoint. Đảm bảo Security Group chỉ cho phép EKS/ECS cluster của môi trường PROD truy cập. Mạng phải được cách ly hoàn toàn (VPC Isolation) khỏi môi trường Non-Prod.</t>
  </si>
  <si>
    <t>2026-08-12T00:53:16.348+0700</t>
  </si>
  <si>
    <t>2026-08-12T00:53:23.982+0700</t>
  </si>
  <si>
    <t>audience</t>
  </si>
  <si>
    <t>Dear anh  @Nguyễn Văn Dũng , nhờ anh chạy giúp em scripts sau: -- TIDB OMC
 INSERT INTO omc_mtp_user_profile.segment_profile_partner (uid, loyalty_id, partner_code) VALUES
 ('1380831','1006623881','TCB');
 INSERT INTO omc_mtp_user_profile.segment_partner_cdp (loyalty_id, partner_code, label_code, label_value) VALUES 
 ('1006623881','TCB','is_linking','1');
 -- DB: 172.31.1.21
-- Schema: mtp_martech_profile
INSERT INTO mtp_anonymous_profile_segmentation_job
    (`id`, `segmentation_id`, `status`, `hash`, `properties`, `external_properties`, `created_at`, `display_name`, `display_order`)
VALUES 
-- f83a1b2542cd4e7b9a8c7fd638e2oskj -- 'OneU'
-- f83a1b2542cd4e7b9a8c7fd638e2oskf -- 'TCB'
-- TCBM --
-- LOY_NTB_NONMTU
(
    'e64a68da-0b0b-4749-a310-f31bbdac88e7',
    'f83a1b2542cd4e7b9a8c7fd638e2oskj',
    '',
    '0c40cd8d30324678e9f3935267363f6a30c5b435c487fc6fe1366315c0b7ad58',
    '{}',
    '{"AND":[{"data_type":"STRING","label_code":"is_preferred_customer_group","label_value":"1","operator":"="}]}',
    NOW(),
    'ONEU is_preferred_customer_group',
    0
),
(
    'f740ae80-6ff1-40e9-adbb-899eb7227e5a',
    'f83a1b2542cd4e7b9a8c7fd638e2oskf',
    '',
    '0c40cd8d30324678e9f3935267363f6a30c5b435c487fc6fe1366315c0b7ad58',
    '{}',
    '{"AND":[{"data_type":"STRING","label_code":"is_preferred_customer_group","label_value":"1","operator":"="}]}',
    NOW(),
    'LOY is_preferred_customer_group',
    0
); Best regards Dinh Quang Nguyen</t>
  </si>
  <si>
    <t>Hỗ trợ cấu hình whitelist user thực hiện pilot Unified checkout</t>
  </si>
  <si>
    <t>2026-08-11T14:51:36.949+0700</t>
  </si>
  <si>
    <t>2026-08-11T14:51:47.743+0700</t>
  </si>
  <si>
    <t>Hi team, Nhờ các anh chạy giúp team script bên dưới để add 2 user vào whitelist dịch vụ Cổng thanh toán UPay ạ Thông tin DB: 72_31_1_148_onehub.qrdb UPDATE SYSTEM_CONFIGURATION
SET  SYSTEM_PARAM_VALUE='4979923,4248,8410315,215348,6394863,61192,24278,261802,1643138,7627541,1710551,1252693,56915,1109892,751951,8031,1109892,11374836,419800,2644826,7688291,393145 8376663,20005709,61192,9318042,11026287,12600406,1445808,1296614,8318520,21403,3921183,11283407,1120905,11803190,1105830,12575808,4847017,1540775,3977969,12601772,13182284,20343610,13384401,6315212,11374836,12017008,3047239'
WHERE SYSTEM_CONFIGURATION_ID=32;</t>
  </si>
  <si>
    <t>[OMC][Loyalty MFT] VCM - Cập nhật thông tin voucher ngày 10/08/2026</t>
  </si>
  <si>
    <t>2026-08-11T11:00:17.566+0700</t>
  </si>
  <si>
    <t>2026-08-11T11:00:24.315+0700</t>
  </si>
  <si>
    <t>Hi team, Xuất phát từ nhu cầu đội vận hành CR   , nhờ team hỗ trợ cập nhật thông tin voucher theo thông tin bên dưới Voucher Distribution - GCP project  vinid-loyalty-prod
- Instance name : voucher-distribution
- Instance IP : 172.31.4.82
- Database : b2b_voucher_distribution Chạy file  SH_72755_vd.sql  đính kèm One Voucher - GCP project  vinid-loyalty-prod
- Instance name : onevoucher
- Instance IP : 172.31.4.126
- Database : onevc_vwm_prod Chạy file  SH_72755_onevc.sql  đính kèm Thời gian thực hiện : trong ngày 11/08/2026 Thanks team.</t>
  </si>
  <si>
    <t>[OMC][DP][PROD] V/v tạo topic bảng mới</t>
  </si>
  <si>
    <t>2026-08-11T09:50:58.190+0700</t>
  </si>
  <si>
    <t>2026-08-11T09:51:30.889+0700</t>
  </si>
  <si>
    <t>Dear Linh, Em tạo giúp anh topic cho các bảng sau với nhé: host: 172.31.1.44 db:  merchant_service table:  address affiliate_type bank_master banks bq_f_merchant_level_history bq_f_rating_external business_line business_type campaign campaign_leaderboard contact customer_sector customer_sub_type document domain fee_by_transaction_config feedback geo gt_format instruments invoice_product issue_reward_histories kafka_merchant loyalty_campaign merchant merchant_account merchant_affiliate_types merchant_bank merchant_business_lines merchant_business_types merchant_field merchant_group merchant_network merchant_payment_type merchant_permission merchant_referral merchant_register_services merchant_role merchant_source merchant_tag merchant_trade_address nf_category nf_post nf_post_assets nf_post_tracking nf_user_follow otp payment_type pos qr_service_type rating rating_android rating_ios register_service register_service_config request_delete_merchant reward reward_pools service_info staff store store_pos_permission store_qr_service_types survey user_authenticate vat_invoice_info</t>
  </si>
  <si>
    <t>[PROD] [08/08/2026] [UPay] Support release plan golive</t>
  </si>
  <si>
    <t>2026-08-10T15:12:08.216+0700</t>
  </si>
  <si>
    <t>2026-08-10T15:12:16.536+0700</t>
  </si>
  <si>
    <t>Hi a   @Nguyễn Văn Dũng  , nhờ a chạy giúp e script bên dưới khi bắt đầu golive với ạ Thời gian golive: 23h59p ngày 08/08/2026 Release golive:    CR:    Thông tin database:  mysql://pay-tidb.int.onemount.com:4000/saas_tpay Script:  INSERT INTO GROUP_STEP_CONFIG
(
    code,
    name,
    description,
    status,
    is_display,
    `order`,
    domain,
    created_at,
    updated_at,
    onboarding_flow
)
VALUES
(
    'SMARTPOS_ONBOARD_ANONYMOUS_LOGIN',
    'SMARTPOS_ONBOARD_ANONYMOUS_LOGIN',
    'Người dùng thao tác login vào hệ thống',
    'ACTIVE',
    0,
    1,
    'SMART_POS_ONBOARD',
    NOW(),
    NULL,
    'SMARTPOS_QR_CARD'
),
(
    'SMARTPOS_ONBOARD_VERIFY_ONBOARD',
    'SMARTPOS_ONBOARD_VERIFY_ONBOARD',
    NULL,
    'ACTIVE',
    0,
    2,
    'SMART_POS_ONBOARD',
    NOW(),
    NULL,
    'SMARTPOS_QR_CARD'
),
(
    'SMARTPOS_ONBOARD_BUSINESS_INFO',
    'SMARTPOS_ONBOARD_BUSINESS_INFO',
    'Cung cấp thông tin trong giấy phép kinh doanh và người đại diện',
    'ACTIVE',
    1,
    3,
    'SMART_POS_ONBOARD',
    NOW(),
    NULL,
    'SMARTPOS_QR_CARD'
),
(
    'SMARTPOS_ONBOARD_BUSINESS_PROFILE',
    'SMARTPOS_ONBOARD_BUSINESS_PROFILE',
    'Chụp giấy phép kinh doanh và CMND hoặc CCCD bản gốc',
    'ACTIVE',
    1,
    4,
    'SMART_POS_ONBOARD',
    NOW(),
    NULL,
    'SMARTPOS_QR_CARD'
),
(
    'SMARTPOS_ONBOARD_STORE_INFO',
    'SMARTPOS_ONBOARD_STORE_INFO',
    'Cung cấp các thông tin cơ bản về cửa hàng khi sử dụng dịch vụ',
    'ACTIVE',
    1,
    5,
    'SMART_POS_ONBOARD',
    NOW(),
    NULL,
    'SMARTPOS_QR_CARD'
),
(
    'SMARTPOS_ONBOARD_TRACKING_STATUS',
    'SMARTPOS_ONBOARD_TRACKING_STATUS',
    'Kiểm tra lại các thông tin trên hợp đồng điện tử và xác nhận để hoàn tất đăng ký',
    'ACTIVE',
    1,
    6,
    'SMART_POS_ONBOARD',
    NOW(),
    NULL,
    'SMARTPOS_QR_CARD'
);
INSERT INTO STEP_CONFIG
(
    code,
    step_group,
    name,
    status,
    is_display,
    `order`,
    created_at,
    updated_at,
    onboarding_flow
)
VALUES
(
    'SMARTPOS_ONBOARD_REGISTRATION_INFO',
    'SMARTPOS_ONBOARD_ANONYMOUS_LOGIN',
    'SMARTPOS_ONBOARD_REGISTRATION_INFO',
    'ACTIVE',
    0,
    1,
    NOW(),
    NULL,
    'SMARTPOS_QR_CARD'
),
(
    'SMARTPOS_ONBOARD_VERIFY_ONBOARD',
    'SMARTPOS_ONBOARD_VERIFY_ONBOARD',
    'SMARTPOS_ONBOARD_VERIFY_ONBOARD',
    'ACTIVE',
    0,
    1,
    NOW(),
    NULL,
    'SMARTPOS_QR_CARD'
),
(
    'SMARTPOS_ONBOARD_BUSINESS_INFO_PRE_STEP',
    'SMARTPOS_ONBOARD_BUSINESS_INFO',
    'SMARTPOS_ONBOARD_BUSINESS_INFO_PRE_STEP',
    'ACTIVE',
    1,
    1,
    NOW(),
    NULL,
    'SMARTPOS_QR_CARD'
),
(
    'SMARTPOS_ONBOARD_BUSINESS_PROFILE_FILE_UPLOAD',
    'SMARTPOS_ONBOARD_BUSINESS_PROFILE',
    'SMARTPOS_ONBOARD_BUSINESS_PROFILE_FILE_UPLOAD',
    'ACTIVE',
    1,
    1,
    NOW(),
    NULL,
    'SMARTPOS_QR_CARD'
),
(
    'SMARTPOS_ONBOARD_UPDATE_STORE_INFO',
    'SMARTPOS_ONBOARD_STORE_INFO',
    'SMARTPOS_ONBOARD_UPDATE_STORE_INFO',
    'ACTIVE',
    1,
    1,
    NOW(),
    NULL,
    'SMARTPOS_QR_CARD'
),
(
    'SMARTPOS_ONBOARD_TRACKING_STATUS',
    'SMARTPOS_ONBOARD_TRACKING_STATUS',
    'SMARTPOS_ONBOARD_TRACKING_STATUS',
    'ACTIVE',
    1,
    1,
    NOW(),
    NULL,
    'SMARTPOS_QR_CARD'
),
(
    'SMARTPOS_ONBOARD_OTP_AUTHENTICATION',
    'SMARTPOS_ONBOARD_ANONYMOUS_LOGIN',
    'SMARTPOS_ONBOARD_OTP_AUTHENTICATION',
    'ACTIVE',
    0,
    2,
    NOW(),
    NULL,
    'SMARTPOS_QR_CARD'
),
(
    'SMARTPOS_ONBOARD_BUSINESS_LICENCE',
    'SMARTPOS_ONBOARD_BUSINESS_INFO',
    'SMARTPOS_ONBOARD_BUSINESS_LICENCE',
    'ACTIVE',
    1,
    2,
    NOW(),
    NULL,
    'SMARTPOS_QR_CARD'
),
(
    'SMARTPOS_ONBOARD_DIGITAL_SIGNING',
    'SMARTPOS_ONBOARD_TRACKING_STATUS',
    'SMARTPOS_ONBOARD_DIGITAL_SIGNING',
    'ACTIVE',
    1,
    2,
    NOW(),
    NULL,
    'SMARTPOS_QR_CARD'
),
(
    'SMARTPOS_ONBOARD_ACCOUNT_NUMBER',
    'SMARTPOS_ONBOARD_BUSINESS_INFO',
    'SMARTPOS_ONBOARD_ACCOUNT_NUMBER',
    'ACTIVE',
    1,
    3,
    NOW(),
    NULL,
    'SMARTPOS_QR_CARD'
),
(
    'SMARTPOS_ONBOARD_LEGAL_REPRESENTATER',
    'SMARTPOS_ONBOARD_BUSINESS_INFO',
    'SMARTPOS_ONBOARD_LEGAL_REPRESENTATER',
    'ACTIVE',
    1,
    5,
    NOW(),
    NULL,
    'SMARTPOS_QR_CARD'
),
(
    'SMARTPOS_ONBOARD_CONTACT_PERSON',
    'SMARTPOS_ONBOARD_BUSINESS_INFO',
    'SMARTPOS_ONBOARD_CONTACT_PERSON',
    'ACTIVE',
    1,
    6,
    NOW(),
    NULL,
    'SMARTPOS_QR_CARD'
),
(
    'SMARTPOS_ONBOARD_REVIEW_BUSINESS_INFO',
    'SMARTPOS_ONBOARD_BUSINESS_INFO',
    'SMARTPOS_ONBOARD_REVIEW_BUSINESS_INFO',
    'ACTIVE',
    1,
    7,
    NOW(),
    NULL,
    'SMARTPOS_QR_CARD'
);
INSERT INTO SYSTEM_CONFIGURATION
(
    SYSTEM_PARAM_CODE,
    SYSTEM_PARAM_NAME,
    SYSTEM_PARAM_VALUE,
    IS_ACTIVE,
    IS_ENCRYPTED,
    CREATED_BY,
    UPDATED_BY,
    UPDATED_DATE,
    CREATED_DATE
)
VALUES
(
    'SMARTPOS_DS_DETAIL_CUSTOMER_RETRY_COUNTER',
    'SMARTPOS_DS_DETAIL_CUSTOMER_RETRY_COUNTER',
    '30',
    1,
    NULL,
    'SYSTEM',
    'SYSTEM',
    NOW(),
    NOW()
),
(
    'SMARTPOS_DS_DETAIL_CUSTOMER_RETRY_TIMER',
    'SMARTPOS_DS_DETAIL_CUSTOMER_RETRY_TIMER',
    '10',
    1,
    NULL,
    'SYSTEM',
    'SYSTEM',
    NOW(),
    NOW()
),
(
    'SMARTPOS_DS_DETAIL_CHECKER_RETRY_COUNTER',
    'SMARTPOS_DS_DETAIL_CHECKER_RETRY_COUNTER',
    '6',
    1,
    NULL,
    'SYSTEM',
    'SYSTEM',
    NOW(),
    NOW()
),
(
    'SMARTPOS_DS_DETAIL_CHECKER_RETRY_TIMER',
    'SMARTPOS_DS_DETAIL_CHECKER_RETRY_TIMER',
    '5',
    1,
    NULL,
    'SYSTEM',
    'SYSTEM',
    NOW(),
    NOW()
);
INSERT INTO SYSTEM_CONFIGURATION
(
    SYSTEM_PARAM_CODE,
    SYSTEM_PARAM_NAME,
    SYSTEM_PARAM_VALUE,
    IS_ACTIVE
)
VALUES
(
    'SMARTPOS_SELF_ONBOARD_DEFAULT_SERVICE_CODE',
    'SMARTPOS_SELF_ONBOARD_DEFAULT_SERVICE_CODE',
    'SMARTPOS_QR,SMARTPOS_CARD',
    1
);
INSERT INTO SYSTEM_CONFIGURATION
(
    SYSTEM_PARAM_CODE,
    SYSTEM_PARAM_NAME,
    SYSTEM_PARAM_VALUE,
    IS_ACTIVE,
    IS_ENCRYPTED,
    CREATED_BY,
    UPDATED_BY,
    UPDATED_DATE,
    CREATED_DATE
)
VALUES
(
    'SMARTPOS_DS_VALIDITY_STARTING_TIME',
    'SMARTPOS_DS_VALIDITY_STARTING_TIME',
    '2024-11-01 00:00:00',
    1,
    NULL,
    NULL,
    NULL,
    NULL,
    NOW()
),
(
    'SMARTPOS_DS_SYSTEM_CODE',
    'SMARTPOS_DS_SYSTEM_CODE',
    'SOFTPOS',
    1,
    NULL,
    NULL,
    NULL,
    NULL,
    NOW()
),
(
    'SMARTPOS_DS_FILE_SIGN_LOCATIONS',
    'SMARTPOS_DS_FILE_SIGN_LOCATIONS',
    '{"customer_signature":{"page":6,"x1":372,"x2":540,"y1":240,"y2":460},"checker_signature":{"page":6,"x1":126,"x2":294,"y1":240,"y2":460}}',
    1,
    NULL,
    NULL,
    NULL,
    NULL,
    NOW()
),
(
    'SMARTPOS_DS_RESULT_RETRY_COUNTER',
    'SMARTPOS_DS_RESULT_RETRY_COUNTER',
    '3',
    1,
    NULL,
    NULL,
    NULL,
    NULL,
    NOW()
),
(
    'SMARTPOS_DS_RESULT_RETRY_TIMER',
    'SMARTPOS_DS_RESULT_RETRY_TIMER',
    '40',
    1,
    NULL,
    NULL,
    NULL,
    NULL,
    NOW()
),
(
    'SMARTPOS_DS_FILE_RESULT_CHECKER_RETRY_COUNTER',
    'SMARTPOS_DS_FILE_RESULT_CHECKER_RETRY_COUNTER',
    '2',
    1,
    NULL,
    NULL,
    NULL,
    NULL,
    NOW()
),
(
    'SMARTPOS_DS_FILE_RESULT_CHECKER_RETRY_TIMER',
    'SMARTPOS_DS_FILE_RESULT_CHECKER_RETRY_TIMER',
    '10',
    1,
    NULL,
    NULL,
    NULL,
    NULL,
    NOW()
);
INSERT INTO SYSTEM_CONFIGURATION
(
    SYSTEM_PARAM_CODE,
    SYSTEM_PARAM_NAME,
    SYSTEM_PARAM_VALUE,
    IS_ACTIVE,
    IS_ENCRYPTED,
    CREATED_BY,
    UPDATED_BY,
    UPDATED_DATE,
    CREATED_DATE
)
VALUES
(
    'SELF_ONBOARD_TEMPLATE_SMART_POS_CONTRACT_PORTRAIT',
    'SELF_ONBOARD_TEMPLATE_SMART_POS_CONTRACT_PORTRAIT',
    'self_onboard/template/self_onboard_smartpos_contract_template_main_v1.jrxml',
    1,
    NULL,
    'system',
    NULL,
    NULL,
    NOW()
);
INSERT INTO SYSTEM_CONFIGURATION
    (SYSTEM_PARAM_CODE, SYSTEM_PARAM_NAME, SYSTEM_PARAM_VALUE,
     IS_ACTIVE, IS_ENCRYPTED, CREATED_BY, UPDATED_BY, UPDATED_DATE, CREATED_DATE)
SELECT 'SMARTPOS_DS_VN_MESSAGE', 'SMARTPOS_DS_VN_MESSAGE', SYSTEM_PARAM_VALUE,
       1, IS_ENCRYPTED, 'system', NULL, NULL, NOW()
FROM vinidpay_tcb_payment_uat.SYSTEM_CONFIGURATION
WHERE SYSTEM_PARAM_CODE = 'SOFTPOS_DS_VN_MESSAGE';</t>
  </si>
  <si>
    <t>2026-08-10T11:42:22.347+0700</t>
  </si>
  <si>
    <t>2026-08-10T11:53:28.136+0700</t>
  </si>
  <si>
    <t>IP (Host):   ces-production.crcykac8kxtw.ap-southeast-1.rds.amazonaws.com Port:   3306 DB Name:   ces_mh_mpm Command:   update ces_mh_mpm.lc_unit_attributes set name = 'Diện tích nền\nLot size\n(m2)\ntheo thông báo 251/TB-UBND 11/07/2023' where code = 'lr_lot_size'</t>
  </si>
  <si>
    <t>[Merchant-TCB] Seed SMARTPOS tpay_document</t>
  </si>
  <si>
    <t>2026-08-10T10:52:46.668+0700</t>
  </si>
  <si>
    <t>2026-08-10T10:52:53.722+0700</t>
  </si>
  <si>
    <t>Dear team DBA, Develop Team đang chuẩn bị triển khai tính năng SmartPOS self-onboard lên môi trường Production, cần đội DBA hỗ trợ verify và seed một số dữ liệu cấu hình liên quan. Thông tin database DB_MYSQL_HOST=vinid-merchant-prod--merchant-tcb.cloudsql.int:3306 DB_MYSQL_DATABASE=merchant_service_tcb Ghi chú: toàn bộ câu lệnh bên dưới đều idempotent (an toàn khi chạy lại) và additive (không xóa hoặc chỉnh sửa dữ liệu hiện có). Bảng tpay_document là bảng cấu hình nhỏ (~vài chục dòng), thao tác theo cột code. Seed tpay_document -- 1. assessment: bổ sung SMARTPOS vào service_types (idempotent)
UPDATE tpay_document
SET service_types = CONCAT(service_types, ',SMARTPOS')
WHERE code = 'assessment' AND service_types NOT LIKE '%SMARTPOS%';
-- Kỳ vọng: 1 row (0 nếu đã có)
-- 2. cic: thêm hồ sơ CIC cho SMARTPOS nếu chưa có (idempotent)
INSERT INTO tpay_document (code, name, is_require, priority, format, allow_edit, stt_ki_moi, stt_ki_bo_sung, service_types)
SELECT 'cic', 'Hồ sơ CIC &amp; Rủi ro TCT', 0, 8, 'pdf,jpg,png,jpeg,docx,doc', 0, 0, 0, 'SMARTPOS'
WHERE NOT EXISTS (SELECT 1 FROM tpay_document WHERE code = 'cic' AND service_types LIKE '%SMARTPOS%');
-- Kỳ vọng: 1 row (0 nếu đã có)
-- Verify sau seed:
SELECT code, service_types FROM tpay_document WHERE service_types LIKE '%SMARTPOS%' ORDER BY code;
-- Kỳ vọng: assessment, authorization, business_license, cic, contract, identity, mid_tid_proposal, store_front_image Rollback DELETE FROM tpay_document WHERE code = 'cic' AND service_types = 'SMARTPOS'; Cảm ơn đội DBA đã hỗ trợ.</t>
  </si>
  <si>
    <t>[PROD][Tpay] Script off luồng gửi mail đồng bộ giao dịch</t>
  </si>
  <si>
    <t>2026-08-10T09:15:02.661+0700</t>
  </si>
  <si>
    <t>2026-08-10T09:15:09.975+0700</t>
  </si>
  <si>
    <t>Dear team DBA, Nhờ anh em chạy script bên dưới để tạm off tính năng gửi mail cho luồng đồng bộ giao dịch, sau khi thống nhất xong email nhận sẽ bật lại Thông tin database:  mysql://pay-tidb.int.onemount.com:4000/saas_tpay Script: UPDATE SYSTEM_CONFIGURATION set IS_ACTIVE=0 where system_param_code = 'SYNC_DATA_NOTIFY_EMAIL_RECIPIENTS';</t>
  </si>
  <si>
    <t xml:space="preserve">[MAG][NSP] Nhờ hỗ trợ drop index và column cho bảng prd_flat_ticket và prd_flat_liquidation_ticket </t>
  </si>
  <si>
    <t>2026-08-10T09:13:18.950+0700</t>
  </si>
  <si>
    <t>2026-08-10T09:13:42.372+0700</t>
  </si>
  <si>
    <t>Dear DBA team, Dự án MAG NSP sau khi deploy cần bỏ một số column và constraint không dùng đến, nhờ team hỗ trợ theo thông tin sau Script DROP INDEX IF EXISTS idx_prd_flat_ticket_type_status;
DROP INDEX IF EXISTS idx_prd_flat_liq_ticket_approval_status;
ALTER TABLE prd_flat_ticket DROP COLUMN IF EXISTS approval_status;
ALTER TABLE prd_flat_liquidation_ticket DROP COLUMN IF EXISTS approval_status; Thông tin database URL: mag-nsp-common-prod-postgres.cpakmik6c8ax.ap-southeast-1.rds.amazonaws.com
Port: 5432
DB name: mag_sales_platform Hiện tại ứng dụng đã không sử dụng đến các cột này, và chưa có dữ liệu, nên đánh giá việc remove column và constraint là an toàn, có thể thực hiện sớm được. Cám ơn anh/chị đã hỗ trợ ạ</t>
  </si>
  <si>
    <t>[MERCHANT_HUB] [PROD] ADD INDEX DB PAYMENT</t>
  </si>
  <si>
    <t>2026-08-09T11:43:27.627+0700</t>
  </si>
  <si>
    <t>2026-08-10T09:28:33.045+0700</t>
  </si>
  <si>
    <t xml:space="preserve">Nhờ anh Linh thêm giúp team Index theo thông tin sau ạ Script -- Index 1: cho case có merchant_id (phổ biến, tận dụng partition pruning)
CREATE INDEX idx_payment_transaction_merchant_idempotency_method
ON payment_transaction (merchant_id, idempotency_key, payment_method);
-- Index 2: cho case KHÔNG có merchant_id (admin, cross-merchant query)
CREATE INDEX idx_payment_transaction_idempotency_method
ON payment_transaction (idempotency_key, payment_method); Thông tin database instance: mhpos-common-prod-postgres - 172.31.4.36
mhpos_payment Em cảm ơn LInk CR: </t>
  </si>
  <si>
    <t>[MERCHANT_HUB] [nonprod] ADD INDEX DB PAYMENT</t>
  </si>
  <si>
    <t>2026-08-09T09:43:45.970+0700</t>
  </si>
  <si>
    <t>2026-08-09T11:07:05.821+0700</t>
  </si>
  <si>
    <t>Nhờ anh Linh thêm giúp team Index theo thông tin sau ạ Script -- Index 1: cho case có merchant_id (phổ biến, tận dụng partition pruning)
CREATE INDEX idx_payment_transaction_merchant_idempotency_method
ON payment_transaction (merchant_id, idempotency_key, payment_method);
-- Index 2: cho case KHÔNG có merchant_id (admin, cross-merchant query)
CREATE INDEX idx_payment_transaction_idempotency_method
ON payment_transaction (idempotency_key, payment_method); Thông tin database jdbc:postgresql://omd-merchant-hub-np--merchant-hub-np-postgres.cloudsql.int:5432/mhpos_payment_qc/uat Em cảm ơn</t>
  </si>
  <si>
    <t>[MCM] Hỗ trợ migration dữ liệu cho hệ thống MCM</t>
  </si>
  <si>
    <t>2026-08-09T02:22:26.107+0700</t>
  </si>
  <si>
    <t>2026-08-09T02:22:44.583+0700</t>
  </si>
  <si>
    <t>IP (Host):   ces-production.crcykac8kxtw.ap-southeast-1.rds.amazonaws.com Port:   3306 DB Name:   ces_mh_mpm Command:  Câu lệnh SQL cần chạy. update ces_mh_mpm.lc_unit_attributes set description = 'lr_lot_number' where code = 'Đang giống lô';
update ces_mh_mpm.lc_unit_attributes set description = 'lr_volume' where code = 'Optional';
update ces_mh_mpm.lc_unit_attributes set description = 'hr_tower' where code = 'Tự động theo parent code';
update ces_mh_mpm.lc_unit_attributes set description = 'hr_floor' where code = 'Tự động theo parent code';
update ces_mh_mpm.lc_unit_attributes set description = 'hr_unit_code' where code = 'Bằng Unit Code';
update ces_mh_mpm.lc_unit_attributes set description = 'hr_unit_number' where code = 'Kết hợp giữa Owner ship + Tower + Floor + unit code';</t>
  </si>
  <si>
    <t>[OMD][TCB-MerchantHUB][PROD] Tạo index, update data cho các DB Fiscal, Catalog, Order</t>
  </si>
  <si>
    <t>2026-08-08T22:09:49.089+0700</t>
  </si>
  <si>
    <t>2026-08-09T02:17:05.197+0700</t>
  </si>
  <si>
    <t>Dear anh Linh, Team MHP cần hỗ trợ chạy các câu SQL trên 3 con DB gồm: Fiscal, Catalog, Order theo thông tin dưới ạ. ====================================================================== TẠO FORCE + INDEX: Chạy lúc 2h ====================================================================== DB Fiscal instance: mhpos-common-prod-postgres - 172.31.4.36 mhpos_fiscal: – 1. Tạo FORCE RLS bảng transactions ALTER TABLE public.transactions FORCE ROW LEVEL SECURITY; – 2. Index 1 trên bảng cha CREATE INDEX idx_transactions_active_merchant_date_id ON ONLY public.transactions (merchant_id, transaction_date DESC, id DESC)  WHERE status &lt;&gt; 'DELETED'; – 3. Index 2 trên bảng cha CREATE INDEX idx_transactions_active_report ON ONLY public.transactions (merchant_id, type, transaction_date DESC, warehouse_transaction, category_id)  WHERE status &lt;&gt; 'DELETED'; – 4. Index 3 trên bảng cha CREATE INDEX idx_transactions_order_transaction_id ON ONLY public.transactions (order_transaction_id)  WHERE order_transaction_id IS NOT NULL; ====================================================================== UPDATE DỮ LIỆU: Chạy sau khi deploy (SRE sẽ báo sau khi xong) ====================================================================== DB Fiscal instance: mhpos-common-prod-postgres - 172.31.4.36 mhpos_fiscal: UPDATE public.notification_template SET client_code = 'TSHOP_MERCHANT_PAYMENT_QR' WHERE code = 'PAYMENT_QR_STATIC_SUCCESS'; UPDATE public.notification_template SET client_code = 'TSHOP_MERCHANT_POS' WHERE code IN ( 'PAYMENT_QR_DYNAMIC_SUCCESS' ); UPDATE public.notification_template SET client_code = 'TSHOP_MERCHANT_ESIGN_EINVOICE' WHERE code IN ( 'CA_REGISTER_DOCUMENTS_REMINDER_24H', 'CA_REGISTER_DOCUMENTS_REMINDER_48H', 'CA_REGISTER_DOCUMENTS_REMINDER_120H', 'CA_REGISTER_DOCUMENTS_REMINDER_288H', 'CA_CONFIRM_REGISTER_REMINDER_24H', 'CA_CONFIRM_REGISTER_REMINDER_48H', 'CA_CONFIRM_REGISTER_REMINDER_120H', 'CA_CONFIRM_REGISTER_REMINDER_288H', 'CA_REGISTER_REJECTED', 'CA_UPDATE_DOCUMENTS_REMINDER_24H', 'CA_UPDATE_DOCUMENTS_REMINDER_48H', 'CA_UPDATE_DOCUMENTS_REMINDER_120H', 'CA_UPDATE_DOCUMENTS_REMINDER_288H', 'CA_EKYC_REMINDER_24H', 'CA_EKYC_REMINDER_48H', 'CA_EKYC_REMINDER_120H', 'CA_EKYC_REMINDER_288H', 'CA_PASSCODE_REMINDER_24H', 'CA_PASSCODE_REMINDER_48H', 'CA_PASSCODE_REMINDER_120H', 'CA_PASSCODE_REMINDER_288H', 'EINVOICE_REGISTER_DOCUMENT_REMINDER_24H', 'EINVOICE_REGISTER_DOCUMENT_REMINDER_48H', 'EINVOICE_REGISTER_DOCUMENT_REMINDER_120H', 'EINVOICE_REGISTER_DOCUMENT_REMINDER_288H', 'EINVOICE_REGISTER_CONFIRM_REMINDER_24H', 'EINVOICE_REGISTER_CONFIRM_REMINDER_48H', 'EINVOICE_REGISTER_CONFIRM_REMINDER_120H', 'EINVOICE_REGISTER_CONFIRM_REMINDER_288H', 'EINVOICE_REGISTER_REJECTED', 'EINVOICE_RESUBMISSION_EKYC_EXPIRED_REMINDER_24H', 'EINVOICE_RESUBMISSION_EKYC_EXPIRED_REMINDER_48H', 'EINVOICE_RESUBMISSION_EKYC_EXPIRED_REMINDER_120H', 'EINVOICE_RESUBMISSION_EKYC_EXPIRED_REMINDER_288H', 'EINVOICE_RESUBMISSION_OTHER_ERROR_REMINDER_120H', 'EINVOICE_RESUBMISSION_OTHER_ERROR_REMINDER_288H', 'EINVOICE_SENT_TO_TAX_AUTHORITY', 'EINVOICE_TAX_AUTHORITY_RECEIVED', 'EINVOICE_TAX_AUTHORITY_APPROVED', 'EINVOICE_ACTIVATED_WITH_PAID_ORDER', 'EINVOICE_ACTIVATED_WITHOUT_PAID_ORDER' ); Catalog instance: mhpos-catalog-prod-postgres - 172.31.4.29 mhpos_catalog: UPDATE public.notification_template SET client_code = 'TSHOP_MERCHANT_POS' WHERE code IN ( 'SCAN_MENU_AI' ); Order instance: mhpos-order-prod-postgres - 172.31.4.37 mhpos_oms: UPDATE public.notification_template SET client_code = 'TSHOP_MERCHANT_POS' WHERE code IN ( 'SCAN_TO_ORDER_NEW_REQUEST' );</t>
  </si>
  <si>
    <t>[PROD] Chạy câu lệnh SQL</t>
  </si>
  <si>
    <t>2026-08-08T21:32:54.657+0700</t>
  </si>
  <si>
    <t>2026-08-08T21:33:05.347+0700</t>
  </si>
  <si>
    <t>Dear anh Nghĩa, Nhờ anh hỗ trợ team chạy các câu lệnh DB với các thông tin dưới đây ạ  Redis: IP: 172.31.0.244
DB: 0
SQL: HSET EVENT:1099:TICKET_TYPE:5413 "max" "4000" "on_hold" "0" "sold" "3992" "available" "8" MysSQL: IP: 172.31.1.3
DB: vinticket
SQL: update ticket_types set 'on_hold_qty' = 0, 'available_qty' = 8 where id = 5413; Em cảm ơn anh .</t>
  </si>
  <si>
    <t>[Prod][OMC][Gami] Hỗ trợ insert new template release 12/08/2026.</t>
  </si>
  <si>
    <t>2026-08-08T12:38:15.722+0700</t>
  </si>
  <si>
    <t>2026-08-08T12:38:22.284+0700</t>
  </si>
  <si>
    <t>Nhờ team chạy giúp em 3 câu query trên production để tạo new template config portal Host: 172.31.1.19 Db: pe_rule_engine # 1. INSERT INTO rule_templates
INSERT INTO rule_templates (id,code, name, description, payload, is_active)
VALUES (49,'ONEU_LOCATION_PERMISSION_UPDATED', 'OneU - Location Permission Updated',
        'Sự kiện cập nhật quyền truy cập vị trí của khách hàng trên OneU', CAST('
  {
    "id": "a61912dd-b968-4836-b2af-5290682d13b4",
    "event": "UserLocationPermissionUpdatedEvent",
    "user_id": "24676",
    "event_time": 1597651302944,
    "request_id": "a61912dd-b968-4836-b2af-5290682d13b4",
    "payload": {
      "is_location_shared": true
    }
  }' as json), 1);
# 2. INSERT topic_mapping
insert into topic_mapping (id, topic, module)
VALUES (49, 'service-platform-user-permission-updated', 'USER_PERMISSION_UPDATED');
# 3. INSERT rule_template_job
insert into rule_template_job (id, module_name, rule_template_id, job_id)
VALUES (49, 'USER_PERMISSION_UPDATED', 49, 1);</t>
  </si>
  <si>
    <t xml:space="preserve"> Golive OneU - [Ticketing] Cho phép user điền thông tin xuất hóa đơn điện tử theo cá nhân/doanh nghiệp</t>
  </si>
  <si>
    <t>2026-08-08T11:23:13.846+0700</t>
  </si>
  <si>
    <t>2026-08-08T11:23:22.292+0700</t>
  </si>
  <si>
    <t>Ticket_APP</t>
  </si>
  <si>
    <t>project: vinticket-prod instance: main ip: 172.31.1.3 DB: vinticket Script: ALTER TABLE `events`
	ADD COLUMN `is_show_e_invoice` boolean NOT NULL DEFAULT false;
CREATE TABLE IF NOT EXISTS `order_invoices`
(
	`id`         INT(10) UNSIGNED NOT NULL AUTO_INCREMENT,
	`order_id`   INT(10) UNSIGNED          DEFAULT NULL,
	`tax_code`   VARCHAR(20)                DEFAULT NULL,
	`name`       VARCHAR(255)               DEFAULT NULL,
	`address`    VARCHAR(255)               DEFAULT NULL,
	`email`      VARCHAR(255)               DEFAULT NULL,
	PRIMARY KEY (`id`),
	CONSTRAINT `order_invoices_order_id_orders_id_foreign` FOREIGN KEY (`order_id`) REFERENCES `orders` (`id`)
) ENGINE = InnoDB
  DEFAULT CHARSET = utf8mb4;
  ALTER TABLE `order_invoices`
	ADD COLUMN `order_code` VARCHAR(191) DEFAULT NULL AFTER `order_id`;</t>
  </si>
  <si>
    <t>[MERCHANT_HUB] - Update data ORDER chưa migrate sau deploy 23/5</t>
  </si>
  <si>
    <t>2026-08-08T11:05:47.729+0700</t>
  </si>
  <si>
    <t>2026-08-08T11:09:12.379+0700</t>
  </si>
  <si>
    <t>Nhiều đơn hàng thiếu value do phiên bản trước 23/5 chưa có logic set paid_at và closed_at, gây sai báo cáo. Nhờ các a DBA update lại giúp team để team data có dữ liệu chính xác theo thông tin sau ạ DB instance: mhpos-order-prod-postgres - 172.31.4.37
mhpos_oms SQL trong file Em cảm ơn</t>
  </si>
  <si>
    <t>2026-08-08T09:46:12.732+0700</t>
  </si>
  <si>
    <t>2026-08-08T10:02:50.883+0700</t>
  </si>
  <si>
    <t>IP (Host):   ces-production.crcykac8kxtw.ap-southeast-1.rds.amazonaws.com Port:   3306 DB Name:   ces_data_transfer Command:   UPDATE ces_data_transfer.data_types
SET template_config = CAST('
{"main_sheet": {"fields": [{"label": "Thông tin chung", "field_name": "thong_tin_chung", "is_grouped": true, "sub_fields": [{"label": "STT", "required": false, "data_type": "string", "field_name": "stt", "example_data": "1"}, {"label": "Loại (Type)", "required": true, "data_type": "string", "field_name": "type", "example_data": "Phân khu"}, {"label": "Mã (Unit Code)", "required": true, "data_type": "string", "field_name": "unit_code", "example_data": "PKA"}, {"label": "Tên (Unit Name)", "required": true, "data_type": "string", "field_name": "unit_name", "example_data": "Phân khu A"}, {"label": "Mã nguồn (Parent Code)", "required": false, "data_type": "string", "field_name": "parent_code", "example_data": ""}], "group_key_field_name": "stt"}, {"label": "Thuộc tính thấp tầng", "field_name": "thuoc_tinh_thap_tang", "is_grouped": true, "sub_fields": [{"label": "Ký hiệu \n ô phố\nZone code", "required": false, "data_type": "string", "field_name": "lr_zone_code", "example_data": "Z01"}, {"label": "Chức năng \nsử dụng đất\nLand-use type", "required": false, "data_type": "string", "field_name": "lr_land_use_type", "example_data": "Đất ở"}, {"label": "Lô đất\nLot number", "required": false, "data_type": "string", "field_name": "lr_lot_number", "description": "Đang giống lô", "example_data": "L01"}, {"label": "Mẫu nhà\nHouse Type", "required": false, "data_type": "string", "field_name": "lr_house_type", "example_data": "Villa"}, {"label": "Mẫu căn", "required": false, "data_type": "string", "field_name": "lr_unit_type", "example_data": "3BR"}, {"label": "Diện tích nền\nLot size\n(m2)\ntheo thông báo 251/TB-UBND 11/07/2023", "required": false, "data_type": "string", "field_name": "lr_lot_size", "example_data": "120"}, {"label": "Hướng cửa chính\nMain door direction", "required": false, "data_type": "string", "field_name": "lr_main_door_direction", "example_data": "Đông Nam"}, {"label": "Chiều ngang đất mặt trước\nLot''s front width\n(m)", "required": false, "data_type": "string", "field_name": "lr_lot_front_width", "example_data": "5"}, {"label": "Chiều ngang đất mặt sau\nLot''s back width\n(m)", "required": false, "data_type": "string", "field_name": "lr_lot_back_width", "example_data": "5"}, {"label": "Chiều dài đất\nLot''s lenght\n(m)", "required": false, "data_type": "string", "field_name": "lr_lot_length", "example_data": "20"}, {"label": "Chiều dài sân trước\nFront yard''s length (m)\nKhoảng lùi trước", "required": false, "data_type": "string", "field_name": "lr_front_yard_length", "example_data": "3"}, {"label": "Chiều dài sân sau\nBack yard''s length (m)\nKhoảng lùi sau", "required": false, "data_type": "string", "field_name": "lr_back_yard_length", "example_data": "2"}, {"label": "Chiều rộng sân bên\nSide yard''s length (m)\nKhoảng lùi bên", "required": false, "data_type": "string", "field_name": "lr_side_yard_width", "example_data": "1.5"}, {"label": "Diện tích sân trước\nFront yard''s area (m2)", "required": false, "data_type": "string", "field_name": "lr_front_yard_area", "example_data": "15"}, {"label": "Diện tích sân sau\nBack yard''s area (m2)", "required": false, "data_type": "string", "field_name": "lr_back_yard_area", "example_data": "10"}, {"label": "Diện tích sân bên\nSide yard''s area (m2)", "required": false, "data_type": "string", "field_name": "lr_side_yard_area", "example_data": "5"}, {"label": "Chiều ngang nhà\nShop''s width (m)", "required": false, "data_type": "string", "field_name": "lr_shop_width", "example_data": "6"}, {"label": "Chiều dài nhà\nShop''s lenght (m)", "required": false, "data_type": "string", "field_name": "lr_shop_length", "example_data": "18"}, {"label": "Mật độ xây dựng\nSite coverage\n(%)", "required": false, "data_type": "string", "field_name": "lr_site_coverage", "example_data": "80"}, {"label": "Diện tích xây dựng Tầng 1\n1st floor GFA\n(m2)", "required": false, "data_type": "string", "field_name": "lr_first_floor_gfa", "example_data": "90"}, {"label": "Diện tích xây dựng Tầng 2\n2nd floor  GFA\n(m2)", "required": false, "data_type": "string", "field_name": "lr_second_floor_gfa", "example_data": "85"}, {"label": "Diện tích xây dựng Tầng 3\n3rd floor  GFA\n(m2)", "required": false, "data_type": "string", "field_name": "lr_third_floor_gfa", "example_data": "85"}, {"label": "Diện tích xây dựng Tầng 4\n4th floor  GFA\n(m2)", "required": false, "data_type": "string", "field_name": "lr_fourth_floor_gfa", "example_data": "80"}, {"label": "Diện tích xây dựng Tầng 5\n5th floor  GFA\n(m2)", "required": false, "data_type": "string", "field_name": "lr_fifth_floor_gfa", "example_data": "75"}, {"label": "Diện tích mái tum\nRoof  GFA\n(m2)", "required": false, "data_type": "string", "field_name": "lr_roof_gfa", "example_data": "20"}, {"label": "Tổng GFA \nTotal GFA\n(m2)", "required": false, "data_type": "string", "field_name": "lr_total_gfa", "example_data": "450"}, {"label": "Tổng GFA tính hệ số SDĐ \nTotal GFA for FAR\n(m2)", "required": false, "data_type": "string", "field_name": "lr_total_gfa_for_far", "example_data": "430"}, {"label": "Hệ số SDĐ\nFAR", "required": false, "data_type": "string", "field_name": "lr_far", "example_data": "3.5"}, {"label": "Tầng cao\ntối đa\nNumber of storeys\n(tầng / storey)", "required": false, "data_type": "string", "field_name": "lr_max_storeys", "example_data": "5"}, {"label": "Phân khu Thương mại", "required": false, "data_type": "string", "field_name": "lr_commercial_zone", "example_data": "Khu A"}, {"label": "Mã căn thương mại", "required": false, "data_type": "string", "field_name": "lr_commercial_unit_code", "example_data": "TM001"}, {"label": "Mã căn pháp lý (nếu có)", "required": false, "data_type": "string", "field_name": "lr_legal_unit_code", "example_data": "PL001"}, {"label": "Khối tích\nVolume\n(m3)", "required": false, "data_type": "string", "field_name": "lr_volume", "description": "Optional", "example_data": "1200"}, {"label": "Thửa đất số", "required": false, "data_type": "string", "field_name": "lr_land_parcel_number", "example_data": "123"}, {"label": "Tờ bản đồ số", "required": false, "data_type": "string", "field_name": "lr_map_sheet_number", "example_data": "45"}, {"label": "Số vào sổ cấp GCN", "required": false, "data_type": "string", "field_name": "lr_certificate_book_number", "example_data": "CS123456"}, {"label": "Ngày", "required": false, "data_type": "string", "field_name": "lr_certificate_issue_date", "example_data": "2025-01-01"}, {"label": "Số sổ", "required": false, "data_type": "string", "field_name": "lr_book_number", "example_data": "SO001"}, {"label": "Tên đường", "required": false, "data_type": "string", "field_name": "lr_street_name", "example_data": "Nguyễn Huệ"}, {"label": "Số nhà", "required": false, "data_type": "string", "field_name": "lr_house_number", "example_data": "12A"}, {"label": "Ghi chú", "required": false, "data_type": "string", "field_name": "lr_note", "example_data": "Căn góc"}, {"label": "Loại hình", "required": false, "data_type": "string", "field_name": "lr_product_type", "example_data": "Shophouse"}, {"label": "Chiều cao từng tầng", "required": false, "data_type": "string", "field_name": "lr_floor_height", "example_data": "3.6m"}, {"label": "Vị trí căn", "required": false, "data_type": "string", "field_name": "lr_unit_position", "example_data": "Căn góc"}, {"label": "Hướng cửa phụ (nếu có)", "required": false, "data_type": "string", "field_name": "lr_secondary_door_direction", "example_data": "Tây Bắc"}, {"label": "DT đất (m²)", "required": false, "data_type": "string", "field_name": "lr_land_area", "example_data": "150"}, {"label": "DT sàn xây dựng (m²) nội bộ", "required": false, "data_type": "string", "field_name": "lr_internal_construction_area", "example_data": "350"}, {"label": "DT sàn xây dựng (m²) vào HĐMB", "required": false, "data_type": "string", "field_name": "lr_contract_construction_area", "example_data": "340"}, {"label": "Diện tích chiếm đất", "required": false, "data_type": "string", "field_name": "lr_building_footprint_area", "example_data": "90"}, {"label": "Kích thước lô đất", "required": false, "data_type": "string", "field_name": "lr_lot_dimension", "example_data": "5x20"}, {"label": "View Chính", "required": false, "data_type": "string", "field_name": "lr_main_view", "example_data": "Công viên"}, {"label": "View phụ", "required": false, "data_type": "string", "field_name": "lr_sub_view", "example_data": "Hồ bơi"}, {"label": "Hệ số mặt tiền", "required": false, "data_type": "string", "field_name": "lr_frontage_coefficient", "example_data": "1.2"}, {"label": "Hệ số về thiết kế", "required": false, "data_type": "string", "field_name": "lr_design_coefficient", "example_data": "1.1"}, {"label": "Hệ số vị trí khác", "required": false, "data_type": "string", "field_name": "lr_other_location_coefficient", "example_data": "1.05"}]}, {"label": "Thuộc tính cao tầng", "field_name": "thuoc_tinh_cao_tang", "is_grouped": true, "sub_fields": [{"label": "Owner ship/Loại hình", "required": false, "data_type": "string", "field_name": "hr_ownership_type", "example_data": "Lâu dài"}, {"label": "Tower", "required": false, "data_type": "string", "field_name": "hr_tower", "description": "Tự động theo parent code", "example_data": "T1"}, {"label": "Floor", "required": false, "data_type": "string", "field_name": "hr_floor", "description": "Tự động theo parent code", "example_data": "12"}, {"label": "Unit code", "required": false, "data_type": "string", "field_name": "hr_unit_code", "description": "Bằng Unit Code", "example_data": "A12-01"}, {"label": "Unit number", "required": false, "data_type": "string", "field_name": "hr_unit_number", "description": "Kết hợp giữa Owner ship + Tower + Floor + unit code", "example_data": "01"}, {"label": "Unit type", "required": false, "data_type": "string", "field_name": "hr_unit_type", "example_data": "2BR"}, {"label": "Unit type name", "required": false, "data_type": "string", "field_name": "hr_unit_type_name", "example_data": "2 Bedrooms"}, {"label": "Location", "required": false, "data_type": "string", "field_name": "hr_location", "example_data": "Corner"}, {"label": "Balcony direction", "required": false, "data_type": "string", "field_name": "hr_balcony_direction", "example_data": "Đông Nam"}, {"label": "Main door direction", "required": false, "data_type": "string", "field_name": "hr_main_door_direction", "example_data": "Tây Bắc"}, {"label": "GSA_tim tường (m²)", "required": false, "data_type": "string", "field_name": "hr_gsa_area", "example_data": "85.5"}, {"label": "NSA_thông thủy (m²)", "required": false, "data_type": "string", "field_name": "hr_nsa_area", "example_data": "78.2"}, {"label": "Thửa đất", "required": false, "data_type": "string", "field_name": "hr_land_parcel", "example_data": "LP-001"}, {"label": "Vị trí căn", "required": false, "data_type": "string", "field_name": "hr_unit_position", "example_data": "Căn góc"}, {"label": "Chiều cao từng tầng", "required": false, "data_type": "string", "field_name": "hr_floor_height", "example_data": "3.6m"}, {"label": "Hướng ban công phụ (nếu có)", "required": false, "data_type": "string", "field_name": "hr_secondary_balcony_direction", "example_data": "Nam"}, {"label": "GSA Sân vườn (nếu có)", "required": false, "data_type": "string", "field_name": "hr_garden_gsa_area", "example_data": "25"}, {"label": "NSA Sân vườn (nếu có)", "required": false, "data_type": "string", "field_name": "hr_garden_nsa_area", "example_data": "20"}, {"label": "View Chính", "required": false, "data_type": "string", "field_name": "hr_main_view", "example_data": "Công viên"}, {"label": "View Phụ", "required": false, "data_type": "string", "field_name": "hr_sub_view", "example_data": "Hồ bơi"}, {"label": "Hệ số trần cao", "required": false, "data_type": "string", "field_name": "hr_high_ceiling_coefficient", "example_data": "1.1"}, {"label": "Hệ số vướng façade", "required": false, "data_type": "string", "field_name": "hr_facade_obstruction_coefficient", "example_data": "0.95"}, {"label": "Hệ số vị trí khác", "required": false, "data_type": "string", "field_name": "hr_other_location_coefficient", "example_data": "1.05"}]}], "sheet_name": "Template Căn hộ"}}
' AS JSON)
WHERE code = 'UNIT';</t>
  </si>
  <si>
    <t>[Merchantdise][PROD] Seeding Bán Merchantdise GHYT  2026</t>
  </si>
  <si>
    <t>2026-08-08T09:37:40.751+0700</t>
  </si>
  <si>
    <t>2026-08-08T09:37:50.342+0700</t>
  </si>
  <si>
    <t>Nhờ  @Đào Công Nghĩa  chạy giúp thông tin dưới đây: project: vincart-prod instance: main ip: 172.31.1.41 DB: vincart_mm_product Script: UPDATE variants
set stock_type = 'INIT'
WHERE id in (1088661);
UPDATE inventories
set channel_code = 'INIT'
WHERE variant_id in (1088661);
UPDATE variant_prices
set channel_code = 'ONEU'
WHERE variant_id in (1088661);</t>
  </si>
  <si>
    <t>[UPAY][QR-Global][Non-Prod] Request tạo database và account truy cập DB cho dự án qr global</t>
  </si>
  <si>
    <t>2026-08-07T18:04:02.153+0700</t>
  </si>
  <si>
    <t>2026-08-07T18:04:10.773+0700</t>
  </si>
  <si>
    <t>Dear team, Hiện tại em đang cần tạo database uat cho dự án qr global với thông tin sau: host/port: jdbc:mysql://tidb.int.onemount.dev:4000 Database name: upay_tcb_qr_global_uat Mong muốn tạo account: Purpose: dùng cho service/system kết nối DB Permission: full access trên database upay_tcb_qr_global_uat Anh/chị vui lòng cung cấp: Username/password cho account Nhờ anh/chị hỗ trợ em với nhé. Em cảm ơn.</t>
  </si>
  <si>
    <t>[Kafka][Prod] Tạo kafka topic cho bảng nguồn MDM phục vụ dự án SCM</t>
  </si>
  <si>
    <t>2026-08-07T17:56:33.202+0700</t>
  </si>
  <si>
    <t>2026-08-07T17:58:16.270+0700</t>
  </si>
  <si>
    <t>Dear team DBA, Hiện tại team đang có nhu cầu kéo dữ liệu các bảng sau phục vụ cho ticket  https://onemount.atlassian.net/browse/SM-4946  nhờ anh Linh tạo kafka topic ở môi trường PROD và NONPROD giúp team để kéo data về DP. PROD: IP host: 172.31.1.118 Schema: omd_mdm_prod Table list: OrganizationVersion PROD: IP host: 172.31.0.68 Schema: omd_mdm_qc Table list: OrganizationVersion Thanks team, Cong</t>
  </si>
  <si>
    <t>[CLM][MAG] Init data script for Data Contract Lifecycle Management s14</t>
  </si>
  <si>
    <t>2026-08-07T17:15:29.502+0700</t>
  </si>
  <si>
    <t>2026-08-27T11:10:20.864+0700</t>
  </si>
  <si>
    <t>Dear Team @Nguyễn Văn Dũng   @Phạm Hồng Quang CLM - Contract Lifecycle Management lên prod sprint s14. Sau khi code lên và init database xong thì nhờ team chạy script dưới để update một số config cho hệ thống Database: project gcp: onemg-integration-platform-prd instance(IP):  main  (172.31.1.118) Database name: clm_prod_mysql</t>
  </si>
  <si>
    <t>[CTMS-CLMS] Migration support</t>
  </si>
  <si>
    <t>2026-08-07T11:02:08.272+0700</t>
  </si>
  <si>
    <t>Migration</t>
  </si>
  <si>
    <t>Mục tiêu:  Cho phép team CLMS được cấp quyền truy cập vào các nền tảng của CTMS để thực hiện việc Migration hợp đồng cũ từ CTMS sang CLMS. Môi trường:  NonProd/Prod Các nền tảng cần cấp quyền truy cập: Quyền query dữ liệu từ Database CTMS Quyền truy cập Bucket lấy file (Hợp đồng và File đính kèm hợp đồng) từ CTMS</t>
  </si>
  <si>
    <t>[ECMP][non-prod] migrate DB postgres dev sang môi trường mới aws</t>
  </si>
  <si>
    <t>2026-08-07T09:38:05.421+0700</t>
  </si>
  <si>
    <t>2026-08-07T09:40:47.204+0700</t>
  </si>
  <si>
    <t>[ECMP][non-prod] migrate DB postgres dev cmp sang môi trường mới aws Source: 172.31.0.74 Target:  cmp-om-ecmp-np-postgres.czw2e8i2idte.ap-southeast-1.rds.amazonaws.com</t>
  </si>
  <si>
    <t>[OMC][PS2][Loyalty][PROD] - archive dữ liệu history cho các bảng cần move data sang COLD - Tháng 8/2026</t>
  </si>
  <si>
    <t>2026-08-06T18:13:07.261+0700</t>
  </si>
  <si>
    <t>2026-08-10T18:01:29.972+0700</t>
  </si>
  <si>
    <t>Các bảng cần move data sang COLD, sau đó archive lên GCS: TRANSACTION_HISTORY_ATTRIBUTE TRANSACTION_HISTORY POINT_TRANSACTION COUNTER_TRANSACTION_HISTORY 3 bảng TRANSACTION_HISTORY, POINT_TRANSACTION, COUNTER_TRANSACTION_HISTORY :  Trên môi trường PROD (HOT), Giữ lại data đầy đủ của 6 tháng gần nhất. (tháng n-1, n-2, n-3, n-4, n-5, n-6). Trên môi trường COLD, sẽ có data lịch sử (history 6 tháng tiếp theo) n-7, n-8, n-9, n-10, n-11, n-12. Ví dụ, hiện tại là tháng 8/2026, thì data giữ lại ở db chính PROD là tháng 7/2026, 6/2026, 5/2026, 4/2026, 3/2026, 2/2026. Các tháng lịch sử khác (history 6 tháng tiếp theo) sẽ khai thác trên db COLD: tháng 1/2026, 12/2025, 11/2025, 10/2025, 9/2025, 8/2025.   Bảng TRANSACTION_HISTORY_ATTRIBUTE  : Tháng hiện tại là tháng n.  Trên DB chính PROD (HOT), giữ lại data đầy đủ của 3 tháng gần nhất (tháng thứ n-1,n-2,n-3 sau tháng hiện tại). Các data tháng thứ n-4,n-5,n-6 sau tháng n hiện tại thì chuyển sang db COLD.) Ví dụ, hiện tại là tháng 8/2026, thì data giữ lại ở db chính PROD là tháng 7/2026, 6/2026, 5/2026. Các tháng 4/2026, 3/2026, 2/2026 sẽ khai thác trên db COLD.</t>
  </si>
  <si>
    <t>[OMC][PS2][Loyalty][PROD] - archive dữ liệu history cho các bảng PAY_WITH_POINT_TRANSACTION_HISTORY - Tháng 8/2026</t>
  </si>
  <si>
    <t>2026-08-06T18:12:52.525+0700</t>
  </si>
  <si>
    <t>2026-08-10T16:59:33.322+0700</t>
  </si>
  <si>
    <t>hiện tại tháng 8/2026, thì sẽ thực hiện DELETE Xóa data có: status = 'F' and transaction_time &lt; to_date('01/07/2026','dd/MM/yyyy')</t>
  </si>
  <si>
    <t>[OMC][PS2][Loyalty][PROD] - archive dữ liệu history cho các bảng KAFKA_ , TIER_HISTORY - Tháng 8/2026</t>
  </si>
  <si>
    <t>2026-08-06T18:11:29.794+0700</t>
  </si>
  <si>
    <t>2026-08-22T17:38:35.345+0700</t>
  </si>
  <si>
    <t>[OMC][PS2][Loyalty][PROD] - Thực hiện archive dữ liệu history cho DB Loyalty - Tháng 8/2026</t>
  </si>
  <si>
    <t>2026-08-06T18:07:03.914+0700</t>
  </si>
  <si>
    <t>2026-08-22T17:38:57.647+0700</t>
  </si>
  <si>
    <t>Team DBA cần thực hiện archive dữ liệu lịch sử của 1 số bảng lớn trong DB LOYALTY, để tối ưu dung lượng lưu trữ data , tránh để data lưu trữ quá lớn trong DB dẫn tới chi phí phần cứng tăng và giảm hiệu suất IO khi truy xuất data lớn. Quy định về thời gian lưu trữ data (dự án đã confirm với TCB qua email): Live data tier: không TTL expired bất kể dữ liệu nào Backup tier: Thực hiện backup full 2 lần/tuần và incremental các ngày còn lại Archiving tier:  Dữ liệu Archive được thực hiện 6 tháng/lần và store với retention là 365 days Kế hoạch thực hiện archive dữ liệu history của DB Loyalty , thực hiện trong  tháng 8 năm 2026 Các bảng cần lưu trữ data và thực hiện xóa data history:   Tables Partition column Life time Note KAFKA_AUDIT_TRAIL_PRODUCT_INFO CREATED_AT 1 month KAFKA_AUDIT_TRAIL_CARD_INFO CREATED_AT 1 month KAFKA_AUDIT_TRAIL_CUSTOMER_PROFILE CREATED_AT 1 month KAFKA_AUDIT_TRAIL_EARN_TRANSACTION CREATED_AT 1 month KAFKA_AUDIT_TRAIL_EARN_EVENT CREATED_AT 1 month TIER_HISTORY CREATED_AT 6 month POINT_TRANSACTION_ACCOUNT_BALANCE CREATED_AT 6 month Từ tháng 5/2025,  tạm dừng ko xóa data history bảng này nữa , để CNSP review lại xem có dùng dữ liệu quá 6 tháng ko? PAY_WITH_POINT_TRANSACTION_HISTORY TRANSACTION_TIME Giữ nguyên các partition,chỉ DELETE xóa data theo điều kiện where là:  status = 'F'  and transaction_time đủ full  1 tháng  gần nhất Ví dụ, hiện tại tháng 8/2026, thì sẽ thực hiện DELETE Xóa data có: status = 'F' and transaction_time &lt; to_date('01/07/2026','dd/MM/yyyy') TRANSACTION_HISTORY_ATTRIBUTE CREATED_AT 3 month Tháng hiện tại là tháng n. Trên DB chính PROD (HOT), giữ lại data đầy đủ của 3 tháng gần nhất (tháng thứ n-1,n-2,n-3 sau tháng hiện tại). Các data tháng thứ n-4,n-5,n-6 sau tháng n hiện tại thì chuyển sang db COLD.) Ví dụ, hiện tại là tháng 8/2026, thì data giữ lại ở db chính PROD là tháng 7/2026, 6/2026, 5/2026. Các tháng 4/2026, 3/2026, 2/2026 sẽ khai thác trên db COLD. TRANSACTION_HISTORY TRANSACTION_TIME 6 month Trên môi trường PROD (HOT), Giữ lại data đầy đủ của 6 tháng gần nhất. (tháng n-1, n-2, n-3, n-4, n-5, n-6). Trên môi trường COLD, sẽ có data lịch sử (history 6 tháng tiếp theo) n-7, n-8, n-9, n-10, n-11, n-12. Ví dụ, hiện tại là tháng 8/2026, thì data giữ lại ở db chính PROD là tháng 7/2026, 6/2026, 5/2026, 4/2026, 3/2026, 2/2026. Các tháng lịch sử khác (history 6 tháng tiếp theo) sẽ khai thác trên db COLD: tháng 1/2026, 12/2025, 11/2025, 10/2025, 9/2025, 8/2025. POINT_TRANSACTION TRANSACTION_TIME 6 month Trên môi trường PROD (HOT), Giữ lại data đầy đủ của 6 tháng gần nhất. (tháng n-1, n-2, n-3, n-4, n-5, n-6). Trên môi trường COLD, sẽ có data lịch sử (history 6 tháng tiếp theo) n-7, n-8, n-9, n-10, n-11, n-12. Ví dụ, hiện tại là tháng 8/2026, thì data giữ lại ở db chính PROD là tháng 7/2026, 6/2026, 5/2026, 4/2026, 3/2026, 2/2026. Các tháng lịch sử khác (history 6 tháng tiếp theo) sẽ khai thác trên db COLD: tháng 1/2026, 12/2025, 11/2025, 10/2025, 9/2025, 8/2025. COUNTER_TRANSACTION_HISTORY CREATED_AT 6 month Trên môi trường PROD (HOT), Giữ lại data đầy đủ của 6 tháng gần nhất. (tháng n-1, n-2, n-3, n-4, n-5, n-6). Trên môi trường COLD, sẽ có data lịch sử (history 6 tháng tiếp theo) n-7, n-8, n-9, n-10, n-11, n-12. Ví dụ, hiện tại là tháng 8/2026, thì data giữ lại ở db chính PROD là tháng 7/2026, 6/2026, 5/2026, 4/2026, 3/2026, 2/2026. Các tháng lịch sử khác (history 6 tháng tiếp theo) sẽ khai thác trên db COLD: tháng 1/2026, 12/2025, 11/2025, 10/2025, 9/2025, 8/2025. Phương án làm archive data cho các bảng này: export các partition vi phạm thời gian lưu trữ data life time ONLINE Lưu trữ các partition đã export lên GCS (thời gian lưu trữ trên GCS là 1 năm). Các dữ liệu nào cần khai thác trên COLD, thì sẽ import sang db COLD. Drop các partition đã export + archived trên DB PROD Chạy lại gather statistic cho bảng vừa drop partition (có thể để DB auto chạy cũng được)</t>
  </si>
  <si>
    <t>[OMRE][NONPROD] Request tạo schema cho dự án CBP</t>
  </si>
  <si>
    <t>2026-08-06T17:23:08.336+0700</t>
  </si>
  <si>
    <t>2026-08-07T11:01:50.846+0700</t>
  </si>
  <si>
    <t>NONPROD</t>
  </si>
  <si>
    <t>Em chào anh chị, Anh/chị tạo giúp em schema cho môi trường non-prod cho service này giúp em với ạ. (Repo:  https://gitlab.id.vin/1housing/cbp/apply/backend/policy-engine/apps/pms-web.git ) schema: omre_cbp_pms_uat user: omre_cbp_pms_uat password: Gdwedfkndgwodn@123  schema: omre_cbp_pms_qc   user: omre_cbp_pms_qc   password: Gdwedfkndgwodn@123 name:  omre-cbp-mysql8   IP: 172.31.0.67 project: omre-cobroker-np DNS:  omre-cobroker-np--omre-cbp-mysql8.cloudsql.int</t>
  </si>
  <si>
    <t>[ECMP][prod] tạo DB trên môi trường prod redis</t>
  </si>
  <si>
    <t>2026-08-06T15:01:10.413+0700</t>
  </si>
  <si>
    <t>2026-08-08T10:48:49.680+0700</t>
  </si>
  <si>
    <t>Môi trường Production (PROD) Mô tả:   1. Mục tiêu:  Cấp phát hạ tầng lưu trữ dữ liệu (DB &amp; Cache) trên AWS cho dự án CMP môi trường Production ( cmp.int.onemount.com ). Yêu cầu đáp ứng High Availability (HA) theo chuẩn AWS. Yêu cầu chi tiết: Cache (Amazon ElastiCache - Redis): Cấu hình:  Redis Cluster 3 nodes  (Phân bổ Multi-AZ, gồm 1 Primary và 2 Replicas) để đảm bảo High Availability và chia sẻ tải.</t>
  </si>
  <si>
    <t>[ECMP][prod] tạo DB trên môi trường prod postgres</t>
  </si>
  <si>
    <t>2026-08-06T15:00:48.987+0700</t>
  </si>
  <si>
    <t>2026-08-08T10:49:02.046+0700</t>
  </si>
  <si>
    <t>Môi trường Production (PROD) Mô tả:   1. Mục tiêu:  Cấp phát hạ tầng lưu trữ dữ liệu (DB &amp; Cache) trên AWS cho dự án CMP môi trường Production ( cmp.int.onemount.com ). Yêu cầu đáp ứng High Availability (HA) theo chuẩn AWS. Yêu cầu chi tiết: Database (Amazon RDS - PostgreSQL): Cấu hình:  Master/Slave (Multi-AZ Deployment)  để đảm bảo dự phòng và tự động Failover. Yêu cầu bắt buộc: Hỗ trợ kiểu dữ liệu JSONB và GIN Indexing (để lưu custom metadata).</t>
  </si>
  <si>
    <t>[ECMP][non-prod] tạo DB trên môi trường non-prod redis</t>
  </si>
  <si>
    <t>2026-08-06T14:58:44.846+0700</t>
  </si>
  <si>
    <t>2026-08-06T15:03:31.100+0700</t>
  </si>
  <si>
    <t>Môi trường Non-Prod (QC) Mô tả:   1. Mục tiêu:  Cấp phát hạ tầng lưu trữ dữ liệu (DB &amp; Cache) trên AWS cho dự án CMP môi trường QC ( cmp.int.onemount.dev ). Nhằm tối ưu chi phí, môi trường này chỉ cần chạy cấu hình Single-node. Yêu cầu chi tiết: Cache (Amazon ElastiCache - Redis): Cấu hình: Standalone (1 node).</t>
  </si>
  <si>
    <t>[ECMP][non-prod] tạo DB trên môi trường non-prod postgres</t>
  </si>
  <si>
    <t>2026-08-06T14:58:28.647+0700</t>
  </si>
  <si>
    <t>2026-08-06T15:03:29.260+0700</t>
  </si>
  <si>
    <t>Môi trường Non-Prod (QC) Mô tả:   1. Mục tiêu:  Cấp phát hạ tầng lưu trữ dữ liệu (DB &amp; Cache) trên AWS cho dự án CMP môi trường QC ( cmp.int.onemount.dev ). Nhằm tối ưu chi phí, môi trường này chỉ cần chạy cấu hình Single-node. Yêu cầu chi tiết: Database (Amazon RDS - PostgreSQL): Cấu hình: Single-AZ (1 node). Yêu cầu bắt buộc: Hỗ trợ kiểu dữ liệu JSONB và GIN Indexing.</t>
  </si>
  <si>
    <t>[PROD] [VCM] Update order status</t>
  </si>
  <si>
    <t>2026-08-06T14:57:16.766+0700</t>
  </si>
  <si>
    <t>2026-08-06T14:57:24.814+0700</t>
  </si>
  <si>
    <t>Dear DBA team, Nhờ các anh em support chạy script update trạng thái đơn hàng. Do lệch trạng thái. Thời gian thực hiện:   14H 06/08/2026 Thông tin DB Mysql: Database name: vincart_mm_order 
IP: 172.31.1.41 Chạy script sau: -- 2. Update orders
UPDATE orders a
SET status = 'FINISHED', payment_status = 'PAID'
WHERE a.code in ('MAYR9RVE',  'M99D82GX',  'MNDXQ8AQ',  'MAY4V2X8',
  'MQ3V8GEK',
  'MND2YLDA',
  'MQ3D2YYD',
  'MBDLK26Y',
  'MDX7V9Y4',
  'ML7NAB6L',
  'ML7NABGG',
  'M5XGB59R',
  'M47NBEA3',
  'MQ3LQ58V',
  'MAY56837',
  'MNDKGDQG');
-- 3. Update fulfillments
UPDATE fulfillments f
SET status = 'SHIPPED'
WHERE order_id IN (
    SELECT o.id
    FROM orders o
    WHERE o.code in ('MAYR9RVE',  'M99D82GX',  'MNDXQ8AQ',  'MAY4V2X8',
  'MQ3V8GEK',
  'MND2YLDA',
  'MQ3D2YYD',
  'MBDLK26Y',
  'MDX7V9Y4',
  'ML7NAB6L',
  'ML7NABGG',
  'M5XGB59R',
  'M47NBEA3',
  'MQ3LQ58V',
  'MAY56837',
  'MNDKGDQG')
);</t>
  </si>
  <si>
    <t>2026-08-06T14:55:00.425+0700</t>
  </si>
  <si>
    <t>2026-08-06T15:36:46.139+0700</t>
  </si>
  <si>
    <t>[OMD] [B2B] export dữ liệu phụ vụ cut off hệ thống</t>
  </si>
  <si>
    <t>2026-08-06T12:10:17.748+0700</t>
  </si>
  <si>
    <t>2026-08-06T12:14:50.661+0700</t>
  </si>
  <si>
    <t xml:space="preserve">Hi @Nguyễn Văn Dũng   Nhờ em hỗ export data cho hệ thống OMD Phục vụ cho cutoff hệ thống  Export xong đẩy file lên drive giúp anh:    Câu query SELECT 
                              rls.*
                              ,ROUND((((rls.`Số lượng`*rls.`Đơn giá trước Giảm giá`) - rls.`Số lượng`*rls.rev_deduct_prm_omd - rls.`Số lượng`*rls.rev_deduct_prm_npp - rls.`Số lượng`*rls.rev_deduct_prm_ncc) - (((rls.`Số lượng`*rls.`Đơn giá trước Giảm giá`) - rls.`Số lượng`*rls.rev_deduct_prm_omd - rls.`Số lượng`*rls.rev_deduct_prm_npp - rls.`Số lượng`*rls.rev_deduct_prm_ncc)*rls.vatOutRate/(1+vatOutRate)))/rls.`Số lượng`,2) as "Đơn giá"
                              ,ROUND((((rls.`Số lượng`*rls.`Đơn giá trước Giảm giá`) - rls.`Số lượng`*rls.rev_deduct_prm_omd - rls.`Số lượng`*rls.rev_deduct_prm_npp - rls.`Số lượng`*rls.rev_deduct_prm_ncc)*rls.`Thuế suất xuất hóa đơn thực tế`/(1+rls.`Thuế suất xuất hóa đơn thực tế`)),2) as "Thuế GTGT thực tế"
                              ,ROUND(((rls.`Số lượng`*rls.`Đơn giá trước Giảm giá`) - rls.`Số lượng`*rls.rev_deduct_prm_omd - rls.`Số lượng`*rls.rev_deduct_prm_npp - rls.`Số lượng`*rls.rev_deduct_prm_ncc) - (((rls.`Số lượng`*rls.`Đơn giá trước Giảm giá`) - rls.`Số lượng`*rls.rev_deduct_prm_omd - rls.`Số lượng`*rls.rev_deduct_prm_npp - rls.`Số lượng`*rls.rev_deduct_prm_ncc)*rls.`Thuế suất xuất hóa đơn thực tế`/(1+rls.`Thuế suất xuất hóa đơn thực tế`)),2) as "Doanh thu trước VAT Thực tế"
                              ,ROUND(((rls.`Số lượng`*rls.`Đơn giá trước Giảm giá`) - rls.`Số lượng`*rls.rev_deduct_prm_omd - rls.`Số lượng`*rls.rev_deduct_prm_npp - rls.`Số lượng`*rls.rev_deduct_prm_ncc) - (((rls.`Số lượng`*rls.`Đơn giá trước Giảm giá`) - rls.`Số lượng`*rls.rev_deduct_prm_omd - rls.`Số lượng`*rls.rev_deduct_prm_npp - rls.`Số lượng`*rls.rev_deduct_prm_ncc)*rls.vatOutRate/(1+vatOutRate)),2) as "Thành tiền trước thuế"
                              ,ROUND((((rls.`Số lượng`*rls.`Đơn giá trước Giảm giá`) - rls.`Số lượng`*rls.rev_deduct_prm_omd - rls.`Số lượng`*rls.rev_deduct_prm_npp - rls.`Số lượng`*rls.rev_deduct_prm_ncc)*rls.vatOutRate/(1+vatOutRate)),2) as "Thuế GTGT"
                              ,ROUND(((rls.`Số lượng`*rls.`Đơn giá trước Giảm giá`) - rls.`Số lượng`*rls.rev_deduct_prm_omd - rls.`Số lượng`*rls.rev_deduct_prm_npp - rls.`Số lượng`*rls.rev_deduct_prm_ncc),2) as "Thành tiền sau thuế GTGT"
                            FROM
                            (
                              SELECT
                                DATE_FORMAT(
                                  eiv.arisingDate, "%Y-%m-%d %H:%i:%s"
                                ) as "Ngày xuất hóa đơn",
                                eiv.type as "Mẫu hóa đơn",
                                eiv.serial as "Kí hiệu hóa đơn",
                                eiv.no as "Số hóa đơn",
                                eiv.status as "Trạng thái hóa đơn",
                                file.id as "Download hóa đơn",
                                ord.orderdate as "Ngày đặt hàng",
                                DATE_FORMAT(
                                  ord.orderdate, "%Y-%m-%d %H:%i:%s"
                                ) as "Ngày đặt hàng Display",
                                ord.code as "Mã đơn hàng",
                                '' as "RPO ID",
                                DATE_FORMAT(
                                  eiv.businessDate, "%Y-%m-%d %H:%i:%s"
                                ) as "Ngày ghi sổ",
                                pce.offerCode as "Mã combo",
                                pce.name as "Tên combo",
                                pce.quantity as "Số lượng combo",
                                ce.offerCode  as "Mã sản phẩm",
                                ce.name as "Tên sản phẩm",
                                IFNULL(dce.actualDelivery,0) as "Số lượng",
                                orde.unitCode as "Đơn vị tính",
                                (
                                  CASE WHEN IFNULL(ord.ExportVAT, 0) = 0 THEN orde.vatOut ELSE orde.vatClassRate END
                                ) as "Thuế suất xuất hóa đơn thực tế",
                                orde.Vatout as "Loại thuế suất",
                                ce.basePrice as "Đơn giá trước Giảm giá",
                                IFNULL(prm.rev_deduct_prm_omd,0) as rev_deduct_prm_omd,
                                IFNULL(prm.rev_deduct_prm_npp,0) as rev_deduct_prm_npp,
                                IFNULL(prm.rev_deduct_prm_ncc,0) as rev_deduct_prm_ncc,
                                (orde.vatOut / 100) as vatOutRate,
                                (orde.vatClassRate / 100) as vatClassRate,
                                vif.name as "Tên khách hàng",
                                vif.companyName as "Tên công ty",
                                vif.address as "Địa chỉ khách hàng",
                                vif.taxCode as "Mã số thuế",
                                paym.name as "Phương thức thanh toán",
                                orde.productType as "Loại sản phẩm",
                                s.code as "Mã vận đơn",
                                (
                                  CASE WHEN eiv.isCancelled = 1 THEN 'Có' ELSE 'Không' END
                                ) as "Hóa đơn hủy",
                                ce.closedDate as "Ngày đóng đơn",
                                 DATE_FORMAT(
                                   ce.closedDate, "%Y-%m-%d %H:%i:%s"
                                 ) as "Ngày đóng đơn Display"
                              FROM
                                `omd_vinid_b2b_platform_prod_b2b_commerce_b2b_oms_prod`.ConsignmentEntry as ce
                                LEFT JOIN `omd_vinid_b2b_platform_prod_b2b_commerce_b2b_oms_prod`.ConsignmentEntry as pce ON pce.id = ce.parentCombo_id
                                inner join `omd_vinid_b2b_platform_prod_b2b_commerce_b2b_oms_prod`.EInvoice as eiv on eiv.shipment_id = ce.shipmentId
                                left join `omd_vinid_b2b_platform_prod_b2b_commerce_b2b_oms_prod`.DistributedConsignmentEntry as dce on dce.consignmentEntryCode = ce.code
                                left join `omd_vinid_b2b_platform_prod_b2b_commerce_b2b_oms_prod`.SaleOrderEntry as orde on orde.code = ce.saleOrderEntryCode and orde.productType != 'COMBO'
                                left join `omd_vinid_b2b_platform_prod_b2b_commerce_b2b_oms_prod`.Shipment as s on s.id = ce.shipmentId
                                left join `omd_vinid_b2b_platform_prod_b2b_commerce_b2b_oms_prod`.SaleOrder as ord on ord.id = s.saleOrder_id
                                left join `omd_vinid_b2b_platform_prod_b2b_commerce_b2b_oms_prod`.PaymentMethod as paym on paym.id = ord.paymentMethod_id
                                left join (
                                  select
                                    sum(
                                      CASE WHEN prmb.sponsorType = 'OMD' THEN prmb.discountPrice ELSE 0 END
                                    ) as rev_deduct_prm_omd,
                                    sum(
                                      CASE WHEN prmb.sponsorType = 'DISTRIBUTOR' THEN prmb.discountPrice ELSE 0 END
                                    ) as rev_deduct_prm_npp,
                                    sum(
                                      CASE WHEN prmb.sponsorType = 'SUPPLIER' THEN prmb.discountPrice ELSE 0 END
                                    ) as rev_deduct_prm_ncc,
                                    prmb.distributedConsignmentEntry_id
                                  from
                                    `omd_vinid_b2b_platform_prod_b2b_commerce_b2b_oms_prod`.PromotionOriginBudget prmb
                                  where
                                    IFNULL(
                                      prmb.categoryAccountingMethod, 'REVENUE'
                                    ) = 'REVENUE'
                                  group by
                                    prmb.distributedConsignmentEntry_id
                                ) as prm on prm.distributedConsignmentEntry_id = dce.id
                                left join `omd_vinid_b2b_platform_prod_b2b_commerce_b2b_oms_prod`.VatInfo as vif on vif.saleOrder_id = ord.id
                                left join `omd_vinid_b2b_platform_prod_main_print`.document as doc on doc.order_code = s.code and doc.type = 'AUTO_EINVOICE'
                                left join (
                                  select 
                                    ROW_NUMBER() OVER(PARTITION BY f.document_code ORDER BY f.id desc) as stt
                                    ,f.id 
                                    ,f.document_code 
                                  from `omd_vinid_b2b_platform_prod_main_print`.file as f 
                                ) as file on file.document_code = doc.code and file.stt = 1
                                WHERE ce.orderEntryType != 'COMBO' and s.status in ('RETURNED_TO_MC', 'IMPORTED_RETURNED_PRODUCT', 'RETURNING_TO_MC', 'IMPORTED_WRITE_OFF_WAREHOUSE_TO_BE_EXAMINED', 'FAILED_RETURN_TO_MC', 'IMPORTED_WAITING_FOR_MOVING_TO_WRITE_OFF_WAREHOUSE', 'CLOSED', 'EXAMINED', 'RETURNED')
                            ) as rls  
                           where
                             1=1
                         AND  rls.`Ngày đặt hàng` &gt;= STR_TO_DATE('01/01/2023 00:00','%d/%m/%Y %H:%i:%s') AND  rls.`Ngày đặt hàng` &lt; STR_TO_DATE('31/12/2026 00:00','%d/%m/%Y %H:%i:59') anh cảm ơn! cc  @Nguyễn Việt Tùng   @Võ Thúy Hồng Ngọc  </t>
  </si>
  <si>
    <t xml:space="preserve">[BE] Tác động database support update thông tin giao dịch </t>
  </si>
  <si>
    <t>2026-08-06T11:42:48.952+0700</t>
  </si>
  <si>
    <t>2026-08-06T11:42:57.392+0700</t>
  </si>
  <si>
    <t>Dear team,  Nhờ team hỗ trợ chạy script sau để support update thông tin callback giao dịch  Thời gian : Chạy ngay sau khi được approval  Thông tin db:    jdbc:mysql://pay-tidb.int.onemount.com:4000/saas_tpay UPDATE TRANSACTION_DETAIL td
JOIN TRANSACTION_MASTER tm
  ON tm.id = td.transaction_id
SET
    td.ft_id                   = 'FT26218113024836',
    td.tcb_transaction_id     = '19fd48ad3df5a0iX',
    td.transaction_amount     = 1530000,
    td.transaction_time       = '2026-08-06 08:33:23',
    td.source                 = 'TCB',
    td.transaction_status     = 'SUCCESS',
    td.sender_account_number  = '4550095278',
    td.sender_account_name    = 'BUI THI THUY NGAN',
    td.receiver_account_number = '686869696',
    td.receiver_account_name  = 'BENH VIEN DAI HOC Y DUOC - CO SO LINH DAM',
    td.receiver_bank_code     = 'VTCBVNVX',
    td.receiver_bank_name     = 'TCB',
    td.message_id             = 'ba5cdc9a-a96b-480b-81e3-07043ca8265b',
    td.value_date             = '2026-08-06',
    td.payment_description    = 'MD061785977116425EO,BENH VIEN DAI HOC Y DUOC - CO SO LINH DAM,2608060013 TTVP',
    td.payment_channel        = 'NAPAS_IBFT',
    td.notify_date            = '2026-08-06 08:33:23',
    td.updated_by             = 'TCB_CALLBACK',
    td.updated_date           = NOW()
WHERE tm.destination_account_number = 'MD061785977116425EO'
  AND tm.service_name = 'TQR'
  AND tm.merchant_id = 'M11768305515749'
  AND tm.store_id = 'S11768532057140'
  AND tm.terminal_id = 'T11768532057147'
  AND td.transaction_id = 'b43cf01d6f504cf5a772d96f2309587f';
UPDATE TRANSACTION_MASTER set transaction_status = 'SUCCESS' where id = 'b43cf01d6f504cf5a772d96f2309587f';</t>
  </si>
  <si>
    <t>Hỗ trợ ekyc cho agent</t>
  </si>
  <si>
    <t>2026-08-06T11:34:49.275+0700</t>
  </si>
  <si>
    <t>2026-08-06T11:48:48.522+0700</t>
  </si>
  <si>
    <t>Agent</t>
  </si>
  <si>
    <t>Dear team, Nhờ team update thông tin ekyc sau cho agent trên hệ thống agent app. Thông tin DB : HOST = " 172.31.4.83 " PORT = 3306 DATABASE = "agent-platform" Query 1 — INSERT  ekyc INSERT INTO `ekyc`
(`agent_code`, `agent_uuid`, `dob`, `expire_date`, `full_name`, `gender`, `hometown_address`, `identity_number`, `identity_type`, `issue_date`, `issue_place`, `mrz_line_1`, `mrz_line_2`, `mrz_line_3`, `nationality`, `old_identity_number`, `permanent_address`, `status`, `created_by`, `last_modified_by`)
VALUES
(
'1297855017',
'0c097272-852a-4ba4-a9f8-da40ceb1a98a',
'22/05/1982',
'22/05/2042',
'PHẠM NHƯ QUỲNH',
'NỮ',
'THỊ TRẤN YÊN LẠC, YÊN LẠC, VĨNH PHÚC',
'001182001530',
'CCCD',
'07/05/2022',
'CỤC CẢNH SÁT QUẢN LÝ HÀNH CHÍNH VỀ TRẬT TỰ XÃ HỘI',
'IDVNM1820015308001182001530&lt;&lt;9',
'8205225F4205227VNM&lt;&lt;&lt;&lt;&lt;&lt;&lt;&lt;&lt;&lt;&lt;6',
'PHAM&lt;&lt;NHU&lt;QUYNH&lt;&lt;&lt;&lt;&lt;&lt;&lt;&lt;&lt;&lt;&lt;&lt;&lt;&lt;&lt;',
'VIỆT NAM',
NULL,
'784 TRƯƠNG ĐỊNH, GIÁP BÁT, HOÀNG MAI, HÀ NỘI',
'FACE_VERIFIED',
'MANUAL_VERIFY_BY_SUPPORT',
'MANUAL_VERIFY_BY_SUPPORT'
); Query 2 — UPDATE  agents UPDATE `agents`
SET `name`              = 'PHẠM NHƯ QUỲNH',
    `dob`               = '1982-05-22',
    `dob_date`          = '22/05/1982',
    `gender`            = 'FEMALE',
    `identify_number`   = '001182001530',
    `id_card_type`      = 'CCCD',
    `issue_date`        = '07/05/2022',
    `issue_place`       = 'CỤC CẢNH SÁT QUẢN LÝ HÀNH CHÍNH VỀ TRẬT TỰ XÃ HỘI',
    `permanent_address` = '784 TRƯƠNG ĐỊNH, GIÁP BÁT, HOÀNG MAI, HÀ NỘI',
    `update_by`         = 'MANUAL_VERIFY_BY_SUPPORT'
WHERE `code` = '1297855017';</t>
  </si>
  <si>
    <t>[OMD][TMS][Prod][2026/08] Drop partitions của các bảng Event Log và Event Notification trên DB  Oracle TMS</t>
  </si>
  <si>
    <t>2026-08-06T09:17:09.024+0700</t>
  </si>
  <si>
    <t>2026-08-06T14:08:42.313+0700</t>
  </si>
  <si>
    <t xml:space="preserve">drop partitions của các bảng logs Database: TMS Oracle Các bảng: T1_XML_EVENT_LOG T1_JSON_EVENT_LOG T1_EVENT_NOTIFICATION T1_EVENT_NOTIFICATION_HISTORY Drop các partitions , giữ lại data 6 tháng gần nhất. ticket gần nhất thực hiện dọn dẹp:   </t>
  </si>
  <si>
    <t>[Kafka][Prod] Tạo kafka topic cho bảng nguồn MHPos Catalog phục vụ dự án MerchantHub</t>
  </si>
  <si>
    <t>2026-08-06T09:16:30.908+0700</t>
  </si>
  <si>
    <t>2026-08-08T12:49:08.214+0700</t>
  </si>
  <si>
    <t>Dear team DBA, Hiện tại team đang có nhu cầu kéo dữ liệu các bảng sau nhằm phục vụ xây dựng báo cáo, phục vụ sourcing theo ticket sau:  https://onemount.atlassian.net/browse/MHP-13034 , nhờ anh Linh tạo kafka topic ở môi trường PROD giúp team để kéo data về DP. PROD: IP host: 172.31.4.29 Schema: mhpos_catalog Table list: scan_menu_document
scan_menu_sub_document Thanks team, Cong</t>
  </si>
  <si>
    <t>[MongoDB][CMS][PROD] Hỗ trợ xóa collection out-date</t>
  </si>
  <si>
    <t>2026-08-06T09:16:07.396+0700</t>
  </si>
  <si>
    <t>2026-08-10T16:27:22.476+0700</t>
  </si>
  <si>
    <t>CMS</t>
  </si>
  <si>
    <t>Dear team, Sau khi rà soát các collection trên production, team dự án đã lọc ra các collection không hợp lệ. Nhờ team hỗ trợ xóa các collection theo danh sách đính kèm ạ. Thông tin database https://console.cloud.google.com/compute/instancesDetail/zones/asia-east1-c/instances/vinshop-cms-mongod-03?project=vinid-merchant-prod HOST: 10.255.24.63:27017, 10.255.24.64:27017, 10.255.24.65:27017 Danh sách collection cần xóa File đính kèm</t>
  </si>
  <si>
    <t xml:space="preserve">[UPAY] Tác động database support khách hàng OMNI config onboard </t>
  </si>
  <si>
    <t>2026-08-06T08:56:20.268+0700</t>
  </si>
  <si>
    <t>2026-08-06T08:56:28.333+0700</t>
  </si>
  <si>
    <t>Dear team,  Nhờ team hỗ trợ chạy script sau để support khách hàng OMNI onboard  Thời gian : Chạy ngay sau khi được approval  Thông tin db:    jdbc:mysql://pay-tidb.int.onemount.com:4000/saas_tpay INSERT INTO PARTNER (
    client_id,
    name,
    public_key,
    enable,
    merchant_code
)
SELECT 
    p.client_id,
    p.name,
    p.public_key,
    p.enable,
    list.new_code
FROM PARTNER p
CROSS JOIN (
    SELECT 'SGC_DSE' COLLATE utf8mb4_unicode_ci AS new_code UNION ALL
    SELECT 'SGC_VLO' UNION ALL
    SELECT 'SGC_GDA' UNION ALL
    SELECT 'SGC_DPU' UNION ALL
    SELECT 'SGC_HGIA' UNION ALL
    SELECT 'SGC_STR' UNION ALL
    SELECT 'SGC_VLB' UNION ALL
    SELECT 'SGC_HNG' UNION ALL
    SELECT 'SGC_NLO' UNION ALL
    SELECT 'SGC_TMU' UNION ALL
    SELECT 'SGC_TCH'
) list
WHERE p.merchant_code = 'SGC_QBI' COLLATE utf8mb4_unicode_ci
  AND NOT EXISTS (
      SELECT 1 
      FROM PARTNER exist_p 
      WHERE exist_p.merchant_code = list.new_code
  );</t>
  </si>
  <si>
    <t>[Merchantdise][PROD] Seeding Bán Merchantdise ATVNCG 2026 - 05/08/2026</t>
  </si>
  <si>
    <t>2026-08-05T14:41:09.277+0700</t>
  </si>
  <si>
    <t>2026-08-05T14:44:36.549+0700</t>
  </si>
  <si>
    <t>Nhờ  @Đào Công Nghĩa  chạy giúp thông tin dưới đây: project: vincart-prod instance: main ip: 172.31.1.41 DB: vincart_mm_product Script: UPDATE variants
set stock_type = 'INIT'
WHERE id in (1088188,1088189,1088190,1088191,1088192,1088193,1088194,1088195,1088196);
UPDATE inventories
set channel_code = 'INIT'
WHERE variant_id in (1088188,1088189,1088190,1088191,1088192,1088193,1088194,1088195,1088196);
UPDATE variant_prices
set channel_code = 'ONEU'
WHERE variant_id in (1088188,1088189,1088190,1088191,1088192,1088193,1088194,1088195,1088196); Chạy sớm nhất có thể.</t>
  </si>
  <si>
    <t>[Merchant-OM] Hỗ trợ cập nhật/query dữ liệu 20260804</t>
  </si>
  <si>
    <t>2026-08-05T14:35:20.259+0700</t>
  </si>
  <si>
    <t>2026-08-05T14:35:40.675+0700</t>
  </si>
  <si>
    <t>Merchant_OPS</t>
  </si>
  <si>
    <t>Dear team, Nhờ team chạy giúp câu lệnh bên dưới ạ. Thông tin database https://console.cloud.google.com/sql/instances/main/overview?inv=1&amp;invt=Abqw_w&amp;project=vinid-merchant-prod DB_MYSQL_HOST=172.31.1.44
DB_MYSQL_DATABASE=merchant_service Câu lệnh UPDATE
	merchant
SET
	parent_id = 356004,
	is_sap_debt = 1
WHERE
	id = 397169;</t>
  </si>
  <si>
    <t>2026-08-05T14:33:55.641+0700</t>
  </si>
  <si>
    <t>2026-08-08T10:50:07.636+0700</t>
  </si>
  <si>
    <t>[MERCHANT_HUB] Yêu cầu query dữ liệu PAYMENT DATABASE PROD</t>
  </si>
  <si>
    <t>2026-08-05T10:38:42.499+0700</t>
  </si>
  <si>
    <t>2026-08-05T11:19:52.841+0700</t>
  </si>
  <si>
    <t>Nhờ team DBA lấy giúp e dữ liệu theo thông tin sau ạ: Query SELECT order_id, payment_method FROM payment_transaction WHERE order_id IN ('your-uuid-here'); Danh sách order_id em để ở file đính kèm Thông tin DB instance: mhpos-common-prod-postgres - 172.31.4.36
mhpos_payment Em cảm ơn</t>
  </si>
  <si>
    <t>[OM][TCB-MerchantHUB][NON-PROD] TẠO INDEX DATABASE FISCAL NON-PROD</t>
  </si>
  <si>
    <t>2026-08-05T09:30:50.398+0700</t>
  </si>
  <si>
    <t>2026-08-07T17:59:01.505+0700</t>
  </si>
  <si>
    <t>Nhờ anh Linh tạo giúp e team index theo thông tin sau để test trước khi triển khai prod ạ: DB jdbc:postgresql://omd-merchant-hub-np--merchant-hub-np-postgres.cloudsql.int:5432/mhpos_fiscal_qc field index CREATE INDEX CONCURRENTLY IF NOT EXISTS idx_transactions_active_merchant_date_id
ON public.transactions (merchant_id, transaction_date DESC, id DESC)
INCLUDE (type, source, category_id, account, amount, code, order_code, warehouse_transaction, order_transaction_id, store_qr_code)
WHERE status &lt;&gt; 'DELETED';
CREATE INDEX CONCURRENTLY IF NOT EXISTS idx_transactions_active_report
ON public.transactions (merchant_id, type, transaction_date DESC, warehouse_transaction, category_id)
INCLUDE (amount)
WHERE status &lt;&gt; 'DELETED';
CREATE INDEX CONCURRENTLY IF NOT EXISTS idx_transactions_order_transaction_id
ON public.transactions (order_transaction_id)
WHERE order_transaction_id IS NOT NULL;</t>
  </si>
  <si>
    <t>[MERCHANT_HUB] - Update data ORDER sai hotfix 0408</t>
  </si>
  <si>
    <t>2026-08-05T09:29:54.789+0700</t>
  </si>
  <si>
    <t>2026-08-05T12:15:25.087+0700</t>
  </si>
  <si>
    <t>Step tiếp theo của chuyển hotfix    Hiện tại code đã xử lý xong logic bị sai, nhờ team DBA hỗ trợ cập nhật lại các data bị ảnh hưởng theo thông tin sau ạ: SQL: em gửi trong file đính kèm Thông tin DB: instance: mhpos-order-prod-postgres - 172.31.4.37
mhpos_oms</t>
  </si>
  <si>
    <t>[OMD][MongoDB]Giải phóng diskdatabase mongodb trackandtrace</t>
  </si>
  <si>
    <t>2026-08-05T00:01:33.461+0700</t>
  </si>
  <si>
    <t>2026-08-05T09:28:48.289+0700</t>
  </si>
  <si>
    <t>Dear anh  @Phạm Tuấn Linh ,  @Phạm Hồng Quang   , Hiện tại về hệ thống track&amp;trace phục vụ cho luồng tack và trace các luồng nhiệp vụ integration giữa các bên. Sau khi Luồng tích hợp phục vụ cho đơn bán hàng của b2b đã off. Monitoring về db thì thấy  Size DB đã xuống dưới 100GB  Size hiển thị disk trên OS của server thì  chưa giảm vẫn giữ nguyên Theo suggest của anh  @Phạm Tuấn Linh  Thì  muốn giảm cả disk cần drops collection integration_log hoặc drops cả db trackandtrace   Vậy nhờ sếp  @Phạm Hồng Quang   phối hợp cùng anh  @Phạm Tuấn Linh   off con trackandtrace để anh Linh xử lý ạ Việc drops drops collection integration_log hoặc drops cả db trackandtrace  thì a  @Phạm Tuấn Linh   review và thực hiện giúp em để thuận tiên nhất là được  Miển sao đảm bảo Khi drops xong sẽ tạo lại full các bảng và index mà trên trackandtrace hiện đang. Việc drops drops collection integration_log hoặc drops cả db trackandtrace  thì a Linh review và thực hiện giúp em để thuận tiên nhất là được  Miển sao đảm bảo Khi drops xong sẽ tạo lại full các bảng và index mà trên trackandtrace hiện đang. Các luồng ảnh hưởng để track trace  Đồng bộ org từ MDM sang các bên Destination Đồng bộ mail sang MTP Đồng bộ product sang các bên Destination. Đồng bộ Project sang các bên Destination. Đồng bộ warehouse sang các bên Destination. → Sẽ không con log trên track&amp;trace. Nên trong quá trình anh  @Phạm Tuấn Linh   và anh  @Phạm Hồng Quang  thực hiên. chó vấn đề gì cần trace cho các luồng trên thì nhờ anh  @Đinh Văn Việt  ,  @Chu Văn Châu  ,  @Nguyễn Hoàng Hiệp  ,  @Trịnh Văn Tiến   báo để em trace log trên slunk ạ. cc  @Bùi Văn Thành  , anh  @Lê Huy Hùng   Thông tin DB: Database:  trackandtrace Master IP:  10.255.32.55 Thanks anh ạ!</t>
  </si>
  <si>
    <t>[VCM] Golive 04/08/2026</t>
  </si>
  <si>
    <t>2026-08-04T22:48:21.565+0700</t>
  </si>
  <si>
    <t>2026-08-05T09:28:20.453+0700</t>
  </si>
  <si>
    <t>Theo kế hoạch golive vào ngày 04/08/2026 (22h00) thì team VCM có migration sau, nhờ team Database Service support team ạ. Link CR:  https://onemount.atlassian.net/browse/SH-72778 Thông tin database: vincart_mm_product  (IP:  172.31.1.41) Script SQL cần thực hiện: INSERT
	INTO
	vincart_mm_product.entity_attributes_values (
    attribute_id,
	value,
	name,
	entity_id,
	`type`
)
SELECT
	(
	SELECT
		a.id
	FROM
		vincart_mm_product.`attributes` a
	WHERE
		a.name = 'llm_status'),
	'NO_ACTION',
	'llm_status',
	v.id,
	'VARIANT'
FROM
	vincart_mm_product.variants v
WHERE
	NOT EXISTS (
	SELECT
		1
	FROM
		vincart_mm_product.entity_attributes_values eav
	WHERE
		eav.entity_id = v.id
		AND eav.name = 'llm_status'
		AND eav.`type` = 'VARIANT'
);   Cảm ơn team nhiều ạ.</t>
  </si>
  <si>
    <t>[OMC][MCL][PROD] Hỗ trợ cập nhật database - Notification Hubs</t>
  </si>
  <si>
    <t>2026-08-04T22:19:42.835+0700</t>
  </si>
  <si>
    <t>2026-08-04T22:19:57.221+0700</t>
  </si>
  <si>
    <t>Dear team, Tối ngày 04/08 team em có lịch golive và có nhu cầu tạo bảng mới trên DB sau, nhờ team DBA hỗ trợ. Thời gian chạy:  22h tối ngày 04/08/2026. Thông tin DB:  172.31.4.192:3306/martech_notification_prod Script em gửi dưới ạ. Thanks team, Thành An.</t>
  </si>
  <si>
    <t>[PROD] [VCM] Update tên merchant accepted cho voucher</t>
  </si>
  <si>
    <t>2026-08-04T16:25:59.494+0700</t>
  </si>
  <si>
    <t>2026-08-04T22:33:18.531+0700</t>
  </si>
  <si>
    <t>Dear DBA Team, Nhờ anh/em hỗ trợ chạy migration. Cho golive tối nay Thời gian chạy:   22h 04/08/2026 Database name: vmm-product 
IP: 172.31.1.41 Script: truncate table apply_merchants;
insert into apply_merchants (merchant_id, merchant_code, merchant_rate, total_reviews, created_at, updated_at)
select distinct t.merchant_id, t.merchant_code, null,  null,now(), now()
from (
    select entity_id, value from entity_attributes_values e
    where e.type = 'VARIANT'
      and e.name = 'voucher_accepted_merchants'
      and JSON_VALID(e.value)
) ev
join (
    select 0 as n union all select 1 union all select 2 union all select 3 union all select 4
    union all select 5 union all select 6 union all select 7 union all select 8 union all select 9
    union all select 10 union all select 11 union all select 12 union all select 13 union all select 14
    union all select 15 union all select 16 union all select 17 union all select 18 union all select 19
    union all select 20 union all select 21 union all select 22 union all select 23 union all select 24
    union all select 25 union all select 26 union all select 27 union all select 28 union all select 29
    union all select 30 union all select 31 union all select 32 union all select 33 union all select 34
    union all select 35 union all select 36 union all select 37 union all select 38 union all select 39
    union all select 40 union all select 41 union all select 42 union all select 43 union all select 44
    union all select 45 union all select 46 union all select 47 union all select 48 union all select 49
) seq on seq.n &lt; JSON_LENGTH(ev.value)
cross join lateral (
    select JSON_UNQUOTE(JSON_EXTRACT(ev.value, CONCAT('$[', seq.n, '].merchant_code'))) as merchant_code,
           JSON_UNQUOTE(JSON_EXTRACT(ev.value, CONCAT('$[', seq.n, '].merchant_id'))) as merchant_id
) t
where t.merchant_code is not null;
truncate table variant_apply_merchant_mapping;
INSERT INTO variant_apply_merchant_mapping (variant_id,
                                           apply_merchant_id)
select distinct ev.entity_id, y.id
from (
    select entity_id, value from entity_attributes_values e
    where e.type = 'VARIANT'
      and e.name = 'voucher_accepted_merchants'
      and JSON_VALID(e.value)
) ev
join (
    select 0 as n union all select 1 union all select 2 union all select 3 union all select 4
    union all select 5 union all select 6 union all select 7 union all select 8 union all select 9
    union all select 10 union all select 11 union all select 12 union all select 13 union all select 14
    union all select 15 union all select 16 union all select 17 union all select 18 union all select 19
    union all select 20 union all select 21 union all select 22 union all select 23 union all select 24
    union all select 25 union all select 26 union all select 27 union all select 28 union all select 29
    union all select 30 union all select 31 union all select 32 union all select 33 union all select 34
    union all select 35 union all select 36 union all select 37 union all select 38 union all select 39
    union all select 40 union all select 41 union all select 42 union all select 43 union all select 44
    union all select 45 union all select 46 union all select 47 union all select 48 union all select 49
) seq on seq.n &lt; JSON_LENGTH(ev.value)
inner join apply_merchants as y
    on JSON_UNQUOTE(JSON_EXTRACT(ev.value, CONCAT('$[', seq.n, '].merchant_code'))) COLLATE utf8mb4_unicode_ci = y.merchant_code COLLATE utf8mb4_unicode_ci
where  y.merchant_code is not null;</t>
  </si>
  <si>
    <t>[MERCHANT_HUB] ADD INDEX MONGO DB FISCAL PROD</t>
  </si>
  <si>
    <t>2026-08-04T16:06:38.963+0700</t>
  </si>
  <si>
    <t>2026-08-04T17:39:23.700+0700</t>
  </si>
  <si>
    <t>Nhờ a Linh add index giúp team theo thông tin sau để xử lý issues perf API activityLog hiện tại ạ: Mongo mongoDB Atlas:
OMD-MHPOS-Prod
https://cloud.mongodb.com/v2/5f75822d8cd502459f959495#/clusters/detail/OMD-MHPOS-Prod
omd-mhpos-prod.8j11t.mongodb.net multikey compound index theo các field request {
    "requestPayload.entityName": 1,
    "requestPayload.entityId": 1,
    "createdAt": -1
} e cảm ơn</t>
  </si>
  <si>
    <t>[Merchant-TCB] Hỗ trợ cập nhật dữ liệu 20260804</t>
  </si>
  <si>
    <t>2026-08-04T15:54:41.201+0700</t>
  </si>
  <si>
    <t>2026-08-04T15:54:45.626+0700</t>
  </si>
  <si>
    <t>Dear team, Nhờ team chạy giúp câu lệnh bên dưới ạ. Thông tin database https://console.cloud.google.com/sql/instances/merchant-tcb/overview?inv=1&amp;invt=AbsndA&amp;project=vinid-merchant-prod DB_MYSQL_HOST=172.31.4.108
DB_MYSQL_DATABASE=merchant_service_tcb Câu lệnh ALTER TABLE tpay_store_terminal_permission
  ADD INDEX idx_tpay_store_terminal_permission_physical_store_id (physical_store_id),
  ALGORITHM=INPLACE, LOCK=NONE;</t>
  </si>
  <si>
    <t>[MongoDB][CMS][PROD] Hỗ trợ kiểm tra, xóa collection out-date</t>
  </si>
  <si>
    <t>2026-08-04T14:42:52.652+0700</t>
  </si>
  <si>
    <t>2026-08-05T16:20:11.539+0700</t>
  </si>
  <si>
    <t>Dear team, Nhờ team hỗ trợ export các collection đang có trên PRODUCTION, để team dự án thực hiện kiểm tra, và request xóa các collection không hợp lệ ạ. Thông tin database https://console.cloud.google.com/compute/instancesDetail/zones/asia-east1-c/instances/vinshop-cms-mongod-03?project=vinid-merchant-prod HOST: 10.255.24.63:27017, 10.255.24.64:27017, 10.255.24.65:27017 Câu lệnh lấy data của collection  _workspaces list toàn bộ collections đang có</t>
  </si>
  <si>
    <t>Tạo Database cho Billing Platform</t>
  </si>
  <si>
    <t>2026-08-04T12:08:20.385+0700</t>
  </si>
  <si>
    <t>2026-08-04T12:08:28.185+0700</t>
  </si>
  <si>
    <t xml:space="preserve">Add thêm postgres DB billing-platform, cùng DB instance với onenexus-ai-agentic-np </t>
  </si>
  <si>
    <t>[Airflow][MAG] Cut off tài nguyên hệ thống Airflow cho MAG</t>
  </si>
  <si>
    <t>2026-08-04T09:27:20.632+0700</t>
  </si>
  <si>
    <t>2026-08-05T10:10:24.167+0700</t>
  </si>
  <si>
    <t>Data_Platform</t>
  </si>
  <si>
    <t>Nhờ các anh DBA hỗ trợ drop Database Airflow MAG môi trường PROD, cụ thể: Tên Database:  airflow_analytics_mag_233 Host: 172.31.4.5 ( link ) Môi trường: Production user:  airflow_analytics_mag_233</t>
  </si>
  <si>
    <t>[PROD] [01/08/2026] [UPay] Support release plan golive</t>
  </si>
  <si>
    <t>2026-08-04T00:19:33.776+0700</t>
  </si>
  <si>
    <t>2026-08-04T00:20:16.702+0700</t>
  </si>
  <si>
    <t>Description Hi a   @Nguyễn Văn Dũng  , nhờ a chạy giúp e script bên dưới khi bắt đầu golive với ạ Thời gian golive: 23h59p ngày 01/08/2026 Release golive:    CR:    Script:  Thông tin database:  mysql://pay-tidb.int.onemount.com:4000/saas_tpay -- Update config cho luông INSTALLMENT ECOM
UPDATE INSTALLMENT_CONFIG
SET min_amount_installment = 5000.00
WHERE provider_code = 'TCB'
AND email_merchant  IS NULL AND channel = 'ECOM';
UPDATE INSTALLMENT_CONFIG
SET min_amount_installment = 3000.00
WHERE term_list IS NULL
  AND merchant_code IS NULL AND channel = 'ECOM';
-- Update config template id cho luông BK ECOM
UPDATE SYSTEM_CONFIGURATION
SET SYSTEM_PARAM_VALUE = '6a632bfd8849f8172772c5ed'
WHERE SYSTEM_PARAM_CODE = 'EMAIL_TEMPLATE_ID_REPORT_INSTALLMENT_BK_ECOM'
  AND IS_ACTIVE = 1;
-- Update SYSTEM_CONFIGURATION CALLBACK
INSERT INTO SYSTEM_CONFIGURATION (SYSTEM_CONFIGURATION_ID, SYSTEM_PARAM_CODE, SYSTEM_PARAM_NAME, SYSTEM_PARAM_VALUE, IS_ACTIVE, IS_ENCRYPTED, CREATED_BY, UPDATED_BY, UPDATED_DATE, CREATED_DATE) VALUES (6241564, 'MERCHANT_CALLBACK_WITH_BASIC_AUTH', 'MERCHANT_CALLBACK_WITH_BASIC_AUTH', 'vsaYwOlzVKo0/3DcRUUZzX6eVUqqgDjdNOF1n27yP6ZoNahwapP05mhneu3abQxCZRmUXfB0ddjQKjTI4baqlE4Vgid6wr33LZFd6U2g94Gfo1u397mQACXpLA0p2/jcxwpOVBDYCsWRa/4oVlMD/6D/3HeT9CXCHguMN5CRcBldJGgf1CXDNb3ASZou+w==', 1, 0, null, null, '2026-07-30 16:47:59', null);
-- ==========================================
-- 1. TẠO BẢNG CẤU HÌNH TẦN SUẤT RECURRING
-- ==========================================
CREATE TABLE IF NOT EXISTS RECURRING_PLAN_CONFIG (
    id INT AUTO_INCREMENT PRIMARY KEY,
    config_type VARCHAR(20) NOT NULL,
    merchant_code VARCHAR(50) NULL,
    daily TINYINT(1) DEFAULT 0 NOT NULL,
    weekly TINYINT(1) DEFAULT 0 NOT NULL,
    monthly TINYINT(1) DEFAULT 0 NOT NULL,
    quarterly TINYINT(1) DEFAULT 0 NOT NULL,
    semi_yearly TINYINT(1) DEFAULT 0 NOT NULL,
    yearly TINYINT(1) DEFAULT 0 NOT NULL,
    custom TINYINT(1) DEFAULT 0 NOT NULL,
    is_active TINYINT(1) DEFAULT 1 NOT NULL,
    created_at TIMESTAMP DEFAULT CURRENT_TIMESTAMP NULL,
    updated_at TIMESTAMP DEFAULT CURRENT_TIMESTAMP NULL
);
CREATE INDEX idx_recurring_plan_config_lookup
    ON RECURRING_PLAN_CONFIG (config_type, merchant_code, is_active);
-- ==========================================
-- 2. TẠO BẢNG LƯU GÓI RECURRING CỦA MERCHANT
-- ==========================================
CREATE TABLE IF NOT EXISTS RECURRING_PLAN (
    id INT AUTO_INCREMENT PRIMARY KEY,
    merchant_code VARCHAR(50) DEFAULT NULL,
    plan_id VARCHAR(100) NOT NULL,
    status VARCHAR(20) NOT NULL DEFAULT 'ACTIVE',
    frequency_type VARCHAR(20) NOT NULL,
    interval_unit VARCHAR(10) DEFAULT NULL,
    interval_value INT DEFAULT NULL,
    billing_rule VARCHAR(20) DEFAULT NULL,
    billing_day_of_month INT DEFAULT NULL,
    billing_day_of_week INT DEFAULT NULL,
    execution_offset INT NOT NULL DEFAULT 0,
    max_retry_count INT NOT NULL DEFAULT 3,
    retry_interval_minutes INT NOT NULL DEFAULT 1,
    min_amount NUMERIC(18, 4) NOT NULL DEFAULT 0.0000,
    max_amount NUMERIC(18, 4) NOT NULL DEFAULT 999999999999.9999,
    currency VARCHAR(3) NOT NULL DEFAULT 'VND',
    created_at TIMESTAMP DEFAULT CURRENT_TIMESTAMP,
    updated_at TIMESTAMP DEFAULT CURRENT_TIMESTAMP,
    created_by VARCHAR(50) DEFAULT 'SYSTEM',
    updated_by VARCHAR(50) DEFAULT 'SYSTEM',
    CONSTRAINT unique_merchant_plan UNIQUE (merchant_code, plan_id)
);
CREATE INDEX idx_recurring_plan_lookup ON RECURRING_PLAN (merchant_code, plan_id, status);
-- ==========================================
-- 3. TẠO BẢNG ĐĂNG KÝ RECURRING (SUBSCRIPTION)
-- ==========================================
CREATE TABLE IF NOT EXISTS RECURRING_SUBSCRIPTION (
    id BIGINT AUTO_INCREMENT PRIMARY KEY,
    subscription_id VARCHAR(64) NOT NULL,
    transaction_id VARCHAR(50) NOT NULL,
    merchant_code VARCHAR(64) NOT NULL,
    plan_id VARCHAR(64),
    customer_id VARCHAR(64),
    original_txn_id VARCHAR(128),
    payment_token VARCHAR(512),
    expiration_date DATE NULL,
    status VARCHAR(32) DEFAULT 'ACTIVE',
    processing_status VARCHAR(50),
    recurring_amount DECIMAL(19,4),
    currency VARCHAR(3),
    next_billing_date DATE,
    last_billing_date DATE,
    failure_count INT DEFAULT 0,
    reason_code VARCHAR(64),
    consent_accepted_at DATETIME,
    consent_device_id VARCHAR(128),
    consent_ip_address VARCHAR(45),
    created_at DATETIME DEFAULT CURRENT_TIMESTAMP,
    updated_at DATETIME DEFAULT CURRENT_TIMESTAMP ON UPDATE CURRENT_TIMESTAMP,
    UNIQUE KEY uq_recurring_subscription_subscription_id (subscription_id),
    INDEX idx_recurring_subscription_original_txn_id (original_txn_id),
    INDEX idx_recurring_subscription_merchant_code (merchant_code),
    INDEX idx_recurring_subscription_next_billing_date (next_billing_date)
) ENGINE=InnoDB DEFAULT CHARSET=utf8mb4 COLLATE=utf8mb4_unicode_ci;
-- ==========================================
-- 4. TẠO BẢNG LỊCH SỬ THANH TOÁN RECURRING
-- ==========================================
CREATE TABLE IF NOT EXISTS RECURRING_PAYMENT_HISTORY (
    id BIGINT AUTO_INCREMENT PRIMARY KEY,
    subscription_id VARCHAR(64),
    merchant_code VARCHAR(64) NOT NULL,
    transaction_id VARCHAR(128) NOT NULL,
    cybs_transaction_id VARCHAR(128),
    payment_type_direction VARCHAR(16),
    billing_cycle_number INT,
    billing_date_target DATE,
    amount DECIMAL(19,4),
    currency VARCHAR(3),
    payment_status VARCHAR(32),
    response_code VARCHAR(32),
    response_message TEXT,
    payment_date DATETIME,
    retry_attempt INT DEFAULT 0,
    created_at DATETIME DEFAULT CURRENT_TIMESTAMP,
    updated_at DATETIME DEFAULT CURRENT_TIMESTAMP ON UPDATE CURRENT_TIMESTAMP,
    UNIQUE KEY uq_rph_transaction_id (transaction_id),
    INDEX idx_rph_subscription_id (subscription_id),
    INDEX idx_rph_cybs_transaction_id (cybs_transaction_id),
    INDEX idx_rph_merchant_code (merchant_code)
) ENGINE=InnoDB DEFAULT CHARSET=utf8mb4 COLLATE=utf8mb4_unicode_ci;
-- ==========================================
-- 5. INSERT DỮ LIỆU CẤU HÌNH GLOBAL
-- ==========================================
INSERT INTO RECURRING_PLAN_CONFIG (
    config_type,
    merchant_code,
    daily,
    weekly,
    monthly,
    quarterly,
    semi_yearly,
    yearly,
    custom,
    is_active,
    created_at,
    updated_at
) VALUES (
    'GLOBAL',
    NULL,
    1,
    1,
    1,
    1,
    1,
    1,
    1,
    1,
    CURRENT_TIMESTAMP,
    CURRENT_TIMESTAMP
);
-- ==========================================
-- 6. ALTER BẢNG HIỆN CÓ
-- ==========================================
ALTER TABLE CARD_PAYMENT_TRANSACTION_DETAIL
    ADD subscription_id VARCHAR(50) NULL,
    ADD billing_cycle_number INT NULL,
    ADD recurring_plan_id VARCHAR(50) NULL,
    ADD customer_id VARCHAR(50) NULL,
    ADD initiation_type VARCHAR(10) NULL;
ALTER TABLE TOKENIZATION
    ADD token_use_case VARCHAR(50) NULL;</t>
  </si>
  <si>
    <t>2026-08-03T18:24:16.770+0700</t>
  </si>
  <si>
    <t>2026-08-04T09:28:26.349+0700</t>
  </si>
  <si>
    <t>Dear team,  Nhờ team update thông tin ekyc sau cho agent trên hệ thống agent app.  Thông tin DB : HOST = " 172.31.4.83 " PORT = 3306 DATABASE = "agent-platform" Query 1 — INSERT  ekyc INSERT INTO `ekyc`
(`agent_code`, `agent_uuid`, `dob`, `expire_date`, `full_name`, `gender`, `hometown_address`, `identity_number`, `identity_type`, `issue_date`, `issue_place`, `mrz_line_1`, `mrz_line_2`, `mrz_line_3`, `nationality`, `old_identity_number`, `permanent_address`, `status`, `created_by`, `last_modified_by`)
VALUES
(
'1294139628',
'c0caccea-e755-49a7-b874-cdd5d27cbce3',
'15/06/1990',
'15/06/2030',
'TRẦN THỊ HƯƠNG NHÀN',
'NỮ',
'HẢI TÂN, THÀNH PHỐ HẢI DƯƠNG, HẢI DƯƠNG',
'030190006049',
'CCCD',
'16/08/2021',
'CỤC CẢNH SÁT QUẢN LÝ HÀNH CHÍNH VỀ TRẬT TỰ XÃ HỘI',
NULL,
NULL,
NULL,
'VIỆT NAM',
'190006049',
'THÔN BÙI HẠ, LÊ LỢI, GIA LỘC, HẢI DƯƠNG',
'FACE_VERIFIED',
'MANUAL_VERIFY_BY_SUPPORT',
'MANUAL_VERIFY_BY_SUPPORT'
); Query 2 — UPDATE  agents UPDATE `agents`
SET `name`              = 'TRẦN THỊ HƯƠNG NHÀN',
    `dob`               = '1990-06-15',
    `gender`            = 'FEMALE',
    `identify_number`   = '030190006049',
    `id_card_type`      = 'CCCD',
    `issue_date`        = '2021-08-16',
    `issue_place`       = 'CỤC CẢNH SÁT QUẢN LÝ HÀNH CHÍNH VỀ TRẬT TỰ XÃ HỘI',
    `nationality`       = 'VIỆT NAM',
    `permanent_address` = 'THÔN BÙI HẠ, LÊ LỢI, GIA LỘC, HẢI DƯƠNG',
    `create_by`         = 'MANUAL_VERIFY_BY_SUPPORT',
    `update_by`         = 'MANUAL_VERIFY_BY_SUPPORT'
WHERE `code` = '1294139628';</t>
  </si>
  <si>
    <t>[Merchant-TCB] Hỗ trợ cập nhật dữ liệu 20260803</t>
  </si>
  <si>
    <t>2026-08-03T18:06:13.692+0700</t>
  </si>
  <si>
    <t>2026-08-03T18:06:19.004+0700</t>
  </si>
  <si>
    <t>Dear team, Nhờ team chạy giúp câu lệnh bên dưới ạ. Thông tin database https://console.cloud.google.com/sql/instances/merchant-tcb/overview?inv=1&amp;invt=AbsndA&amp;project=vinid-merchant-prod DB_MYSQL_HOST=172.31.4.108
DB_MYSQL_DATABASE=merchant_service_tcb Câu lệnh -- 1. Merchant + status, sort theo id (case phổ biến nhất: list/count staff theo merchant,
--    optional status filter)
ALTER TABLE tpay_staff
  ADD INDEX idx_tpay_staff_merchant_status_id (tcb_merchant_code, status, id),
  ALGORITHM=INPLACE, LOCK=NONE;
-- 2. Merchant + role (JOIN tpay_staff_role ON tpay_staff_role.id = tpay_staff.role_id,
--    filter theo merchant)
ALTER TABLE tpay_staff
  ADD INDEX idx_tpay_staff_merchant_role (tcb_merchant_code, role_id),
  ALGORITHM=INPLACE, LOCK=NONE;
-- 3. Merchant + manage_all_physical_store (hỗ trợ nhánh OR trong filter physical_store_code:
--    WHERE (tpay_staff.id IN (...) OR tpay_staff.manage_all_physical_store = true))
ALTER TABLE tpay_staff
  ADD INDEX idx_tpay_staff_merchant_manage_all (tcb_merchant_code, manage_all_physical_store),
  ALGORITHM=INPLACE, LOCK=NONE;</t>
  </si>
  <si>
    <t>[MAG DP] Mở kết nối tới CRM replica cho MAG Data Platform</t>
  </si>
  <si>
    <t>2026-08-03T14:48:10.936+0700</t>
  </si>
  <si>
    <t>2026-08-13T11:56:50.926+0700</t>
  </si>
  <si>
    <t>Database information: CRM Platform — PostgreSQL 18.1, môi trường prod, deploy trên RDS AWS Time Run ticket: 1 week Mô tả chi tiết yêu cầu:  Mục đích: MAG DP mở kết nối đến CRM Platform non-prod Yêu cầu cụ thể: Tạo read-only user cho Nexus trên CRM non-prod. Mở kết nối mạng từ Nexus tới instance (host:port), kèm source IP/range của MAG DP. Cấp quyền tạo logical replication slot + publication. thông tin mt Prod : Project: onenexus-ndp-prod GKE cluster:  + ndp-np-ctrl ( https://console.cloud.google.com/kubernetes/clusters/details/asia-east1/ndp-np-ctrl/overview?project=onenexus-ndp-prod ) + ndp-np-data ( https://console.cloud.google.com/kubernetes/clusters/details/asia-east1/ndp-np-data/overview?project=onenexus-ndp-prod ) node:  10.255.44.0/24</t>
  </si>
  <si>
    <t>[MAG DP] Mở kết nối tới SAP B1 HANA replica cho MAG Data Platform</t>
  </si>
  <si>
    <t>2026-08-03T14:47:52.999+0700</t>
  </si>
  <si>
    <t xml:space="preserve">Ngày thêm IP Project Nguồn/Source Đích/Destination (IP/Domain) Môi trường Description Port Action Status of rules Thời gian sử dụng/Time to expire Mục đích [điền ngày tạo ticket] 10.255.44.0/24 (node range – MAG DP/Nexus) onenexus-ndp-prod (GKE: ndp-np-ctrl, ndp-np-data) Nexus (MAG Data Platform, GCP) @hưng on-prem (AWS, do MAG/CDT quản lý) SAP Business One trên SAP HANA 2.0 SP04 (version 2.00.044.00.1571081837), read-only replica @hưng ALLOW Applied (pending) Never Expried NDP cần đọc read-only SAP B1 (HANA replica) để khảo sát và ingest data. Phạm vi: 4 schema MAS, MAG, MTR, MPM; tham chiếu OACT, OBPL. Mở firewall/egress để Nexus (GCP) reach HANA replica endpoint. Database information: SAP Business One trên SAP HANA 2.0 SP04 (version 2.00.044.00.1571081837), on-prem trên AWS, do MAG/CDT quản lý. Kết nối tới HANA replica, read-only. GCP project: N/A Time Run ticket: 1 week Mô tả chi tiết yêu cầu: Mục đích: NDP cần đọc read-only SAP B1 (HANA replica) để khảo sát và ingest data Phạm vi: 4 schema MAS, MAG, MTR, MPM; tham chiếu OACT, OBPL. Mở firewall/egress để Nexus (GCP) reach HANA replica endpoint thông tin mt Prod: Project: onenexus-ndp-prod GKE cluster: + ndp-np-ctrl ( https://console.cloud.google.com/kubernetes/clusters/details/asia-east1/ndp-np-ctrl/overview?project=onenexus-ndp-prod ) + ndp-np-data ( https://console.cloud.google.com/kubernetes/clusters/details/asia-east1/ndp-np-data/overview?project=onenexus-ndp-prod ) node:  10.255.44.0/24 Link SAD:    Link tài liệu ingestion (mt UAT): </t>
  </si>
  <si>
    <t>2026-08-03T10:09:27.260+0700</t>
  </si>
  <si>
    <t>2026-08-03T10:09:40.245+0700</t>
  </si>
  <si>
    <t>Dear DBA team, Nhờ các anh em support chạy script update trạng thái đơn hàng. Thời gian thực hiện:  01/08/2026 Thông tin DB Mysql: Database name: vincart_mm_order 
IP: 172.31.1.41 Chạy script sau:</t>
  </si>
  <si>
    <t>[PROD] [VCM] Update tên logo merchant accepted cho voucher</t>
  </si>
  <si>
    <t>2026-08-03T09:49:32.949+0700</t>
  </si>
  <si>
    <t>2026-08-03T10:19:00.641+0700</t>
  </si>
  <si>
    <t>Dear DBA Team, Nhờ team chạy lệnh xóa các key bị duplicate attribute. Thông tin DB: IP: 172.31.1.41
DB: vincart_mm_product
Bảng: vincart_mm_product.entity_attributes_values Lệnh chạy: "UPDATE entity_attributes_values SET value = '[ {
                            ""merchant_code"": ""DOTCB26114jcc"",
                            ""merchant_name"": ""Đạo Nguyệt "",
                            ""merchant_name_en"": ""VU THI NGUYET"",
                            ""logo_url"": ""https://cdn-merchant.vinid.net/mpops/1784193267_tue (2).png"",
                            ""merchant_id"": 388953
                        }]' WHERE id = 921387;"
"UPDATE entity_attributes_values SET value = '[ {
                            ""merchant_code"": ""DOTCB26114jcc"",
                            ""merchant_name"": ""Đạo Nguyệt "",
                            ""merchant_name_en"": ""VU THI NGUYET"",
                            ""logo_url"": ""https://cdn-merchant.vinid.net/mpops/1784193267_tue (2).png"",
                            ""merchant_id"": 388953
                        }]' WHERE id = 914721;"
"UPDATE entity_attributes_values SET value = '[ {
                            ""merchant_code"": ""DOTCB26161S3M"",
                            ""merchant_name"": ""Bánh Cuốn Đạo"",
                            ""merchant_name_en"": ""NGUYEN QUANG DAO"",
                            ""logo_url"": ""https://cdn-merchant.vinid.net/mpops/1782981593_logoMC_banhcuondao.png"",
                            ""merchant_id"": 392155}]' WHERE id = 1071171;"
"UPDATE entity_attributes_values SET value = '[ {
                            ""merchant_code"": ""DOTCB26161S3M"",
                            ""merchant_name"": ""Bánh Cuốn Đạo"",
                            ""merchant_name_en"": ""NGUYEN QUANG DAO"",
                            ""logo_url"": ""https://cdn-merchant.vinid.net/mpops/1782981593_logoMC_banhcuondao.png"",
                            ""merchant_id"": 392155}]' WHERE id = 1074065;"
"UPDATE entity_attributes_values SET value = '[ {
                            ""merchant_code"": ""DOTCB26112RNz"",
                            ""merchant_name"": ""LELA"",
                            ""merchant_name_en"": ""TRAN VINH DONG"",
                            ""logo_url"": ""https://cdn-merchant.vinid.net/mpops/1780457307_0767557118.png"",
                            ""merchant_id"": 388774
                        }]' WHERE id = 936351;"
"UPDATE entity_attributes_values SET value = '[ {
                            ""merchant_code"": ""DOTCB26112RNz"",
                            ""merchant_name"": ""LELA"",
                            ""merchant_name_en"": ""TRAN VINH DONG"",
                            ""logo_url"": ""https://cdn-merchant.vinid.net/mpops/1780457307_0767557118.png"",
                            ""merchant_id"": 388774
                        }]' WHERE id = 932086;"
"UPDATE entity_attributes_values SET value = '[ {
                            ""merchant_code"": ""DOTCB26184nd2"",
                            ""merchant_name"": ""Cà phê chị Hiếu"",
                            ""merchant_name_en"": ""HO KINH DOANH HERTY NAIL"",
                            ""logo_url"": ""https://cdn-merchant.vinid.net/mpops/1783137185_logoMC_caphechihieu.png"",
                            ""merchant_id"": 394143}]' WHERE id = 1198886;"
"UPDATE entity_attributes_values SET value = '[ {
                            ""merchant_code"": ""DOTCB26184nd2"",
                            ""merchant_name"": ""Cà phê chị Hiếu"",
                            ""merchant_name_en"": ""HO KINH DOANH HERTY NAIL"",
                            ""logo_url"": ""https://cdn-merchant.vinid.net/mpops/1783137185_logoMC_caphechihieu.png"",
                            ""merchant_id"": 394143}]' WHERE id = 1202485;"
"UPDATE entity_attributes_values SET value = '[{
                            ""merchant_code"": ""DOTCB26195cmN"",
                            ""merchant_name"": ""GỎI CUỐN BẾP TÂM"",
                            ""merchant_name_en"": ""TRINH NGOC HIEN THAO"",
                            ""logo_url"": ""https://cdn-merchant.vinid.net/mpops/1784102511_logoMC_goicuonbeptam.png"",
                            ""merchant_id"": 395198
                        }]' WHERE id = 1272028;"
"UPDATE entity_attributes_values SET value = '[{
                            ""merchant_code"": ""DOTCB26195cmN"",
                            ""merchant_name"": ""GỎI CUỐN BẾP TÂM"",
                            ""merchant_name_en"": ""TRINH NGOC HIEN THAO"",
                            ""logo_url"": ""https://cdn-merchant.vinid.net/mpops/1784102511_logoMC_goicuonbeptam.png"",
                            ""merchant_id"": 395198
                        }]' WHERE id = 1268430;"
"UPDATE entity_attributes_values SET value = '[{
                            ""merchant_code"": ""DOOPS26198GWc"",
                            ""merchant_name"": ""HỦ TÍU NAM VANG THÀNH ĐẠT"",
                            ""merchant_name_en"": ""HU TIU NAM VANG THANH DAT"",
                            ""logo_url"": ""https://cdn-merchant.vinid.net/mpops/1784793990_hutiuthanhdat.png"",
                            ""merchant_id"": 395498
                        }]' WHERE id = 1319670;"
"UPDATE entity_attributes_values SET value = '[{
                            ""merchant_code"": ""DOOPS26198GWc"",
                            ""merchant_name"": ""HỦ TÍU NAM VANG THÀNH ĐẠT"",
                            ""merchant_name_en"": ""HU TIU NAM VANG THANH DAT"",
                            ""logo_url"": ""https://cdn-merchant.vinid.net/mpops/1784793990_hutiuthanhdat.png"",
                            ""merchant_id"": 395498
                        }]' WHERE id = 1321442;"
"UPDATE entity_attributes_values SET value = '[ {
                            ""merchant_code"": ""DOOPS26199J16"",
                            ""merchant_name"": ""THE RABBIT HOLE IRISH SPORTS BAR"",
                            ""merchant_name_en"": ""THE RABBIT HOLE IRISH SPORTS BAR"",
                            ""logo_url"": ""https://cdn-merchant.vinid.net/mpops/1784346491_rabbithole.png"",
                            ""merchant_id"": 395665]' WHERE id = 1319649;"
"UPDATE entity_attributes_values SET value = '[ {
                            ""merchant_code"": ""DOOPS26199J16"",
                            ""merchant_name"": ""THE RABBIT HOLE IRISH SPORTS BAR"",
                            ""merchant_name_en"": ""THE RABBIT HOLE IRISH SPORTS BAR"",
                            ""logo_url"": ""https://cdn-merchant.vinid.net/mpops/1784346491_rabbithole.png"",
                            ""merchant_id"": 395665]' WHERE id = 1321441;"
"UPDATE entity_attributes_values SET value = '[{
                            ""merchant_code"": ""DOOPS26203ccP"",
                            ""merchant_name"": ""XõA Pizza &amp; Social Room,
                            ""merchant_name_en"": ""XoA Pizza &amp; Social Room"",
                            ""logo_url"": ""https://cdn-merchant.vinid.net/mpops/1785205426_xoapizza.png"",
                            ""merchant_id"": 396223
                        ]' WHERE id = 1343007;"
"UPDATE entity_attributes_values SET value = '[{
                            ""merchant_code"": ""DOOPS26203ccP"",
                            ""merchant_name"": ""XõA Pizza &amp; Social Room,
                            ""merchant_name_en"": ""XoA Pizza &amp; Social Room"",
                            ""logo_url"": ""https://cdn-merchant.vinid.net/mpops/1785205426_xoapizza.png"",
                            ""merchant_id"": 396223
                        ]' WHERE id = 1343947;"
"UPDATE entity_attributes_values SET value = '[
                        {
                            ""merchant_code"": ""MCSALESFORCE02737909"",
                            ""merchant_name"": ""Hủ tiếu Thái Lan - Pi thai"",
                            ""merchant_name_en"": ""Hu tieu Thai Lan - Pi thai"",
                            ""logo_url"": ""https://cdn-merchant.vinid.net/mpops/1747995834_pithai.png"",
                            ""merchant_id"": 364206
                        }]' WHERE id = 1270694;"
"UPDATE entity_attributes_values SET value = '[
                        {
                            ""merchant_code"": ""MCSALESFORCE02737909"",
                            ""merchant_name"": ""Hủ tiếu Thái Lan - Pi thai"",
                            ""merchant_name_en"": ""Hu tieu Thai Lan - Pi thai"",
                            ""logo_url"": ""https://cdn-merchant.vinid.net/mpops/1747995834_pithai.png"",
                            ""merchant_id"": 364206
                        }]' WHERE id = 1270192;"
"insert into entity_attributes_values (attribute_id, value, name, entity_id, type, channel_code) values (7, '[{
                            ""merchant_code"": ""DOOPS26197XR6"",
                            ""merchant_name"": ""Chay Tuệ Nhà Hàng Buffet"",
                            ""merchant_name_en"": ""Chay Tue Nha Hang Buffet"",
                            ""logo_url"": ""https://cdn-merchant.vinid.net/mpops/1784193267_tue (2).png"",
                            ""merchant_id"": 395474
                        }]', 'voucher_accepted_merchants', 1086221, 'VARIANT', 'ONEU');"
"insert into entity_attributes_values (attribute_id, value, name, entity_id, type, channel_code) values (7, '[{
                            ""merchant_code"": ""DOOPS261779U1"",
                            ""merchant_name"": ""LAM TRÀ"",
                            ""merchant_name_en"": ""LAM TRA"",
                            ""logo_url"": ""https://cdn-merchant.vinid.net/mpops/1782462552_lamtra.png"",
                            ""merchant_id"": 393590
                        }]', 'voucher_accepted_merchants', 1083444, 'VARIANT', 'ONEU');"
"insert into entity_attributes_values (attribute_id, value, name, entity_id, type, channel_code) values (7, '[{
                            ""merchant_code"": ""DOOPS261403ax"",
                            ""merchant_name"": ""Ten Ren Vietnam"",
                            ""merchant_name_en"": ""Ten Ren Vietnam"",
                            ""logo_url"": ""https://cdn-merchant.vinid.net/mpops/1784199110_Logo - 2026-07-16T175136.134.png"",
                            ""merchant_id"": 390474
                        }]', 'voucher_accepted_merchants', 1081008, 'VARIANT', 'ONEU');"
"insert into entity_attributes_values (attribute_id, value, name, entity_id, type, channel_code) values (7, '[{
                            ""merchant_code"": ""DOOPS26197XR6"",
                            ""merchant_name"": ""Chay Tuệ Nhà Hàng Buffet"",
                            ""merchant_name_en"": ""Chay Tue Nha Hang Buffet"",
                            ""logo_url"": ""https://cdn-merchant.vinid.net/mpops/1784193267_tue (2).png"",
                            ""merchant_id"": 395474
                        }]', 'voucher_accepted_merchants', 1086221, 'VARIANT', 'ONEU');"</t>
  </si>
  <si>
    <t>[MAG][IOTek][MCM][PROD] update để cập nhật lại dc_documents sai do migrate</t>
  </si>
  <si>
    <t>2026-08-03T09:42:43.631+0700</t>
  </si>
  <si>
    <t>2026-08-03T16:02:02.424+0700</t>
  </si>
  <si>
    <t>Người tạo và người cập nhật đang bị sai do migrate. Vì vậy em tạo ticket này nhờ các anh DBA chạy câu lệnh update để cập nhật lại giúp em với ạ. Em cám ơn UPDATE ces_mcm_storage.dc_documents SET created_by = 'admin' WHERE created_by = '7b34f3d7-d81a-4cb7-8b7f-7bcd350d9836'; UPDATE ces_mcm_storage.dc_documents SET last_modified_by = 'admin' WHERE last_modified_by = '7b34f3d7-d81a-4cb7-8b7f-7bcd350d9836';</t>
  </si>
  <si>
    <t>Check database for verify issue on production</t>
  </si>
  <si>
    <t>2026-08-01T07:50:11.374+0700</t>
  </si>
  <si>
    <t>2026-08-01T07:50:24.134+0700</t>
  </si>
  <si>
    <t>Check database của llm-gateway service</t>
  </si>
  <si>
    <t>2026-07-31T18:01:15.945+0700</t>
  </si>
  <si>
    <t>2026-07-31T18:01:23.178+0700</t>
  </si>
  <si>
    <t>Schema: ces_mcm_storage Table: dc_documents, dc_document_attribute Do nhu cấu tính năng search, nên cần đánh thêm index full text search, nhờ các anh DBA hỗ trợ giúp em với ạ ALTER TABLE dc_documents ADD FULLTEXT INDEX ft_idx_dc_documents_name (name); ALTER TABLE dc_document_attribute ADD FULLTEXT INDEX ft_idx_dc_document_attribute_search (document_code, document_number, summary);</t>
  </si>
  <si>
    <t>[DBA-SAPBASIS] Setup Alert hệ SAP OM qua Google Workspace trên SAP HANA Cockpit</t>
  </si>
  <si>
    <t>2026-07-31T17:13:13.805+0700</t>
  </si>
  <si>
    <t>2026-08-07T16:23:07.792+0700</t>
  </si>
  <si>
    <t>Setup Alert hệ SAP OM qua Google Workspace trên SAP HANA Cockpit qua SMTP và Google Chat</t>
  </si>
  <si>
    <t>[DBA-SAPBASIS] Hỗ trợ điền thông tin Provisioning hệ thống SAP ERP MAG on AWS Cloud</t>
  </si>
  <si>
    <t>2026-07-31T17:09:57.773+0700</t>
  </si>
  <si>
    <t>2026-08-05T14:18:53.366+0700</t>
  </si>
  <si>
    <t>Hỗ trợ điền các thông tin network, system để provisioning hệ thống SAP ERP cho MAG trên AWS Cloud</t>
  </si>
  <si>
    <t>[DBA-SAPBASIS] Hỗ trợ các lỗi Transport Request TR trên client 910 &amp; 930 trên SAP HCM PROD</t>
  </si>
  <si>
    <t>2026-07-31T17:07:03.300+0700</t>
  </si>
  <si>
    <t>2026-07-31T17:07:03.840+0700</t>
  </si>
  <si>
    <t>Hỗ trợ các lỗi Transport Request TR trên client 910 &amp; 930 trên SAP HCM PROD Cách import TR trên 2 client 910, 930 Cách monitor Import History</t>
  </si>
  <si>
    <t>[Merchant-TCB] Hỗ trợ cập nhật dữ liệu 20260731</t>
  </si>
  <si>
    <t>2026-07-31T17:06:09.970+0700</t>
  </si>
  <si>
    <t>2026-07-31T17:06:23.393+0700</t>
  </si>
  <si>
    <t>Dear team, Nhờ team chạy giúp câu lệnh bên dưới ạ. Thông tin database https://console.cloud.google.com/sql/instances/merchant-tcb/overview?inv=1&amp;invt=AbsndA&amp;project=vinid-merchant-prod DB_MYSQL_HOST=172.31.4.108
DB_MYSQL_DATABASE=merchant_service_tcb Câu lệnh INSERT INTO
    `tpay_staff_permission` (`created_at`, `updated_at`, `module`, `code`, `name`, `description`)
VALUES
    ('2026-08-01 17:00:00', '2026-08-01 17:00:00', 'PMBH_Luồng thanh toán', 'edit:mapping_order_income', 'Liên kết đơn hàng với phiếu thu', NULL),
    ('2026-08-01 17:00:00', '2026-08-01 17:00:00', 'PMBH_Luồng thanh toán', 'view:pos_pay_mapping_income_from_order', 'Liên kết đơn hàng với khoản thu có sẵn', NULL),
    ('2026-08-01 17:00:00', '2026-08-01 17:00:00', 'PMBH_Quản lý thu chi', 'view:pos_order_from_income', 'Tạo đơn hàng mới từ khoản thu có sẵn', NULL),
    ('2026-08-01 17:00:00', '2026-08-01 17:00:00', 'PMBH_Quản lý thu chi', 'view:pos_mapping_order_from_income', 'Liên kết khoản thu với đơn hàng có sẵn ', NULL),
    ('2026-08-08 17:00:00', '2026-08-08 17:00:00', 'PMBH_Tạo và quản lý đơn hàng', 'export:pos_order', 'Đơn hàng', 'Tải xuống Danh sách đơn hàng'),
    ('2026-08-08 17:00:00', '2026-08-08 17:00:00', 'PMBH_Lịch sử đơn hàng', 'export:pos_order_history', 'Tải Lịch sử đơn hàng', 'Tải Lịch sử đơn hàng'),
    ('2026-08-08 17:00:00', '2026-08-08 17:00:00', 'TSHOP Cài đặt', 'view:smart_pos', 'Xem entry SmartPos', 'Xem dịch vụ SmartPOS');
INSERT IGNORE INTO tcb_store_industry_mapping (tcb_industry, mcc)
SELECT tcb_industry, mcc FROM (
  VALUES
    ROW('an sang', '5811'),
    ROW('an uong', '5811'),
    ROW('an upng', '5811'),
    ROW('banh mi', '5811'),
    ROW('barber', '7230'),
    ROW('bia hoi', '5811'),
    ROW('bia hoi giai khat', '5811'),
    ROW('buffet va lau', '5811'),
    ROW('bach hoa', '5411'),
    ROW('ban banh mi pate', '5811'),
    ROW('ban bun', '5811'),
    ROW('ban chao', '5811'),
    ROW('ban chao dinh duong', '5811'),
    ROW('ban com', '5811'),
    ROW('ban com phan', '5811'),
    ROW('ban dau goi, lam toc', '7230'),
    ROW('ban hang an', '5811'),
    ROW('ban nuoc giai khat', '5811'),
    ROW('ban nuoc ep', '5811'),
    ROW('ban thit nuong', '5811'),
    ROW('ban an uong', '5811'),
    ROW('ban do an chin', '5811'),
    ROW('banh', '5811'),
    ROW('banh khoai mo', '5811'),
    ROW('banh my', '5811'),
    ROW('banh sinh nhat', '5811'),
    ROW('bun thit nuong', '5811'),
    ROW('ca phe', '5811'),
    ROW('cafe', '5811'),
    ROW('cafe and tea', '5811'),
    ROW('cafe mang di', '5811'),
    ROW('caffe bao boi', '5811'),
    ROW('chao dinh duong', '5811'),
    ROW('che', '5811'),
    ROW('cham soc mong, lam dep mong tay', '7230'),
    ROW('chan dem', '5811'),
    ROW('coffee', '5811'),
    ROW('co so lam dep', '7230'),
    ROW('co so the thao', '7997'),
    ROW('com', '5811'),
    ROW('com binh dan', '5811'),
    ROW('com tam', '5811'),
    ROW('cat toc', '7230'),
    ROW('cat toc lam dau goi dau', '7230'),
    ROW('cua hang giai khat', '5811'),
    ROW('cua hang an', '5811'),
    ROW('cua hang an uong', '5811'),
    ROW('da, toc', '7230'),
    ROW('dental clinic', '8021'),
    ROW('dich vu an uong', '5811'),
    ROW('dich vu cham soc sac dep', '7298'),
    ROW('de tuoi, do an nhau', '5811'),
    ROW('dich vu lam toc', '5811'),
    ROW('dich vu lam dep', '7298'),
    ROW('dich vu lam dep va hoat dong nhiep anh', '7230'),
    ROW('dich vu luu tru', '7011'),
    ROW('dich vu nha hang khach san', '7011'),
    ROW('dich vu noi mi', '7230'),
    ROW('dich vu phuc vu do uong', '5811'),
    ROW('dich vu an uong cafe giai khat', '5811'),
    ROW('dich vu an uong khac', '5811'),
    ROW('dich vu an uong khac xoi do an vat', '5811'),
    ROW('dich vu an uong tai cho', '5811'),
    ROW('dich vu do uong', '5811'),
    ROW('dich vu, phuc vu do uong', '5811'),
    ROW('food', '5811'),
    ROW('giai khat', '5811'),
    ROW('gym', '7278'),
    ROW('ga ran', '5811'),
    ROW('hair salon', '7230'),
    ROW('heo quay', '5811'),
    ROW('home', '7011'),
    ROW('hang an', '5811'),
    ROW('hai san', '5812'),
    ROW('hu tieu', '5811'),
    ROW('khach san luu tru', '7011'),
    ROW('kinh doanh ca phe', '5811'),
    ROW('kinh doanh an uong', '5811'),
    ROW('kinh doanh do uong', '5811'),
    ROW('lam dep', '7230'),
    ROW('lam toc', '7230'),
    ROW('lam toc spa', '7230'),
    ROW('lam nail', '7230'),
    ROW('luon nieu xu nghe', '5811'),
    ROW('lau', '7230'),
    ROW('mua ban tra sua', '5811'),
    ROW('ma heo', '5811'),
    ROW('mi ga', '5811'),
    ROW('nail', '7230'),
    ROW('nail goi dau', '7230'),
    ROW('nail mi', '7230'),
    ROW('nail mi spa', '7230'),
    ROW('nail,mi', '7230'),
    ROW('nailmi', '7230'),
    ROW('nails', '7230'),
    ROW('nha hang', '5812'),
    ROW('nha khoa', '8021'),
    ROW('nha hang va cac dich vu an uong', '5812'),
    ROW('nuoc giai khat', '5811'),
    ROW('nuoc giai khat do an vat', '5811'),
    ROW('nuoc mat', '5811'),
    ROW('nuoc mia', '5811'),
    ROW('nuoc uong', '5811'),
    ROW('nuoc uong mang di', '5811'),
    ROW('pha che do uong', '5811'),
    ROW('phong gym', '5811'),
    ROW('phong tap nu', '5811'),
    ROW('pho to', '5811'),
    ROW('pho', '5811'),
    ROW('pho bo', '5811'),
    ROW('phuc vu an uong', '5811'),
    ROW('quan ca phe', '5811'),
    ROW('quan bun cha', '5811'),
    ROW('quan cafe', '5811'),
    ROW('quan che', '5811'),
    ROW('quan coam', '5811'),
    ROW('quan coffee', '5811'),
    ROW('quan ca phe an uong', '5811'),
    ROW('quan ca phe, nuoc', '5811'),
    ROW('quan com', '5811'),
    ROW('quan com bac tai', '5811'),
    ROW('quan nuoc', '5811'),
    ROW('quan an', '5811'),
    ROW('quan an sang', '5811'),
    ROW('quan an uong', '5811'),
    ROW('quan an vat', '5811'),
    ROW('quan do uong giai khat', '5811'),
    ROW('restaurant cafe', '5812'),
    ROW('salon', '7230'),
    ROW('salon hair', '7230'),
    ROW('salon toc', '7230'),
    ROW('spa', '7298'),
    ROW('spa cham soc da', '7298'),
    ROW('spa hair', '7298'),
    ROW('spa nail', '7298'),
    ROW('spa toc', '7298'),
    ROW('spa, dich vu lam toc', '7298'),
    ROW('spa, goi dau', '7298'),
    ROW('supermarket minimart convenience store', '5411'),
    ROW('san xuat banh va dich vu an uong', '5811'),
    ROW('thuong mai thuc pham, do uong va hang tieu dung', '5411'),
    ROW('tiem banh ngot', '5812'),
    ROW('tra sua', '5812'),
    ROW('tra sua , giai khat', '5812'),
    ROW('tra sua an vat', '5812'),
    ROW('toc', '7230'),
    ROW('vit quay', '5811'),
    ROW('xoi ghe', '5811'),
    ROW('an', '5811'),
    ROW('an uong ca phe', '5811'),
    ROW('an uong giai khat', '5811'),
    ROW('an vat', '5811'),
    ROW('diem tam sang', '5811'),
    ROW('do uong', '5811'),
    ROW('do uong giai khat luu dong', '5811'),
    ROW('do an', '5811'),
    ROW('do an chin', '5811'),
    ROW('do an vat', '5811'),
    ROW('am thuc', '5811')
) AS src(tcb_industry, mcc);</t>
  </si>
  <si>
    <t>[DBA-SAPBASIS] Mở cấu hình tcode OOSB, OOSP trên SAP HCM PROD MAG Client 930</t>
  </si>
  <si>
    <t>2026-07-31T16:59:12.784+0700</t>
  </si>
  <si>
    <t>2026-07-31T16:59:13.354+0700</t>
  </si>
  <si>
    <t>Hỗ trợ mở cấu hình tcode OOSB, OOSP trên SAP HCM PROD MAG client 930 mới.</t>
  </si>
  <si>
    <t>[DBA-SAPBASIS] Estimate chi phí hạ tầng new client 930 trên SAP HCM PROD cho MAG</t>
  </si>
  <si>
    <t>2026-07-31T16:36:46.684+0700</t>
  </si>
  <si>
    <t>2026-07-31T16:36:47.461+0700</t>
  </si>
  <si>
    <t xml:space="preserve">Estimate chi phí hạ tầng GCP của cho client mới của phân hệ HCM cho MAG dùng chung với hệ thống OM SAP HCM PROD. Tasklist, timeline copy client Work Plan:   </t>
  </si>
  <si>
    <t>[VCM] Xóa dữ liêu liên quan đến attribute name llm_status, description_confidence_score</t>
  </si>
  <si>
    <t>2026-07-31T16:01:08.410+0700</t>
  </si>
  <si>
    <t>2026-07-31T16:01:16.799+0700</t>
  </si>
  <si>
    <t>Do có vấn đề phát sinh trong golive ngày 30/07/2026 ( ) dẫn đến phải revert lại code liên quan đế database vincart_mm_product, vì vậy nhờ DBA hỗ trợ giúp team chạy script SQL sau để thực hiện xóa toàn bộ data liên quan đến attribute name:  llm_status ,  description_confidence_score  ạ. Thông tin database: vincart_mm_product  (IP:  172.31.1.41) Script SQL: DELETE
FROM
	vincart_mm_product.entity_attributes_values eav
WHERE
	eav.name IN ('llm_status', 'description_confidence_score'); Em cảm ơn team nhiều ạ.</t>
  </si>
  <si>
    <t>2026-07-31T16:00:33.196+0700</t>
  </si>
  <si>
    <t>2026-07-31T16:00:40.562+0700</t>
  </si>
  <si>
    <t>Schema: ces_mcm_storage Table: dc_documents, casbin_rule Do nhu cầu chạy tác vụ migrate dữ liệu, để đảm bảo an toàn, em có nhu cầu backup bảng dc_documents và bảng casbin_rule, có note lại số lượng bản ghi của 2 bảng</t>
  </si>
  <si>
    <t>[MAG][IOTek][MCM][PROD] restore 2 bảng dc_documents và casbin_rule</t>
  </si>
  <si>
    <t>2026-07-30T23:35:02.119+0700</t>
  </si>
  <si>
    <t>2026-07-30T23:35:38.162+0700</t>
  </si>
  <si>
    <t>Schema: ces_mcm_storage Table: dc_documents, casbin_rule Do có nhu cầu sử dụng lại dữ liệu backup của bảng dc_documents, casbin_rule được backup vào ngày 23/7 Nhờ anh hỗ trợ giúp em, tạo  2 bảng mới là  dc_documents_relocate_23jul26, casbin_rule_relocate_23jul26 . Sau đó import dữ liệu backup vào 2 bảng này. Sau đó đánh btree index trường project_id của bảng dc_documents_relocate. Anh đánh giá giúp em, nếu ảnh hưởng môi trường production, thì chạy import vào ngoài giờ hành chính ạ.</t>
  </si>
  <si>
    <t>[OMC][MTP][PROD] Hỗ trợ tạo bảng mới - Campaign</t>
  </si>
  <si>
    <t>2026-07-30T22:09:12.685+0700</t>
  </si>
  <si>
    <t>2026-07-31T11:46:53.266+0700</t>
  </si>
  <si>
    <t>Dear anh  @Đào Công Nghĩa , Tối ngày 30/07 team em có lịch golive và có nhu cầu cập nhật DB sau, nhờ team DBA hỗ trợ. Thời gian chạy:  22h tối ngày 30/07/2026. Thông tin DB:  172.31.3.49 - mtp_campaign_management Script em gửi dưới ạ.</t>
  </si>
  <si>
    <t>[UPP][PGW] - Hỗ trợ cập nhật manual mcc cho merchant event giải chạy marathon</t>
  </si>
  <si>
    <t>2026-07-30T16:48:16.886+0700</t>
  </si>
  <si>
    <t>2026-07-30T16:48:24.504+0700</t>
  </si>
  <si>
    <t>Dear team DBA, Nhờ các anh chạy lệnh update bên dưới giúp em ạ Thông tin DB:  jdbc:mysql://vinpay-sql-onehub-master.int.vinid.net:3306/pay_payment_gateway Script: UPDATE MERCHANT SET mcc='4722' WHERE id in (1266,1267);</t>
  </si>
  <si>
    <t>[TPAY][NON-PROD] Tạo tài khoản SFTP cho merchant BUTL lấy file báo cáo đối soát</t>
  </si>
  <si>
    <t>2026-07-30T16:37:47.666+0700</t>
  </si>
  <si>
    <t>2026-07-30T16:38:15.130+0700</t>
  </si>
  <si>
    <t>Dự án Tpay cần cấp tài khoản và 1 thư mục con trong thư mục trong thư mục tpay dành cho đối tác BUTL để đọc file từ sFTP server. Thông tin sFTP server cần kết nối đến: Non-prod:  35.229.130.107:2022 Nhờ team support tạo server và cấp account cho dự án. Em tên thư mục và folder ạ. Account: butluat Folder: butluat</t>
  </si>
  <si>
    <t>[Merchantdise][PROD] Seeding Bán Merchantdise ATVNCG 2026 - 30/07/2026</t>
  </si>
  <si>
    <t>2026-07-30T12:29:20.787+0700</t>
  </si>
  <si>
    <t>2026-07-30T12:29:36.300+0700</t>
  </si>
  <si>
    <t>Nhờ  @Đào Công Nghĩa  chạy giúp thông tin dưới đây: project: vincart-prod instance: main ip: 172.31.1.41 DB: vincart_mm_product Script: UPDATE variants
set stock_type = 'INIT'
WHERE id in (1087502,1087503,1087504,1087505);
UPDATE inventories
set channel_code = 'INIT'
WHERE variant_id in (1087502,1087503,1087504,1087505);
UPDATE variant_prices
set channel_code = 'ONEU'
WHERE variant_id in (1087502,1087503,1087504,1087505); Chạy sớm nhất có thể.</t>
  </si>
  <si>
    <t>[LP][Core][TCB] - Insert data phục vụ campaign tháng 082026 (Tháng 08 lần 1)</t>
  </si>
  <si>
    <t>2026-07-30T10:22:06.490+0700</t>
  </si>
  <si>
    <t>2026-07-30T23:36:00.297+0700</t>
  </si>
  <si>
    <t>Dear DBA Team, Nhờ team thực hiện insert data phục vụ campaign tháng 082026, theo các bước sau: Thông tin database: IP: 10.255.23.119 Service name: oneloyaltydb Port: 1521 schema app: OLOYALTY Bước 1: Tạo bảng tạm CREATE TABLE OLOYALTY.CST_TARGET_GROUP_VANHANH_082026_01
(
    "ID"             NUMBER(10,0) GENERATED BY DEFAULT ON NULL AS IDENTITY,
    "LOYALTY_ID"           VARCHAR2(32 BYTE) DEFAULT NULL,
    "CST_TARGET_GROUP"           VARCHAR2(256 BYTE) DEFAULT NULL,
    PRIMARY KEY ("ID")
); Bước 02: Load dữ liệu tất cả các files trong thư mục  đính kèm vào bảng tạm Bước 03: Insert data vào bảng Member Attribute từ bảng bảng tạm 3.1. Kiểm số row bảng   CST_TARGET_GROUP_VANHANH_082026_01 SELECT /*+ parallel(16) */ count(*) FROM OLOYALTY.CST_TARGET_GROUP_VANHANH_082026_01; 3.2 Kiểm tra trùng ,  báo lại dự án nếu có SELECT /*+ parallel(16) */ LOYALTY_ID,count(*) FROM OLOYALTY.CST_TARGET_GROUP_VANHANH_082026_01 GROUP BY LOYALTY_ID HAVING count(*) &gt; 1; 3.3 Kiểm tra số dòng dự kiến insert, báo lại dự án nếu số dòng khác với số dòng của bảng   CST_TARGET_GROUP_VANHANH_082026_01 .   Note: Có thể bỏ qua nếu câu lệnh chạy quá lâu SELECT /*+ parallel(16) */ count(*) FROM OLOYALTY.MEMBER m JOIN OLOYALTY.CST_TARGET_GROUP_VANHANH_082026_01 b ON m.PARTNER_CUSTOMER_ID = b.LOYALTY_ID WHERE m.PROGRAM_ID = 426;   3.4 Chạy lệnh insert INSERT INTO OLOYALTY.MEMBER_ATTRIBUTE (PROGRAM_ID, MEMBER_ID, PROGRAM_ATTRIBUTE_ID, VALUE, STATUS,CREATED_BY)
SELECT 426,
    m.id AS MEMBER_ID,
    423 AS PROGRAM_ATTRIBUTE_ID,
    REPLACE(b.CST_TARGET_GROUP, CHR(13) ,'') AS VALUE,
    'A' AS STATUS,
    'VANHANH_082026_01'
FROM OLOYALTY.MEMBER m JOIN OLOYALTY.CST_TARGET_GROUP_VANHANH_082026_01 b ON m.PARTNER_CUSTOMER_ID = b.LOYALTY_ID WHERE m.PROGRAM_ID = 426
; 3.5 Kiểm tra kết quả cuối cùng SELECT /*+ parallel(16) */ count(*) FROM OLOYALTY.MEMBER_ATTRIBUTE ma 
WHERE ma.PROGRAM_ATTRIBUTE_ID = 423 AND ma.CREATED_BY = 'VANHANH_082026_01';   Thanks!</t>
  </si>
  <si>
    <t>[VCM] Golive 29/07/2026</t>
  </si>
  <si>
    <t>2026-07-29T22:13:29.811+0700</t>
  </si>
  <si>
    <t>2026-07-30T22:41:36.265+0700</t>
  </si>
  <si>
    <t>Theo kế hoạch golive vào ngày 29/07/2026 (22h00) thì team VCM có các migration sau, nhờ team Database Service support team ạ. Link CR:    Thông tin database: vincart_mm_product  (IP:  172.31.1.41) Các bước thực hiện: Bước 1: Thêm dữ liệu vào bảng attributes INSERT
	INTO
	vincart_mm_product.attributes (name,
	status)
VALUES
    ('llm_status',
'ACTIVE'),
    ('description_confidence_score',
'ACTIVE'); Bước 2: Thêm dữ liệu vào bảng entity_attributes_values INSERT
	INTO
	vincart_mm_product.entity_attributes_values (
    attribute_id,
	value,
	name,
	entity_id,
	`type`
)
SELECT
	(
	SELECT
		a.id
	FROM
		vincart_mm_product.`attributes` a
	WHERE
		a.name = 'llm_status'),
	'NO_ACTION',
	'llm_status',
	v.id,
	'VARIANT'
FROM
	vincart_mm_product.variants v
WHERE
	NOT EXISTS (
	SELECT
		1
	FROM
		vincart_mm_product.entity_attributes_values eav
	WHERE
		eav.entity_id = v.id
		AND eav.name = 'llm_status'
		AND eav.`type` = 'VARIANT'
); Cảm ơn team nhiều ạ.</t>
  </si>
  <si>
    <t>[PROD] [VCM] Mirgate for release</t>
  </si>
  <si>
    <t>2026-07-29T18:10:01.017+0700</t>
  </si>
  <si>
    <t>2026-07-29T18:17:05.196+0700</t>
  </si>
  <si>
    <t>Dear DBA Team, Nhờ anh/em hỗ trợ chạy migration. Database name: vmm-product 
IP: 172.31.1.41 Script: create table if not exists apply_merchants
(
    id            bigint auto_increment primary key,
    merchant_code varchar(50) not null,
    merchant_id   bigint,
    merchant_rate double,
    total_reviews bigint,
    created_at    timestamp not null default current_timestamp,
    updated_at    timestamp default current_timestamp on update current_timestamp
);
create index apply_merchants_merchant_code_index on apply_merchants (merchant_code);
create index apply_merchants_merchant_id_index on apply_merchants (merchant_id);
create table if not exists variant_apply_merchant_mapping
(
    apply_merchant_id bigint not null,
    variant_id      bigint not null,
    primary key (variant_id, apply_merchant_id)
);
truncate table apply_merchants;
insert into apply_merchants (merchant_id, merchant_code, merchant_rate, total_reviews, created_at, updated_at)
select distinct t.merchant_id, t.merchant_code, null,  null,now(), now()
from (
    select entity_id, value from entity_attributes_values e
    where e.type = 'VARIANT'
      and e.name = 'voucher_accepted_merchants'
      and JSON_VALID(e.value)
) ev
join (
    select 0 as n union all select 1 union all select 2 union all select 3 union all select 4
    union all select 5 union all select 6 union all select 7 union all select 8 union all select 9
    union all select 10 union all select 11 union all select 12 union all select 13 union all select 14
    union all select 15 union all select 16 union all select 17 union all select 18 union all select 19
    union all select 20 union all select 21 union all select 22 union all select 23 union all select 24
    union all select 25 union all select 26 union all select 27 union all select 28 union all select 29
    union all select 30 union all select 31 union all select 32 union all select 33 union all select 34
    union all select 35 union all select 36 union all select 37 union all select 38 union all select 39
    union all select 40 union all select 41 union all select 42 union all select 43 union all select 44
    union all select 45 union all select 46 union all select 47 union all select 48 union all select 49
) seq on seq.n &lt; JSON_LENGTH(ev.value)
cross join lateral (
    select JSON_UNQUOTE(JSON_EXTRACT(ev.value, CONCAT('$[', seq.n, '].merchant_code'))) as merchant_code,
           JSON_UNQUOTE(JSON_EXTRACT(ev.value, CONCAT('$[', seq.n, '].merchant_id'))) as merchant_id
) t
where t.merchant_code is not null;
truncate table variant_apply_merchant_mapping;
INSERT INTO variant_apply_merchant_mapping (variant_id,
                                           apply_merchant_id)
select distinct ev.entity_id, y.id
from (
    select entity_id, value from entity_attributes_values e
    where e.type = 'VARIANT'
      and e.name = 'voucher_accepted_merchants'
      and JSON_VALID(e.value)
) ev
join (
    select 0 as n union all select 1 union all select 2 union all select 3 union all select 4
    union all select 5 union all select 6 union all select 7 union all select 8 union all select 9
    union all select 10 union all select 11 union all select 12 union all select 13 union all select 14
    union all select 15 union all select 16 union all select 17 union all select 18 union all select 19
    union all select 20 union all select 21 union all select 22 union all select 23 union all select 24
    union all select 25 union all select 26 union all select 27 union all select 28 union all select 29
    union all select 30 union all select 31 union all select 32 union all select 33 union all select 34
    union all select 35 union all select 36 union all select 37 union all select 38 union all select 39
    union all select 40 union all select 41 union all select 42 union all select 43 union all select 44
    union all select 45 union all select 46 union all select 47 union all select 48 union all select 49
) seq on seq.n &lt; JSON_LENGTH(ev.value)
inner join apply_merchants as y
    on JSON_UNQUOTE(JSON_EXTRACT(ev.value, CONCAT('$[', seq.n, '].merchant_code'))) COLLATE utf8mb4_unicode_ci = y.merchant_code COLLATE utf8mb4_unicode_ci
where JSON_UNQUOTE(JSON_EXTRACT(ev.value, CONCAT('$[', seq.n, '].merchant_code'))) is not null;</t>
  </si>
  <si>
    <t>[BE][PROD] Xin tạo DB mới trên Prod</t>
  </si>
  <si>
    <t>2026-07-29T17:30:57.614+0700</t>
  </si>
  <si>
    <t>2026-07-29T17:31:08.179+0700</t>
  </si>
  <si>
    <t>Dear anh Nghĩa, Nhờ anh hỗ trợ team tạo mới DB và chạy các câu lệnh SQL dưới đây ạ IP: 172.31.1.21
DB name: crm_ai_crawler
Username: crm_ai_crawler SQL: -- AI Crawler - Full Schema (consolidated from 001 → 005)
-- MySQL 8.x
-- Generated: 2026-07-29
-- ============================================================
-- 1. craw_request
-- ============================================================
CREATE TABLE IF NOT EXISTS `craw_request` (
    `id`           BIGINT        NOT NULL AUTO_INCREMENT,
    `event_id`     VARCHAR(64)   NOT NULL,
    `event_type`   VARCHAR(64)   NOT NULL,
    `voucher_code` VARCHAR(64)   NOT NULL,
    `voucher_name` VARCHAR(255)  NOT NULL,
    `event_ts`     BIGINT        NULL,
    `received_at`  TIMESTAMP     NOT NULL DEFAULT CURRENT_TIMESTAMP,
    `status`       ENUM('pending','processing','done','partial') NOT NULL DEFAULT 'pending',
    `trace_id`     VARCHAR(64)   NULL,
    `span_id`      VARCHAR(64)   NULL,
    PRIMARY KEY (`id`),
    UNIQUE KEY `uk_event_id` (`event_id`),
    INDEX `idx_voucher_code` (`voucher_code`)
) ENGINE=InnoDB DEFAULT CHARSET=utf8mb4 COLLATE=utf8mb4_unicode_ci;
-- ============================================================
-- 2. craw_merchant
-- ============================================================
CREATE TABLE IF NOT EXISTS `craw_merchant` (
    `id`                     BIGINT        NOT NULL AUTO_INCREMENT,
    `request_id`             BIGINT        NOT NULL,
    `voucher_code`           VARCHAR(64)   NOT NULL,
    `merchant_code`          VARCHAR(64)   NOT NULL,
    `merchant_name`          VARCHAR(255)  NOT NULL,
    `store_count`            INT           NOT NULL DEFAULT 1,
    `status`                 ENUM('pending','processing','done','not_found','failed') NOT NULL DEFAULT 'pending',
    `created_at`             TIMESTAMP     NOT NULL DEFAULT CURRENT_TIMESTAMP,
    `updated_at`             TIMESTAMP     NOT NULL DEFAULT CURRENT_TIMESTAMP ON UPDATE CURRENT_TIMESTAMP,
    `trace_id`               VARCHAR(64)   NULL,
    `span_id`                VARCHAR(64)   NULL,
    `crawl_attempts`         INT           NOT NULL DEFAULT 0,
    `last_attempt_at`        TIMESTAMP     NULL,
    `review_flag`            BOOLEAN       NOT NULL DEFAULT FALSE,
    `processing_duration_ms` BIGINT        NULL COMMENT 'Total processing time in milliseconds for this merchant',
    PRIMARY KEY (`id`),
    UNIQUE KEY `idx_voucher_merchant` (`voucher_code`, `merchant_code`),
    INDEX `idx_request_id` (`request_id`),
    INDEX `idx_merchant_code` (`merchant_code`),
    INDEX `idx_status_updated` (`status`, `updated_at`),
    CONSTRAINT `fk_craw_merchant_request` FOREIGN KEY (`request_id`) REFERENCES `craw_request` (`id`) ON DELETE CASCADE
) ENGINE=InnoDB DEFAULT CHARSET=utf8mb4 COLLATE=utf8mb4_unicode_ci;
-- ============================================================
-- 3. craw_merchant_store
-- ============================================================
CREATE TABLE IF NOT EXISTS `craw_merchant_store` (
    `id`            BIGINT        NOT NULL AUTO_INCREMENT,
    `merchant_id`   BIGINT        NOT NULL,
    `store_code`    VARCHAR(64)   NULL,
    `store_name`    VARCHAR(255)  NULL,
    `address`       VARCHAR(500)  NULL,
    `province_code` VARCHAR(20)   NULL,
    `province_name` VARCHAR(100)  NULL,
    `district_code` VARCHAR(20)   NULL,
    `district_name` VARCHAR(100)  NULL,
    `latitude`      DECIMAL(10,7) NULL,
    `longitude`     DECIMAL(10,7) NULL,
    PRIMARY KEY (`id`),
    INDEX `idx_merchant_id` (`merchant_id`),
    INDEX `idx_province_code` (`province_code`),
    CONSTRAINT `fk_craw_merchant_store_merchant` FOREIGN KEY (`merchant_id`) REFERENCES `craw_merchant` (`id`) ON DELETE CASCADE
) ENGINE=InnoDB DEFAULT CHARSET=utf8mb4 COLLATE=utf8mb4_unicode_ci;
-- ============================================================
-- 4. craw_result
-- ============================================================
CREATE TABLE IF NOT EXISTS `craw_result` (
    `id`                BIGINT        NOT NULL AUTO_INCREMENT,
    `merchant_id`       BIGINT        NOT NULL,
    `response_event_id` VARCHAR(64)   NOT NULL,
    `request_ref`       VARCHAR(64)   NULL,
    `service_code`      VARCHAR(32)   NULL,
    `status`            VARCHAR(32)   NOT NULL,
    `reason`            VARCHAR(255)  NULL,
    `issue_type`        VARCHAR(255)  NULL,
    `description`       TEXT          NULL,
    `description_en`    TEXT          NULL COMMENT 'English translation of description',
    `desc_llm`          TEXT          NULL,
    `reasoning`         TEXT          NULL,
    `menu_items`        JSON          NULL,
    `review_count`      VARCHAR(32)   NULL,
    `trust_level`       VARCHAR(32)   NULL,
    `sources_checked`   JSON          NULL,
    `source_type`       ENUM('db_store','white_list','gemini_crawl','default_desc') NOT NULL,
    `source_llm`        VARCHAR(512)  NULL,
    `is_fallback`       BOOLEAN       NOT NULL DEFAULT FALSE,
    `created_at`        TIMESTAMP     NOT NULL DEFAULT CURRENT_TIMESTAMP,
    `updated_at`        TIMESTAMP     NOT NULL DEFAULT CURRENT_TIMESTAMP ON UPDATE CURRENT_TIMESTAMP,
    PRIMARY KEY (`id`),
    UNIQUE KEY `idx_merchant_response` (`merchant_id`, `response_event_id`),
    CONSTRAINT `fk_craw_result_merchant` FOREIGN KEY (`merchant_id`) REFERENCES `craw_merchant` (`id`) ON DELETE CASCADE
) ENGINE=InnoDB DEFAULT CHARSET=utf8mb4 COLLATE=utf8mb4_unicode_ci;
-- ============================================================
-- 5. cost_log
-- ============================================================
CREATE TABLE IF NOT EXISTS `cost_log` (
    `id`                         BIGINT        NOT NULL AUTO_INCREMENT,
    `merchant_id`                BIGINT        NOT NULL,
    `model`                      VARCHAR(50)   NULL,
    `prompt_token_count`         INT           NULL,
    `candidates_token_count`     INT           NULL,
    `thoughts_token_count`       INT           NULL,
    `cached_content_token_count` INT           NULL,
    `total_token_count`          INT           NULL,
    `grounding_call_count`       INT           NULL,
    `web_search_queries_count`   INT           NULL,
    `token_cost_usd`             DECIMAL(10,6) NULL,
    `grounding_cost_usd`         DECIMAL(10,6) NULL,
    `cost_usd`                   DECIMAL(10,6) NULL,
    `cost_vnd`                   DECIMAL(10,2) NULL,
    `created_at`                 TIMESTAMP     NOT NULL DEFAULT CURRENT_TIMESTAMP,
    PRIMARY KEY (`id`),
    INDEX `idx_merchant_id` (`merchant_id`),
    CONSTRAINT `fk_cost_log_merchant` FOREIGN KEY (`merchant_id`) REFERENCES `craw_merchant` (`id`) ON DELETE CASCADE
) ENGINE=InnoDB DEFAULT CHARSET=utf8mb4 COLLATE=utf8mb4_unicode_ci;
-- ============================================================
-- 6. outbox_event
-- ============================================================
CREATE TABLE IF NOT EXISTS `outbox_event` (
    `id`          BIGINT        NOT NULL AUTO_INCREMENT,
    `event_id`    VARCHAR(64)   NOT NULL,
    `merchant_id` BIGINT        NOT NULL,
    `payload`     JSON          NOT NULL,
    `status`      ENUM('pending','sent','failed') NOT NULL DEFAULT 'pending',
    `retry_count` INT           NOT NULL DEFAULT 0,
    `created_at`  TIMESTAMP     NOT NULL DEFAULT CURRENT_TIMESTAMP,
    `updated_at`  TIMESTAMP     NOT NULL DEFAULT CURRENT_TIMESTAMP ON UPDATE CURRENT_TIMESTAMP,
    PRIMARY KEY (`id`),
    UNIQUE KEY `uk_event_id` (`event_id`),
    INDEX `idx_status_created` (`status`, `created_at`),
    CONSTRAINT `fk_outbox_event_merchant` FOREIGN KEY (`merchant_id`) REFERENCES `craw_merchant` (`id`) ON DELETE CASCADE
) ENGINE=InnoDB DEFAULT CHARSET=utf8mb4 COLLATE=utf8mb4_unicode_ci;
-- ============================================================
-- 7. llm_audit_log (partitioned by month)
-- ============================================================
CREATE TABLE IF NOT EXISTS `llm_audit_log` (
    `id`           BIGINT        NOT NULL AUTO_INCREMENT,
    `merchant_id`  BIGINT        NOT NULL,
    `operation`    ENUM('crawl','rewrite','review') NOT NULL,
    `model`        VARCHAR(50)   NULL,
    `output`       MEDIUMTEXT    NULL,
    `total_tokens` INT           NULL,
    `created_at`   TIMESTAMP     NOT NULL DEFAULT CURRENT_TIMESTAMP,
    PRIMARY KEY (`id`, `created_at`),
    INDEX `idx_merchant_id` (`merchant_id`),
    INDEX `idx_operation` (`operation`),
    INDEX `idx_created_at` (`created_at`)
) ENGINE=InnoDB DEFAULT CHARSET=utf8mb4 COLLATE=utf8mb4_unicode_ci
PARTITION BY RANGE (UNIX_TIMESTAMP(`created_at`)) (
    PARTITION p2026_07 VALUES LESS THAN (UNIX_TIMESTAMP('2026-08-01')),
    PARTITION p2026_08 VALUES LESS THAN (UNIX_TIMESTAMP('2026-09-01')),
    PARTITION p2026_09 VALUES LESS THAN (UNIX_TIMESTAMP('2026-10-01')),
    PARTITION p2026_10 VALUES LESS THAN (UNIX_TIMESTAMP('2026-11-01')),
    PARTITION p2026_11 VALUES LESS THAN (UNIX_TIMESTAMP('2026-12-01')),
    PARTITION p2026_12 VALUES LESS THAN (UNIX_TIMESTAMP('2027-01-01')),
    PARTITION p_future VALUES LESS THAN MAXVALUE
);</t>
  </si>
  <si>
    <t>[PROD][UPAY] Support migrate user MCM vào hệ thống AuthOM</t>
  </si>
  <si>
    <t>2026-07-29T15:58:43.938+0700</t>
  </si>
  <si>
    <t>2026-07-29T15:58:51.280+0700</t>
  </si>
  <si>
    <t>Anh  @Đào Công Nghĩa   ơi, Nhờ anh hỗ trợ chạy script dưới đây để migrate user MCM vào hệ thống AuthOM giúp em với ạ. Trước mắt, team em sẽ migrate một số user để kiểm tra và xác nhận kết quả. Sau khi quá trình test thành công, team sẽ tiếp tục migrate các user còn lại ạ. Thông tin database: Project:   onemg-general-prod Instance:   auth-om Master IP:   172.31.4.103 Database:   auth_om Script: INSERT INTO `User` (id, tenant_id, email, enable, version, updated_by, name, user_metadata, created_at, created_by,
                    updated_at, `connection`)
VALUES ('7fb33e9b6cfa3f7a7513b82dfdd2b90c', 'MAG-PROD', 'luan.ho@onemount.com', 1, 1, 'MIGATE', 'Hồ Thiền Luân',
        '{"staff_code":"","Type":"google","position_count":"Hội đồng","department_count":"Hội đồng tư vấn đầu tư","employee_type_response":{"label":"INTERNAL","value":"Nội bộ"},"contractor_name":"","employee_status_response":{"label":"ACTIVE","value":"Đang làm việc"},"account_username":"luan.ho@onemount.com","account_status_response":{"label":"ACTIVE","value":"Hoạt động"}}',
        CURRENT_TIMESTAMP, 'MIGRATE', CURRENT_TIMESTAMP, '23322');
INSERT INTO `User` (id, tenant_id, email, enable, version, updated_by, name, user_metadata, created_at, created_by,
                    updated_at, `connection`)
VALUES ('ae6090b87b38fbb1f20dc5d93bbd833d', 'MAG-PROD', 'luan.ho@masterisegroup.com', 1, 1, 'MIGATE', 'Luân Hồ Thiền',
        '{"staff_code":"","Type":"masterise-group-office365","position_count":"","department_count":"","employee_type_response":{"label":"INTERNAL","value":"Nội bộ"},"contractor_name":"","employee_status_response":{"label":"ACTIVE","value":"Đang làm việc"},"account_username":"luan.ho@masterisegroup.com","account_status_response":{"label":"ACTIVE","value":"Hoạt động"}}',
        CURRENT_TIMESTAMP, 'MIGRATE', CURRENT_TIMESTAMP, '23308');
INSERT INTO `User` (id, tenant_id, email, enable, version, updated_by, name, user_metadata, created_at, created_by,
                    updated_at, `connection`)
VALUES ('3d4b53df629591d1479c101ba9c91173', 'MAG-PROD', 'binh.le5@onemount.com', 1, 1, 'MIGATE', 'Bình Lê',
        '{"staff_code":"","Type":"google","position_count":"Tư vấn thiết kế","department_count":"Thiết kế","employee_type_response":{"label":"INTERNAL","value":"Nội bộ"},"contractor_name":"","employee_status_response":{"label":"ACTIVE","value":"Đang làm việc"},"account_username":"binh.le5@onemount.com","account_status_response":{"label":"ACTIVE","value":"Hoạt động"}}',
        CURRENT_TIMESTAMP, 'MIGRATE', CURRENT_TIMESTAMP, '23322');
INSERT INTO `User` (id, tenant_id, username, email, password, password_extra_data, enable, version, updated_by, name,
                    user_metadata, created_at, created_by, updated_at, `connection`, db_id, password_expired_at)
VALUES ('2940cf1eb2b73d510774869fb39d51e2', 'MAG-PROD', 'anhTP', 'phuonganhdt4@gmail.com',
        '$2a$10$mKmtxJl/5iZUi9J9a66VlO7d52Zz8Tq/fAKL1CjojzvjVamckPo36',
        '{"encodeType":"bcrypt","salt":null,"hashSalt":null}', 1, 1, 'MIGATE', 'Trần Phương Anh',
        '{"staff_code":"","Type":"","position_count":"","department_count":"","employee_type_response":{"label":"OUTSOURCE","value":"Nhà thầu"},"contractor_name":"Delta Group","employee_status_response":{"label":"ACTIVE","value":"Đang làm việc"},"account_username":"anhTP","account_status_response":{"label":"ACTIVE","value":"Hoạt động"}}',
        CURRENT_TIMESTAMP, 'MIGRATE', CURRENT_TIMESTAMP, '23307', '23307', CURRENT_TIMESTAMP);
INSERT INTO `User` (id, tenant_id, email, enable, version, updated_by, name, user_metadata, created_at, created_by,
                    updated_at, `connection`)
VALUES ('eba54b543c86935d7571e1d8fd7671b1', 'MAG-PROD', 'anh.nguyen123@onemount.com', 1, 1, 'MIGATE',
        'Nguyễn Thị Phương Anh',
        '{"staff_code":"","Type":"google","position_count":"Quản lý (PMCM/ Lead Consultant)","department_count":"Thiết kế","employee_type_response":{"label":"INTERNAL","value":"Nội bộ"},"contractor_name":"","employee_status_response":{"label":"ACTIVE","value":"Đang làm việc"},"account_username":"anh.nguyen123@onemount.com","account_status_response":{"label":"ACTIVE","value":"Hoạt động"}}',
        CURRENT_TIMESTAMP, 'MIGRATE', CURRENT_TIMESTAMP, '23322');
INSERT INTO `User` (id, tenant_id, username, email, password, password_extra_data, enable, version, updated_by, name,
                    user_metadata, created_at, created_by, updated_at, `connection`, db_id, password_expired_at)
VALUES ('85e48b8ad677a808f72f9ef2a11e381f', 'MAG-PROD', 'test_qlyt-qlqh', 'test_qlyt_qlqh@onemount.com',
        '$2a$10$GacrYNS7m0D1N9uEzZG5zONJHO2wYJnzFtGP4LcgheKnSlrfUyWiK',
        '{"encodeType":"bcrypt","salt":null,"hashSalt":null}', 1, 1, 'MIGATE', 'TEST_QLYT-QLQH',
        '{"staff_code":"0000002","Type":"","position_count":"Nhân viên kỹ thuật","department_count":"Phòng kỹ thuật","employee_type_response":{"label":"INTERNAL","value":"Nội bộ"},"contractor_name":"","employee_status_response":{"label":"ACTIVE","value":"Đang làm việc"},"account_username":"test_qlyt-qlqh","account_status_response":{"label":"ACTIVE","value":"Hoạt động"}}',
        CURRENT_TIMESTAMP, 'MIGRATE', CURRENT_TIMESTAMP, '23307', '23307', CURRENT_TIMESTAMP);
INSERT INTO `User` (id, tenant_id, email, enable, version, updated_by, name, user_metadata, created_at, created_by,
                    updated_at, `connection`)
VALUES ('888d30b587fb2c0b03a127b54944b292', 'MAG-PROD', 'om.anhntp@masterisegroup.com', 1, 1, 'MIGATE',
        'Nguyễn Thị Phương Anh',
        '{"staff_code":"","Type":"masterise-group-office365","position_count":"","department_count":"","employee_type_response":,"contractor_name":"","employee_status_response":,"account_username":"om.anhntp@masterisegroup.com","account_status_response":}',
        CURRENT_TIMESTAMP, 'MIGRATE', CURRENT_TIMESTAMP, '23308'); Nhờ anh thông báo lại giúp em sau khi script được thực thi thành công ạ. cc anh  @Nguyễn Văn Dũng   Em cảm ơn anh!</t>
  </si>
  <si>
    <t>[PROD] [VCM] clone attribute voucher accepted merchant</t>
  </si>
  <si>
    <t>2026-07-29T15:11:12.858+0700</t>
  </si>
  <si>
    <t>2026-07-29T15:11:19.963+0700</t>
  </si>
  <si>
    <t>Dear a  @Đào Công Nghĩa   Nhờ a chạy luôn giúp bên anh lệnh script clone attribute  voucher_accepted_merchants  từ channel TCBM → ONEU cho voucher  VD_VC_1782471181683 insert into vincart_mm_product.entity_attributes_values (attribute_id, value, name,
                                                             entity_id,
                                                             type, display_order, channel_code)
select attribute_id,
       value,
       name,
       entity_id,
       type,
       display_order,
       'ONEU'
from vincart_mm_product.entity_attributes_values
WHERE name = 'voucher_accepted_merchants' 
  and type = 'VARIANT'
  and entity_id = (select id from vincart_mm_product.variants where code = 'VD_VC_1782471181683';</t>
  </si>
  <si>
    <t>[Merchant-TCB] Hỗ trợ cập nhật dữ liệu 20260729</t>
  </si>
  <si>
    <t>2026-07-29T14:15:52.185+0700</t>
  </si>
  <si>
    <t>2026-07-29T14:15:58.376+0700</t>
  </si>
  <si>
    <t>Dear team, Nhờ team chạy giúp câu lệnh bên dưới ạ. Thông tin database https://console.cloud.google.com/sql/instances/merchant-tcb/overview?inv=1&amp;invt=AbsndA&amp;project=vinid-merchant-prod DB_MYSQL_HOST=172.31.4.108
DB_MYSQL_DATABASE=merchant_service_tcb Câu lệnh UPDATE tcb_address_master SET ward_name = 'Xã Nậm Nèn' WHERE ward_code = '1103194';
UPDATE tcb_address_master SET ward_name = 'Xã Tú Lệ' WHERE ward_code = '1004630';
UPDATE tcb_address_master SET ward_name = 'Xã Thượng Bằng La' WHERE ward_code = '1004705';
UPDATE tcb_address_master SET ward_name = 'X. Chấn Thịnh' WHERE ward_code = '1004699';
UPDATE tcb_address_master SET ward_name = 'X. Châu Quế' WHERE ward_code = '1004387';
UPDATE tcb_address_master SET ward_name = 'X. Tân Hợp' WHERE ward_code = '1004429';
UPDATE tcb_address_master SET ward_name = 'X. Xuân Ái' WHERE ward_code = '1004441';
UPDATE tcb_address_master SET ward_name = 'Xã Mỏ Vàng' WHERE ward_code = '1004450';
UPDATE tcb_address_master SET ward_name = 'Xã Khánh Hòa' WHERE ward_code = '1004333';
UPDATE tcb_address_master SET ward_name = 'X. Phúc Lợi' WHERE ward_code = '1004363';
UPDATE tcb_address_master SET ward_name = 'Xã Mường Lai' WHERE ward_code = '1004345';
UPDATE tcb_address_master SET ward_name = 'Xã Lương Thịnh' WHERE ward_code = '1004537';
UPDATE tcb_address_master SET ward_name = 'Phường Đông Ninh Hòa' WHERE ward_code = '5622561';
UPDATE tcb_address_master SET ward_name = 'Phường Hòa Thắng' WHERE ward_code = '5622591';
UPDATE tcb_address_master SET ward_name = 'Xã Nam Ninh Hòa' WHERE ward_code = '5622597';
UPDATE tcb_address_master SET ward_name = 'Xã Tây Ninh Hòa' WHERE ward_code = '5622552';
UPDATE tcb_address_master SET ward_name = 'Xã Hòa Trí' WHERE ward_code = '5622558';
UPDATE tcb_address_master SET ward_name = 'Phường Xóm Chiếu' WHERE ward_code = '7927259';
UPDATE tcb_address_master SET ward_name = 'Phường Khánh Hội' WHERE ward_code = '7927265';
UPDATE tcb_address_master SET ward_name = 'Phường Vĩnh Hội' WHERE ward_code = '7927286';
UPDATE tcb_address_master SET ward_name = 'P. Tân Thuận' WHERE ward_code = '7927478';
UPDATE tcb_address_master SET ward_name = 'P. Tân Mỹ' WHERE ward_code = '7927487';
UPDATE tcb_address_master SET ward_name = 'Phường An Lạc' WHERE ward_code = '7927460';
UPDATE tcb_address_master SET ward_name = 'Phường Tân Tạo' WHERE ward_code = '7927457';
UPDATE tcb_address_master SET ward_name = 'Phường Bình Tân' WHERE ward_code = '7927442';
UPDATE tcb_address_master SET ward_name = 'Phường Bình Trị Đông' WHERE ward_code = '7927448';
UPDATE tcb_address_master SET ward_name = 'Phường Bình Hưng Hòa' WHERE ward_code = '7927439';
UPDATE tcb_address_master SET ward_name = 'Phường Hạnh Thông' WHERE ward_code = '7926902';
UPDATE tcb_address_master SET ward_name = 'Phường An Nhơn' WHERE ward_code = '7926887';
UPDATE tcb_address_master SET ward_name = 'Phường Gò Vấp' WHERE ward_code = '7926884';
UPDATE tcb_address_master SET ward_name = 'Phường An Hội Đông' WHERE ward_code = '7926878';
UPDATE tcb_address_master SET ward_name = 'Phường Thông Tây Hội' WHERE ward_code = '7926899';
UPDATE tcb_address_master SET ward_name = 'Phường An Hội Tây' WHERE ward_code = '7926882';
UPDATE tcb_address_master SET ward_name = 'Phường Tân Sơn Hòa' WHERE ward_code = '7926977';
UPDATE tcb_address_master SET ward_name = 'Phường Tân Sơn Nhất' WHERE ward_code = '7926968';
UPDATE tcb_address_master SET ward_name = 'Phường Tân Hòa' WHERE ward_code = '7926995';
UPDATE tcb_address_master SET ward_name = 'Phường Bảy Hiền' WHERE ward_code = '7926983';
UPDATE tcb_address_master SET ward_name = 'Phường Tân Bình' WHERE ward_code = '7927004';
UPDATE tcb_address_master SET ward_name = 'Phường Tân Sơn' WHERE ward_code = '7927007';
UPDATE tcb_address_master SET ward_name = 'X. Nhơn Phú' WHERE ward_code = '8629623';
UPDATE tcb_address_master SET ward_name = 'X. Bình Phước' WHERE ward_code = '8629638';
UPDATE tcb_address_master SET ward_name = 'Xã An Bình' WHERE ward_code = '8629584';
UPDATE tcb_address_master SET ward_name = 'Phường Thanh Đức' WHERE ward_code = '8629590';
UPDATE tcb_address_master SET ward_name = 'Phường Long Châu' WHERE ward_code = '8629551';
UPDATE tcb_address_master SET ward_name = 'Phường Phước Hậu' WHERE ward_code = '8629557';
UPDATE tcb_address_master SET ward_name = 'X. Trung Ngãi' WHERE ward_code = '8629698';
UPDATE tcb_address_master SET ward_name = 'X. Quới An' WHERE ward_code = '8629668';
UPDATE tcb_address_master SET ward_name = 'X. Hiếu Thành' WHERE ward_code = '8629713';
UPDATE tcb_address_master SET ward_name = 'X. Vĩnh Xuân' WHERE ward_code = '8629845';
UPDATE tcb_address_master SET ward_name = 'X. Tân Lược' WHERE ward_code = '8629785';</t>
  </si>
  <si>
    <t>[Nonprod] Hỗ trợ tạo DB mới cho service ai-chat</t>
  </si>
  <si>
    <t>2026-07-29T11:15:11.471+0700</t>
  </si>
  <si>
    <t>2026-07-29T11:15:21.942+0700</t>
  </si>
  <si>
    <t>Dear anh Nghĩa, Nhờ anh hỗ trợ team tạo DB mới với các thông tin dưới đây ạ  Ip: 172.31.1.12
DB name: crm_ai_chat
Username: crm_ai_chat Em cảm ơn anh</t>
  </si>
  <si>
    <t>[OMC][MTP] Clear dữ liệu tracking tháng 6-7/2026</t>
  </si>
  <si>
    <t>2026-07-28T22:44:39.163+0700</t>
  </si>
  <si>
    <t>2026-07-29T11:29:14.396+0700</t>
  </si>
  <si>
    <t>Dear anh  @Nguyễn Văn Dũng  ,  @Đào Công Nghĩa  , nhờ anh/em chạy giúp script sau: -- OMC
use omc_mtp_tracking_events;
ALTER TABLE omc_mtp_tracking_events.mtp_tracking_events_omc  DROP INDEX idx_u_message_id;
ALTER TABLE omc_mtp_tracking_events.mtp_tracking_events_omc DROP PARTITION p20260701;
ALTER TABLE omc_mtp_tracking_events.mtp_tracking_events_omc DROP PARTITION p20260602;
ALTER TABLE omc_mtp_tracking_events.mtp_tracking_events_context_omc DROP PARTITION p20260701;
ALTER TABLE omc_mtp_tracking_events.mtp_tracking_events_context_omc DROP PARTITION p20260602;
-- ALTER TABLE omc_mtp_tracking_events.mtp_tracking_event_sessions DROP PARTITION p2026_06;
use omc_mtp_martech_activation;
-- ALTER TABLE omc_mtp_martech_activation.mtp_ads_events DROP PARTITION p2026_06;
-- ALTER TABLE omc_mtp_martech_activation.mtp_push_events DROP PARTITION p2026_06;
-- ALTER TABLE omc_mtp_martech_activation.mtp_tracking_email_events DROP PARTITION p2026_06;
-- ALTER TABLE omc_mtp_martech_activation.mtp_tracking_email_notifications DROP PARTITION p2026_06;
-- ALTER TABLE omc_mtp_martech_activation.mtp_tracking_fcm_messages DROP PARTITION p2026_06;
-- ALTER TABLE omc_mtp_martech_activation.mtp_tracking_push_notifications DROP PARTITION p2026_06;
-- OMRE
use omre_mtp_tracking_events;
ALTER TABLE omre_mtp_tracking_events.mtp_tracking_events_omre  DROP INDEX idx_u_message_id;
ALTER TABLE omre_mtp_tracking_events.mtp_tracking_events_omre drop partition p20260701;
ALTER TABLE omre_mtp_tracking_events.mtp_tracking_events_omre drop partition p20260602;
ALTER TABLE omre_mtp_tracking_events.mtp_tracking_events_context_omre DROP PARTITION p20260701;
ALTER TABLE omre_mtp_tracking_events.mtp_tracking_events_context_omre DROP PARTITION p20260602;
-- create global index
use omc_mtp_tracking_events;
ALTER TABLE omc_mtp_tracking_events.mtp_tracking_events_omc ADD UNIQUE INDEX idx_u_message_id (message_id) GLOBAL;
use omre_mtp_tracking_events;
ALTER TABLE omre_mtp_tracking_events.mtp_tracking_events_omre ADD UNIQUE INDEX idx_u_message_id (message_id) GLOBAL; Best regards Dinh Quang Nguyen</t>
  </si>
  <si>
    <t>[CBP][RAP] Xin account readonly cho DB qc và uat</t>
  </si>
  <si>
    <t>2026-07-28T16:37:05.225+0700</t>
  </si>
  <si>
    <t>2026-07-29T14:19:37.550+0700</t>
  </si>
  <si>
    <t>Do nhu cầu QC cần read một số thứ ở DB, nên nhờ bên DBA cấp giúp em 1 account readonly cho 2 DB sau ở môi trường qc và uat của CBP ạ: omre_cbp_rap_qc omre_cbp_rap_uat</t>
  </si>
  <si>
    <t>[OMC][Loyalty] [PROD] Thêm index cho DB Budget Management</t>
  </si>
  <si>
    <t>2026-07-28T11:24:04.749+0700</t>
  </si>
  <si>
    <t>2026-07-28T11:27:56.861+0700</t>
  </si>
  <si>
    <t>Nhờ team hỗ trợ thêm giúp index cho DB Voucher Distribution trên PROD với các thông tin sau Project : vinid-loyalty-prod Instance Name :discount Instance IP : 172.31.4.99 DB : budget_service DDL : ALTER TABLE transactions 
ADD INDEX `idx_transactions_created_at` (`created_at`),
ADD INDEX `idx_transactions_updated_at` (`updated_at`), 
ALGORITHM=INPLACE, LOCK=NONE; Cảm ơn</t>
  </si>
  <si>
    <t>[Merchant-TCB] Hỗ trợ cập nhật dữ liệu 20260727</t>
  </si>
  <si>
    <t>2026-07-27T17:38:11.063+0700</t>
  </si>
  <si>
    <t>2026-07-27T17:38:19.826+0700</t>
  </si>
  <si>
    <t>Dear team, Nhờ team chạy giúp câu lệnh bên dưới ạ. Thông tin database https://console.cloud.google.com/sql/instances/merchant-tcb/overview?inv=1&amp;invt=AbsndA&amp;project=vinid-merchant-prod DB_MYSQL_HOST=172.31.4.108
DB_MYSQL_DATABASE=merchant_service_tcb Câu lệnh UPDATE tpay_merchant_document_items
SET
	tpay_terminal_id = NULL,
	tpay_store_id = NULL
WHERE
	id = 137131;</t>
  </si>
  <si>
    <t xml:space="preserve">[NCO][PROD]  Tạo dữ liệu giao dịch refund cho giao dịch NCO ngày 17/07/2026 - 20/07/2026 </t>
  </si>
  <si>
    <t>2026-07-27T17:08:47.227+0700</t>
  </si>
  <si>
    <t>2026-07-27T17:28:34.994+0700</t>
  </si>
  <si>
    <t>Hi  @Đào Công Nghĩa  , Nhờ em chạy giúp thông tin dưới đây: IP: 172.31.4.9 Database: ecom_transaction Script: trong file đính kèm Reference:  https://chat.google.com/room/AAAAMl15_Ok/9S9lrzeK-Ag/uDDF6XSGA1Q?cls=10</t>
  </si>
  <si>
    <t>2026-07-27T16:47:52.462+0700</t>
  </si>
  <si>
    <t>2026-07-27T17:36:29.269+0700</t>
  </si>
  <si>
    <t>Dear team DBA, Hiện tại team đang có nhu cầu kéo bổ sung dữ liệu các bảng sau phục vụ mục đích xây dựng báo cáo và sourcing sang TCB  https://onemount.atlassian.net/browse/DWHV2-12997 , nhờ anh Linh tạo kafka topic ở môi trường PROD giúp team để kéo data về DP. PROD: IP host: 172.31.4.32  +(+jdbc:mysql://tidb.int.onemount.com:4000/saas_tpay) Table list: TRANSACTION_DETAIL
TRANSACTION_MASTER Thanks team, Cong</t>
  </si>
  <si>
    <t>2026-07-27T16:47:43.647+0700</t>
  </si>
  <si>
    <t>2026-07-27T17:25:25.485+0700</t>
  </si>
  <si>
    <t>Dear team DBA, Hiện tại team đang có nhu cầu kéo bổ sung dữ liệu các bảng sau phục vụ mục đích xây dựng báo cáo và sourcing sang TCB  https://onemount.atlassian.net/browse/DWHV2-12997 , nhờ anh Linh tạo kafka topic ở môi trường PROD giúp team để kéo data về DP. PROD: IP host:172.31.4.108 Schema: merchant_service_tcb Table list: tpay_merchant Thanks team, Cong</t>
  </si>
  <si>
    <t>[SCM][Kafka][Prod] Tạo kafka topic phục vụ báo cáo SCM</t>
  </si>
  <si>
    <t>2026-07-27T16:47:26.731+0700</t>
  </si>
  <si>
    <t>2026-07-27T17:22:49.748+0700</t>
  </si>
  <si>
    <t>Dear team DBA, Hiện tại team đang có nhu cầu kéo bổ sung dữ liệu các bảng sau phục vụ mục đích xây dựng báo cáo cho dự án SCM theo request trong ticket  https://onemount.atlassian.net/browse/DWHV2-12992 , nhờ anh Linh tạo kafka topic ở môi trường PROD giúp team để kéo data về DP. PROD: IP host:172.31.4.59 Schema: omd_wms_mag Table list: product_category Thanks team, Cong</t>
  </si>
  <si>
    <t>[OMD][MongoDB]Xóa data database mongodb trackandtrace</t>
  </si>
  <si>
    <t>2026-07-27T15:05:46.574+0700</t>
  </si>
  <si>
    <t>2026-07-27T16:26:29.094+0700</t>
  </si>
  <si>
    <t>Dear anh  @Phạm Tuấn Linh  , Hiện tại luồng đơn trên hệ thống B2B đã bắt đầu off. Nhờ anh hỗ trợ cleanup toàn bộ dữ liệu trong collection  integration_log  của Track &amp; Trace. Phạm vi dữ liệu cần giữ lại: targetSystem = B2B_COMMERCE sourceSystem = ESB Chỉ giữ dữ liệu trong  1 tháng gần nhất . Ngoài phạm vi trên, nhờ anh  xóa toàn bộ dữ liệu còn lại  trong collection  integration_log . Thông tin DB: Database:  trackandtrace Collection:  integration_log Master IP:  10.255.32.55 Thanks anh ạ!</t>
  </si>
  <si>
    <t>[MongoDB][HealthOS][Non-Prod] Xin tạo mới account và database mới phục vụ HealthOS</t>
  </si>
  <si>
    <t>2026-07-27T15:00:19.848+0700</t>
  </si>
  <si>
    <t>2026-07-28T15:19:04.593+0700</t>
  </si>
  <si>
    <t>Dear team, Nhờ mọi người hỗ trợ team em tạo thêm database và account mới phục vụ luồng HealthOS chatbot: Tạo mới database name: omc_healthos_chatbot_qc/uat. Tạo mới account có quyền dbAdmin trên database trên.  SAD:    Em cảm ơn!</t>
  </si>
  <si>
    <t>[LP][Core][TCB] - Insert data phục vụ campaign VANHANH 072026 (Tháng 07 lần 3)</t>
  </si>
  <si>
    <t>2026-07-27T14:13:15.850+0700</t>
  </si>
  <si>
    <t>2026-07-27T14:13:24.691+0700</t>
  </si>
  <si>
    <t>Description Dear DBA Team, Nhờ team thực hiện insert data phục vụ campaign VANHANH 072026 lần 03, theo các bước sau: Thông tin database: IP: 10.255.23.119 Service name: oneloyaltydb Port: 1521 schema app: OLOYALTY Bước 1: Tạo bảng tạm CREATE TABLE OLOYALTY.CST_TARGET_GROUP_VANHANH_072026_03
(
    "ID"             NUMBER(10,0) GENERATED BY DEFAULT ON NULL AS IDENTITY,
    "LOYALTY_ID"           VARCHAR2(32 BYTE) DEFAULT NULL,
    "CST_TARGET_GROUP"           VARCHAR2(256 BYTE) DEFAULT NULL,
    PRIMARY KEY ("ID")
); Bước 02: Load dữ liệu tất cả các files trong thư mục  đính kèm vào bảng tạm Bước 03: Insert data vào bảng Member Attribute từ bảng bảng tạm 3.1. Kiểm số row bảng   CST_TARGET_GROUP_VANHANH_072026_03 SELECT /*+ parallel(16) */ count(*) FROM OLOYALTY.CST_TARGET_GROUP_VANHANH_072026_03; 3.2 Kiểm tra trùng ,  báo lại dự án nếu có SELECT /*+ parallel(16) */ LOYALTY_ID,count(*) FROM OLOYALTY.CST_TARGET_GROUP_VANHANH_072026_03 GROUP BY LOYALTY_ID HAVING count(*) &gt; 1; 3.3 Kiểm tra số dòng dự kiến insert, báo lại dự án nếu số dòng khác với số dòng của bảng   CST_TARGET_GROUP_VANHANH_072026_03 .   Note: Có thể bỏ qua nếu câu lệnh chạy quá lâu SELECT /*+ parallel(16) */ count(*) FROM OLOYALTY.MEMBER m JOIN OLOYALTY.CST_TARGET_GROUP_VANHANH_072026_03 b ON m.PARTNER_CUSTOMER_ID = b.LOYALTY_ID WHERE m.PROGRAM_ID = 426;   3.4 Chạy lệnh insert INSERT INTO OLOYALTY.MEMBER_ATTRIBUTE (PROGRAM_ID, MEMBER_ID, PROGRAM_ATTRIBUTE_ID, VALUE, STATUS,CREATED_BY)
SELECT 426,
    m.id AS MEMBER_ID,
    423 AS PROGRAM_ATTRIBUTE_ID,
    REPLACE(b.CST_TARGET_GROUP, CHR(13) ,'') AS VALUE,
    'A' AS STATUS,
    'VANHANH_072026_03'
FROM OLOYALTY.MEMBER m JOIN OLOYALTY.CST_TARGET_GROUP_VANHANH_072026_03 b ON m.PARTNER_CUSTOMER_ID = b.LOYALTY_ID WHERE m.PROGRAM_ID = 426
; 3.5 Kiểm tra kết quả cuối cùng SELECT /*+ parallel(16) */ count(*) FROM OLOYALTY.MEMBER_ATTRIBUTE ma 
WHERE ma.PROGRAM_ATTRIBUTE_ID = 423 AND ma.CREATED_BY = 'VANHANH_072026_03';   Thanks!</t>
  </si>
  <si>
    <t>PROD] [VCM] Xóa dupicate attribute</t>
  </si>
  <si>
    <t>2026-07-25T10:35:38.165+0700</t>
  </si>
  <si>
    <t>2026-07-25T10:35:52.261+0700</t>
  </si>
  <si>
    <t>Dear DBA Team, Nhờ team chạy lệnh xóa các key bị duplicate attribute. Thông tin DB: IP: 172.31.1.41
Bảng: vincart_mm_product.entity_attributes_values Lệnh chạy: -- Kênh ONEU
DELETE  t1.*
FROM entity_attributes_values t1
JOIN entity_attributes_values t2 
  ON  t1.name = t2.name 
  AND t1.entity_id = t2.entity_id 
  AND t1.channel_code = t2.channel_code
  AND t1.type = t2.type
WHERE t1.channel_code = 'ONEU' AND t1.type = 'VARIANT
  AND t1.id &lt; t2.id;
-- Kênh TCBM
DELETE  t1.*
FROM entity_attributes_values t1
JOIN entity_attributes_values t2 
  ON  t1.name = t2.name 
  AND t1.entity_id = t2.entity_id
  AND t1.channel_code = t2.channel_code
  AND t1.type = t2.type
WHERE t1.channel_code = 'TCBM' AND t1.type = 'VARIANT
  AND t1.id &lt; t2.id;</t>
  </si>
  <si>
    <t>[OMC][MFT][Flash Sale TCB] scale up resource database campaign 24/07/2026</t>
  </si>
  <si>
    <t>2026-07-25T01:23:06.609+0700</t>
  </si>
  <si>
    <t>2026-07-25T01:25:18.901+0700</t>
  </si>
  <si>
    <t xml:space="preserve">  CR:  https://onemount.atlassian.net/browse/SH-72556</t>
  </si>
  <si>
    <t>[OMC][MFT][Flash Sale TCB] Scale up resource 25/07/2026</t>
  </si>
  <si>
    <t>2026-07-24T17:39:57.279+0700</t>
  </si>
  <si>
    <t>2026-07-25T01:29:40.850+0700</t>
  </si>
  <si>
    <t>FlashSale, Loyalty</t>
  </si>
  <si>
    <t>Theo thông tin CR, liên quan đến việc nâng cấu hình DB phục vụ campaign BIG BOOM 25/7 - 31/7:   Team DBA thực hiện nâng cấu hình các instance DB: DB mysql https://console.cloud.google.com/sql/instances/main/overview?project=vincart-prod 172.31.1.41  Từ: 16 CPUs 32 GB RAM , innodb_buffer_pool_size  13179869184 Lên: 32 CPUs 64 GB RAM, innodb_buffer_pool_size  34359738368 (~ 50% RAM) Memorystore https://console.cloud.google.com/memorystore/redis/locations/asia-east1/instances/onevoucher/details/overview?project=vincart-prod Primary:172.31.0.196 Read: 172.31.0.197 Từ: 6 GB memory lên 12 GB memory Thời gian thực hiện nâng cấu hình (có downtime, và đã thông báo sang bên TCB):  Từ 01h00 đến 02h00 ngày 25/07/2026. Bổ sung:  Từ 01h00 đến 02h00 ngày 26/07/2026  , nâng Memorystore từ 8 GB memory lên 12 GB memory</t>
  </si>
  <si>
    <t>[Prod][OMC][Gami] Insert new attribute release 25/07/2026</t>
  </si>
  <si>
    <t>2026-07-24T17:31:02.827+0700</t>
  </si>
  <si>
    <t>2026-07-27T15:06:31.229+0700</t>
  </si>
  <si>
    <t>Nhờ team chạy query trên prodution giúp Loyalty Gami, phục vụ release 25/07/2026: Host: 172.31.4.75 DB: promo_rule_engine SQL -- https://techcombank.atlassian.net/browse/EBLIF-4953
-- event_value
-- event_source
-- txn_source
-- txn_card_install_auto_ind
UPDATE `rule_templates` 
SET `payload` = JSON_SET(
    `payload`,
    '$.payload.event.event_value', 'string',
    '$.payload.event.event_source', 'string',
    '$.payload.transaction_attributes.txn_source', 'string',
    '$.payload.transaction_attributes.txn_card_install_auto_ind', 'string'
) WHERE id in (1, 11);
INSERT INTO categories (tenant_id, rule_template_id, `key`, name, field_type, ui_type, operator, group_name, is_master_data, description, status, created_at, updated_at)
VALUES (1, 1, 'payload.transaction_attributes.txn_card_install_auto_ind', '[TXN_CARD_INSTALL_AUTO_IND] Thẻ đăng ký tính năng tự động chuyển đổi trả góp', 'string', 'COMBOBOX', '==|!=|in|not in', 'Program Attribute', 1, 'Thẻ đăng ký tính năng tự động chuyển đổi trả góp', 'ACTIVE', Now(), Now())
     , (1, 1, 'payload.transaction_attributes.txn_source', '[TXN_SOURCE] Nguồn dữ liệu giao dịch', 'string', 'TEXT', '==|!=|contains|not contains', 'Program Attribute', 0, 'Nguồn dữ liệu giao dịch', 'ACTIVE', Now(), Now())
     , (1, 1, 'payload.event.event_value', '[EVENT_VALUE] Giá trị số dư CASA trên tháng', 'string', 'NUMBER', '&gt;=|&lt;=|&gt;|&lt;|==|!=', 'Event', 0, 'Giá trị số dư CASA trên tháng', 'ACTIVE', Now(), Now())
     , (1, 1, 'payload.event.event_source', '[EVENT_SOURCE] Nguồn dữ liệu event', 'string', 'TEXT', '==|!=|contains|not contains', 'Event', 0, 'Nguồn dữ liệu event', 'ACTIVE', Now(), Now())
     , (1, 11, 'payload.transaction_attributes.txn_card_install_auto_ind', '[TXN_CARD_INSTALL_AUTO_IND] Thẻ đăng ký tính năng tự động chuyển đổi trả góp', 'string', 'COMBOBOX', '==|!=|in|not in', 'Program Attribute', 1, 'Thẻ đăng ký tính năng tự động chuyển đổi trả góp', 'ACTIVE', Now(), Now())
     , (1, 11, 'payload.transaction_attributes.txn_source', '[TXN_SOURCE] Nguồn dữ liệu giao dịch', 'string', 'TEXT', '==|!=|contains|not contains', 'Program Attribute', 0, 'Nguồn dữ liệu giao dịch', 'ACTIVE', Now(), Now())
     , (1, 11, 'payload.event.event_value', '[EVENT_VALUE] Giá trị số dư CASA trên tháng', 'string', 'NUMBER', '&gt;=|&lt;=|&gt;|&lt;|==|!=', 'Realtime Event', 0, 'Giá trị số dư CASA trên tháng', 'ACTIVE', Now(), Now());
UPDATE categories
SET name = '[EVENT_SOURCE] Nguồn dữ liệu event', description = 'Nguồn dữ liệu event'
WHERE tenant_id = 1 AND rule_template_id = 11 AND `key` = 'payload.event.event_source';
INSERT INTO master_data(tenant_id, categories_id, attribute_code, program_id, created_at, updated_at)
SELECT c.tenant_id, c.id, 'txn_card_install_auto_ind', 426, Now(), Now()
FROM categories c
WHERE c.tenant_id = 1
  AND c.rule_template_id IN (1, 11)
  AND c.`key` = 'payload.transaction_attributes.txn_card_install_auto_ind';
-- https://techcombank.atlassian.net/browse/EBLIF-6095
-- cst_refer_code
-- txn_channel_type
UPDATE `rule_templates`
SET `payload` = JSON_SET(
    `payload`, 
    '$.payload.member_attributes.cst_refer_code', 'string'
) 
WHERE id IN (
    SELECT id 
    FROM (SELECT id FROM `rule_templates`) AS temp_table
);
UPDATE `rule_templates`
SET `payload` = JSON_SET(
    `payload`,
    '$.payload.transaction_attributes.txn_channel_type', 'string'
) WHERE id in (1, 11);
INSERT INTO categories (tenant_id, rule_template_id, `key`, name, field_type, ui_type, operator, group_name, is_master_data, description, status, created_at, updated_at)
SELECT rt.tenant_id, rt.id, 'payload.member_attributes.cst_refer_code', '[CST_REFER_CODE] Nguồn giới thiệu khách hàng onboard vào TCB', 'string', 'TEXT', '==|!=|contains|not contains', 'Member Attribute', 0, 'Nguồn giới thiệu khách hàng onboard vào TCB', 'ACTIVE', Now(), Now()
FROM rule_templates rt;
INSERT INTO categories (tenant_id, rule_template_id, `key`, name, field_type, ui_type, operator, group_name, is_master_data, description, status, created_at, updated_at)
VALUES (1, 1, 'payload.transaction_attributes.txn_channel_type', '[TXN_CHANNEL_TYPE] Kênh thanh toán mà giao dịch gốc thẻ thực hiện', 'string', 'COMBOBOX', '==|!=|in|not in', 'Program Attribute', 1, 'Kênh thanh toán mà giao dịch gốc thẻ thực hiện', 'ACTIVE', Now(), Now())
     , (1, 11, 'payload.transaction_attributes.txn_channel_type', '[TXN_CHANNEL_TYPE] Kênh thanh toán mà giao dịch gốc thẻ thực hiện', 'string', 'COMBOBOX', '==|!=|in|not in', 'Program Attribute', 1, 'Kênh thanh toán mà giao dịch gốc thẻ thực hiện', 'ACTIVE', Now(), Now());
INSERT INTO master_data(tenant_id, categories_id, attribute_code, program_id, created_at, updated_at)
SELECT c.tenant_id, c.id, 'txn_channel_type', 426, Now(), Now()
FROM categories c
WHERE c.tenant_id = 1
  AND c.rule_template_id IN (1, 11)
  AND c.`key` = 'payload.transaction_attributes.txn_channel_type';</t>
  </si>
  <si>
    <t>[OM][Charity][Prod][Health Hub] chạy lệnh SQL</t>
  </si>
  <si>
    <t>2026-07-24T10:54:55.418+0700</t>
  </si>
  <si>
    <t>2026-07-24T10:55:04.179+0700</t>
  </si>
  <si>
    <t>HH</t>
  </si>
  <si>
    <t xml:space="preserve">Em chào anh chị, Anh chị chạy giúp em lệnh SQL update DB với ạ. project: om-charity-prod Instance name: om-charity-fund-core IP: 172.31.4.7 DB name: fund-core user name: ? SQL:        </t>
  </si>
  <si>
    <t>[OMC][VCM] Cập nhật thông tin serial và discount transaction</t>
  </si>
  <si>
    <t>2026-07-24T10:28:02.348+0700</t>
  </si>
  <si>
    <t>2026-07-24T15:33:27.541+0700</t>
  </si>
  <si>
    <t>Do data trên hệ thống hiện đang bị sai so với thực tế nên nhờ team DBA hỗ trợ chạy các script sau để cập nhật dữ liệu lại cho đúng. Thread google chat liên quan: https://chat.google.com/room/AAAAJGjzb3g/kLFPYO0fS84/kLFPYO0fS84?cls=10 https://chat.google.com/room/AAQARHGXlG4/uADGbqa3a1g/uADGbqa3a1g?cls=10 Thời gian thực hiện:  Khi ticket được approve Cập nhật thông tin serial: Thông tin database: onevc_vwm_prod (*IP: *172.31.4.126) Script SQL: UPDATE
	onevc_vwm_prod.warehouse_serial ws
SET
	ws.status = 'CLAIMED'
WHERE
	ws.serial_code = '862ce4ac4de944a39634d4690fb183bb'; Cập nhật trạng thái discount transaction: Thông tin database: discount_service (*IP: *172.31.4.99) Script SQL: UPDATE
	discount.transactions t
SET
	t.status = 'ROLLBACK'
WHERE
	t.id = 'd9fdl84hu0as71fdniug';
INSERT
	INTO
	discount.transaction_history
(status,
	transaction_id,
	created_at)
VALUES('ROLLBACK', 'd9fdl84hu0as71fdniug', '2026-07-23 14:07:11'); Cảm ơn team nhiều ạ.</t>
  </si>
  <si>
    <t>[PROD][QR247] Hỗ trợ cấu hình thông tin cụm merchant của Sài Gòn Coopmart_P4</t>
  </si>
  <si>
    <t>2026-07-23T19:43:06.934+0700</t>
  </si>
  <si>
    <t>2026-07-23T19:43:14.301+0700</t>
  </si>
  <si>
    <t>Hi team Nhờ anh/em chạy các script để cấu hình 28 merchant của Sài Gòn Coopmart tích hợp TPAY trên môi trường PROD. Thông tin database saas_tpay: mysql://pay-tidb.int.onemount.com:4000/saas_tpay INSERT INTO PARTNER (client_id, name, public_key, enable, merchant_code)
VALUES ('GnwEbKzlfJvqSPpVcUqQbZdlHlUfeYff', 'SGC XLHN', '-----BEGIN PUBLIC KEY-----
MIIBIjANBgkqhkiG9w0BAQEFAAOCAQ8AMIIBCgKCAQEAijT0z6i+jN59g0lIaXwC
ooh14Mf8M2N5W/BMnWj/88iQakOy1atfoqewCx/5WHzgBER+PYIW+gwrBXJgtUjv
M/ZdqhOQvVWdRavhFVvVUL5KSncsEJ4X4kr0gf6faoiFEfkCS/aMh4WAeKvn1uYf
ASUPIhOj6qN/XBesqxZu5L5QhGWMkpYe+ixGjzAwH5e0rBvS755pOxH/nPQEgft8
s8OGfic6rJTW1zmUZLQRsQBw+zde4qrc3EW2+2nDHMD+W3aty0GSbFOkNZf6xCg3
Pz/62nRcTIvE3BsO+lr4rbJg+VaETKO3RbXSotoGJsIPBvqWpdvgiuoc40Q5Dovm
XQIDAQAB
-----END PUBLIC KEY-----', 1, 'SGC_HGIA');
INSERT INTO PARTNER (client_id, name, public_key, enable, merchant_code)
VALUES ('GnwEbKzlfJvqSPpVcUqQbZdlHlUfeYff', 'SGC XLHN', '-----BEGIN PUBLIC KEY-----
MIIBIjANBgkqhkiG9w0BAQEFAAOCAQ8AMIIBCgKCAQEAijT0z6i+jN59g0lIaXwC
ooh14Mf8M2N5W/BMnWj/88iQakOy1atfoqewCx/5WHzgBER+PYIW+gwrBXJgtUjv
M/ZdqhOQvVWdRavhFVvVUL5KSncsEJ4X4kr0gf6faoiFEfkCS/aMh4WAeKvn1uYf
ASUPIhOj6qN/XBesqxZu5L5QhGWMkpYe+ixGjzAwH5e0rBvS755pOxH/nPQEgft8
s8OGfic6rJTW1zmUZLQRsQBw+zde4qrc3EW2+2nDHMD+W3aty0GSbFOkNZf6xCg3
Pz/62nRcTIvE3BsO+lr4rbJg+VaETKO3RbXSotoGJsIPBvqWpdvgiuoc40Q5Dovm
XQIDAQAB
-----END PUBLIC KEY-----', 1, 'SGC_STR');
INSERT INTO PARTNER (client_id, name, public_key, enable, merchant_code)
VALUES ('GnwEbKzlfJvqSPpVcUqQbZdlHlUfeYff', 'SGC XLHN', '-----BEGIN PUBLIC KEY-----
MIIBIjANBgkqhkiG9w0BAQEFAAOCAQ8AMIIBCgKCAQEAijT0z6i+jN59g0lIaXwC
ooh14Mf8M2N5W/BMnWj/88iQakOy1atfoqewCx/5WHzgBER+PYIW+gwrBXJgtUjv
M/ZdqhOQvVWdRavhFVvVUL5KSncsEJ4X4kr0gf6faoiFEfkCS/aMh4WAeKvn1uYf
ASUPIhOj6qN/XBesqxZu5L5QhGWMkpYe+ixGjzAwH5e0rBvS755pOxH/nPQEgft8
s8OGfic6rJTW1zmUZLQRsQBw+zde4qrc3EW2+2nDHMD+W3aty0GSbFOkNZf6xCg3
Pz/62nRcTIvE3BsO+lr4rbJg+VaETKO3RbXSotoGJsIPBvqWpdvgiuoc40Q5Dovm
XQIDAQAB
-----END PUBLIC KEY-----', 1, 'SGC_VLB');
INSERT INTO PARTNER (client_id, name, public_key, enable, merchant_code)
VALUES ('GnwEbKzlfJvqSPpVcUqQbZdlHlUfeYff', 'SGC XLHN', '-----BEGIN PUBLIC KEY-----
MIIBIjANBgkqhkiG9w0BAQEFAAOCAQ8AMIIBCgKCAQEAijT0z6i+jN59g0lIaXwC
ooh14Mf8M2N5W/BMnWj/88iQakOy1atfoqewCx/5WHzgBER+PYIW+gwrBXJgtUjv
M/ZdqhOQvVWdRavhFVvVUL5KSncsEJ4X4kr0gf6faoiFEfkCS/aMh4WAeKvn1uYf
ASUPIhOj6qN/XBesqxZu5L5QhGWMkpYe+ixGjzAwH5e0rBvS755pOxH/nPQEgft8
s8OGfic6rJTW1zmUZLQRsQBw+zde4qrc3EW2+2nDHMD+W3aty0GSbFOkNZf6xCg3
Pz/62nRcTIvE3BsO+lr4rbJg+VaETKO3RbXSotoGJsIPBvqWpdvgiuoc40Q5Dovm
XQIDAQAB
-----END PUBLIC KEY-----', 1, 'SGC_HNG');
INSERT INTO PARTNER (client_id, name, public_key, enable, merchant_code)
VALUES ('GnwEbKzlfJvqSPpVcUqQbZdlHlUfeYff', 'SGC XLHN', '-----BEGIN PUBLIC KEY-----
MIIBIjANBgkqhkiG9w0BAQEFAAOCAQ8AMIIBCgKCAQEAijT0z6i+jN59g0lIaXwC
ooh14Mf8M2N5W/BMnWj/88iQakOy1atfoqewCx/5WHzgBER+PYIW+gwrBXJgtUjv
M/ZdqhOQvVWdRavhFVvVUL5KSncsEJ4X4kr0gf6faoiFEfkCS/aMh4WAeKvn1uYf
ASUPIhOj6qN/XBesqxZu5L5QhGWMkpYe+ixGjzAwH5e0rBvS755pOxH/nPQEgft8
s8OGfic6rJTW1zmUZLQRsQBw+zde4qrc3EW2+2nDHMD+W3aty0GSbFOkNZf6xCg3
Pz/62nRcTIvE3BsO+lr4rbJg+VaETKO3RbXSotoGJsIPBvqWpdvgiuoc40Q5Dovm
XQIDAQAB
-----END PUBLIC KEY-----', 1, 'SGC_NLO');
INSERT INTO PARTNER (client_id, name, public_key, enable, merchant_code)
VALUES ('GnwEbKzlfJvqSPpVcUqQbZdlHlUfeYff', 'SGC XLHN', '-----BEGIN PUBLIC KEY-----
MIIBIjANBgkqhkiG9w0BAQEFAAOCAQ8AMIIBCgKCAQEAijT0z6i+jN59g0lIaXwC
ooh14Mf8M2N5W/BMnWj/88iQakOy1atfoqewCx/5WHzgBER+PYIW+gwrBXJgtUjv
M/ZdqhOQvVWdRavhFVvVUL5KSncsEJ4X4kr0gf6faoiFEfkCS/aMh4WAeKvn1uYf
ASUPIhOj6qN/XBesqxZu5L5QhGWMkpYe+ixGjzAwH5e0rBvS755pOxH/nPQEgft8
s8OGfic6rJTW1zmUZLQRsQBw+zde4qrc3EW2+2nDHMD+W3aty0GSbFOkNZf6xCg3
Pz/62nRcTIvE3BsO+lr4rbJg+VaETKO3RbXSotoGJsIPBvqWpdvgiuoc40Q5Dovm
XQIDAQAB
-----END PUBLIC KEY-----', 1, 'SGC_TMU');
INSERT INTO PARTNER (client_id, name, public_key, enable, merchant_code)
VALUES ('GnwEbKzlfJvqSPpVcUqQbZdlHlUfeYff', 'SGC XLHN', '-----BEGIN PUBLIC KEY-----
MIIBIjANBgkqhkiG9w0BAQEFAAOCAQ8AMIIBCgKCAQEAijT0z6i+jN59g0lIaXwC
ooh14Mf8M2N5W/BMnWj/88iQakOy1atfoqewCx/5WHzgBER+PYIW+gwrBXJgtUjv
M/ZdqhOQvVWdRavhFVvVUL5KSncsEJ4X4kr0gf6faoiFEfkCS/aMh4WAeKvn1uYf
ASUPIhOj6qN/XBesqxZu5L5QhGWMkpYe+ixGjzAwH5e0rBvS755pOxH/nPQEgft8
s8OGfic6rJTW1zmUZLQRsQBw+zde4qrc3EW2+2nDHMD+W3aty0GSbFOkNZf6xCg3
Pz/62nRcTIvE3BsO+lr4rbJg+VaETKO3RbXSotoGJsIPBvqWpdvgiuoc40Q5Dovm
XQIDAQAB
-----END PUBLIC KEY-----', 1, 'SGC_TCH');</t>
  </si>
  <si>
    <t>[MAG][IOTek][MCM][PROD] Backup database</t>
  </si>
  <si>
    <t>2026-07-23T19:34:44.813+0700</t>
  </si>
  <si>
    <t>2026-09-15T10:18:23.268+0700</t>
  </si>
  <si>
    <t>Em đang thực hiện migration nên cần backup một số bảng database, nhờ các anh backup em với ạ.  1. Schema ces_mh_mpm prj_projects ten_system_tenants acc_location_mapping acc_oauth_account_hub lc_unit_general lc_units mtr_inspections mtr_requests prj_design_phase_configs prj_project_item_sync_history prj_staffs prj_workflows_configs sb_submission sb_submission_version sb_workflow_edge sb_workflow_step sb_workflow_template dc_document_links dc_document_versions dc_documents hrm_acc_tenant_role 2. Schema ces_mcm_storage dc_documents casbin_rule</t>
  </si>
  <si>
    <t>[LP][Core][TCB] - Insert data phục vụ campaign VANHANH 072026 (Tháng 07 lần 2)</t>
  </si>
  <si>
    <t>2026-07-23T16:34:35.105+0700</t>
  </si>
  <si>
    <t>2026-07-23T16:34:43.549+0700</t>
  </si>
  <si>
    <t>Dear DBA Team, Nhờ team thực hiện insert data phục vụ campaign VANHANH 072026 lần 02, theo các bước sau: Thông tin database: IP: 10.255.23.119 Service name: oneloyaltydb Port: 1521 schema app: OLOYALTY Bước 1: Tạo bảng tạm CREATE TABLE OLOYALTY.CST_TARGET_GROUP_VANHANH_072026_02
(
    "ID"             NUMBER(10,0) GENERATED BY DEFAULT ON NULL AS IDENTITY,
    "LOYALTY_ID"           VARCHAR2(32 BYTE) DEFAULT NULL,
    "CST_TARGET_GROUP"           VARCHAR2(256 BYTE) DEFAULT NULL,
    PRIMARY KEY ("ID")
); Bước 02: Load dữ liệu tất cả các files trong thư mục  đính kèm vào bảng tạm Bước 03: Insert data vào bảng Member Attribute từ bảng bảng tạm 3.1. Kiểm số row bảng   CST_TARGET_GROUP_VANHANH_072026_02 SELECT /*+ parallel(16) */ count(*) FROM OLOYALTY.CST_TARGET_GROUP_VANHANH_072026_02; 3.2 Kiểm tra trùng ,  báo lại dự án nếu có SELECT /*+ parallel(16) */ LOYALTY_ID,count(*) FROM OLOYALTY.CST_TARGET_GROUP_VANHANH_072026_02 GROUP BY LOYALTY_ID HAVING count(*) &gt; 1; 3.3 Kiểm tra số dòng dự kiến insert, báo lại dự án nếu số dòng khác với số dòng của bảng   CST_TARGET_GROUP_VANHANH_072026_02 .   Note: Có thể bỏ qua nếu câu lệnh chạy quá lâu SELECT /*+ parallel(16) */ count(*) FROM OLOYALTY.MEMBER m JOIN OLOYALTY.CST_TARGET_GROUP_VANHANH_072026_02 b ON m.PARTNER_CUSTOMER_ID = b.LOYALTY_ID WHERE m.PROGRAM_ID = 426;   3.4 Chạy lệnh insert INSERT INTO OLOYALTY.MEMBER_ATTRIBUTE (PROGRAM_ID, MEMBER_ID, PROGRAM_ATTRIBUTE_ID, VALUE, STATUS,CREATED_BY)
SELECT 426,
    m.id AS MEMBER_ID,
    423 AS PROGRAM_ATTRIBUTE_ID,
    REPLACE(b.CST_TARGET_GROUP, CHR(13) ,'') AS VALUE,
    'A' AS STATUS,
    'VANHANH_072026_02'
FROM OLOYALTY.MEMBER m JOIN OLOYALTY.CST_TARGET_GROUP_VANHANH_072026_02 b ON m.PARTNER_CUSTOMER_ID = b.LOYALTY_ID WHERE m.PROGRAM_ID = 426
; 3.5 Kiểm tra kết quả cuối cùng SELECT /*+ parallel(16) */ count(*) FROM OLOYALTY.MEMBER_ATTRIBUTE ma 
WHERE ma.PROGRAM_ATTRIBUTE_ID = 423 AND ma.CREATED_BY = 'VANHANH_072026_02';   Thanks!</t>
  </si>
  <si>
    <t>[PROD] [UPay] Support update database</t>
  </si>
  <si>
    <t>2026-07-23T15:12:57.051+0700</t>
  </si>
  <si>
    <t>2026-07-23T15:13:05.947+0700</t>
  </si>
  <si>
    <t>Hi a   @Nguyễn Văn Dũng  , nhờ a chạy giúp e script bên dưới ạ Thông tin database:  mysql://pay-tidb.int.onemount.com:4000/saas_tpay Script: UPDATE TCB_DEVICE SET PHYSICAL_STATUS = 'IMPORTED'  WHERE device_serial_number = '38250602314072'; Em xin cảm ơn!</t>
  </si>
  <si>
    <t>2026-07-23T14:31:03.273+0700</t>
  </si>
  <si>
    <t>2026-07-23T15:46:28.129+0700</t>
  </si>
  <si>
    <t>Dear Linh, Em tạo account dataplatform_ingestion, grant quyền, và tạo topic giúp anh cho bảng sau với nhé: - IP : 172.31.4.10
- DB : ecom_data_transform
- Table : saga_state và saga_refund_leg</t>
  </si>
  <si>
    <t>2026-07-23T14:30:51.235+0700</t>
  </si>
  <si>
    <t>2026-07-23T15:03:37.667+0700</t>
  </si>
  <si>
    <t>Dear Linh, Em tạo giúp anh topic cho bảng này với nhé: Host: 172.31.1.41 vincart_mm_merchant.merchant_unified_mapping</t>
  </si>
  <si>
    <t>[LP][Core][TCB] - Insert data phục vụ campaign BASES0326_PNP</t>
  </si>
  <si>
    <t>2026-07-23T09:01:05.139+0700</t>
  </si>
  <si>
    <t>2026-07-23T09:01:34.123+0700</t>
  </si>
  <si>
    <t xml:space="preserve">Dear DBA Team, Nhờ team thực hiện uodate data phục vụ campaign BASES0326_PNP, theo các bước sau: Thông tin database: IP: 10.255.23.119 Service name: oneloyaltydb Port: 1521 schema app: OLOYALTY Bước 1: Kiểm tra số lượng record upate SELECT /*+ parallel(16) */ count(*) FROM OLOYALTY.MEMBER_ATTRIBUTE ma 
WHERE ma.PROGRAM_ATTRIBUTE_ID = 423 AND ma.CREATED_BY = 'VANHANH_202607_01'; Bước 2: Thực hiện update   PROGRAM_ATTRIBUTE_ID UPDATE /*+ parallel(16) */ OLOYALTY.MEMBER_ATTRIBUTE
SET PROGRAM_ATTRIBUTE_ID = 623
WHERE PROGRAM_ATTRIBUTE_ID = 423 
  AND CREATED_BY = 'VANHANH_202607_01'; Bước 3: kiểm tra lại sau khi chạy SELECT /*+ parallel(16) */ count(*) FROM OLOYALTY.MEMBER_ATTRIBUTE ma 
WHERE ma.PROGRAM_ATTRIBUTE_ID = 623 AND ma.CREATED_BY = 'VANHANH_202607_01'; Link theo ticket:   </t>
  </si>
  <si>
    <t>2026-07-22T18:25:30.776+0700</t>
  </si>
  <si>
    <t>2026-07-22T18:25:38.650+0700</t>
  </si>
  <si>
    <t>Dear DBA Team, Nhờ team thực hiện insert data phục vụ campaign BASES0326_PNP, theo các bước sau: Thông tin database: IP:  172.31.4.75 Service name:  promo_gamezone Port: 3306 schema app:  promo_gamezone Bước 0:  Lấy danh sách user accept chương trình SELECT users.customer_id AS 'loyalty_id', 'BASES0326_PNP' AS cst_accept_campaign FROM `accept_challenge` LEFT JOIN users ON accept_challenge.user_id=users.id WHERE accept_challenge.id = 119; Thông tin database: IP: 10.255.23.119 Service name: oneloyaltydb Port: 1521 schema app: OLOYALTY Bước 1: Tạo bảng tạm CREATE TABLE OLOYALTY.CST_ACCEPT_CAMPAIGN_072026_01
(
    "ID"             NUMBER(10,0) GENERATED BY DEFAULT ON NULL AS IDENTITY,
    "LOYALTY_ID"           VARCHAR2(32 BYTE) DEFAULT NULL,
    "CST_ACCEPT_CAMPAIGN"           VARCHAR2(256 BYTE) DEFAULT NULL,
    PRIMARY KEY ("ID")
); Bước 02: Load dữ liệu tất cả bước 0 vào bảng tạm Bước 03: Insert data vào bảng Member Attribute từ bảng bảng tạm 3.1. Kiểm số row bảng   CST_ACCEPT_CAMPAIGN_072026_01 SELECT /*+ parallel(16) */ count(*) FROM OLOYALTY.CST_ACCEPT_CAMPAIGN_072026_01; 3.2 Kiểm tra trùng ,  báo lại dự án nếu có SELECT /*+ parallel(16) */ LOYALTY_ID,count(*) FROM OLOYALTY.CST_ACCEPT_CAMPAIGN_072026_01 GROUP BY LOYALTY_ID HAVING count(*) &gt; 1; 3.3 Kiểm tra số dòng dự kiến insert, báo lại dự án nếu số dòng khác với số dòng của bảng   CST_ACCEPT_CAMPAIGN_072026_01 .   Note: Có thể bỏ qua nếu câu lệnh chạy quá lâu SELECT /*+ parallel(16) */ count(*) FROM OLOYALTY.MEMBER m JOIN OLOYALTY.CST_ACCEPT_CAMPAIGN_072026_01 b ON m.PARTNER_CUSTOMER_ID = b.LOYALTY_ID WHERE m.PROGRAM_ID = 426;   3.4 Chạy lệnh insert INSERT INTO OLOYALTY.MEMBER_ATTRIBUTE (PROGRAM_ID, MEMBER_ID, PROGRAM_ATTRIBUTE_ID, VALUE, STATUS,CREATED_BY)
SELECT 426,
    m.id AS MEMBER_ID,
    423 AS PROGRAM_ATTRIBUTE_ID,
    REPLACE(b.CST_ACCEPT_CAMPAIGN, CHR(13) ,'') AS VALUE,
    'A' AS STATUS,
    'VANHANH_202607_01'
FROM OLOYALTY.MEMBER m JOIN OLOYALTY.CST_ACCEPT_CAMPAIGN_072026_01 b ON m.PARTNER_CUSTOMER_ID = b.LOYALTY_ID WHERE m.PROGRAM_ID = 426
; 3.5 Kiểm tra kết quả cuối cùng SELECT /*+ parallel(16) */ count(*) FROM OLOYALTY.MEMBER_ATTRIBUTE ma 
WHERE ma.PROGRAM_ATTRIBUTE_ID = 423 AND ma.CREATED_BY = 'VANHANH_202607_01';   Thanks!</t>
  </si>
  <si>
    <t>[OMC][MTP] Tạo segments cho MKT</t>
  </si>
  <si>
    <t>2026-07-22T17:51:18.377+0700</t>
  </si>
  <si>
    <t>2026-07-22T17:51:47.957+0700</t>
  </si>
  <si>
    <t>Dear anh  @Nguyễn Văn Dũng  , nhờ anh chạy giúp em script sau với ạ. -- DB: 172.31.1.21
-- Schema: mtp_martech_profile
INSERT INTO mtp_anonymous_profile_segmentation_job
    (`id`, `segmentation_id`, `status`, `hash`, `properties`, `external_properties`, `created_at`, `display_name`, `display_order`)
VALUES 
-- f83a1b2542cd4e7b9a8c7fd638e2oskj -- 'OneU'
-- f83a1b2542cd4e7b9a8c7fd638e2oskf -- 'TCB'
-- TCBM --
-- ONEU_INS_NONMTU
(
    'd153b657-2e86-4c68-b02c-8b8cf1511571',
    'f83a1b2542cd4e7b9a8c7fd638e2oskj',
    '',
    '6ce1f4412b3fccc15ab79eac9cd1e96c7bf56e5a11bc070654d69b63484adf74',
    '{}',
    '{"AND":[{"data_type":"STRING","label_code":"customer_tcb_tier","label_value":"INS","operator":"="},{"data_type":"STRING","label_code":"customer_tcb_member_type","label_value":"ETB","operator":"="},{"data_type":"DATE","label_code":"hv_tt_apps_txn","label_value":"","operator":"","operator_expr":"hv_tt_apps_txn &lt; DATE_FORMAT(CURDATE(), ''%Y-%m-01'')"}]}',
    NOW(),
    'ONEU_INS_NONMTU',
    0
),
-- ONEU_NONTIER_NONMTU
(
    'c97b4caa-ee89-41bf-8ae6-4367e1ed122c',
    'f83a1b2542cd4e7b9a8c7fd638e2oskj',
    '',
    '879297dbf42fe1642af3ded3edd8e683e973fa0bb784ffa34679b4f270b4270c',
    '{}',
    '{"AND":[{"data_type":"STRING","label_code":"customer_tcb_tier","label_value":"MEM","operator":"="},{"data_type":"STRING","label_code":"customer_tcb_member_type","label_value":"ETB","operator":"="},{"data_type":"DATE","label_code":"hv_tt_apps_txn","label_value":"","operator":"","operator_expr":"hv_tt_apps_txn &lt; DATE_FORMAT(CURDATE(), ''%Y-%m-01'')"}]}',
    NOW(),
    'ONEU_NONTIER_NONMTU',
    0
);
-- DB: 172.31.1.21
-- Schema: mtp_martech_profile
INSERT INTO mtp_anonymous_profile_segmentation_job
    (`id`, `segmentation_id`, `status`, `hash`, `properties`, `external_properties`, `created_at`, `display_name`, `display_order`)
VALUES 
-- f83a1b2542cd4e7b9a8c7fd638e2oskj -- 'OneU'
-- f83a1b2542cd4e7b9a8c7fd638e2oskf -- 'TCB'
-- TCBM --
-- OMERS
(
    '5de21fa7-606f-4c4e-b74d-c9f92b2e4562',
    'f83a1b2542cd4e7b9a8c7fd638e2oskj',
    '',
    'c14127a44f5656cd15423af8352f46c07aa0550838db3c54b40340bc3f4a97d1',
    '{}',
    '{"AND":[{"data_type":"STRING","label_code":"ttcn_eco_sys","label_value":"OM","operator":"="}]}',
    NOW(),
    'OMERS',
    0
); Best regards Dinh Quang Nguyen</t>
  </si>
  <si>
    <t>[UPAY][QR247] Cấu hình kết nối dịch vụ QR247 cho merchant BXMD</t>
  </si>
  <si>
    <t>2026-07-22T17:45:49.217+0700</t>
  </si>
  <si>
    <t>2026-07-22T17:46:05.980+0700</t>
  </si>
  <si>
    <t>Hi anh Nhờ anh chạy các script để cấu hình merchant Bến Xe Miền Đông cho dịch vụ TPay QR247 ạ. Thông tin database saas_tpay: mysql://pay-tidb.int.onemount.com:4000/saas_tpay Script: INSERT INTO PARTNER (client_id, name, public_key, enable, merchant_code)
VALUES ('uxgqscroHBXojUqCWAvaowsTdheIXRdr', 'BXMD', '-----BEGIN PUBLIC KEY-----
MIIBIjANBgkqhkiG9w0BAQEFAAOCAQ8AMIIBCgKCAQEAu7kpFefWEBx9JTMW5dsp
OU7o/t1ypjsI3iYwY1ixWTUKZQSV78+b7Vfnpu20wtzoTB+q6v+Lhp5L8QnEsNvm
fj/AVO82LEpslfNKW9jGnsrYsJ0pyioDUeF3kbu7Jjo5SBpD5mER9MbpYxPi7fBJ
kZF+yTypgF6h4tyKSLTtfrrP7CB3FZancR+ZCgqAROaVPo01iKhbvhFaw+zGa+NQ
0QTjWsdXmQkqiinhKku3JBtAzvBEHokG6pHgBeRF9mWL22o8zDR9LsilVRbqoESv
VyfsI6v7hCTYSZUu43MkErrsTj+b6itZYp1jAUXyByHlBQRP2i0NNalXk6F5K9HB
CwIDAQAB
-----END PUBLIC KEY-----
', 1, '40144957');</t>
  </si>
  <si>
    <t>Create store procdure</t>
  </si>
  <si>
    <t>2026-07-22T16:47:59.423+0700</t>
  </si>
  <si>
    <t>2026-07-30T10:26:25.684+0700</t>
  </si>
  <si>
    <t>Database: Portal Server: 10.101.20.46 CREATE DEFINER=`minh.do`@`%` PROCEDURE `portal`.`MASTCB_POLICY_DETAIL_GET_DATA_BY_ApartmentCodeV2`(in p_ApartmentCode VARCHAR(255))
BEGIN
	DECLARE v_PolicyDetailCode VARCHAR(255) DEFAULT '';
	DECLARE v_U_Note LONGTEXT DEFAULT '';
	-- 1. Lấy mã GroupNum (PolicyDetailCode gốc) và U_Note từ bảng MERGE
	SELECT GroupNum, U_Note INTO v_PolicyDetailCode, v_U_Note
	FROM TCB_CHITIETCANHOVAY_MERGE
	WHERE I_ItemCode = p_ApartmentCode LIMIT 1;
	-- 2. LOGIC MỚI: Cập nhật lại mã PolicyDetailCode nếu có U_Note
	IF v_U_Note IS NOT NULL AND v_U_Note &lt;&gt; '' THEN
		SET v_PolicyDetailCode = CONCAT(v_PolicyDetailCode, '_', p_ApartmentCode);
	END IF;
	SELECT MAS_ID,
	Id,
	PolicyDetailId,
	PolicyCode,
	PolicyDetailCode,
	PolicyDetailName,
	BaseFundRate,
	MaxLendingRate,
	MaxSupportRate,
	LendingContractRate,
	DebtGracePeriod,
	PolicyDetailStatus,
	RateStatus,
	U_Note1,
	U_Note2,
	DEBTGRACEPERIODDate,
	DEBTGRACEPERIODMonth,
	IFNULL(MAXSUPPORTRATENET,'""') as MAXSUPPORTRATENET,
	IFNULL(MAXSUPPORTRATEVAT,'""') as MAXSUPPORTRATEVAT,
	APIStatus,
	CreateDate
	FROM MASTCB_POLICY_DETAIL
	WHERE APIStatus = 0 and PolicyDetailCode = v_PolicyDetailCode;
END CREATE DEFINER=`minh.do`@`%` PROCEDURE `portal`.`MASTCB_INSERT_MASTERDATA_BY_APRTNAME_V7`(
    IN p_APRTNAME VARCHAR(255), 
    IN p_CustomerCode VARCHAR(255)
)
BEGIN
    DECLARE v_PolicyCode VARCHAR(255);
    DECLARE v_PolicyDetailCode VARCHAR(255);
    DECLARE v_FakePolicyDetailCode VARCHAR(255);
    DECLARE v_RegistrationSignedDate VARCHAR(255);
    DECLARE v_DisbursedMatDate VARCHAR(255);
    DECLARE v_HasGarantee VARCHAR(255);
    DECLARE v_project_code VARCHAR(255);
    DECLARE v_check_count_EXPLOIT_APARTMENT INT;
    -- Biến lưu giá trị U_Note dùng để chia luồng
    DECLARE v_U_Note TEXT;
    -- 1. Lấy thông tin project code
    SELECT b.project_code INTO v_project_code
    FROM listings_listing a, common_project b
    WHERE a.project_id = b.id 
      AND a.item_code = p_APRTNAME;
    -- 2. Insert thông tin tòa nhà
    INSERT INTO MASTCB_BUILDING (
        ProjectCode, OwnerId, OwnerCode, BuildingCode, BuildingName, 
        BuildingInfo, BuildingStatus, APIStatus
    )
    SELECT 
        b.project_code, 
        c.Id,
        c.OwnerCode, 
        CONCAT(b.project_code, '_', a.tower), 
        a.tower, 
        a.tower, 
        1, 
        0
    FROM listings_listing a, common_project b, MASTCB_OWNER c
    WHERE a.project_id = b.id 
      AND a.item_code = p_APRTNAME 
      AND CONCAT(b.project_code, '_', a.tower) NOT IN (
          SELECT c.BuildingCode 
          FROM MASTCB_BUILDING c 
          WHERE c.ProjectCode = b.project_code
      )
      AND a.warehouse_code = c.OwnerCode;
    -- 3. Cập nhật CheckDup trên MASTCB_EXPLOIT_APARTMENT
    UPDATE MASTCB_EXPLOIT_APARTMENT
    SET CheckDup = 1
    WHERE ApartmentCode = p_APRTNAME; 
    -- 4. Lấy số lượng bản ghi của ApartmentCode
    SELECT COUNT(*) INTO v_check_count_EXPLOIT_APARTMENT
    FROM MASTCB_EXPLOIT_APARTMENT
    WHERE ApartmentCode = p_APRTNAME; 
    -- 5. Lấy thông tin Policy (Đọc thêm a.U_Note để phục vụ phân luồng)
    SELECT b.PolicyCode, b.PolicyDetailCode, a.U_Note 
    INTO v_PolicyCode, v_PolicyDetailCode, v_U_Note
    FROM TCB_CHITIETCANHOVAY_MERGE a, TCB_SALEPOLICIES_MERGE b
    WHERE a.I_ItemCode = p_APRTNAME 
      AND a.GroupNum = b.PolicyDetailCode
    LIMIT 1;
    -- 6. Insert thông tin Policy
    INSERT INTO MASTCB_POLICY (
        PolicyCode, PolicyName, ProjectCode, PublishDate, ApplyDate, 
        Status, ValidDateTo, PolicyStatus
    )
    SELECT 
        b.PolicyCode, 
        b.PolicyCode, 
        v_project_code, 
        b.FromDate, 
        b.FromDate, 
        1, 
        b.ToDate, 
        1
    FROM TCB_CHITIETCANHOVAY_MERGE a, TCB_SALEPOLICIES_MERGE b
    WHERE a.I_ItemCode = p_APRTNAME 
      AND a.GroupNum = b.PolicyDetailCode 
      AND b.PolicyCode NOT IN (SELECT c.PolicyCode FROM MASTCB_POLICY c)
    LIMIT 1; 
    -- =========================================================================
    -- 7. INSERT POLICY DETAIL (PHÂN LUỒNG AN TOÀN TẬN GỐC)
    -- =========================================================================
    IF (v_U_Note IS NULL OR v_U_Note = '') THEN
        -- &gt;&gt;&gt; LUỒNG 1: TRƯỜNG HỢP CŨ (GIỮ NGUYÊN 100% CÂU QUERY GỐC V5) &lt;&lt;&lt;
        INSERT INTO MASTCB_POLICY_DETAIL (
            PolicyDetailId, PolicyCode, PolicyDetailCode, PolicyDetailName, 
            BaseFundRate, MaxLendingRate, MaxSupportRate, LendingContractRate, 
            DebtGracePeriod, PolicyDetailStatus, RateStatus, U_Note1, U_Note2, 
            DEBTGRACEPERIODDate, DEBTGRACEPERIODMonth, MAXSUPPORTRATENET, MAXSUPPORTRATEVAT
        )
        SELECT 
            0, 
            b.PolicyCode, 
            b.PolicyDetailCode, 
            b.PolicyDetailName, 
            b.BaseFundRate, 
            b.MaxLendingRate, 
            b.MaxLendingRate, 
            0, 
            0, 
            1, 
            1, 
            REPLACE(REPLACE(U_Note1, '\r', ''), '\n', ''), 
            REPLACE(REPLACE(U_Note2, '\r', ''), '\n', ''), 
            b.DEBTGRACEPERIODDate, 
            b.DEBTGRACEPERIODMonth, 
            FN_GET_POLICY_DETAIL_BANK_LOAN('MAXSUPPORTRATENET', v_PolicyDetailCode), 
            FN_GET_POLICY_DETAIL_BANK_LOAN('MAXSUPPORTRATEVAT', v_PolicyDetailCode)
        FROM TCB_CHITIETCANHOVAY_MERGE a, TCB_SALEPOLICIES_MERGE b
        WHERE a.I_ItemCode = p_APRTNAME 
          AND a.GroupNum = b.PolicyDetailCode
        LIMIT 1;
    ELSE
        -- &gt;&gt;&gt; LUỒNG 2: TRƯỜNG HỢP MỚI (CHỈ CHẠY KHI U_NOTE CÓ DATA) &lt;&lt;&lt;
        -- Nối chuỗi tên căn hộ vào mã chính sách
        SET v_FakePolicyDetailCode = CONCAT(v_PolicyDetailCode, '_', p_APRTNAME);
        INSERT INTO MASTCB_POLICY_DETAIL (
            PolicyDetailId, PolicyCode, PolicyDetailCode, PolicyDetailName, 
            BaseFundRate, MaxLendingRate, MaxSupportRate, LendingContractRate, 
            DebtGracePeriod, PolicyDetailStatus, RateStatus, U_Note1, U_Note2, 
            DEBTGRACEPERIODDate, DEBTGRACEPERIODMonth, MAXSUPPORTRATENET, MAXSUPPORTRATEVAT
        )
        SELECT 
            0, 
            b.PolicyCode, 
            v_FakePolicyDetailCode, 
            b.PolicyDetailName, 
            b.BaseFundRate, 
            b.MaxLendingRate, 
            b.MaxLendingRate, 
            0, 
            0, 
            1, 
            1, 
            REPLACE(REPLACE(a.U_Note, '\r', ''), '\n', ''), 
            REPLACE(REPLACE(b.U_Note2, '\r', ''), '\n', ''), 
            b.DEBTGRACEPERIODDate, 
            b.DEBTGRACEPERIODMonth, 
            FN_GET_POLICY_DETAIL_BANK_LOAN('MAXSUPPORTRATENET', v_PolicyDetailCode), 
            FN_GET_POLICY_DETAIL_BANK_LOAN('MAXSUPPORTRATEVAT', v_PolicyDetailCode)
        FROM TCB_CHITIETCANHOVAY_MERGE a, TCB_SALEPOLICIES_MERGE b
        WHERE a.I_ItemCode = p_APRTNAME 
          AND a.GroupNum = b.PolicyDetailCode 
          AND NOT EXISTS (
              SELECT 1 
              FROM MASTCB_POLICY_DETAIL c 
              WHERE c.PolicyDetailCode = v_FakePolicyDetailCode
          )
        LIMIT 1;
    END IF;
    -- =========================================================================
    -- 8. Insert thông tin Policy Detail Rate
    INSERT INTO MASTCB_POLICY_DETAIL_RATE (
        PolicyDetailRateId, PolicyCode, PolicyDetailCode, PolicyDetailRateCode, 
        Rate, NumOfMonth, MatDateSupport, NetPercent, VatPercent, MaintainPercent
    )
    SELECT 
        0, 
        b.PolicyCode, 
        b.PolicyDetailCode, 
        d.PolicyDetailRateCode, 
        d.Rate, 
        IFNULL(d.MatMonthSupport, 0), 
        d.MatDateSupport, 
        d.NetPercent, 
        d.VatPercent, 
        0
    FROM TCB_CHITIETCANHOVAY_MERGE a, TCB_SALEPOLICIES_MERGE b, TCB_SALEPOLICIES_DETAIL_MERGE d
    WHERE a.I_ItemCode = p_APRTNAME 
      AND a.GroupNum = b.PolicyDetailCode  
      AND a.GroupNum = d.PolicyDetailCode
      AND d.PolicyDetailRateCode NOT IN (SELECT c.PolicyDetailRateCode FROM MASTCB_POLICY_DETAIL_RATE c)
      AND d.MatDateSupport IS NOT NULL; 
    -- 9. Insert thông tin Exploit Apartment
    INSERT INTO MASTCB_EXPLOIT_APARTMENT (
        ApartmentCode, ApartmentName, Agent, PolicyCode, ProjectCode, Floor,
        BuildingCode, CustomerCode, PurchasedStatus, BankRegister, PropertyType,
        ApartmentStatus, APIStatus, CheckDup
    )
    SELECT  
        p_APRTNAME, 
        a.item_name, 
        0, 
        v_PolicyCode,
        b.project_code, 
        a.floor,
        CONCAT(b.project_code, '_', a.tower), 
        p_CustomerCode, 
        0, 
        'Y', 
        'Apartment', 
        1, 
        0, 
        0
    FROM listings_listing a, common_project b
    WHERE a.project_id = b.id 
      AND a.item_code = p_APRTNAME;
    -- 10. Lấy thông tin Sale Order
    SELECT u_signature_date, '', u_ctbl INTO v_RegistrationSignedDate, v_DisbursedMatDate, v_HasGarantee
    FROM salesorder_saleorder
    WHERE i_itemcode = p_APRTNAME
    ORDER BY id DESC
    LIMIT 1;
    -- 11. Cập nhật CheckDup trên MASTCB_APARTMENT
    UPDATE MASTCB_APARTMENT
    SET CheckDup = 1
    WHERE ApartmentCode = p_APRTNAME; 
    -- 12. Insert thông tin Apartment
    INSERT INTO MASTCB_APARTMENT (
        ApartmentCode, ProjectCode, PolicyCode, BuildingCode, Address, Floor,
        CustomerCode, DTThongThuy, DTDat, TransferStatus, VonTuCo, BgdkDate,
        ApartmentStatus, PropertyType, PolicyDetailCode, RegistrationSignedDate,
        DisbursedMatDate, HasGarantee, APIStatus
    )
    SELECT  
        p_APRTNAME, 
        b.project_code, 
        v_PolicyCode, 
        CONCAT(b.project_code, '_', a.tower), 
        '', 
        a.floor, 
        p_CustomerCode, 
        a.acreage, 
        a.area, 
        'N', 
        0, 
        '', 
        1, 
        'Apartment', 
        v_PolicyDetailCode,
        v_RegistrationSignedDate, 
        v_DisbursedMatDate, 
        v_HasGarantee, 
        -1
    FROM listings_listing a, common_project b
    WHERE a.project_id = b.id 
      AND a.item_code = p_APRTNAME;
END</t>
  </si>
  <si>
    <t>[Merchantdise][PROD] Seeding Bán Merchantdise ATVNCG 2026</t>
  </si>
  <si>
    <t>2026-07-22T15:58:41.172+0700</t>
  </si>
  <si>
    <t>2026-07-22T15:58:49.301+0700</t>
  </si>
  <si>
    <t>Nhờ  @Đào Công Nghĩa  chạy giúp thông tin dưới đây: project: vincart-prod instance: main ip: 172.31.1.41 DB: vincart_mm_product Script: UPDATE variants
set stock_type = 'INIT'
WHERE id in (1086450,1086451,1086452,1086453,1086454);
UPDATE inventories
set channel_code = 'INIT'
WHERE variant_id in (1086450,1086451,1086452,1086453,1086454);
UPDATE variant_prices
set channel_code = 'ONEU'
WHERE variant_id in (1086450,1086451,1086452,1086453,1086454)</t>
  </si>
  <si>
    <t>[OMC][TICKETING] Thêm cột cho bảng events phục vụ golive</t>
  </si>
  <si>
    <t>2026-07-22T15:04:15.318+0700</t>
  </si>
  <si>
    <t>2026-07-23T09:07:53.286+0700</t>
  </si>
  <si>
    <t>Dear team DBA, Nhờ mọi người hỗ trợ chạy câu lệnh sau giúp em để phục vụ golive ạ release plan:    IP: 172.31.1.3 Db name: vinticket ALTER TABLE `events`
	ADD COLUMN `seller_information` TEXT DEFAULT NULL;</t>
  </si>
  <si>
    <t>[OMC][GAMI][Prod] Hỗ trợ xuất data cho campaign World cup 2026 trả thưởng chung cuộc</t>
  </si>
  <si>
    <t>2026-07-22T14:17:37.023+0700</t>
  </si>
  <si>
    <t>2026-07-22T14:46:54.307+0700</t>
  </si>
  <si>
    <t>Hỗ trợ xuất data cho campaign World cup 2026 trả thưởng chung cuộc Thưởng theo lịch sử phát sinh cộng/trừ xu theo tuần  created_at&gt;='2026-06-10 00:00:00' AND created_at&lt;'2026-07-21 00:00:00' Host: 172.31.1.14 DB: gami_collection_prod Query: SELECT user_id, SUM(amount) AS total FROM `point_transactions` WHERE campaign_id=830 AND created_at&gt;='2026-06-10 00:00:00' AND created_at&lt;'2026-07-21 00:00:00' GROUP by user_id ORDER BY total DESC;  </t>
  </si>
  <si>
    <t>[OMC][Loyalty] [PROD] Thêm index cho DB Discount Management</t>
  </si>
  <si>
    <t>2026-07-22T14:17:23.669+0700</t>
  </si>
  <si>
    <t>2026-07-23T09:07:39.132+0700</t>
  </si>
  <si>
    <t>Nhờ team hỗ trợ thêm giúp index cho DB Voucher Distribution trên PROD với các thông tin sau Project : vinid-loyalty-prod Instance Name :discount Instance IP : 172.31.4.99 DB : discount_service DDL : ALTER TABLE transactions 
ADD INDEX `idx_transactions_created_at` (`created_at`),
ADD INDEX `idx_transactions_updated_at` (`updated_at`), 
ALGORITHM=INPLACE, LOCK=NONE; Cảm ơn</t>
  </si>
  <si>
    <t>Hỗ trợ migrate Database DocumentDB MPM Nonprod</t>
  </si>
  <si>
    <t>2026-07-22T12:04:27.240+0700</t>
  </si>
  <si>
    <t>2026-07-29T09:50:33.498+0700</t>
  </si>
  <si>
    <t>Hi anh  @Đoàn Việt Hưng  nhờ anh hỗ trợ migrate database của dự án MPM môi trường Nonprod theo thông tin sau: Source: Aws account:  Sandbox - 051826720730 Instance:  mh-documentdb-dev.cr62264i6qsz.ap-southeast-1.docdb.amazonaws.com:27017 Dest: Aws account:  MPM-Nonprod - 041648228709 Instance:  mag-mpm-nonprod-docdb.cluster-c1m4a0sge4ub.ap-southeast-1.docdb.amazonaws.com:27017 Credentials:  mag-mpm-nonprod-docdb-secrets Bastion:  i-01c4ae55aeeaaad9b Em cảm ơn anh đã hỗ trợ.</t>
  </si>
  <si>
    <t>[OMD][Kafka][Prod] Tạo kafka topic cho bảng nguồn MHPos Catalog phục vụ dự án MerchantHub</t>
  </si>
  <si>
    <t>2026-07-22T11:40:15.431+0700</t>
  </si>
  <si>
    <t>2026-07-22T12:07:04.672+0700</t>
  </si>
  <si>
    <t>Dear team DBA, Hiện tại team đang có nhu cầu kéo bổ sung dữ liệu các bảng sau phục vụ mục đích xây dựng báo cáo và sourcing sang TCB, nhờ anh Linh tạo kafka topic ở môi trường PROD giúp team để kéo data về DP. PROD: IP host: 172.31.4.29 Schema: mhpos_catalog Table list: warehouse Thanks team, Cong</t>
  </si>
  <si>
    <t>2026-07-22T11:32:14.519+0700</t>
  </si>
  <si>
    <t>2026-07-22T11:37:20.871+0700</t>
  </si>
  <si>
    <t>IP (Host):   ces-production.crcykac8kxtw.ap-southeast-1.rds.amazonaws.com Port:   3306 DB Name:   ces_mh_mpm Command:   update ces_mh_mpm_stg.mtr_requests
set current_approval_step = 'Tư vấn trưởng Quản lý dự án &amp; Giám sát hoàn thiện'
where code in (
               'DA3071_MAR_300626_291',
               'DA3070_MAR_290626_290',
               'DA3073_MAR_290626_287',
               'DA3073_MAR_290626_286',
               'DA3073_MAR_290626_285'
    );</t>
  </si>
  <si>
    <t>[Merchant-TCB] Re-activate 40 store/terminal GOLDENGATE (SSPDP) -&gt; WAITING_FOR_ACTIVATION (PROD)</t>
  </si>
  <si>
    <t>2026-07-21T17:55:18.919+0700</t>
  </si>
  <si>
    <t>2026-07-21T17:55:28.268+0700</t>
  </si>
  <si>
    <t>Dear team, nhờ team chạy giúp câu lệnh RE-ACTIVATE (set status='WAITING_FOR_ACTIVATION') cho 40 store + terminal (+service) của merchant GOLDENGATE ạ. Cùng dạng ticket   team đã chạy trước đây. Nhờ snapshot trước để rollback. Bối cảnh: TCB báo thêm 1 case GOLDENGATE, bên PAY set các store/terminal này từ ACTIVE_FAIL -&gt; WAITING_ACTIVE. Nhờ team update đầu MP tương ứng. Match theo tcb_store_code (= store_code bên PAY). store/terminal status chỉ ở MySQL nên KHÔNG cần update ES. Thông tin database https://console.cloud.google.com/sql/instances/merchant-tcb/overview?project=vinid-merchant-prod DB_MYSQL_HOST=172.31.4.108 DB_MYSQL_DATABASE=merchant_service_tcb B0. Preview READ-ONLY (nhờ team xác nhận store=40 + xem status hiện tại TRƯỚC khi B1/B2) SELECT status, COUNT(*) FROM tpay_store WHERE tcb_merchant_code='GOLDENGATE' AND deleted_at IS NULL AND tcb_store_code IN ('SSPDP', 'SSTHELOOPXT', 'SSNCT', 'SSLOTTEDT', 'SSTVV', 'CJLOTTEVCC', 'SSPNT', 'CJVCTDH', 'YTLOTTEDT', 'SGLOTTEDT', 'SGNGVANLOC', 'YTBIGCCG', 'SGROYALNT', 'LCDAOTAN', 'LCLOTTEVCC', 'YTLOTTEVCC', 'CMVCTHAIBINH', 'LCVINHOMEHP', 'YTVCOCEANPARK', 'LCTHELOOPIPH', 'SGTIMNESCITY', 'DNGTRANHUYLIEU', 'LCLHPHP', 'DNHALONG', 'MTTHELOOPXT', 'DNLEDUCTHO', 'VVTTTONG', 'YTLTTBN', 'VVTHNCCG', 'VVNGUYENTRAI', 'SGNDDBN', 'CTCAFEBMK110', 'DNTDTVP', 'CTBACHMAIA112', 'CTTOHOADN', 'IPTHAIPHIEN', 'CMNGHUYTUONG', 'IPNOIBAI', 'IPLTTO', 'CMLOTTEVCC') GROUP BY status;
SELECT ss.status, COUNT(*) FROM tpay_store s JOIN tpay_store_service ss ON ss.store_id=s.id AND ss.deleted_at IS NULL
 WHERE s.tcb_merchant_code='GOLDENGATE' AND s.deleted_at IS NULL AND s.tcb_store_code IN ('SSPDP', 'SSTHELOOPXT', 'SSNCT', 'SSLOTTEDT', 'SSTVV', 'CJLOTTEVCC', 'SSPNT', 'CJVCTDH', 'YTLOTTEDT', 'SGLOTTEDT', 'SGNGVANLOC', 'YTBIGCCG', 'SGROYALNT', 'LCDAOTAN', 'LCLOTTEVCC', 'YTLOTTEVCC', 'CMVCTHAIBINH', 'LCVINHOMEHP', 'YTVCOCEANPARK', 'LCTHELOOPIPH', 'SGTIMNESCITY', 'DNGTRANHUYLIEU', 'LCLHPHP', 'DNHALONG', 'MTTHELOOPXT', 'DNLEDUCTHO', 'VVTTTONG', 'YTLTTBN', 'VVTHNCCG', 'VVNGUYENTRAI', 'SGNDDBN', 'CTCAFEBMK110', 'DNTDTVP', 'CTBACHMAIA112', 'CTTOHOADN', 'IPTHAIPHIEN', 'CMNGHUYTUONG', 'IPNOIBAI', 'IPLTTO', 'CMLOTTEVCC') GROUP BY ss.status;
SELECT t.status, COUNT(*) FROM tpay_store s JOIN tpay_terminal t ON t.store_code=s.code AND t.deleted_at IS NULL
 WHERE s.tcb_merchant_code='GOLDENGATE' AND s.deleted_at IS NULL AND s.tcb_store_code IN ('SSPDP', 'SSTHELOOPXT', 'SSNCT', 'SSLOTTEDT', 'SSTVV', 'CJLOTTEVCC', 'SSPNT', 'CJVCTDH', 'YTLOTTEDT', 'SGLOTTEDT', 'SGNGVANLOC', 'YTBIGCCG', 'SGROYALNT', 'LCDAOTAN', 'LCLOTTEVCC', 'YTLOTTEVCC', 'CMVCTHAIBINH', 'LCVINHOMEHP', 'YTVCOCEANPARK', 'LCTHELOOPIPH', 'SGTIMNESCITY', 'DNGTRANHUYLIEU', 'LCLHPHP', 'DNHALONG', 'MTTHELOOPXT', 'DNLEDUCTHO', 'VVTTTONG', 'YTLTTBN', 'VVTHNCCG', 'VVNGUYENTRAI', 'SGNDDBN', 'CTCAFEBMK110', 'DNTDTVP', 'CTBACHMAIA112', 'CTTOHOADN', 'IPTHAIPHIEN', 'CMNGHUYTUONG', 'IPNOIBAI', 'IPLTTO', 'CMLOTTEVCC') GROUP BY t.status;
SELECT ts.status, COUNT(*) FROM tpay_store s JOIN tpay_terminal t ON t.store_code=s.code AND t.deleted_at IS NULL
 JOIN tpay_terminal_service ts ON ts.terminal_code=t.code AND ts.deleted_at IS NULL
 WHERE s.tcb_merchant_code='GOLDENGATE' AND s.deleted_at IS NULL AND s.tcb_store_code IN ('SSPDP', 'SSTHELOOPXT', 'SSNCT', 'SSLOTTEDT', 'SSTVV', 'CJLOTTEVCC', 'SSPNT', 'CJVCTDH', 'YTLOTTEDT', 'SGLOTTEDT', 'SGNGVANLOC', 'YTBIGCCG', 'SGROYALNT', 'LCDAOTAN', 'LCLOTTEVCC', 'YTLOTTEVCC', 'CMVCTHAIBINH', 'LCVINHOMEHP', 'YTVCOCEANPARK', 'LCTHELOOPIPH', 'SGTIMNESCITY', 'DNGTRANHUYLIEU', 'LCLHPHP', 'DNHALONG', 'MTTHELOOPXT', 'DNLEDUCTHO', 'VVTTTONG', 'YTLTTBN', 'VVTHNCCG', 'VVNGUYENTRAI', 'SGNDDBN', 'CTCAFEBMK110', 'DNTDTVP', 'CTBACHMAIA112', 'CTTOHOADN', 'IPTHAIPHIEN', 'CMNGHUYTUONG', 'IPNOIBAI', 'IPLTTO', 'CMLOTTEVCC') GROUP BY ts.status; B1. Snapshot (CDC-safe: CREATE TABLE LIKE + INSERT SELECT, KHÔNG dùng CREATE AS SELECT) CREATE TABLE bak_gg_react_store_20260721            LIKE tpay_store;
INSERT INTO  bak_gg_react_store_20260721            SELECT * FROM tpay_store WHERE tcb_merchant_code='GOLDENGATE' AND deleted_at IS NULL AND tcb_store_code IN ('SSPDP', 'SSTHELOOPXT', 'SSNCT', 'SSLOTTEDT', 'SSTVV', 'CJLOTTEVCC', 'SSPNT', 'CJVCTDH', 'YTLOTTEDT', 'SGLOTTEDT', 'SGNGVANLOC', 'YTBIGCCG', 'SGROYALNT', 'LCDAOTAN', 'LCLOTTEVCC', 'YTLOTTEVCC', 'CMVCTHAIBINH', 'LCVINHOMEHP', 'YTVCOCEANPARK', 'LCTHELOOPIPH', 'SGTIMNESCITY', 'DNGTRANHUYLIEU', 'LCLHPHP', 'DNHALONG', 'MTTHELOOPXT', 'DNLEDUCTHO', 'VVTTTONG', 'YTLTTBN', 'VVTHNCCG', 'VVNGUYENTRAI', 'SGNDDBN', 'CTCAFEBMK110', 'DNTDTVP', 'CTBACHMAIA112', 'CTTOHOADN', 'IPTHAIPHIEN', 'CMNGHUYTUONG', 'IPNOIBAI', 'IPLTTO', 'CMLOTTEVCC');
CREATE TABLE bak_gg_react_store_service_20260721    LIKE tpay_store_service;
INSERT INTO  bak_gg_react_store_service_20260721    SELECT ss.* FROM tpay_store_service ss JOIN tpay_store s ON ss.store_id=s.id
  WHERE s.tcb_merchant_code='GOLDENGATE' AND s.deleted_at IS NULL AND ss.deleted_at IS NULL AND s.tcb_store_code IN ('SSPDP', 'SSTHELOOPXT', 'SSNCT', 'SSLOTTEDT', 'SSTVV', 'CJLOTTEVCC', 'SSPNT', 'CJVCTDH', 'YTLOTTEDT', 'SGLOTTEDT', 'SGNGVANLOC', 'YTBIGCCG', 'SGROYALNT', 'LCDAOTAN', 'LCLOTTEVCC', 'YTLOTTEVCC', 'CMVCTHAIBINH', 'LCVINHOMEHP', 'YTVCOCEANPARK', 'LCTHELOOPIPH', 'SGTIMNESCITY', 'DNGTRANHUYLIEU', 'LCLHPHP', 'DNHALONG', 'MTTHELOOPXT', 'DNLEDUCTHO', 'VVTTTONG', 'YTLTTBN', 'VVTHNCCG', 'VVNGUYENTRAI', 'SGNDDBN', 'CTCAFEBMK110', 'DNTDTVP', 'CTBACHMAIA112', 'CTTOHOADN', 'IPTHAIPHIEN', 'CMNGHUYTUONG', 'IPNOIBAI', 'IPLTTO', 'CMLOTTEVCC');
CREATE TABLE bak_gg_react_terminal_20260721         LIKE tpay_terminal;
INSERT INTO  bak_gg_react_terminal_20260721         SELECT t.* FROM tpay_terminal t JOIN tpay_store s ON t.store_code=s.code
  WHERE s.tcb_merchant_code='GOLDENGATE' AND s.deleted_at IS NULL AND t.deleted_at IS NULL AND s.tcb_store_code IN ('SSPDP', 'SSTHELOOPXT', 'SSNCT', 'SSLOTTEDT', 'SSTVV', 'CJLOTTEVCC', 'SSPNT', 'CJVCTDH', 'YTLOTTEDT', 'SGLOTTEDT', 'SGNGVANLOC', 'YTBIGCCG', 'SGROYALNT', 'LCDAOTAN', 'LCLOTTEVCC', 'YTLOTTEVCC', 'CMVCTHAIBINH', 'LCVINHOMEHP', 'YTVCOCEANPARK', 'LCTHELOOPIPH', 'SGTIMNESCITY', 'DNGTRANHUYLIEU', 'LCLHPHP', 'DNHALONG', 'MTTHELOOPXT', 'DNLEDUCTHO', 'VVTTTONG', 'YTLTTBN', 'VVTHNCCG', 'VVNGUYENTRAI', 'SGNDDBN', 'CTCAFEBMK110', 'DNTDTVP', 'CTBACHMAIA112', 'CTTOHOADN', 'IPTHAIPHIEN', 'CMNGHUYTUONG', 'IPNOIBAI', 'IPLTTO', 'CMLOTTEVCC');
CREATE TABLE bak_gg_react_terminal_service_20260721 LIKE tpay_terminal_service;
INSERT INTO  bak_gg_react_terminal_service_20260721 SELECT ts.* FROM tpay_terminal_service ts JOIN tpay_terminal t ON ts.terminal_code=t.code JOIN tpay_store s ON t.store_code=s.code
  WHERE s.tcb_merchant_code='GOLDENGATE' AND s.deleted_at IS NULL AND t.deleted_at IS NULL AND ts.deleted_at IS NULL AND s.tcb_store_code IN ('SSPDP', 'SSTHELOOPXT', 'SSNCT', 'SSLOTTEDT', 'SSTVV', 'CJLOTTEVCC', 'SSPNT', 'CJVCTDH', 'YTLOTTEDT', 'SGLOTTEDT', 'SGNGVANLOC', 'YTBIGCCG', 'SGROYALNT', 'LCDAOTAN', 'LCLOTTEVCC', 'YTLOTTEVCC', 'CMVCTHAIBINH', 'LCVINHOMEHP', 'YTVCOCEANPARK', 'LCTHELOOPIPH', 'SGTIMNESCITY', 'DNGTRANHUYLIEU', 'LCLHPHP', 'DNHALONG', 'MTTHELOOPXT', 'DNLEDUCTHO', 'VVTTTONG', 'YTLTTBN', 'VVTHNCCG', 'VVNGUYENTRAI', 'SGNDDBN', 'CTCAFEBMK110', 'DNTDTVP', 'CTBACHMAIA112', 'CTTOHOADN', 'IPTHAIPHIEN', 'CMNGHUYTUONG', 'IPNOIBAI', 'IPLTTO', 'CMLOTTEVCC'); B2. UPDATE trong 1 transaction -&gt; WAITING_FOR_ACTIVATION (guard status&lt;&gt;'ACTIVE', giống  ) START TRANSACTION;
UPDATE tpay_store s SET s.status='WAITING_FOR_ACTIVATION', s.updated_at=NOW(), s.updated_by='SYSTEM'
 WHERE s.deleted_at IS NULL AND s.status&lt;&gt;'ACTIVE' AND s.tcb_merchant_code='GOLDENGATE' AND s.tcb_store_code IN ('SSPDP', 'SSTHELOOPXT', 'SSNCT', 'SSLOTTEDT', 'SSTVV', 'CJLOTTEVCC', 'SSPNT', 'CJVCTDH', 'YTLOTTEDT', 'SGLOTTEDT', 'SGNGVANLOC', 'YTBIGCCG', 'SGROYALNT', 'LCDAOTAN', 'LCLOTTEVCC', 'YTLOTTEVCC', 'CMVCTHAIBINH', 'LCVINHOMEHP', 'YTVCOCEANPARK', 'LCTHELOOPIPH', 'SGTIMNESCITY', 'DNGTRANHUYLIEU', 'LCLHPHP', 'DNHALONG', 'MTTHELOOPXT', 'DNLEDUCTHO', 'VVTTTONG', 'YTLTTBN', 'VVTHNCCG', 'VVNGUYENTRAI', 'SGNDDBN', 'CTCAFEBMK110', 'DNTDTVP', 'CTBACHMAIA112', 'CTTOHOADN', 'IPTHAIPHIEN', 'CMNGHUYTUONG', 'IPNOIBAI', 'IPLTTO', 'CMLOTTEVCC');
UPDATE tpay_store s JOIN tpay_store_service ss ON ss.store_id=s.id AND ss.deleted_at IS NULL AND ss.status&lt;&gt;'ACTIVE'
 SET ss.status='WAITING_FOR_ACTIVATION', ss.updated_at=NOW()
 WHERE s.deleted_at IS NULL AND s.tcb_merchant_code='GOLDENGATE' AND s.tcb_store_code IN ('SSPDP', 'SSTHELOOPXT', 'SSNCT', 'SSLOTTEDT', 'SSTVV', 'CJLOTTEVCC', 'SSPNT', 'CJVCTDH', 'YTLOTTEDT', 'SGLOTTEDT', 'SGNGVANLOC', 'YTBIGCCG', 'SGROYALNT', 'LCDAOTAN', 'LCLOTTEVCC', 'YTLOTTEVCC', 'CMVCTHAIBINH', 'LCVINHOMEHP', 'YTVCOCEANPARK', 'LCTHELOOPIPH', 'SGTIMNESCITY', 'DNGTRANHUYLIEU', 'LCLHPHP', 'DNHALONG', 'MTTHELOOPXT', 'DNLEDUCTHO', 'VVTTTONG', 'YTLTTBN', 'VVTHNCCG', 'VVNGUYENTRAI', 'SGNDDBN', 'CTCAFEBMK110', 'DNTDTVP', 'CTBACHMAIA112', 'CTTOHOADN', 'IPTHAIPHIEN', 'CMNGHUYTUONG', 'IPNOIBAI', 'IPLTTO', 'CMLOTTEVCC');
UPDATE tpay_store s JOIN tpay_terminal t ON t.store_code=s.code AND t.deleted_at IS NULL AND t.status&lt;&gt;'ACTIVE'
 SET t.status='WAITING_FOR_ACTIVATION', t.updated_at=NOW(), t.updated_by='SYSTEM'
 WHERE s.deleted_at IS NULL AND s.tcb_merchant_code='GOLDENGATE' AND s.tcb_store_code IN ('SSPDP', 'SSTHELOOPXT', 'SSNCT', 'SSLOTTEDT', 'SSTVV', 'CJLOTTEVCC', 'SSPNT', 'CJVCTDH', 'YTLOTTEDT', 'SGLOTTEDT', 'SGNGVANLOC', 'YTBIGCCG', 'SGROYALNT', 'LCDAOTAN', 'LCLOTTEVCC', 'YTLOTTEVCC', 'CMVCTHAIBINH', 'LCVINHOMEHP', 'YTVCOCEANPARK', 'LCTHELOOPIPH', 'SGTIMNESCITY', 'DNGTRANHUYLIEU', 'LCLHPHP', 'DNHALONG', 'MTTHELOOPXT', 'DNLEDUCTHO', 'VVTTTONG', 'YTLTTBN', 'VVTHNCCG', 'VVNGUYENTRAI', 'SGNDDBN', 'CTCAFEBMK110', 'DNTDTVP', 'CTBACHMAIA112', 'CTTOHOADN', 'IPTHAIPHIEN', 'CMNGHUYTUONG', 'IPNOIBAI', 'IPLTTO', 'CMLOTTEVCC');
UPDATE tpay_store s JOIN tpay_terminal t ON t.store_code=s.code AND t.deleted_at IS NULL
  JOIN tpay_terminal_service ts ON ts.terminal_code=t.code AND ts.deleted_at IS NULL AND ts.status&lt;&gt;'ACTIVE'
 SET ts.status='WAITING_FOR_ACTIVATION', ts.updated_at=NOW()
 WHERE s.deleted_at IS NULL AND s.tcb_merchant_code='GOLDENGATE' AND s.tcb_store_code IN ('SSPDP', 'SSTHELOOPXT', 'SSNCT', 'SSLOTTEDT', 'SSTVV', 'CJLOTTEVCC', 'SSPNT', 'CJVCTDH', 'YTLOTTEDT', 'SGLOTTEDT', 'SGNGVANLOC', 'YTBIGCCG', 'SGROYALNT', 'LCDAOTAN', 'LCLOTTEVCC', 'YTLOTTEVCC', 'CMVCTHAIBINH', 'LCVINHOMEHP', 'YTVCOCEANPARK', 'LCTHELOOPIPH', 'SGTIMNESCITY', 'DNGTRANHUYLIEU', 'LCLHPHP', 'DNHALONG', 'MTTHELOOPXT', 'DNLEDUCTHO', 'VVTTTONG', 'YTLTTBN', 'VVTHNCCG', 'VVNGUYENTRAI', 'SGNDDBN', 'CTCAFEBMK110', 'DNTDTVP', 'CTBACHMAIA112', 'CTTOHOADN', 'IPTHAIPHIEN', 'CMNGHUYTUONG', 'IPNOIBAI', 'IPLTTO', 'CMLOTTEVCC');
COMMIT; B3. Verify sau update (kỳ vọng dòng non-ACTIVE đã thành WAITING_FOR_ACTIVATION) SELECT 'store' AS tbl, status, COUNT(*) AS n FROM tpay_store WHERE tcb_merchant_code='GOLDENGATE' AND deleted_at IS NULL AND tcb_store_code IN ('SSPDP', 'SSTHELOOPXT', 'SSNCT', 'SSLOTTEDT', 'SSTVV', 'CJLOTTEVCC', 'SSPNT', 'CJVCTDH', 'YTLOTTEDT', 'SGLOTTEDT', 'SGNGVANLOC', 'YTBIGCCG', 'SGROYALNT', 'LCDAOTAN', 'LCLOTTEVCC', 'YTLOTTEVCC', 'CMVCTHAIBINH', 'LCVINHOMEHP', 'YTVCOCEANPARK', 'LCTHELOOPIPH', 'SGTIMNESCITY', 'DNGTRANHUYLIEU', 'LCLHPHP', 'DNHALONG', 'MTTHELOOPXT', 'DNLEDUCTHO', 'VVTTTONG', 'YTLTTBN', 'VVTHNCCG', 'VVNGUYENTRAI', 'SGNDDBN', 'CTCAFEBMK110', 'DNTDTVP', 'CTBACHMAIA112', 'CTTOHOADN', 'IPTHAIPHIEN', 'CMNGHUYTUONG', 'IPNOIBAI', 'IPLTTO', 'CMLOTTEVCC') GROUP BY status
UNION ALL
SELECT 'terminal', t.status, COUNT(*) FROM tpay_store s JOIN tpay_terminal t ON t.store_code=s.code AND t.deleted_at IS NULL WHERE s.tcb_merchant_code='GOLDENGATE' AND s.deleted_at IS NULL AND s.tcb_store_code IN ('SSPDP', 'SSTHELOOPXT', 'SSNCT', 'SSLOTTEDT', 'SSTVV', 'CJLOTTEVCC', 'SSPNT', 'CJVCTDH', 'YTLOTTEDT', 'SGLOTTEDT', 'SGNGVANLOC', 'YTBIGCCG', 'SGROYALNT', 'LCDAOTAN', 'LCLOTTEVCC', 'YTLOTTEVCC', 'CMVCTHAIBINH', 'LCVINHOMEHP', 'YTVCOCEANPARK', 'LCTHELOOPIPH', 'SGTIMNESCITY', 'DNGTRANHUYLIEU', 'LCLHPHP', 'DNHALONG', 'MTTHELOOPXT', 'DNLEDUCTHO', 'VVTTTONG', 'YTLTTBN', 'VVTHNCCG', 'VVNGUYENTRAI', 'SGNDDBN', 'CTCAFEBMK110', 'DNTDTVP', 'CTBACHMAIA112', 'CTTOHOADN', 'IPTHAIPHIEN', 'CMNGHUYTUONG', 'IPNOIBAI', 'IPLTTO', 'CMLOTTEVCC') GROUP BY t.status; Rollback (chỉ khi cần) UPDATE tpay_store s             JOIN bak_gg_react_store_20260721 b            ON b.id=s.id  SET s.status=b.status,  s.updated_at=NOW(), s.updated_by='SYSTEM';
UPDATE tpay_store_service ss    JOIN bak_gg_react_store_service_20260721 b    ON b.id=ss.id SET ss.status=b.status, ss.updated_at=NOW();
UPDATE tpay_terminal t          JOIN bak_gg_react_terminal_20260721 b         ON b.id=t.id  SET t.status=b.status,  t.updated_at=NOW(), t.updated_by='SYSTEM';
UPDATE tpay_terminal_service ts JOIN bak_gg_react_terminal_service_20260721 b ON b.id=ts.id SET ts.status=b.status, ts.updated_at=NOW(); Nhờ team confirm số dòng ở B0 (store=40) và affected-rows ở B2 trước khi COMMIT. Cảm ơn team ạ.</t>
  </si>
  <si>
    <t>[UPAY] [GL] Release sprint 20/07/2026</t>
  </si>
  <si>
    <t>2026-07-21T17:11:16.126+0700</t>
  </si>
  <si>
    <t>2026-07-21T17:11:24.526+0700</t>
  </si>
  <si>
    <t xml:space="preserve">Description Hi các anh, Vào lúc 23h ngày 20/07/2026 team em có release sprint GL, nhờ các anh chạy giúp em phần DB vào lúc  22h30 ngày 20/07/2026 . UPDATE gl_mapping_detail_report_config t SET t.`condition` = 'type contains \'product\' || type contains \'pool\' || type contains \'campaign_earning\'' WHERE t.id = 15
UPDATE gl_mapping_detail_report_config t SET t.variables = 'prgm_type,txn_source,txn_code,transaction_type' WHERE t.id = 1
UPDATE gl_mapping_detail_report_config t SET t.`condition` = 'type contains \'pool\' || type contains \'campaign_earning\'' WHERE t.id = 3
UPDATE gl_mapping_detail_report_config t SET t.`condition` = 'type contains \'reason_code\' || type contains \'pool\' || type contains \'campaign_earning\'' WHERE t.id = 9
INSERT INTO template_email_alert (mail_from, mail_to, template_id, template_type, subject, sender_name, is_active) VALUES ('merchant_portal.support@techcombank.com.vn', 'cuongnv49@onemount.com,anh.le31@onemount.com,xuanntt6@techcombank.com.vn,luannt15@techcombank.com.vn', '6a5898828849f8172772c5db', 'UNMAPPER_ALERT', null, 'PS2 General Ledger', 1);
INSERT INTO general_ledger_data_list (service, data_key, data_value, data_name, description) VALUES ('general_ledger', 'campaign_earning', 'campaign_code', 'Campaign Code', 'Campaign Code');
UPDATE gl_scheme_account_config t SET t.mapping_account_type = 'event,pool,product,campaign_earning' WHERE t.id = 3;
UPDATE gl_scheme_account_config t SET t.mapping_account_type = 'pool,campaign_earning' WHERE t.id = 5;
UPDATE gl_scheme_account_config t SET t.mapping_account_type = 'product,pool,campaign_earning' WHERE t.id = 1; Em gửi thông tin DB :  tidb.int.onemount.com:4000/vinpay_vinpay_prod_saas_ps2_general_ledger CR :   </t>
  </si>
  <si>
    <t>[Merchant-OM] Hỗ trợ cập nhật dữ liệu 20260721</t>
  </si>
  <si>
    <t>2026-07-21T16:13:20.368+0700</t>
  </si>
  <si>
    <t>2026-07-21T16:17:18.697+0700</t>
  </si>
  <si>
    <t>Dear team, Nhờ team chạy giúp câu lệnh bên dưới ạ. Thông tin database https://console.cloud.google.com/sql/instances/main/overview?inv=1&amp;invt=Abqw_w&amp;project=vinid-merchant-prod DB_MYSQL_HOST=172.31.1.44
DB_MYSQL_DATABASE=merchant_service Câu lệnh UPDATE
	merchant
SET
	parent_id = 357758,
	is_sap_debt = 1
WHERE
	id = 395716;</t>
  </si>
  <si>
    <t>Hỗ trợ cập nhật trạng thái tồn kho - kho PHO04</t>
  </si>
  <si>
    <t>2026-07-21T16:12:59.990+0700</t>
  </si>
  <si>
    <t>2026-07-21T16:15:43.305+0700</t>
  </si>
  <si>
    <t>Hi DBA team, Hiện tại kho thuanphong2 cần fix lỗi dữ liệu bị lệch số lượng tồn, nhờ team DBA hỗ trợ cập nhật theo thông tin dưới đây Project : vinid-b2b-platform-prod Instance/IP : main (read-write): 172.31.4.59 Port : 3306 Database : omd_wms_thuanphong2 update whse_stock_detail w
set w.whse_stock_type = 'M4'
where w.prod_code in ('GTPXLD177', 'GAPCC5_5', 'NNCCT323', 'GD1__101', 'NBHD2292', 'NDXTTU___', 'NNCC2232', 'MT3__323', 'NDGA3393', 'NDXCT333', 'PHO403121', 'NNCCL252', 'GAPC12281', 'PVN216', 'GAPCC1_2', 'NNSL3323', 'GVS_VNĐ0.7')
and w.pallet_id in ('PTL_PHO04_67969', 'PTL_PHO04_67967', 'PTL_PHO04_67968')
and w.whse_stock_type = 'M3'
and w.dc_code = 'PHO04';</t>
  </si>
  <si>
    <t>[OMC][Loyalty MFT] VCM - Cập nhật thông tin discount của voucher ngày 21/07/2026</t>
  </si>
  <si>
    <t>2026-07-21T16:07:11.647+0700</t>
  </si>
  <si>
    <t>2026-07-21T16:10:35.604+0700</t>
  </si>
  <si>
    <t>Hi team, Xuất phát từ nhu cầu đội vận hành CR  https://onemount.atlassian.net/browse/SH-72191 , nhờ team hỗ trợ cập nhật thông tin voucher theo thông tin bên dưới Thông tin database - GCP project  vinid-loyalty-prod
- Instance name : voucher-distribution
- Instance IP : 172.31.4.82
- Database : b2b_voucher_distribution Script theo file đính kèm</t>
  </si>
  <si>
    <t>[PROD][UPAY] Support update thông tin cho TCB_Merchant_code: GOLDENGATE</t>
  </si>
  <si>
    <t>2026-07-21T15:20:43.562+0700</t>
  </si>
  <si>
    <t>2026-07-21T15:20:50.371+0700</t>
  </si>
  <si>
    <t>Hi anh  @Nguyễn Văn Dũng  , Nhờ anh hỗ trợ chạy giúp em script bên dưới nhé. Thông tin database: mysql://pay-tidb.int.onemount.com:4000/saas_tpay Các bước thực hiện: Backup dữ liệu của các bảng có thay đổi trong script (thời gian lưu backup:  1 tháng ). Chạy script bên dưới. update UNIFIED_STORE
set status = 'WAITING_ACTIVE'
where merchant_code = 'GOLDENGATE'
  and status = 'ACTIVE_FAIL'
  and service_code = 'SMARTPOS_QR'
  and store_code IN (
                     'SSPDP',
                     'SSTHELOOPXT',
                     'SSNCT',
                     'SSLOTTEDT',
                     'SSTVV',
                     'CJLOTTEVCC',
                     'SSPNT',
                     'CJVCTDH',
                     'YTLOTTEDT',
                     'SGLOTTEDT',
                     'SGNGVANLOC',
                     'YTBIGCCG',
                     'SGROYALNT',
                     'LCDAOTAN',
                     'LCLOTTEVCC',
                     'YTLOTTEVCC',
                     'CMVCTHAIBINH',
                     'LCVINHOMEHP',
                     'YTVCOCEANPARK',
                     'LCTHELOOPIPH',
                     'SGTIMNESCITY',
                     'DNGTRANHUYLIEU',
                     'LCLHPHP',
                     'DNHALONG',
                     'MTTHELOOPXT',
                     'DNLEDUCTHO',
                     'VVTTTONG',
                     'YTLTTBN',
                     'VVTHNCCG',
                     'VVNGUYENTRAI',
                     'SGNDDBN',
                     'CTCAFEBMK110',
                     'DNTDTVP',
                     'CTBACHMAIA112',
                     'CTTOHOADN',
                     'IPTHAIPHIEN',
                     'CMNGHUYTUONG',
                     'IPNOIBAI',
                     'IPLTTO',
                     'CMLOTTEVCC'
    );
update UNIFIED_TERMINAL
set status = 'WAITING_ACTIVE'
where merchant_code = 'GOLDENGATE'
  and status = 'ACTIVE_FAIL'
  and service_code in ('SMARTPOS_QR', 'SMARTPOS_CARD')
  and store_code IN (
                     'SSPDP',
                     'SSTHELOOPXT',
                     'SSNCT',
                     'SSLOTTEDT',
                     'SSTVV',
                     'CJLOTTEVCC',
                     'SSPNT',
                     'CJVCTDH',
                     'YTLOTTEDT',
                     'SGLOTTEDT',
                     'SGNGVANLOC',
                     'YTBIGCCG',
                     'SGROYALNT',
                     'LCDAOTAN',
                     'LCLOTTEVCC',
                     'YTLOTTEVCC',
                     'CMVCTHAIBINH',
                     'LCVINHOMEHP',
                     'YTVCOCEANPARK',
                     'LCTHELOOPIPH',
                     'SGTIMNESCITY',
                     'DNGTRANHUYLIEU',
                     'LCLHPHP',
                     'DNHALONG',
                     'MTTHELOOPXT',
                     'DNLEDUCTHO',
                     'VVTTTONG',
                     'YTLTTBN',
                     'VVTHNCCG',
                     'VVNGUYENTRAI',
                     'SGNDDBN',
                     'CTCAFEBMK110',
                     'DNTDTVP',
                     'CTBACHMAIA112',
                     'CTTOHOADN',
                     'IPTHAIPHIEN',
                     'CMNGHUYTUONG',
                     'IPNOIBAI',
                     'IPLTTO',
                     'CMLOTTEVCC'
    );
delete
from UNIFIED_TERMINAL
where merchant_code = 'GOLDENGATE'
  and om_terminal_id is null
  and service_code in ('SMARTPOS_QR', 'SMARTPOS_CARD')
  and tcb_terminal_id in ('T19372089387456',
                          'T11862112406696',
                          'T17960271658997',
                          'T18538577133897',
                          'T11281380037164',
                          'T15192972896034',
                          'T16000144861941',
                          'T14999699449111',
                          'T15306733208275',
                          'T11544368001885',
                          'T19706895138499',
                          'T13675369559081',
                          'T14586279271132',
                          'T16322963342877',
                          'T19374171312014',
                          'T14413601800897',
                          'T14315074585636',
                          'T12369836104115',
                          'T14920842718255',
                          'T15577986461776',
                          'T16691997153674',
                          'T18612848367050',
                          'T13367650239772',
                          'T17694028355619',
                          'T13385928478544',
                          'T11228895609322',
                          'T13485546252547',
                          'T12621235164864',
                          'T17123194724650',
                          'T15634746087549',
                          'T12266894592977',
                          'T12858006560235',
                          'T15083664290018',
                          'T18036897747772',
                          'T18765295030466',
                          'T19460438119595',
                          'T18239169040246',
                          'T15015430202652',
                          'T19805067126829',
                          'T12183791740174');
delete
from UNIFIED_TERMINAL
where merchant_code = 'GOLDENGATE'
  and om_terminal_id is null
  and service_code in ('SMARTPOS_QR', 'SMARTPOS_CARD')
  and tcb_terminal_id in ('60004518',
                          '60004529',
                          '60004534',
                          '60004517',
                          '60004514',
                          '60004524',
                          '60004505',
                          '60004498',
                          '60004527',
                          '60004533',
                          '60004531',
                          '60004525',
                          '60004526',
                          '60004511',
                          '60004516',
                          '60004528',
                          '60004506',
                          '60004513',
                          '60004499',
                          '60004503',
                          '60004508',
                          '60004509',
                          '60004510',
                          '60004515',
                          '60004537',
                          '60004502',
                          '60004522',
                          '60004535',
                          '60004530',
                          '60004532',
                          '60004536',
                          '60004501',
                          '60004521',
                          '60004504',
                          '60004520',
                          '60004500',
                          '60004523',
                          '60004507',
                          '60004512',
                          '60004519');
delete
from UNIFIED_STORE
where merchant_code = 'GOLDENGATE'
  and om_store_id is null
  and service_code in ('SMARTPOS_QR', 'SMARTPOS_CARD')
  and tcb_store_id in ('S17198335786394',
                       'S19036092088477',
                       'S18423340048804',
                       'S17501175893164',
                       'S13789011478396',
                       'S11617020012168',
                       'S19914673220772',
                       'S16258761131959',
                       'S14529700130668',
                       'S18944841449709',
                       'S13490358084280',
                       'S16315801478078',
                       'S13224543091684',
                       'S18724879722910',
                       'S11278369641801',
                       'S16614318971580',
                       'S13512448786351',
                       'S19686633228872',
                       'S12906951721666',
                       'S11402916267751',
                       'S19599840849272',
                       'S16912608205605',
                       'S14080245303326',
                       'S19617099054336',
                       'S19736201868321',
                       'S14463108088612',
                       'S18335202544517',
                       'S18316756319342',
                       'S14014679651462',
                       'S13342013443999',
                       'S17369622943885',
                       'S12145318648119',
                       'S19291616960098',
                       'S17243403385186',
                       'S15060760663507',
                       'S19724944207640',
                       'S12086076546098',
                       'S15410952583888',
                       'S14285619666951',
                       'S19505207064683'); Cảm ơn anh!</t>
  </si>
  <si>
    <t>Tạo PosgreSQL database cho namespace front-desk</t>
  </si>
  <si>
    <t>2026-07-21T14:21:40.309+0700</t>
  </si>
  <si>
    <t>2026-07-21T14:21:54.990+0700</t>
  </si>
  <si>
    <t xml:space="preserve">Hi DBA Team, Nhờ team tạo PostgreSQL database cho namespace mới “front-desk” (Keystone) - service backend cho tính năng Front Desk. Namespace: front-desk (Keystone) Env: Non-prod (dev/qc/staging) Sizing:  Default/small instance 2 vCPU / 4GB RAM / 20GB storage  (có thể điều chỉnh sau nếu tải tăng) </t>
  </si>
  <si>
    <t>[OMD][MongoDB] v/v tạo TTL index cho omd_tc_saleapp_prod.tsa_tracking</t>
  </si>
  <si>
    <t>2026-07-21T11:46:36.564+0700</t>
  </si>
  <si>
    <t>2026-07-21T12:07:45.094+0700</t>
  </si>
  <si>
    <t>Hiện tại check dung lượng data của  omd_tc_saleapp_prod  trên mongoDB dùng chung của OMD khá lớn. Cụ thể: omd_tc_saleapp_prod.tsa_tracking Collection Size: 61.33GB Total Documents: 51364501 Check TTL index thì cũng chưa có, vậy nhờ anh  @Lê Huy Hùng   check giúp xem phần data này có thể đặt TTL index để xóa không? Nếu đặt được thì đặt xóa theo cột nào, theo thời gian giữ lại bao lâu data? Trong collection  tsa_tracking  trên, có cột  created_at  là dạng  DATE , có thể dùng để đặt TTL index. Data cũ nhất đang ghi nhận là ngày: 2025-03-20 15:16:43.000Z</t>
  </si>
  <si>
    <t>[OMC][PS2][Loyalty][PROD] - archive dữ liệu history cho các bảng cần move data sang COLD - Tháng 7/2026</t>
  </si>
  <si>
    <t>2026-07-21T10:51:07.422+0700</t>
  </si>
  <si>
    <t>2026-07-21T11:58:35.791+0700</t>
  </si>
  <si>
    <t>OMC, archive_loyalty</t>
  </si>
  <si>
    <t>Các bảng cần move data sang COLD, sau đó archive lên GCS: TRANSACTION_HISTORY_ATTRIBUTE TRANSACTION_HISTORY POINT_TRANSACTION COUNTER_TRANSACTION_HISTORY 3 bảng TRANSACTION_HISTORY, POINT_TRANSACTION, COUNTER_TRANSACTION_HISTORY :  Trên môi trường PROD (HOT), Giữ lại data đầy đủ của 6 tháng gần nhất. (tháng n-1, n-2, n-3, n-4, n-5, n-6). Trên môi trường COLD, sẽ có data lịch sử (history 6 tháng tiếp theo) n-7, n-8, n-9, n-10, n-11, n-12. Ví dụ, hiện tại là tháng 7/2026, thì data giữ lại ở db chính PROD là tháng 6/2026, 5/2026, 4/2026, 3/2026, 2/2026, 1/2026. Các tháng lịch sử khác (history 6 tháng tiếp theo) sẽ khai thác trên db COLD: tháng 12/2025, 11/2025, 10/2025, 9/2025, 8/2025, 7/2025. Bảng TRANSACTION_HISTORY_ATTRIBUTE  : Tháng hiện tại là tháng n.  Trên DB chính PROD (HOT), giữ lại data đầy đủ của 3 tháng gần nhất (tháng thứ n-1,n-2,n-3 sau tháng hiện tại). Các data tháng thứ n-4,n-5,n-6 sau tháng n hiện tại thì chuyển sang db COLD.) Ví dụ, hiện tại là tháng 7/2026, thì data giữ lại ở db chính PROD là tháng 6/2026, 5/2026, 4/2026. Các tháng 3/2026, 2/2026, 1/2026 sẽ khai thác trên db COLD.</t>
  </si>
  <si>
    <t>[OMC][PS2][Loyalty][PROD] - archive dữ liệu history cho các bảng PAY_WITH_POINT_TRANSACTION_HISTORY - Tháng 7/2026</t>
  </si>
  <si>
    <t>2026-07-21T10:50:52.861+0700</t>
  </si>
  <si>
    <t>2026-07-21T11:57:55.520+0700</t>
  </si>
  <si>
    <t xml:space="preserve">hiện tại tháng 7/2026, thì sẽ thực hiện DELETE Xóa data có: status = 'F' and transaction_time &lt; to_date('01/06/2026','dd/MM/yyyy') Sau đó chạy shrink data để giảm size table, gather + rebuild PK, index </t>
  </si>
  <si>
    <t>[OMC][PS2][Loyalty][PROD] - archive dữ liệu history cho các bảng KAFKA_ , TIER_HISTORY - Tháng 7/2026</t>
  </si>
  <si>
    <t>2026-07-21T10:50:29.104+0700</t>
  </si>
  <si>
    <t>2026-07-21T15:34:30.359+0700</t>
  </si>
  <si>
    <t>[OMC][PS2][Loyalty][PROD] - Thực hiện archive dữ liệu history cho DB Loyalty - Tháng 7/2026</t>
  </si>
  <si>
    <t>2026-07-21T10:46:44.369+0700</t>
  </si>
  <si>
    <t>2026-07-21T15:34:56.905+0700</t>
  </si>
  <si>
    <t>Team DBA cần thực hiện archive dữ liệu lịch sử của 1 số bảng lớn trong DB LOYALTY, để tối ưu dung lượng lưu trữ data , tránh để data lưu trữ quá lớn trong DB dẫn tới chi phí phần cứng tăng và giảm hiệu suất IO khi truy xuất data lớn. Quy định về thời gian lưu trữ data (dự án đã confirm với TCB qua email): Live data tier: không TTL expired bất kể dữ liệu nào Backup tier: Thực hiện backup full 2 lần/tuần và incremental các ngày còn lại Archiving tier:  Dữ liệu Archive được thực hiện 6 tháng/lần và store với retention là 365 days Kế hoạch thực hiện archive dữ liệu history của DB Loyalty , thực hiện trong  tháng 7 năm 2026 Các bảng cần lưu trữ data và thực hiện xóa data history:   Tables Partition column Life time Note KAFKA_AUDIT_TRAIL_PRODUCT_INFO CREATED_AT 1 month KAFKA_AUDIT_TRAIL_CARD_INFO CREATED_AT 1 month KAFKA_AUDIT_TRAIL_CUSTOMER_PROFILE CREATED_AT 1 month KAFKA_AUDIT_TRAIL_EARN_TRANSACTION CREATED_AT 1 month KAFKA_AUDIT_TRAIL_EARN_EVENT CREATED_AT 1 month TIER_HISTORY CREATED_AT 6 month POINT_TRANSACTION_ACCOUNT_BALANCE CREATED_AT 6 month Từ tháng 5/2025,  tạm dừng ko xóa data history bảng này nữa , để CNSP review lại xem có dùng dữ liệu quá 6 tháng ko? PAY_WITH_POINT_TRANSACTION_HISTORY TRANSACTION_TIME Giữ nguyên các partition,chỉ DELETE xóa data theo điều kiện where là:  status = 'F'  and transaction_time đủ full  1 tháng  gần nhất Ví dụ, hiện tại tháng 6/2026, thì sẽ thực hiện DELETE Xóa data có: status = 'F' and transaction_time &lt; to_date('01/06/2026','dd/MM/yyyy') TRANSACTION_HISTORY_ATTRIBUTE CREATED_AT 3 month Tháng hiện tại là tháng n. Trên DB chính PROD (HOT), giữ lại data đầy đủ của 3 tháng gần nhất (tháng thứ n-1,n-2,n-3 sau tháng hiện tại). Các data tháng thứ n-4,n-5,n-6 sau tháng n hiện tại thì chuyển sang db COLD.) Ví dụ, hiện tại là tháng 7/2026, thì data giữ lại ở db chính PROD là tháng 6/2026, 5/2026, 4/2026. Các tháng 3/2026, 2/2026, 1/2026 sẽ khai thác trên db COLD. TRANSACTION_HISTORY TRANSACTION_TIME 6 month Trên môi trường PROD (HOT), Giữ lại data đầy đủ của 6 tháng gần nhất. (tháng n-1, n-2, n-3, n-4, n-5, n-6). Trên môi trường COLD, sẽ có data lịch sử (history 6 tháng tiếp theo) n-7, n-8, n-9, n-10, n-11, n-12. Ví dụ, hiện tại là tháng 7/2026, thì data giữ lại ở db chính PROD là tháng 6/2026, 5/2026, 4/2026, 3/2026, 2/2026, 1/2026. Các tháng lịch sử khác (history 6 tháng tiếp theo) sẽ khai thác trên db COLD: tháng 12/2025, 11/2025, 10/2025, 9/2025, 8/2025, 7/2025. POINT_TRANSACTION TRANSACTION_TIME 6 month Trên môi trường PROD (HOT), Giữ lại data đầy đủ của 6 tháng gần nhất. (tháng n-1, n-2, n-3, n-4, n-5, n-6). Trên môi trường COLD, sẽ có data lịch sử (history 6 tháng tiếp theo) n-7, n-8, n-9, n-10, n-11, n-12. Ví dụ, hiện tại là tháng 7/2026, thì data giữ lại ở db chính PROD là tháng 6/2026, 5/2026, 4/2026, 3/2026, 2/2026, 1/2026. Các tháng lịch sử khác (history 6 tháng tiếp theo) sẽ khai thác trên db COLD: tháng 12/2025, 11/2025, 10/2025, 9/2025, 8/2025, 7/2025. COUNTER_TRANSACTION_HISTORY CREATED_AT 6 month Trên môi trường PROD (HOT), Giữ lại data đầy đủ của 6 tháng gần nhất. (tháng n-1, n-2, n-3, n-4, n-5, n-6). Trên môi trường COLD, sẽ có data lịch sử (history 6 tháng tiếp theo) n-7, n-8, n-9, n-10, n-11, n-12. Ví dụ, hiện tại là tháng 7/2026, thì data giữ lại ở db chính PROD là tháng 6/2026, 5/2026, 4/2026, 3/2026, 2/2026, 1/2026. Các tháng lịch sử khác (history 6 tháng tiếp theo) sẽ khai thác trên db COLD: tháng 12/2025, 11/2025, 10/2025, 9/2025, 8/2025, 7/2025. COUNTER_HISTORY CREATED_AT Không xóa data Phương án làm archive data cho các bảng này: export các partition vi phạm thời gian lưu trữ data life time ONLINE Lưu trữ các partition đã export lên GCS (thời gian lưu trữ trên GCS là 1 năm). Các dữ liệu nào cần khai thác trên COLD, thì sẽ import sang db COLD. Drop các partition đã export + archived trên DB PROD Chạy lại gather statistic cho bảng vừa drop partition (có thể để DB auto chạy cũng được)</t>
  </si>
  <si>
    <t>[UPAY][QR247] - Cập nhật giao dịch lệch sổ phụ cho Pharmacity</t>
  </si>
  <si>
    <t>2026-07-21T10:41:37.720+0700</t>
  </si>
  <si>
    <t>2026-07-21T10:42:06.910+0700</t>
  </si>
  <si>
    <t>Dear team DBA, Nhờ anh/em chạy giúp em script bên dưới để update giao dịch lệch sổ phụ cho merchant Pharmacity ạ Thông tin DB: mysql://pay-tidb.int.onemount.com:4000/saas_tpay Script: UPDATE TRANSACTION_DETAIL SET value_date='2026-07-10' WHERE id = '8d7d4f8087404ed9b41225ddeaea95fb';</t>
  </si>
  <si>
    <t>[Nexa][PSS][STG][BAU] Nhờ update data DB Oracle môi trường PT (STG) trên hạ tầng CMC on-premise</t>
  </si>
  <si>
    <t>2026-07-21T10:02:43.367+0700</t>
  </si>
  <si>
    <t>2026-07-21T10:05:31.620+0700</t>
  </si>
  <si>
    <t>Em xin nhờ anh/chị update data  DB Oracle môi trường PT trên hạ tầng CMC on-premise  của hệ thống Payment Switching Service (PSS) thuộc dự án Nexa. Thông tin update data cần hỗ trợ chạy: update MST_MEMBER_LIMIT_MAX_NET_VALUE
set FROM_TIME = FROM_TIME - interval '5' year,
    TO_TIME = TO_TIME - interval  '5' year,
    NEXT_PERIOD_FROM_TIME = NEXT_PERIOD_FROM_TIME - interval '5' year,
    NEXT_PERIOD_TO_TIME = NEXT_PERIOD_TO_TIME - interval  '5' year
where FROM_TIME = timestamp '2026-05-24 23:00:00'
  and TO_TIME = timestamp '2026-06-24 23:00:00'
  and NEXT_PERIOD_FROM_TIME = timestamp '2026-06-24 23:00:00'
  and NEXT_PERIOD_TO_TIME = timestamp '2026-07-24 23:00:00';</t>
  </si>
  <si>
    <t>2026-07-21T10:02:15.983+0700</t>
  </si>
  <si>
    <t>2026-07-21T10:05:22.075+0700</t>
  </si>
  <si>
    <t>Em xin nhờ anh/chị update data  DB Oracle môi trường PT trên hạ tầng CMC on-premise  của hệ thống Payment Switching Service (PSS) thuộc dự án Nexa. Thông tin update data cần hỗ trợ chạy: update MST_HOLIDAY_DAY set HOLIDAY_DATE = '2020-08-31' where HOLIDAY_DATE = '2026-08-31';
update MST_HOLIDAY_DAY set HOLIDAY_DATE = '2020-09-01' where HOLIDAY_DATE = '2026-09-01';
update MST_HOLIDAY_DAY set HOLIDAY_DATE = '2020-09-02' where HOLIDAY_DATE = '2026-09-02';
update MST_HOLIDAY_DAY set HOLIDAY_DATE = '2020-09-03' where HOLIDAY_DATE = '2026-09-03';
update MST_MEMBER_LIMIT_MAX_NET_VALUE
set FROM_TIME = FROM_TIME - interval '5' year,
    TO_TIME = TO_TIME - interval  '5' year,
    NEXT_PERIOD_FROM_TIME = NEXT_PERIOD_FROM_TIME - interval '5' year,
    NEXT_PERIOD_TO_TIME = NEXT_PERIOD_TO_TIME - interval  '5' year
where FROM_TIME = timestamp '2026-06-14 23:00:00'
  and TO_TIME = timestamp '2026-07-14 23:00:00'
  and NEXT_PERIOD_FROM_TIME = timestamp '2026-07-31 23:00:00'
  and NEXT_PERIOD_TO_TIME = timestamp '2026-09-03 23:00:00';
  commit;</t>
  </si>
  <si>
    <t>2026-07-21T10:01:54.310+0700</t>
  </si>
  <si>
    <t>2026-07-21T10:05:11.023+0700</t>
  </si>
  <si>
    <t>Em xin nhờ anh/chị update data  DB Oracle môi trường PT trên hạ tầng CMC on-premise  của hệ thống Payment Switching Service (PSS) thuộc dự án Nexa. Thông tin update data cần hỗ trợ chạy: update MST_MEMBER_LIMIT_PERIOD set END_TIME = timestamp '2026-07-16 11:00:00' where ID = 986 and END_TIME = timestamp  '2026-07-31 23:00:00';
update MST_MEMBER_LIMIT_PERIOD_DETAIL set END_TIME = timestamp '2026-07-16 11:00:00' where ID = 1307 and END_TIME = timestamp '2026-07-31 23:00:00';
update MST_MEMBER_LIMIT_BY_SESSION
set PAYMENT_SESSION_CODE = REPLACE(PAYMENT_SESSION_CODE, 'TXN2026', 'TXN2020'), MEMBER_LIMIT_PERIOD_DETAIL_ID = NULL
where MEMBER_LIMIT_PERIOD_DETAIL_ID = 1307 and PAYMENT_SESSION_CODE in (
  'TXN20260716230000',
  'TXN20260717110000',
  'TXN20260717230000',
  'TXN20260718110000',
  'TXN20260718230000',
  'TXN20260719110000',
  'TXN20260719230000',
  'TXN20260720110000',
  'TXN20260720230000',
  'TXN20260721110000',
  'TXN20260721230000',
  'TXN20260722110000',
  'TXN20260722230000',
  'TXN20260723110000',
  'TXN20260723230000',
  'TXN20260724110000',
  'TXN20260724230000',
  'TXN20260725110000',
  'TXN20260725230000',
  'TXN20260726110000',
  'TXN20260726230000',
  'TXN20260727110000',
  'TXN20260727230000',
  'TXN20260728110000',
  'TXN20260728230000',
  'TXN20260729110000',
  'TXN20260729230000',
  'TXN20260730110000',
  'TXN20260730230000',
  'TXN20260731110000',
  'TXN20260731230000'
);
INSERT INTO MST_HOLIDAY_DAY (BUSINESS_HOURS_CODE, HOLIDAY_DATE, TIME_FROM, TIME_TO, EXTRA_DATA, VERSION, CREATED_BY, CREATED_AT, LAST_MODIFIED_BY, LAST_MODIFIED_AT)
VALUES ( 'DEFAULT_CODE', '2026-08-04', null, null, null, 1, 'system', current_timestamp, 'system', current_timestamp);
INSERT INTO MST_HOLIDAY_DAY (BUSINESS_HOURS_CODE, HOLIDAY_DATE, TIME_FROM, TIME_TO, EXTRA_DATA, VERSION, CREATED_BY, CREATED_AT, LAST_MODIFIED_BY, LAST_MODIFIED_AT)
VALUES ( 'DEFAULT_CODE', '2026-08-05', null, null, null, 1, 'system', current_timestamp, 'system', current_timestamp);
INSERT INTO MST_HOLIDAY_DAY (BUSINESS_HOURS_CODE, HOLIDAY_DATE, TIME_FROM, TIME_TO, EXTRA_DATA, VERSION, CREATED_BY, CREATED_AT, LAST_MODIFIED_BY, LAST_MODIFIED_AT)
VALUES ( 'DEFAULT_CODE', '2026-08-06', null, null, null, 1, 'system', current_timestamp, 'system', current_timestamp);
COMMIT;</t>
  </si>
  <si>
    <t>[Merchant-TCB] INACTIVE 80 store/terminal GOLDENGATE - 40 QR + 40 CARD (PROD)</t>
  </si>
  <si>
    <t>2026-07-20T18:38:58.433+0700</t>
  </si>
  <si>
    <t>2026-07-20T18:39:10.209+0700</t>
  </si>
  <si>
    <t>Dear team, nhờ team chạy giúp câu lệnh INACTIVE 80 store + 80 terminal (40 SMARTPOS_QR + 40 SMARTPOS_CARD) của merchant GOLDENGATE ạ. Tham chiếu pre-check  . Nhờ snapshot trước để rollback được. Bối cảnh: TCB báo terminal lỗi, stakeholder yêu cầu INACTIVE cả 80. Pre-check   cho thấy match theo tcb_store_id/tcb_terminal_id KHÔNG ra (2 cột này không có giá trị trong MP DB); match đúng theo MÃ: tcb_store_code (CH2026…) = 80 store, tcb_terminal_code (QTT…) = 80 terminal (đều đang ACTIVE). Nên các câu lệnh dưới match theo MÃ. store/terminal status chỉ ở MySQL nên KHÔNG cần update ES. Thông tin database https://console.cloud.google.com/sql/instances/merchant-tcb/overview?project=vinid-merchant-prod DB_MYSQL_HOST=172.31.4.108 DB_MYSQL_DATABASE=merchant_service_tcb B0. Verify READ-ONLY (nhờ team chạy + xác nhận store=80, terminal=80 TRƯỚC khi sang B1/B2) SELECT status, COUNT(*) FROM tpay_store    WHERE tcb_merchant_code='GOLDENGATE' AND deleted_at IS NULL AND tcb_store_code    IN ('CH2026070965TGRG', 'CH20260709QT3GEG', 'CH20260709P4288T', 'CH20260709PYEAAS', 'CH2026070959J5KG', 'CH202607099ENGE9', 'CH20260709YB8VND', 'CH20260709DG4E2F', 'CH202607094MHQGP', 'CH202607098DHRHQ', 'CH20260709Y26DRN', 'CH20260709EE4KQ5', 'CH20260709BCDTT0', 'CH20260709JTTJR9', 'CH20260709Z94N2M', 'CH20260709HP10GM', 'CH20260709G4W86Z', 'CH20260709EPS0TA', 'CH20260709NY1BTY', 'CH202607097RTFAM', 'CH20260709X59Z1J', 'CH20260709RQF1YQ', 'CH20260709TPHSS9', 'CH202607092NQE0P', 'CH20260709GMZ729', 'CH20260709MAZNKA', 'CH202607093PFAEJ', 'CH20260709F7HP4V', 'CH20260709RCZNTZ', 'CH20260709XKE9PA', 'CH202607092XNWJZ', 'CH20260709D0Q593', 'CH202607094HZP8A', 'CH20260709YWN72M', 'CH202607092F7X1A', 'CH20260709J0DWGG', 'CH20260709S3EH7E', 'CH202607090F2NB9', 'CH20260709CN46XD', 'CH20260709K2VQFE', 'CH20260709NF35G6', 'CH20260709H24MJN', 'CH20260709FJ8QZP', 'CH20260709HARK8V', 'CH20260709R793EB', 'CH202607095YGHEX', 'CH20260709NGJF11', 'CH2026070979ZVVC', 'CH202607098ET7VQ', 'CH20260709CFX1YC', 'CH20260709GE5XXJ', 'CH202607099GD3NY', 'CH20260709V5QY3X', 'CH20260709SPV7DP', 'CH20260709A6AK84', 'CH20260709SDQTN2', 'CH20260709VF584V', 'CH20260709X6FYTJ', 'CH20260709PRGKNW', 'CH20260709RGVNEF', 'CH20260709XGBGJA', 'CH20260709S30DFM', 'CH20260709C0F480', 'CH20260709CY6Y47', 'CH202607092FXAZH', 'CH202607092XNR14', 'CH2026070914C4BD', 'CH20260709AH87K9', 'CH2026070943DQF2', 'CH20260709JHBBYD', 'CH202607095ZCP0R', 'CH20260709SAXR0K', 'CH20260709B897MT', 'CH20260709VGEVA5', 'CH20260709S1QJM6', 'CH20260709S0ZXMH', 'CH2026070965TW9P', 'CH20260709RRRPZE', 'CH20260709MJMSW4', 'CH20260709G3876J') GROUP BY status;
SELECT status, COUNT(*) FROM tpay_terminal WHERE tcb_merchant_code='GOLDENGATE' AND deleted_at IS NULL AND tcb_terminal_code IN ('QTT_CH2026070965TGRG_EXSDSX', 'QTT_CH20260709QT3GEG_RCDTXS', 'QTT_CH20260709P4288T_C8BD54', 'QTT_CH20260709PYEAAS_P4MR25', 'QTT_CH2026070959J5KG_XHJ65A', 'QTT_CH202607099ENGE9_AYH7WH', 'QTT_CH20260709YB8VND_2S4Y56', 'QTT_CH20260709DG4E2F_V6EXV5', 'QTT_CH202607094MHQGP_VAHZF0', 'QTT_CH202607098DHRHQ_9VW308', 'QTT_CH20260709Y26DRN_HM2R02', 'QTT_CH20260709EE4KQ5_RQZ2JR', 'QTT_CH20260709BCDTT0_H4J8Y6', 'QTT_CH20260709JTTJR9_6MMRPH', 'QTT_CH20260709Z94N2M_5SGYNB', 'QTT_CH20260709HP10GM_2NQT1E', 'QTT_CH20260709G4W86Z_PPSTWH', 'QTT_CH20260709EPS0TA_24KQ35', 'QTT_CH20260709NY1BTY_0XW3NT', 'QTT_CH202607097RTFAM_5PDMTX', 'QTT_CH20260709X59Z1J_PMDPMC', 'QTT_CH20260709RQF1YQ_9B9DEZ', 'QTT_CH20260709TPHSS9_9NF9F6', 'QTT_CH202607092NQE0P_6KTX2N', 'QTT_CH20260709GMZ729_NRWJ6G', 'QTT_CH20260709MAZNKA_JFZCR2', 'QTT_CH202607093PFAEJ_3H165X', 'QTT_CH20260709F7HP4V_ZNPHGV', 'QTT_CH20260709RCZNTZ_11D0SJ', 'QTT_CH20260709XKE9PA_5SM7VA', 'QTT_CH202607092XNWJZ_5RMEZ7', 'QTT_CH20260709D0Q593_71G71X', 'QTT_CH202607094HZP8A_67QCFW', 'QTT_CH20260709YWN72M_ATBYNS', 'QTT_CH202607092F7X1A_BBDS0B', 'QTT_CH20260709J0DWGG_VYQRRD', 'QTT_CH20260709S3EH7E_4GH6CF', 'QTT_CH202607090F2NB9_MJXJ6M', 'QTT_CH20260709CN46XD_6TKK0X', 'QTT_CH20260709K2VQFE_MQPSWY', 'QTT_20260709_2JNX8R', 'QTT_20260709_ECW9YM', 'QTT_20260709_W9BAWR', 'QTT_20260709_6HA1S0', 'QTT_20260709_A4BD51', 'QTT_20260709_YY52Y7', 'QTT_20260709_7P8VWJ', 'QTT_20260709_1GC2WT', 'QTT_20260709_DPYRXZ', 'QTT_20260709_J6NPWF', 'QTT_20260709_RNVEEG', 'QTT_20260709_K1ETTC', 'QTT_20260709_KG5BXC', 'QTT_20260709_J8JTHF', 'QTT_20260709_212D52', 'QTT_20260709_FGATYD', 'QTT_20260709_9BH8P1', 'QTT_20260709_7T31T6', 'QTT_20260709_QQWDG3', 'QTT_20260709_QXM3Y6', 'QTT_20260709_DJ11EP', 'QTT_20260709_491HZQ', 'QTT_20260709_HJBP3C', 'QTT_20260709_DTVNBP', 'QTT_20260709_EAKK8X', 'QTT_20260709_Q8CSPX', 'QTT_20260709_AN17K8', 'QTT_20260709_7XEKV8', 'QTT_20260709_09F0ST', 'QTT_20260709_S1J2P3', 'QTT_20260709_EGZKRF', 'QTT_20260709_9QFHDM', 'QTT_20260709_3FTE7J', 'QTT_20260709_DA8PA9', 'QTT_20260709_QA9Y1G', 'QTT_20260709_3ZAVDR', 'QTT_20260709_TZRDGN', 'QTT_20260709_YK0H9F', 'QTT_20260709_ZCBTSV', 'QTT_20260709_R1TZXK') GROUP BY status;
SELECT ss.status, COUNT(*) FROM tpay_store s JOIN tpay_store_service ss ON ss.store_id=s.id AND ss.deleted_at IS NULL
 WHERE s.tcb_merchant_code='GOLDENGATE' AND s.deleted_at IS NULL AND s.tcb_store_code IN ('CH2026070965TGRG', 'CH20260709QT3GEG', 'CH20260709P4288T', 'CH20260709PYEAAS', 'CH2026070959J5KG', 'CH202607099ENGE9', 'CH20260709YB8VND', 'CH20260709DG4E2F', 'CH202607094MHQGP', 'CH202607098DHRHQ', 'CH20260709Y26DRN', 'CH20260709EE4KQ5', 'CH20260709BCDTT0', 'CH20260709JTTJR9', 'CH20260709Z94N2M', 'CH20260709HP10GM', 'CH20260709G4W86Z', 'CH20260709EPS0TA', 'CH20260709NY1BTY', 'CH202607097RTFAM', 'CH20260709X59Z1J', 'CH20260709RQF1YQ', 'CH20260709TPHSS9', 'CH202607092NQE0P', 'CH20260709GMZ729', 'CH20260709MAZNKA', 'CH202607093PFAEJ', 'CH20260709F7HP4V', 'CH20260709RCZNTZ', 'CH20260709XKE9PA', 'CH202607092XNWJZ', 'CH20260709D0Q593', 'CH202607094HZP8A', 'CH20260709YWN72M', 'CH202607092F7X1A', 'CH20260709J0DWGG', 'CH20260709S3EH7E', 'CH202607090F2NB9', 'CH20260709CN46XD', 'CH20260709K2VQFE', 'CH20260709NF35G6', 'CH20260709H24MJN', 'CH20260709FJ8QZP', 'CH20260709HARK8V', 'CH20260709R793EB', 'CH202607095YGHEX', 'CH20260709NGJF11', 'CH2026070979ZVVC', 'CH202607098ET7VQ', 'CH20260709CFX1YC', 'CH20260709GE5XXJ', 'CH202607099GD3NY', 'CH20260709V5QY3X', 'CH20260709SPV7DP', 'CH20260709A6AK84', 'CH20260709SDQTN2', 'CH20260709VF584V', 'CH20260709X6FYTJ', 'CH20260709PRGKNW', 'CH20260709RGVNEF', 'CH20260709XGBGJA', 'CH20260709S30DFM', 'CH20260709C0F480', 'CH20260709CY6Y47', 'CH202607092FXAZH', 'CH202607092XNR14', 'CH2026070914C4BD', 'CH20260709AH87K9', 'CH2026070943DQF2', 'CH20260709JHBBYD', 'CH202607095ZCP0R', 'CH20260709SAXR0K', 'CH20260709B897MT', 'CH20260709VGEVA5', 'CH20260709S1QJM6', 'CH20260709S0ZXMH', 'CH2026070965TW9P', 'CH20260709RRRPZE', 'CH20260709MJMSW4', 'CH20260709G3876J') GROUP BY ss.status;
SELECT ts.status, COUNT(*) FROM tpay_terminal t JOIN tpay_terminal_service ts ON ts.terminal_code=t.code AND ts.deleted_at IS NULL
 WHERE t.tcb_merchant_code='GOLDENGATE' AND t.deleted_at IS NULL AND t.tcb_terminal_code IN ('QTT_CH2026070965TGRG_EXSDSX', 'QTT_CH20260709QT3GEG_RCDTXS', 'QTT_CH20260709P4288T_C8BD54', 'QTT_CH20260709PYEAAS_P4MR25', 'QTT_CH2026070959J5KG_XHJ65A', 'QTT_CH202607099ENGE9_AYH7WH', 'QTT_CH20260709YB8VND_2S4Y56', 'QTT_CH20260709DG4E2F_V6EXV5', 'QTT_CH202607094MHQGP_VAHZF0', 'QTT_CH202607098DHRHQ_9VW308', 'QTT_CH20260709Y26DRN_HM2R02', 'QTT_CH20260709EE4KQ5_RQZ2JR', 'QTT_CH20260709BCDTT0_H4J8Y6', 'QTT_CH20260709JTTJR9_6MMRPH', 'QTT_CH20260709Z94N2M_5SGYNB', 'QTT_CH20260709HP10GM_2NQT1E', 'QTT_CH20260709G4W86Z_PPSTWH', 'QTT_CH20260709EPS0TA_24KQ35', 'QTT_CH20260709NY1BTY_0XW3NT', 'QTT_CH202607097RTFAM_5PDMTX', 'QTT_CH20260709X59Z1J_PMDPMC', 'QTT_CH20260709RQF1YQ_9B9DEZ', 'QTT_CH20260709TPHSS9_9NF9F6', 'QTT_CH202607092NQE0P_6KTX2N', 'QTT_CH20260709GMZ729_NRWJ6G', 'QTT_CH20260709MAZNKA_JFZCR2', 'QTT_CH202607093PFAEJ_3H165X', 'QTT_CH20260709F7HP4V_ZNPHGV', 'QTT_CH20260709RCZNTZ_11D0SJ', 'QTT_CH20260709XKE9PA_5SM7VA', 'QTT_CH202607092XNWJZ_5RMEZ7', 'QTT_CH20260709D0Q593_71G71X', 'QTT_CH202607094HZP8A_67QCFW', 'QTT_CH20260709YWN72M_ATBYNS', 'QTT_CH202607092F7X1A_BBDS0B', 'QTT_CH20260709J0DWGG_VYQRRD', 'QTT_CH20260709S3EH7E_4GH6CF', 'QTT_CH202607090F2NB9_MJXJ6M', 'QTT_CH20260709CN46XD_6TKK0X', 'QTT_CH20260709K2VQFE_MQPSWY', 'QTT_20260709_2JNX8R', 'QTT_20260709_ECW9YM', 'QTT_20260709_W9BAWR', 'QTT_20260709_6HA1S0', 'QTT_20260709_A4BD51', 'QTT_20260709_YY52Y7', 'QTT_20260709_7P8VWJ', 'QTT_20260709_1GC2WT', 'QTT_20260709_DPYRXZ', 'QTT_20260709_J6NPWF', 'QTT_20260709_RNVEEG', 'QTT_20260709_K1ETTC', 'QTT_20260709_KG5BXC', 'QTT_20260709_J8JTHF', 'QTT_20260709_212D52', 'QTT_20260709_FGATYD', 'QTT_20260709_9BH8P1', 'QTT_20260709_7T31T6', 'QTT_20260709_QQWDG3', 'QTT_20260709_QXM3Y6', 'QTT_20260709_DJ11EP', 'QTT_20260709_491HZQ', 'QTT_20260709_HJBP3C', 'QTT_20260709_DTVNBP', 'QTT_20260709_EAKK8X', 'QTT_20260709_Q8CSPX', 'QTT_20260709_AN17K8', 'QTT_20260709_7XEKV8', 'QTT_20260709_09F0ST', 'QTT_20260709_S1J2P3', 'QTT_20260709_EGZKRF', 'QTT_20260709_9QFHDM', 'QTT_20260709_3FTE7J', 'QTT_20260709_DA8PA9', 'QTT_20260709_QA9Y1G', 'QTT_20260709_3ZAVDR', 'QTT_20260709_TZRDGN', 'QTT_20260709_YK0H9F', 'QTT_20260709_ZCBTSV', 'QTT_20260709_R1TZXK') GROUP BY ts.status; B1. Snapshot (backup trước khi update - để rollback) CREATE TABLE bak_gg_inact_store_20260720            AS SELECT * FROM tpay_store    WHERE tcb_merchant_code='GOLDENGATE' AND deleted_at IS NULL AND tcb_store_code    IN ('CH2026070965TGRG', 'CH20260709QT3GEG', 'CH20260709P4288T', 'CH20260709PYEAAS', 'CH2026070959J5KG', 'CH202607099ENGE9', 'CH20260709YB8VND', 'CH20260709DG4E2F', 'CH202607094MHQGP', 'CH202607098DHRHQ', 'CH20260709Y26DRN', 'CH20260709EE4KQ5', 'CH20260709BCDTT0', 'CH20260709JTTJR9', 'CH20260709Z94N2M', 'CH20260709HP10GM', 'CH20260709G4W86Z', 'CH20260709EPS0TA', 'CH20260709NY1BTY', 'CH202607097RTFAM', 'CH20260709X59Z1J', 'CH20260709RQF1YQ', 'CH20260709TPHSS9', 'CH202607092NQE0P', 'CH20260709GMZ729', 'CH20260709MAZNKA', 'CH202607093PFAEJ', 'CH20260709F7HP4V', 'CH20260709RCZNTZ', 'CH20260709XKE9PA', 'CH202607092XNWJZ', 'CH20260709D0Q593', 'CH202607094HZP8A', 'CH20260709YWN72M', 'CH202607092F7X1A', 'CH20260709J0DWGG', 'CH20260709S3EH7E', 'CH202607090F2NB9', 'CH20260709CN46XD', 'CH20260709K2VQFE', 'CH20260709NF35G6', 'CH20260709H24MJN', 'CH20260709FJ8QZP', 'CH20260709HARK8V', 'CH20260709R793EB', 'CH202607095YGHEX', 'CH20260709NGJF11', 'CH2026070979ZVVC', 'CH202607098ET7VQ', 'CH20260709CFX1YC', 'CH20260709GE5XXJ', 'CH202607099GD3NY', 'CH20260709V5QY3X', 'CH20260709SPV7DP', 'CH20260709A6AK84', 'CH20260709SDQTN2', 'CH20260709VF584V', 'CH20260709X6FYTJ', 'CH20260709PRGKNW', 'CH20260709RGVNEF', 'CH20260709XGBGJA', 'CH20260709S30DFM', 'CH20260709C0F480', 'CH20260709CY6Y47', 'CH202607092FXAZH', 'CH202607092XNR14', 'CH2026070914C4BD', 'CH20260709AH87K9', 'CH2026070943DQF2', 'CH20260709JHBBYD', 'CH202607095ZCP0R', 'CH20260709SAXR0K', 'CH20260709B897MT', 'CH20260709VGEVA5', 'CH20260709S1QJM6', 'CH20260709S0ZXMH', 'CH2026070965TW9P', 'CH20260709RRRPZE', 'CH20260709MJMSW4', 'CH20260709G3876J');
CREATE TABLE bak_gg_inact_terminal_20260720         AS SELECT * FROM tpay_terminal WHERE tcb_merchant_code='GOLDENGATE' AND deleted_at IS NULL AND tcb_terminal_code IN ('QTT_CH2026070965TGRG_EXSDSX', 'QTT_CH20260709QT3GEG_RCDTXS', 'QTT_CH20260709P4288T_C8BD54', 'QTT_CH20260709PYEAAS_P4MR25', 'QTT_CH2026070959J5KG_XHJ65A', 'QTT_CH202607099ENGE9_AYH7WH', 'QTT_CH20260709YB8VND_2S4Y56', 'QTT_CH20260709DG4E2F_V6EXV5', 'QTT_CH202607094MHQGP_VAHZF0', 'QTT_CH202607098DHRHQ_9VW308', 'QTT_CH20260709Y26DRN_HM2R02', 'QTT_CH20260709EE4KQ5_RQZ2JR', 'QTT_CH20260709BCDTT0_H4J8Y6', 'QTT_CH20260709JTTJR9_6MMRPH', 'QTT_CH20260709Z94N2M_5SGYNB', 'QTT_CH20260709HP10GM_2NQT1E', 'QTT_CH20260709G4W86Z_PPSTWH', 'QTT_CH20260709EPS0TA_24KQ35', 'QTT_CH20260709NY1BTY_0XW3NT', 'QTT_CH202607097RTFAM_5PDMTX', 'QTT_CH20260709X59Z1J_PMDPMC', 'QTT_CH20260709RQF1YQ_9B9DEZ', 'QTT_CH20260709TPHSS9_9NF9F6', 'QTT_CH202607092NQE0P_6KTX2N', 'QTT_CH20260709GMZ729_NRWJ6G', 'QTT_CH20260709MAZNKA_JFZCR2', 'QTT_CH202607093PFAEJ_3H165X', 'QTT_CH20260709F7HP4V_ZNPHGV', 'QTT_CH20260709RCZNTZ_11D0SJ', 'QTT_CH20260709XKE9PA_5SM7VA', 'QTT_CH202607092XNWJZ_5RMEZ7', 'QTT_CH20260709D0Q593_71G71X', 'QTT_CH202607094HZP8A_67QCFW', 'QTT_CH20260709YWN72M_ATBYNS', 'QTT_CH202607092F7X1A_BBDS0B', 'QTT_CH20260709J0DWGG_VYQRRD', 'QTT_CH20260709S3EH7E_4GH6CF', 'QTT_CH202607090F2NB9_MJXJ6M', 'QTT_CH20260709CN46XD_6TKK0X', 'QTT_CH20260709K2VQFE_MQPSWY', 'QTT_20260709_2JNX8R', 'QTT_20260709_ECW9YM', 'QTT_20260709_W9BAWR', 'QTT_20260709_6HA1S0', 'QTT_20260709_A4BD51', 'QTT_20260709_YY52Y7', 'QTT_20260709_7P8VWJ', 'QTT_20260709_1GC2WT', 'QTT_20260709_DPYRXZ', 'QTT_20260709_J6NPWF', 'QTT_20260709_RNVEEG', 'QTT_20260709_K1ETTC', 'QTT_20260709_KG5BXC', 'QTT_20260709_J8JTHF', 'QTT_20260709_212D52', 'QTT_20260709_FGATYD', 'QTT_20260709_9BH8P1', 'QTT_20260709_7T31T6', 'QTT_20260709_QQWDG3', 'QTT_20260709_QXM3Y6', 'QTT_20260709_DJ11EP', 'QTT_20260709_491HZQ', 'QTT_20260709_HJBP3C', 'QTT_20260709_DTVNBP', 'QTT_20260709_EAKK8X', 'QTT_20260709_Q8CSPX', 'QTT_20260709_AN17K8', 'QTT_20260709_7XEKV8', 'QTT_20260709_09F0ST', 'QTT_20260709_S1J2P3', 'QTT_20260709_EGZKRF', 'QTT_20260709_9QFHDM', 'QTT_20260709_3FTE7J', 'QTT_20260709_DA8PA9', 'QTT_20260709_QA9Y1G', 'QTT_20260709_3ZAVDR', 'QTT_20260709_TZRDGN', 'QTT_20260709_YK0H9F', 'QTT_20260709_ZCBTSV', 'QTT_20260709_R1TZXK');
CREATE TABLE bak_gg_inact_store_service_20260720    AS SELECT ss.* FROM tpay_store_service ss JOIN tpay_store s ON ss.store_id=s.id
  WHERE s.tcb_merchant_code='GOLDENGATE' AND s.deleted_at IS NULL AND ss.deleted_at IS NULL AND s.tcb_store_code IN ('CH2026070965TGRG', 'CH20260709QT3GEG', 'CH20260709P4288T', 'CH20260709PYEAAS', 'CH2026070959J5KG', 'CH202607099ENGE9', 'CH20260709YB8VND', 'CH20260709DG4E2F', 'CH202607094MHQGP', 'CH202607098DHRHQ', 'CH20260709Y26DRN', 'CH20260709EE4KQ5', 'CH20260709BCDTT0', 'CH20260709JTTJR9', 'CH20260709Z94N2M', 'CH20260709HP10GM', 'CH20260709G4W86Z', 'CH20260709EPS0TA', 'CH20260709NY1BTY', 'CH202607097RTFAM', 'CH20260709X59Z1J', 'CH20260709RQF1YQ', 'CH20260709TPHSS9', 'CH202607092NQE0P', 'CH20260709GMZ729', 'CH20260709MAZNKA', 'CH202607093PFAEJ', 'CH20260709F7HP4V', 'CH20260709RCZNTZ', 'CH20260709XKE9PA', 'CH202607092XNWJZ', 'CH20260709D0Q593', 'CH202607094HZP8A', 'CH20260709YWN72M', 'CH202607092F7X1A', 'CH20260709J0DWGG', 'CH20260709S3EH7E', 'CH202607090F2NB9', 'CH20260709CN46XD', 'CH20260709K2VQFE', 'CH20260709NF35G6', 'CH20260709H24MJN', 'CH20260709FJ8QZP', 'CH20260709HARK8V', 'CH20260709R793EB', 'CH202607095YGHEX', 'CH20260709NGJF11', 'CH2026070979ZVVC', 'CH202607098ET7VQ', 'CH20260709CFX1YC', 'CH20260709GE5XXJ', 'CH202607099GD3NY', 'CH20260709V5QY3X', 'CH20260709SPV7DP', 'CH20260709A6AK84', 'CH20260709SDQTN2', 'CH20260709VF584V', 'CH20260709X6FYTJ', 'CH20260709PRGKNW', 'CH20260709RGVNEF', 'CH20260709XGBGJA', 'CH20260709S30DFM', 'CH20260709C0F480', 'CH20260709CY6Y47', 'CH202607092FXAZH', 'CH202607092XNR14', 'CH2026070914C4BD', 'CH20260709AH87K9', 'CH2026070943DQF2', 'CH20260709JHBBYD', 'CH202607095ZCP0R', 'CH20260709SAXR0K', 'CH20260709B897MT', 'CH20260709VGEVA5', 'CH20260709S1QJM6', 'CH20260709S0ZXMH', 'CH2026070965TW9P', 'CH20260709RRRPZE', 'CH20260709MJMSW4', 'CH20260709G3876J');
CREATE TABLE bak_gg_inact_terminal_service_20260720 AS SELECT ts.* FROM tpay_terminal_service ts JOIN tpay_terminal t ON ts.terminal_code=t.code
  WHERE t.tcb_merchant_code='GOLDENGATE' AND t.deleted_at IS NULL AND ts.deleted_at IS NULL AND t.tcb_terminal_code IN ('QTT_CH2026070965TGRG_EXSDSX', 'QTT_CH20260709QT3GEG_RCDTXS', 'QTT_CH20260709P4288T_C8BD54', 'QTT_CH20260709PYEAAS_P4MR25', 'QTT_CH2026070959J5KG_XHJ65A', 'QTT_CH202607099ENGE9_AYH7WH', 'QTT_CH20260709YB8VND_2S4Y56', 'QTT_CH20260709DG4E2F_V6EXV5', 'QTT_CH202607094MHQGP_VAHZF0', 'QTT_CH202607098DHRHQ_9VW308', 'QTT_CH20260709Y26DRN_HM2R02', 'QTT_CH20260709EE4KQ5_RQZ2JR', 'QTT_CH20260709BCDTT0_H4J8Y6', 'QTT_CH20260709JTTJR9_6MMRPH', 'QTT_CH20260709Z94N2M_5SGYNB', 'QTT_CH20260709HP10GM_2NQT1E', 'QTT_CH20260709G4W86Z_PPSTWH', 'QTT_CH20260709EPS0TA_24KQ35', 'QTT_CH20260709NY1BTY_0XW3NT', 'QTT_CH202607097RTFAM_5PDMTX', 'QTT_CH20260709X59Z1J_PMDPMC', 'QTT_CH20260709RQF1YQ_9B9DEZ', 'QTT_CH20260709TPHSS9_9NF9F6', 'QTT_CH202607092NQE0P_6KTX2N', 'QTT_CH20260709GMZ729_NRWJ6G', 'QTT_CH20260709MAZNKA_JFZCR2', 'QTT_CH202607093PFAEJ_3H165X', 'QTT_CH20260709F7HP4V_ZNPHGV', 'QTT_CH20260709RCZNTZ_11D0SJ', 'QTT_CH20260709XKE9PA_5SM7VA', 'QTT_CH202607092XNWJZ_5RMEZ7', 'QTT_CH20260709D0Q593_71G71X', 'QTT_CH202607094HZP8A_67QCFW', 'QTT_CH20260709YWN72M_ATBYNS', 'QTT_CH202607092F7X1A_BBDS0B', 'QTT_CH20260709J0DWGG_VYQRRD', 'QTT_CH20260709S3EH7E_4GH6CF', 'QTT_CH202607090F2NB9_MJXJ6M', 'QTT_CH20260709CN46XD_6TKK0X', 'QTT_CH20260709K2VQFE_MQPSWY', 'QTT_20260709_2JNX8R', 'QTT_20260709_ECW9YM', 'QTT_20260709_W9BAWR', 'QTT_20260709_6HA1S0', 'QTT_20260709_A4BD51', 'QTT_20260709_YY52Y7', 'QTT_20260709_7P8VWJ', 'QTT_20260709_1GC2WT', 'QTT_20260709_DPYRXZ', 'QTT_20260709_J6NPWF', 'QTT_20260709_RNVEEG', 'QTT_20260709_K1ETTC', 'QTT_20260709_KG5BXC', 'QTT_20260709_J8JTHF', 'QTT_20260709_212D52', 'QTT_20260709_FGATYD', 'QTT_20260709_9BH8P1', 'QTT_20260709_7T31T6', 'QTT_20260709_QQWDG3', 'QTT_20260709_QXM3Y6', 'QTT_20260709_DJ11EP', 'QTT_20260709_491HZQ', 'QTT_20260709_HJBP3C', 'QTT_20260709_DTVNBP', 'QTT_20260709_EAKK8X', 'QTT_20260709_Q8CSPX', 'QTT_20260709_AN17K8', 'QTT_20260709_7XEKV8', 'QTT_20260709_09F0ST', 'QTT_20260709_S1J2P3', 'QTT_20260709_EGZKRF', 'QTT_20260709_9QFHDM', 'QTT_20260709_3FTE7J', 'QTT_20260709_DA8PA9', 'QTT_20260709_QA9Y1G', 'QTT_20260709_3ZAVDR', 'QTT_20260709_TZRDGN', 'QTT_20260709_YK0H9F', 'QTT_20260709_ZCBTSV', 'QTT_20260709_R1TZXK'); B2. INACTIVE trong 1 transaction (COMMIT khi store affected=80 VÀ terminal affected=80; lệch thì ROLLBACK) START TRANSACTION;
UPDATE tpay_store s SET s.status='INACTIVE', s.updated_at=NOW(), s.updated_by='SYSTEM'
 WHERE s.deleted_at IS NULL AND s.status&lt;&gt;'INACTIVE' AND s.tcb_merchant_code='GOLDENGATE' AND s.tcb_store_code IN ('CH2026070965TGRG', 'CH20260709QT3GEG', 'CH20260709P4288T', 'CH20260709PYEAAS', 'CH2026070959J5KG', 'CH202607099ENGE9', 'CH20260709YB8VND', 'CH20260709DG4E2F', 'CH202607094MHQGP', 'CH202607098DHRHQ', 'CH20260709Y26DRN', 'CH20260709EE4KQ5', 'CH20260709BCDTT0', 'CH20260709JTTJR9', 'CH20260709Z94N2M', 'CH20260709HP10GM', 'CH20260709G4W86Z', 'CH20260709EPS0TA', 'CH20260709NY1BTY', 'CH202607097RTFAM', 'CH20260709X59Z1J', 'CH20260709RQF1YQ', 'CH20260709TPHSS9', 'CH202607092NQE0P', 'CH20260709GMZ729', 'CH20260709MAZNKA', 'CH202607093PFAEJ', 'CH20260709F7HP4V', 'CH20260709RCZNTZ', 'CH20260709XKE9PA', 'CH202607092XNWJZ', 'CH20260709D0Q593', 'CH202607094HZP8A', 'CH20260709YWN72M', 'CH202607092F7X1A', 'CH20260709J0DWGG', 'CH20260709S3EH7E', 'CH202607090F2NB9', 'CH20260709CN46XD', 'CH20260709K2VQFE', 'CH20260709NF35G6', 'CH20260709H24MJN', 'CH20260709FJ8QZP', 'CH20260709HARK8V', 'CH20260709R793EB', 'CH202607095YGHEX', 'CH20260709NGJF11', 'CH2026070979ZVVC', 'CH202607098ET7VQ', 'CH20260709CFX1YC', 'CH20260709GE5XXJ', 'CH202607099GD3NY', 'CH20260709V5QY3X', 'CH20260709SPV7DP', 'CH20260709A6AK84', 'CH20260709SDQTN2', 'CH20260709VF584V', 'CH20260709X6FYTJ', 'CH20260709PRGKNW', 'CH20260709RGVNEF', 'CH20260709XGBGJA', 'CH20260709S30DFM', 'CH20260709C0F480', 'CH20260709CY6Y47', 'CH202607092FXAZH', 'CH202607092XNR14', 'CH2026070914C4BD', 'CH20260709AH87K9', 'CH2026070943DQF2', 'CH20260709JHBBYD', 'CH202607095ZCP0R', 'CH20260709SAXR0K', 'CH20260709B897MT', 'CH20260709VGEVA5', 'CH20260709S1QJM6', 'CH20260709S0ZXMH', 'CH2026070965TW9P', 'CH20260709RRRPZE', 'CH20260709MJMSW4', 'CH20260709G3876J');
UPDATE tpay_store s JOIN tpay_store_service ss ON ss.store_id=s.id AND ss.deleted_at IS NULL AND ss.status&lt;&gt;'INACTIVE'
 SET ss.status='INACTIVE', ss.updated_at=NOW()
 WHERE s.deleted_at IS NULL AND s.tcb_merchant_code='GOLDENGATE' AND s.tcb_store_code IN ('CH2026070965TGRG', 'CH20260709QT3GEG', 'CH20260709P4288T', 'CH20260709PYEAAS', 'CH2026070959J5KG', 'CH202607099ENGE9', 'CH20260709YB8VND', 'CH20260709DG4E2F', 'CH202607094MHQGP', 'CH202607098DHRHQ', 'CH20260709Y26DRN', 'CH20260709EE4KQ5', 'CH20260709BCDTT0', 'CH20260709JTTJR9', 'CH20260709Z94N2M', 'CH20260709HP10GM', 'CH20260709G4W86Z', 'CH20260709EPS0TA', 'CH20260709NY1BTY', 'CH202607097RTFAM', 'CH20260709X59Z1J', 'CH20260709RQF1YQ', 'CH20260709TPHSS9', 'CH202607092NQE0P', 'CH20260709GMZ729', 'CH20260709MAZNKA', 'CH202607093PFAEJ', 'CH20260709F7HP4V', 'CH20260709RCZNTZ', 'CH20260709XKE9PA', 'CH202607092XNWJZ', 'CH20260709D0Q593', 'CH202607094HZP8A', 'CH20260709YWN72M', 'CH202607092F7X1A', 'CH20260709J0DWGG', 'CH20260709S3EH7E', 'CH202607090F2NB9', 'CH20260709CN46XD', 'CH20260709K2VQFE', 'CH20260709NF35G6', 'CH20260709H24MJN', 'CH20260709FJ8QZP', 'CH20260709HARK8V', 'CH20260709R793EB', 'CH202607095YGHEX', 'CH20260709NGJF11', 'CH2026070979ZVVC', 'CH202607098ET7VQ', 'CH20260709CFX1YC', 'CH20260709GE5XXJ', 'CH202607099GD3NY', 'CH20260709V5QY3X', 'CH20260709SPV7DP', 'CH20260709A6AK84', 'CH20260709SDQTN2', 'CH20260709VF584V', 'CH20260709X6FYTJ', 'CH20260709PRGKNW', 'CH20260709RGVNEF', 'CH20260709XGBGJA', 'CH20260709S30DFM', 'CH20260709C0F480', 'CH20260709CY6Y47', 'CH202607092FXAZH', 'CH202607092XNR14', 'CH2026070914C4BD', 'CH20260709AH87K9', 'CH2026070943DQF2', 'CH20260709JHBBYD', 'CH202607095ZCP0R', 'CH20260709SAXR0K', 'CH20260709B897MT', 'CH20260709VGEVA5', 'CH20260709S1QJM6', 'CH20260709S0ZXMH', 'CH2026070965TW9P', 'CH20260709RRRPZE', 'CH20260709MJMSW4', 'CH20260709G3876J');
UPDATE tpay_terminal t SET t.status='INACTIVE', t.updated_at=NOW(), t.updated_by='SYSTEM'
 WHERE t.deleted_at IS NULL AND t.status&lt;&gt;'INACTIVE' AND t.tcb_merchant_code='GOLDENGATE' AND t.tcb_terminal_code IN ('QTT_CH2026070965TGRG_EXSDSX', 'QTT_CH20260709QT3GEG_RCDTXS', 'QTT_CH20260709P4288T_C8BD54', 'QTT_CH20260709PYEAAS_P4MR25', 'QTT_CH2026070959J5KG_XHJ65A', 'QTT_CH202607099ENGE9_AYH7WH', 'QTT_CH20260709YB8VND_2S4Y56', 'QTT_CH20260709DG4E2F_V6EXV5', 'QTT_CH202607094MHQGP_VAHZF0', 'QTT_CH202607098DHRHQ_9VW308', 'QTT_CH20260709Y26DRN_HM2R02', 'QTT_CH20260709EE4KQ5_RQZ2JR', 'QTT_CH20260709BCDTT0_H4J8Y6', 'QTT_CH20260709JTTJR9_6MMRPH', 'QTT_CH20260709Z94N2M_5SGYNB', 'QTT_CH20260709HP10GM_2NQT1E', 'QTT_CH20260709G4W86Z_PPSTWH', 'QTT_CH20260709EPS0TA_24KQ35', 'QTT_CH20260709NY1BTY_0XW3NT', 'QTT_CH202607097RTFAM_5PDMTX', 'QTT_CH20260709X59Z1J_PMDPMC', 'QTT_CH20260709RQF1YQ_9B9DEZ', 'QTT_CH20260709TPHSS9_9NF9F6', 'QTT_CH202607092NQE0P_6KTX2N', 'QTT_CH20260709GMZ729_NRWJ6G', 'QTT_CH20260709MAZNKA_JFZCR2', 'QTT_CH202607093PFAEJ_3H165X', 'QTT_CH20260709F7HP4V_ZNPHGV', 'QTT_CH20260709RCZNTZ_11D0SJ', 'QTT_CH20260709XKE9PA_5SM7VA', 'QTT_CH202607092XNWJZ_5RMEZ7', 'QTT_CH20260709D0Q593_71G71X', 'QTT_CH202607094HZP8A_67QCFW', 'QTT_CH20260709YWN72M_ATBYNS', 'QTT_CH202607092F7X1A_BBDS0B', 'QTT_CH20260709J0DWGG_VYQRRD', 'QTT_CH20260709S3EH7E_4GH6CF', 'QTT_CH202607090F2NB9_MJXJ6M', 'QTT_CH20260709CN46XD_6TKK0X', 'QTT_CH20260709K2VQFE_MQPSWY', 'QTT_20260709_2JNX8R', 'QTT_20260709_ECW9YM', 'QTT_20260709_W9BAWR', 'QTT_20260709_6HA1S0', 'QTT_20260709_A4BD51', 'QTT_20260709_YY52Y7', 'QTT_20260709_7P8VWJ', 'QTT_20260709_1GC2WT', 'QTT_20260709_DPYRXZ', 'QTT_20260709_J6NPWF', 'QTT_20260709_RNVEEG', 'QTT_20260709_K1ETTC', 'QTT_20260709_KG5BXC', 'QTT_20260709_J8JTHF', 'QTT_20260709_212D52', 'QTT_20260709_FGATYD', 'QTT_20260709_9BH8P1', 'QTT_20260709_7T31T6', 'QTT_20260709_QQWDG3', 'QTT_20260709_QXM3Y6', 'QTT_20260709_DJ11EP', 'QTT_20260709_491HZQ', 'QTT_20260709_HJBP3C', 'QTT_20260709_DTVNBP', 'QTT_20260709_EAKK8X', 'QTT_20260709_Q8CSPX', 'QTT_20260709_AN17K8', 'QTT_20260709_7XEKV8', 'QTT_20260709_09F0ST', 'QTT_20260709_S1J2P3', 'QTT_20260709_EGZKRF', 'QTT_20260709_9QFHDM', 'QTT_20260709_3FTE7J', 'QTT_20260709_DA8PA9', 'QTT_20260709_QA9Y1G', 'QTT_20260709_3ZAVDR', 'QTT_20260709_TZRDGN', 'QTT_20260709_YK0H9F', 'QTT_20260709_ZCBTSV', 'QTT_20260709_R1TZXK');
UPDATE tpay_terminal t JOIN tpay_terminal_service ts ON ts.terminal_code=t.code AND ts.deleted_at IS NULL AND ts.status&lt;&gt;'INACTIVE'
 SET ts.status='INACTIVE', ts.updated_at=NOW()
 WHERE t.deleted_at IS NULL AND t.tcb_merchant_code='GOLDENGATE' AND t.tcb_terminal_code IN ('QTT_CH2026070965TGRG_EXSDSX', 'QTT_CH20260709QT3GEG_RCDTXS', 'QTT_CH20260709P4288T_C8BD54', 'QTT_CH20260709PYEAAS_P4MR25', 'QTT_CH2026070959J5KG_XHJ65A', 'QTT_CH202607099ENGE9_AYH7WH', 'QTT_CH20260709YB8VND_2S4Y56', 'QTT_CH20260709DG4E2F_V6EXV5', 'QTT_CH202607094MHQGP_VAHZF0', 'QTT_CH202607098DHRHQ_9VW308', 'QTT_CH20260709Y26DRN_HM2R02', 'QTT_CH20260709EE4KQ5_RQZ2JR', 'QTT_CH20260709BCDTT0_H4J8Y6', 'QTT_CH20260709JTTJR9_6MMRPH', 'QTT_CH20260709Z94N2M_5SGYNB', 'QTT_CH20260709HP10GM_2NQT1E', 'QTT_CH20260709G4W86Z_PPSTWH', 'QTT_CH20260709EPS0TA_24KQ35', 'QTT_CH20260709NY1BTY_0XW3NT', 'QTT_CH202607097RTFAM_5PDMTX', 'QTT_CH20260709X59Z1J_PMDPMC', 'QTT_CH20260709RQF1YQ_9B9DEZ', 'QTT_CH20260709TPHSS9_9NF9F6', 'QTT_CH202607092NQE0P_6KTX2N', 'QTT_CH20260709GMZ729_NRWJ6G', 'QTT_CH20260709MAZNKA_JFZCR2', 'QTT_CH202607093PFAEJ_3H165X', 'QTT_CH20260709F7HP4V_ZNPHGV', 'QTT_CH20260709RCZNTZ_11D0SJ', 'QTT_CH20260709XKE9PA_5SM7VA', 'QTT_CH202607092XNWJZ_5RMEZ7', 'QTT_CH20260709D0Q593_71G71X', 'QTT_CH202607094HZP8A_67QCFW', 'QTT_CH20260709YWN72M_ATBYNS', 'QTT_CH202607092F7X1A_BBDS0B', 'QTT_CH20260709J0DWGG_VYQRRD', 'QTT_CH20260709S3EH7E_4GH6CF', 'QTT_CH202607090F2NB9_MJXJ6M', 'QTT_CH20260709CN46XD_6TKK0X', 'QTT_CH20260709K2VQFE_MQPSWY', 'QTT_20260709_2JNX8R', 'QTT_20260709_ECW9YM', 'QTT_20260709_W9BAWR', 'QTT_20260709_6HA1S0', 'QTT_20260709_A4BD51', 'QTT_20260709_YY52Y7', 'QTT_20260709_7P8VWJ', 'QTT_20260709_1GC2WT', 'QTT_20260709_DPYRXZ', 'QTT_20260709_J6NPWF', 'QTT_20260709_RNVEEG', 'QTT_20260709_K1ETTC', 'QTT_20260709_KG5BXC', 'QTT_20260709_J8JTHF', 'QTT_20260709_212D52', 'QTT_20260709_FGATYD', 'QTT_20260709_9BH8P1', 'QTT_20260709_7T31T6', 'QTT_20260709_QQWDG3', 'QTT_20260709_QXM3Y6', 'QTT_20260709_DJ11EP', 'QTT_20260709_491HZQ', 'QTT_20260709_HJBP3C', 'QTT_20260709_DTVNBP', 'QTT_20260709_EAKK8X', 'QTT_20260709_Q8CSPX', 'QTT_20260709_AN17K8', 'QTT_20260709_7XEKV8', 'QTT_20260709_09F0ST', 'QTT_20260709_S1J2P3', 'QTT_20260709_EGZKRF', 'QTT_20260709_9QFHDM', 'QTT_20260709_3FTE7J', 'QTT_20260709_DA8PA9', 'QTT_20260709_QA9Y1G', 'QTT_20260709_3ZAVDR', 'QTT_20260709_TZRDGN', 'QTT_20260709_YK0H9F', 'QTT_20260709_ZCBTSV', 'QTT_20260709_R1TZXK');
COMMIT; B3. Verify sau update (kỳ vọng chỉ còn INACTIVE, 0 dòng status khác) SELECT 'store' AS tbl, status, COUNT(*) AS n FROM tpay_store    WHERE tcb_merchant_code='GOLDENGATE' AND deleted_at IS NULL AND tcb_store_code    IN ('CH2026070965TGRG', 'CH20260709QT3GEG', 'CH20260709P4288T', 'CH20260709PYEAAS', 'CH2026070959J5KG', 'CH202607099ENGE9', 'CH20260709YB8VND', 'CH20260709DG4E2F', 'CH202607094MHQGP', 'CH202607098DHRHQ', 'CH20260709Y26DRN', 'CH20260709EE4KQ5', 'CH20260709BCDTT0', 'CH20260709JTTJR9', 'CH20260709Z94N2M', 'CH20260709HP10GM', 'CH20260709G4W86Z', 'CH20260709EPS0TA', 'CH20260709NY1BTY', 'CH202607097RTFAM', 'CH20260709X59Z1J', 'CH20260709RQF1YQ', 'CH20260709TPHSS9', 'CH202607092NQE0P', 'CH20260709GMZ729', 'CH20260709MAZNKA', 'CH202607093PFAEJ', 'CH20260709F7HP4V', 'CH20260709RCZNTZ', 'CH20260709XKE9PA', 'CH202607092XNWJZ', 'CH20260709D0Q593', 'CH202607094HZP8A', 'CH20260709YWN72M', 'CH202607092F7X1A', 'CH20260709J0DWGG', 'CH20260709S3EH7E', 'CH202607090F2NB9', 'CH20260709CN46XD', 'CH20260709K2VQFE', 'CH20260709NF35G6', 'CH20260709H24MJN', 'CH20260709FJ8QZP', 'CH20260709HARK8V', 'CH20260709R793EB', 'CH202607095YGHEX', 'CH20260709NGJF11', 'CH2026070979ZVVC', 'CH202607098ET7VQ', 'CH20260709CFX1YC', 'CH20260709GE5XXJ', 'CH202607099GD3NY', 'CH20260709V5QY3X', 'CH20260709SPV7DP', 'CH20260709A6AK84', 'CH20260709SDQTN2', 'CH20260709VF584V', 'CH20260709X6FYTJ', 'CH20260709PRGKNW', 'CH20260709RGVNEF', 'CH20260709XGBGJA', 'CH20260709S30DFM', 'CH20260709C0F480', 'CH20260709CY6Y47', 'CH202607092FXAZH', 'CH202607092XNR14', 'CH2026070914C4BD', 'CH20260709AH87K9', 'CH2026070943DQF2', 'CH20260709JHBBYD', 'CH202607095ZCP0R', 'CH20260709SAXR0K', 'CH20260709B897MT', 'CH20260709VGEVA5', 'CH20260709S1QJM6', 'CH20260709S0ZXMH', 'CH2026070965TW9P', 'CH20260709RRRPZE', 'CH20260709MJMSW4', 'CH20260709G3876J') GROUP BY status
UNION ALL
SELECT 'terminal', status, COUNT(*) FROM tpay_terminal WHERE tcb_merchant_code='GOLDENGATE' AND deleted_at IS NULL AND tcb_terminal_code IN ('QTT_CH2026070965TGRG_EXSDSX', 'QTT_CH20260709QT3GEG_RCDTXS', 'QTT_CH20260709P4288T_C8BD54', 'QTT_CH20260709PYEAAS_P4MR25', 'QTT_CH2026070959J5KG_XHJ65A', 'QTT_CH202607099ENGE9_AYH7WH', 'QTT_CH20260709YB8VND_2S4Y56', 'QTT_CH20260709DG4E2F_V6EXV5', 'QTT_CH202607094MHQGP_VAHZF0', 'QTT_CH202607098DHRHQ_9VW308', 'QTT_CH20260709Y26DRN_HM2R02', 'QTT_CH20260709EE4KQ5_RQZ2JR', 'QTT_CH20260709BCDTT0_H4J8Y6', 'QTT_CH20260709JTTJR9_6MMRPH', 'QTT_CH20260709Z94N2M_5SGYNB', 'QTT_CH20260709HP10GM_2NQT1E', 'QTT_CH20260709G4W86Z_PPSTWH', 'QTT_CH20260709EPS0TA_24KQ35', 'QTT_CH20260709NY1BTY_0XW3NT', 'QTT_CH202607097RTFAM_5PDMTX', 'QTT_CH20260709X59Z1J_PMDPMC', 'QTT_CH20260709RQF1YQ_9B9DEZ', 'QTT_CH20260709TPHSS9_9NF9F6', 'QTT_CH202607092NQE0P_6KTX2N', 'QTT_CH20260709GMZ729_NRWJ6G', 'QTT_CH20260709MAZNKA_JFZCR2', 'QTT_CH202607093PFAEJ_3H165X', 'QTT_CH20260709F7HP4V_ZNPHGV', 'QTT_CH20260709RCZNTZ_11D0SJ', 'QTT_CH20260709XKE9PA_5SM7VA', 'QTT_CH202607092XNWJZ_5RMEZ7', 'QTT_CH20260709D0Q593_71G71X', 'QTT_CH202607094HZP8A_67QCFW', 'QTT_CH20260709YWN72M_ATBYNS', 'QTT_CH202607092F7X1A_BBDS0B', 'QTT_CH20260709J0DWGG_VYQRRD', 'QTT_CH20260709S3EH7E_4GH6CF', 'QTT_CH202607090F2NB9_MJXJ6M', 'QTT_CH20260709CN46XD_6TKK0X', 'QTT_CH20260709K2VQFE_MQPSWY', 'QTT_20260709_2JNX8R', 'QTT_20260709_ECW9YM', 'QTT_20260709_W9BAWR', 'QTT_20260709_6HA1S0', 'QTT_20260709_A4BD51', 'QTT_20260709_YY52Y7', 'QTT_20260709_7P8VWJ', 'QTT_20260709_1GC2WT', 'QTT_20260709_DPYRXZ', 'QTT_20260709_J6NPWF', 'QTT_20260709_RNVEEG', 'QTT_20260709_K1ETTC', 'QTT_20260709_KG5BXC', 'QTT_20260709_J8JTHF', 'QTT_20260709_212D52', 'QTT_20260709_FGATYD', 'QTT_20260709_9BH8P1', 'QTT_20260709_7T31T6', 'QTT_20260709_QQWDG3', 'QTT_20260709_QXM3Y6', 'QTT_20260709_DJ11EP', 'QTT_20260709_491HZQ', 'QTT_20260709_HJBP3C', 'QTT_20260709_DTVNBP', 'QTT_20260709_EAKK8X', 'QTT_20260709_Q8CSPX', 'QTT_20260709_AN17K8', 'QTT_20260709_7XEKV8', 'QTT_20260709_09F0ST', 'QTT_20260709_S1J2P3', 'QTT_20260709_EGZKRF', 'QTT_20260709_9QFHDM', 'QTT_20260709_3FTE7J', 'QTT_20260709_DA8PA9', 'QTT_20260709_QA9Y1G', 'QTT_20260709_3ZAVDR', 'QTT_20260709_TZRDGN', 'QTT_20260709_YK0H9F', 'QTT_20260709_ZCBTSV', 'QTT_20260709_R1TZXK') GROUP BY status; Rollback (chỉ khi cần) UPDATE tpay_store s             JOIN bak_gg_inact_store_20260720 b            ON b.id=s.id  SET s.status=b.status,  s.updated_at=NOW(), s.updated_by='SYSTEM';
UPDATE tpay_store_service ss    JOIN bak_gg_inact_store_service_20260720 b    ON b.id=ss.id SET ss.status=b.status, ss.updated_at=NOW();
UPDATE tpay_terminal t          JOIN bak_gg_inact_terminal_20260720 b         ON b.id=t.id  SET t.status=b.status,  t.updated_at=NOW(), t.updated_by='SYSTEM';
UPDATE tpay_terminal_service ts JOIN bak_gg_inact_terminal_service_20260720 b ON b.id=ts.id SET ts.status=b.status, ts.updated_at=NOW(); Nhờ team confirm số dòng ở B0 (store=80, terminal=80) và affected-rows ở B2 trước khi COMMIT. Cảm ơn team ạ.</t>
  </si>
  <si>
    <t>[OMD][MongoDB] v/v tạo TTL index cho omd_aftersale_campaign</t>
  </si>
  <si>
    <t>2026-07-20T18:28:40.587+0700</t>
  </si>
  <si>
    <t>2026-07-21T09:35:17.551+0700</t>
  </si>
  <si>
    <t>Hiện tại check dung lượng data của omd_aftersale_campaign trên mongoDB dùng chung của OMD khá lớn. Cụ thể: { "collection" : "integrationDocument", "count" :  76795208 , "size_GB" :  433.12 , "storage_GB" : 54.61, "index_GB" : 0.85 } { "collection" : "tracking_aftersale", "count" :  29762515 , "size_GB" :  36.24 , "storage_GB" : 6.9, "index_GB" : 0.31 } Check TTL index thì cũng chưa có, vậy nhờ anh  @Lê Huy Hùng  và  @Phạm Hồng Quang  check giúp xem phần data này có thể đặt TTL index để xóa không? Nếu đặt được thì đặt xóa theo cột nào, theo thời gian giữ lại bao lâu data?</t>
  </si>
  <si>
    <t>[Merchant-TCB] Pre-check INACTIVE 80 store/terminal GOLDENGATE (PROD)</t>
  </si>
  <si>
    <t>2026-07-20T17:26:22.612+0700</t>
  </si>
  <si>
    <t>2026-07-20T17:26:29.895+0700</t>
  </si>
  <si>
    <t>Dear team, nhờ team chạy giúp các câu lệnh SELECT (READ-ONLY) để pre-check trước khi INACTIVE 80 store/terminal của merchant GOLDENGATE ạ. Toàn bộ là SELECT, KHÔNG ghi dữ liệu. Mục đích: TCB báo 40 TID lỗi; stakeholder yêu cầu INACTIVE cả 80 dòng (40 SMARTPOS_QR + 40 SMARTPOS_CARD) bên MP. Ticket write sẽ tạo sau khi có kết quả pre-check này. Thông tin database https://console.cloud.google.com/sql/instances/merchant-tcb/overview?project=vinid-merchant-prod DB_MYSQL_HOST=172.31.4.108 DB_MYSQL_DATABASE=merchant_service_tcb P1. Store theo SID (kỳ vọng 80 dòng) + trạng thái hiện tại SELECT s.tcb_store_id, s.tcb_store_code, s.code, s.status
FROM tpay_store s
WHERE s.tcb_merchant_code='GOLDENGATE' AND s.deleted_at IS NULL
  AND s.tcb_store_id IN ('S14014679651462', 'S14463108088612', 'S13512448786351', 'S15060760663507', 'S14285619666951', 'S13789011478396', 'S17243403385186', 'S16912608205605', 'S18316756319342', 'S14529700130668', 'S18944841449709', 'S12906951721666', 'S12145318648119', 'S11617020012168', 'S19686633228872', 'S18335202544517', 'S17501175893164', 'S11402916267751', 'S19736201868321', 'S16614318971580', 'S18423340048804', 'S13490358084280', 'S12086076546098', 'S17198335786394', 'S19036092088477', 'S18724879722910', 'S16315801478078', 'S19291616960098', 'S17369622943885', 'S11278369641801', 'S19914673220772', 'S19724944207640', 'S16258761131959', 'S19599840849272', 'S19617099054336', 'S15410952583888', 'S13342013443999', 'S13224543091684', 'S19505207064683', 'S14080245303326', 'S600045157QJFYA', 'S60004537DJCR0P', 'S60004526G72KRJ', 'S60004508S99RYE', 'S60004506N3SD2X', 'S6000450580W4N9', 'S6000450780KS0K', 'S600045275V1D8B', 'S60004528RVAXW9', 'S60004520B21KMS', 'S60004500P7P9YA', 'S60004533TMM9WB', 'S60004504GHS0GA', 'S6000451999Y29R', 'S60004534SRRZD8', 'S60004516RFWDH5', 'S60004501TG1HWQ', 'S60004511ZDAGPG', 'S60004523EC8WA5', 'S600045026PT3D6', 'S60004531HHMD9F', 'S600045108ZRAZ5', 'S60004518YYM9QB', 'S60004517MCQBMF', 'S600045304G2TME', 'S6000453239ZGQJ', 'S60004522GQM67P', 'S6000451287PHT2', 'S60004525P7A49V', 'S60004513YKR5EK', 'S6000451479R6M2', 'S60004524CY9JGR', 'S60004509R51BX5', 'S60004521REYZ19', 'S60004529ADDGWD', 'S60004536JE2Z2V', 'S60004498PS6QH8', 'S60004499E2VAWZ', 'S60004503SSVNM3', 'S60004535N8BW3F'); P1b. CH2026… nằm ở cột code hay tcb_store_code (chốt cột match) SELECT COUNT(*) AS by_store_code FROM tpay_store
 WHERE tcb_merchant_code='GOLDENGATE' AND deleted_at IS NULL AND tcb_store_code IN ('CH2026070965TGRG', 'CH20260709QT3GEG', 'CH20260709P4288T', 'CH20260709PYEAAS', 'CH2026070959J5KG', 'CH202607099ENGE9', 'CH20260709YB8VND', 'CH20260709DG4E2F', 'CH202607094MHQGP', 'CH202607098DHRHQ', 'CH20260709Y26DRN', 'CH20260709EE4KQ5', 'CH20260709BCDTT0', 'CH20260709JTTJR9', 'CH20260709Z94N2M', 'CH20260709HP10GM', 'CH20260709G4W86Z', 'CH20260709EPS0TA', 'CH20260709NY1BTY', 'CH202607097RTFAM', 'CH20260709X59Z1J', 'CH20260709RQF1YQ', 'CH20260709TPHSS9', 'CH202607092NQE0P', 'CH20260709GMZ729', 'CH20260709MAZNKA', 'CH202607093PFAEJ', 'CH20260709F7HP4V', 'CH20260709RCZNTZ', 'CH20260709XKE9PA', 'CH202607092XNWJZ', 'CH20260709D0Q593', 'CH202607094HZP8A', 'CH20260709YWN72M', 'CH202607092F7X1A', 'CH20260709J0DWGG', 'CH20260709S3EH7E', 'CH202607090F2NB9', 'CH20260709CN46XD', 'CH20260709K2VQFE', 'CH20260709NF35G6', 'CH20260709H24MJN', 'CH20260709FJ8QZP', 'CH20260709HARK8V', 'CH20260709R793EB', 'CH202607095YGHEX', 'CH20260709NGJF11', 'CH2026070979ZVVC', 'CH202607098ET7VQ', 'CH20260709CFX1YC', 'CH20260709GE5XXJ', 'CH202607099GD3NY', 'CH20260709V5QY3X', 'CH20260709SPV7DP', 'CH20260709A6AK84', 'CH20260709SDQTN2', 'CH20260709VF584V', 'CH20260709X6FYTJ', 'CH20260709PRGKNW', 'CH20260709RGVNEF', 'CH20260709XGBGJA', 'CH20260709S30DFM', 'CH20260709C0F480', 'CH20260709CY6Y47', 'CH202607092FXAZH', 'CH202607092XNR14', 'CH2026070914C4BD', 'CH20260709AH87K9', 'CH2026070943DQF2', 'CH20260709JHBBYD', 'CH202607095ZCP0R', 'CH20260709SAXR0K', 'CH20260709B897MT', 'CH20260709VGEVA5', 'CH20260709S1QJM6', 'CH20260709S0ZXMH', 'CH2026070965TW9P', 'CH20260709RRRPZE', 'CH20260709MJMSW4', 'CH20260709G3876J');
SELECT COUNT(*) AS by_code FROM tpay_store
 WHERE tcb_merchant_code='GOLDENGATE' AND deleted_at IS NULL AND code IN ('CH2026070965TGRG', 'CH20260709QT3GEG', 'CH20260709P4288T', 'CH20260709PYEAAS', 'CH2026070959J5KG', 'CH202607099ENGE9', 'CH20260709YB8VND', 'CH20260709DG4E2F', 'CH202607094MHQGP', 'CH202607098DHRHQ', 'CH20260709Y26DRN', 'CH20260709EE4KQ5', 'CH20260709BCDTT0', 'CH20260709JTTJR9', 'CH20260709Z94N2M', 'CH20260709HP10GM', 'CH20260709G4W86Z', 'CH20260709EPS0TA', 'CH20260709NY1BTY', 'CH202607097RTFAM', 'CH20260709X59Z1J', 'CH20260709RQF1YQ', 'CH20260709TPHSS9', 'CH202607092NQE0P', 'CH20260709GMZ729', 'CH20260709MAZNKA', 'CH202607093PFAEJ', 'CH20260709F7HP4V', 'CH20260709RCZNTZ', 'CH20260709XKE9PA', 'CH202607092XNWJZ', 'CH20260709D0Q593', 'CH202607094HZP8A', 'CH20260709YWN72M', 'CH202607092F7X1A', 'CH20260709J0DWGG', 'CH20260709S3EH7E', 'CH202607090F2NB9', 'CH20260709CN46XD', 'CH20260709K2VQFE', 'CH20260709NF35G6', 'CH20260709H24MJN', 'CH20260709FJ8QZP', 'CH20260709HARK8V', 'CH20260709R793EB', 'CH202607095YGHEX', 'CH20260709NGJF11', 'CH2026070979ZVVC', 'CH202607098ET7VQ', 'CH20260709CFX1YC', 'CH20260709GE5XXJ', 'CH202607099GD3NY', 'CH20260709V5QY3X', 'CH20260709SPV7DP', 'CH20260709A6AK84', 'CH20260709SDQTN2', 'CH20260709VF584V', 'CH20260709X6FYTJ', 'CH20260709PRGKNW', 'CH20260709RGVNEF', 'CH20260709XGBGJA', 'CH20260709S30DFM', 'CH20260709C0F480', 'CH20260709CY6Y47', 'CH202607092FXAZH', 'CH202607092XNR14', 'CH2026070914C4BD', 'CH20260709AH87K9', 'CH2026070943DQF2', 'CH20260709JHBBYD', 'CH202607095ZCP0R', 'CH20260709SAXR0K', 'CH20260709B897MT', 'CH20260709VGEVA5', 'CH20260709S1QJM6', 'CH20260709S0ZXMH', 'CH2026070965TW9P', 'CH20260709RRRPZE', 'CH20260709MJMSW4', 'CH20260709G3876J'); P2. Terminal theo TID (kỳ vọng 80 dòng) — xác nhận cột tcb_terminal_id có tồn tại SELECT t.tcb_terminal_id, t.tcb_terminal_code, t.code, t.store_code, t.status
FROM tpay_terminal t
WHERE t.tcb_merchant_code='GOLDENGATE' AND t.deleted_at IS NULL
  AND t.tcb_terminal_id IN ('T17123194724650', 'T11228895609322', 'T14315074585636', 'T18765295030466', 'T19805067126829', 'T11281380037164', 'T18036897747772', 'T18612848367050', 'T12621235164864', 'T15306733208275', 'T11544368001885', 'T14920842718255', 'T12858006560235', 'T15192972896034', 'T12369836104115', 'T13485546252547', 'T18538577133897', 'T15577986461776', 'T13385928478544', 'T14413601800897', 'T17960271658997', 'T19706895138499', 'T18239169040246', 'T19372089387456', 'T11862112406696', 'T16322963342877', 'T13675369559081', 'T15083664290018', 'T12266894592977', 'T19374171312014', 'T16000144861941', 'T19460438119595', 'T14999699449111', 'T16691997153674', 'T17694028355619', 'T15015430202652', 'T15634746087549', 'T14586279271132', 'T12183791740174', 'T13367650239772', '60004515', '60004537', '60004526', '60004508', '60004506', '60004505', '60004507', '60004527', '60004528', '60004520', '60004500', '60004533', '60004504', '60004519', '60004534', '60004516', '60004501', '60004511', '60004523', '60004502', '60004531', '60004510', '60004518', '60004517', '60004530', '60004532', '60004522', '60004512', '60004525', '60004513', '60004514', '60004524', '60004509', '60004521', '60004529', '60004536', '60004498', '60004499', '60004503', '60004535'); Nếu cột tcb_terminal_id KHÔNG tồn tại, nhờ team báo lại và chạy bản theo tcb_terminal_code: SELECT t.tcb_terminal_code, t.code, t.store_code, t.status
FROM tpay_terminal t
WHERE t.tcb_merchant_code='GOLDENGATE' AND t.deleted_at IS NULL
  AND t.tcb_terminal_code IN ('QTT_CH2026070965TGRG_EXSDSX', 'QTT_CH20260709QT3GEG_RCDTXS', 'QTT_CH20260709P4288T_C8BD54', 'QTT_CH20260709PYEAAS_P4MR25', 'QTT_CH2026070959J5KG_XHJ65A', 'QTT_CH202607099ENGE9_AYH7WH', 'QTT_CH20260709YB8VND_2S4Y56', 'QTT_CH20260709DG4E2F_V6EXV5', 'QTT_CH202607094MHQGP_VAHZF0', 'QTT_CH202607098DHRHQ_9VW308', 'QTT_CH20260709Y26DRN_HM2R02', 'QTT_CH20260709EE4KQ5_RQZ2JR', 'QTT_CH20260709BCDTT0_H4J8Y6', 'QTT_CH20260709JTTJR9_6MMRPH', 'QTT_CH20260709Z94N2M_5SGYNB', 'QTT_CH20260709HP10GM_2NQT1E', 'QTT_CH20260709G4W86Z_PPSTWH', 'QTT_CH20260709EPS0TA_24KQ35', 'QTT_CH20260709NY1BTY_0XW3NT', 'QTT_CH202607097RTFAM_5PDMTX', 'QTT_CH20260709X59Z1J_PMDPMC', 'QTT_CH20260709RQF1YQ_9B9DEZ', 'QTT_CH20260709TPHSS9_9NF9F6', 'QTT_CH202607092NQE0P_6KTX2N', 'QTT_CH20260709GMZ729_NRWJ6G', 'QTT_CH20260709MAZNKA_JFZCR2', 'QTT_CH202607093PFAEJ_3H165X', 'QTT_CH20260709F7HP4V_ZNPHGV', 'QTT_CH20260709RCZNTZ_11D0SJ', 'QTT_CH20260709XKE9PA_5SM7VA', 'QTT_CH202607092XNWJZ_5RMEZ7', 'QTT_CH20260709D0Q593_71G71X', 'QTT_CH202607094HZP8A_67QCFW', 'QTT_CH20260709YWN72M_ATBYNS', 'QTT_CH202607092F7X1A_BBDS0B', 'QTT_CH20260709J0DWGG_VYQRRD', 'QTT_CH20260709S3EH7E_4GH6CF', 'QTT_CH202607090F2NB9_MJXJ6M', 'QTT_CH20260709CN46XD_6TKK0X', 'QTT_CH20260709K2VQFE_MQPSWY', 'QTT_20260709_2JNX8R', 'QTT_20260709_ECW9YM', 'QTT_20260709_W9BAWR', 'QTT_20260709_6HA1S0', 'QTT_20260709_A4BD51', 'QTT_20260709_YY52Y7', 'QTT_20260709_7P8VWJ', 'QTT_20260709_1GC2WT', 'QTT_20260709_DPYRXZ', 'QTT_20260709_J6NPWF', 'QTT_20260709_RNVEEG', 'QTT_20260709_K1ETTC', 'QTT_20260709_KG5BXC', 'QTT_20260709_J8JTHF', 'QTT_20260709_212D52', 'QTT_20260709_FGATYD', 'QTT_20260709_9BH8P1', 'QTT_20260709_7T31T6', 'QTT_20260709_QQWDG3', 'QTT_20260709_QXM3Y6', 'QTT_20260709_DJ11EP', 'QTT_20260709_491HZQ', 'QTT_20260709_HJBP3C', 'QTT_20260709_DTVNBP', 'QTT_20260709_EAKK8X', 'QTT_20260709_Q8CSPX', 'QTT_20260709_AN17K8', 'QTT_20260709_7XEKV8', 'QTT_20260709_09F0ST', 'QTT_20260709_S1J2P3', 'QTT_20260709_EGZKRF', 'QTT_20260709_9QFHDM', 'QTT_20260709_3FTE7J', 'QTT_20260709_DA8PA9', 'QTT_20260709_QA9Y1G', 'QTT_20260709_3ZAVDR', 'QTT_20260709_TZRDGN', 'QTT_20260709_YK0H9F', 'QTT_20260709_ZCBTSV', 'QTT_20260709_R1TZXK'); P3. store_service theo store (kỳ vọng 1:1 → 80 dòng) SELECT s.tcb_store_id, ss.service_id, ss.status
FROM tpay_store s JOIN tpay_store_service ss ON ss.store_id=s.id AND ss.deleted_at IS NULL
WHERE s.tcb_merchant_code='GOLDENGATE' AND s.deleted_at IS NULL AND s.tcb_store_id IN ('S14014679651462', 'S14463108088612', 'S13512448786351', 'S15060760663507', 'S14285619666951', 'S13789011478396', 'S17243403385186', 'S16912608205605', 'S18316756319342', 'S14529700130668', 'S18944841449709', 'S12906951721666', 'S12145318648119', 'S11617020012168', 'S19686633228872', 'S18335202544517', 'S17501175893164', 'S11402916267751', 'S19736201868321', 'S16614318971580', 'S18423340048804', 'S13490358084280', 'S12086076546098', 'S17198335786394', 'S19036092088477', 'S18724879722910', 'S16315801478078', 'S19291616960098', 'S17369622943885', 'S11278369641801', 'S19914673220772', 'S19724944207640', 'S16258761131959', 'S19599840849272', 'S19617099054336', 'S15410952583888', 'S13342013443999', 'S13224543091684', 'S19505207064683', 'S14080245303326', 'S600045157QJFYA', 'S60004537DJCR0P', 'S60004526G72KRJ', 'S60004508S99RYE', 'S60004506N3SD2X', 'S6000450580W4N9', 'S6000450780KS0K', 'S600045275V1D8B', 'S60004528RVAXW9', 'S60004520B21KMS', 'S60004500P7P9YA', 'S60004533TMM9WB', 'S60004504GHS0GA', 'S6000451999Y29R', 'S60004534SRRZD8', 'S60004516RFWDH5', 'S60004501TG1HWQ', 'S60004511ZDAGPG', 'S60004523EC8WA5', 'S600045026PT3D6', 'S60004531HHMD9F', 'S600045108ZRAZ5', 'S60004518YYM9QB', 'S60004517MCQBMF', 'S600045304G2TME', 'S6000453239ZGQJ', 'S60004522GQM67P', 'S6000451287PHT2', 'S60004525P7A49V', 'S60004513YKR5EK', 'S6000451479R6M2', 'S60004524CY9JGR', 'S60004509R51BX5', 'S60004521REYZ19', 'S60004529ADDGWD', 'S60004536JE2Z2V', 'S60004498PS6QH8', 'S60004499E2VAWZ', 'S60004503SSVNM3', 'S60004535N8BW3F'); P4. terminal_service theo terminal (kỳ vọng 1:1 → 80 dòng) SELECT t.tcb_terminal_id, ts.status
FROM tpay_terminal t JOIN tpay_terminal_service ts ON ts.terminal_code=t.code AND ts.deleted_at IS NULL
WHERE t.tcb_merchant_code='GOLDENGATE' AND t.deleted_at IS NULL AND t.tcb_terminal_id IN ('T17123194724650', 'T11228895609322', 'T14315074585636', 'T18765295030466', 'T19805067126829', 'T11281380037164', 'T18036897747772', 'T18612848367050', 'T12621235164864', 'T15306733208275', 'T11544368001885', 'T14920842718255', 'T12858006560235', 'T15192972896034', 'T12369836104115', 'T13485546252547', 'T18538577133897', 'T15577986461776', 'T13385928478544', 'T14413601800897', 'T17960271658997', 'T19706895138499', 'T18239169040246', 'T19372089387456', 'T11862112406696', 'T16322963342877', 'T13675369559081', 'T15083664290018', 'T12266894592977', 'T19374171312014', 'T16000144861941', 'T19460438119595', 'T14999699449111', 'T16691997153674', 'T17694028355619', 'T15015430202652', 'T15634746087549', 'T14586279271132', 'T12183791740174', 'T13367650239772', '60004515', '60004537', '60004526', '60004508', '60004506', '60004505', '60004507', '60004527', '60004528', '60004520', '60004500', '60004533', '60004504', '60004519', '60004534', '60004516', '60004501', '60004511', '60004523', '60004502', '60004531', '60004510', '60004518', '60004517', '60004530', '60004532', '60004522', '60004512', '60004525', '60004513', '60004514', '60004524', '60004509', '60004521', '60004529', '60004536', '60004498', '60004499', '60004503', '60004535'); P5. Consistency store(SID) ↔ terminal(TID) — kỳ vọng 80 cặp SELECT s.tcb_store_id, t.tcb_terminal_id
FROM tpay_store s JOIN tpay_terminal t ON t.store_code=s.code AND t.deleted_at IS NULL
WHERE s.tcb_merchant_code='GOLDENGATE' AND s.deleted_at IS NULL AND s.tcb_store_id IN ('S14014679651462', 'S14463108088612', 'S13512448786351', 'S15060760663507', 'S14285619666951', 'S13789011478396', 'S17243403385186', 'S16912608205605', 'S18316756319342', 'S14529700130668', 'S18944841449709', 'S12906951721666', 'S12145318648119', 'S11617020012168', 'S19686633228872', 'S18335202544517', 'S17501175893164', 'S11402916267751', 'S19736201868321', 'S16614318971580', 'S18423340048804', 'S13490358084280', 'S12086076546098', 'S17198335786394', 'S19036092088477', 'S18724879722910', 'S16315801478078', 'S19291616960098', 'S17369622943885', 'S11278369641801', 'S19914673220772', 'S19724944207640', 'S16258761131959', 'S19599840849272', 'S19617099054336', 'S15410952583888', 'S13342013443999', 'S13224543091684', 'S19505207064683', 'S14080245303326', 'S600045157QJFYA', 'S60004537DJCR0P', 'S60004526G72KRJ', 'S60004508S99RYE', 'S60004506N3SD2X', 'S6000450580W4N9', 'S6000450780KS0K', 'S600045275V1D8B', 'S60004528RVAXW9', 'S60004520B21KMS', 'S60004500P7P9YA', 'S60004533TMM9WB', 'S60004504GHS0GA', 'S6000451999Y29R', 'S60004534SRRZD8', 'S60004516RFWDH5', 'S60004501TG1HWQ', 'S60004511ZDAGPG', 'S60004523EC8WA5', 'S600045026PT3D6', 'S60004531HHMD9F', 'S600045108ZRAZ5', 'S60004518YYM9QB', 'S60004517MCQBMF', 'S600045304G2TME', 'S6000453239ZGQJ', 'S60004522GQM67P', 'S6000451287PHT2', 'S60004525P7A49V', 'S60004513YKR5EK', 'S6000451479R6M2', 'S60004524CY9JGR', 'S60004509R51BX5', 'S60004521REYZ19', 'S60004529ADDGWD', 'S60004536JE2Z2V', 'S60004498PS6QH8', 'S60004499E2VAWZ', 'S60004503SSVNM3', 'S60004535N8BW3F'); Nhờ team trả kết quả kèm số dòng mỗi query (và breakdown status ở P1/P2). Cảm ơn team ạ.</t>
  </si>
  <si>
    <t>[PROD][OneU &amp; NEXA] Mở whitelist merchant/user sử dụng cổng MDP</t>
  </si>
  <si>
    <t>2026-07-20T16:50:21.949+0700</t>
  </si>
  <si>
    <t>2026-07-20T16:50:28.513+0700</t>
  </si>
  <si>
    <t>Description Dear  @Nguyễn Văn Dũng   a  @Đào Công Nghĩa , Nhờ 2 a chạy giúp e script này với ạ: Database: mysql://vinpay-sql-onehub-master.int.vinid.net:3306/pay_payment_gateway Script: UPDATE SYSTEM_CONFIGURATION SET is_active = 0 WHERE system_param_code  = 'MERCHANT_CONFIG_PILOT_NEXA';
UPDATE SYSTEM_CONFIGURATION SET is_active = '3921183,4979923,215348,5660758,10248447,697261,1043480,3442705,862849,1131745' WHERE system_param_code  = 'USER_ID_PILOT_NEXA'; Em cảm ơn 2 a ạ.</t>
  </si>
  <si>
    <t>[LP][Core] Xuất dữ liệu điểm hết hạn đã thu hồi cho team BI</t>
  </si>
  <si>
    <t>2026-07-20T16:40:57.978+0700</t>
  </si>
  <si>
    <t>2026-07-21T10:31:06.186+0700</t>
  </si>
  <si>
    <t>Dear DBA Team, Nhờ team thực hiện  “Xuất dữ liệu điểm hết hạn đã thu hồi cho team BI” Thông tin database: IP: 10.255.23.119 Service name: oneloyaltydb Port: 1521 schema app: OLOYALTY SQL WITH query_params AS (
    SELECT
        TIMESTAMP '2026-06-01 00:00:00' AS retrieve_from,
        TIMESTAMP '2026-07-18 00:00:00' AS retrieve_to
    FROM dual
),
worker_runs AS (
    SELECT
        h.execute_time,
        cfg.id                         AS config_id,
        cfg.business_id,
        cfg.program_id,
        cfg.pool_id,
        cfg.store_id,
        cfg.pos_id,
        cfg.txn_service_code
    FROM point_expiration_retrieve_history h
    JOIN point_expiration_retrieve_config cfg
        ON cfg.id = h.point_expiration_retrieve_config_id
    CROSS JOIN query_params prm
    WHERE h.execute_time &gt;= prm.retrieve_from
      AND h.execute_time &lt;  prm.retrieve_to
)
SELECT
    COALESCE(up.master_user_id,  m.partner_customer_id)  AS user_id,
    up.master_user_id,
    m.partner_customer_id,
    th.business_id,
    th.program_id,
    c.code                              AS point_system,
    p.code                              AS pool_code,
    th.redeem_point                     AS point_amount,
    th.transaction_time                 AS retrieved_at,
    wr.execute_time                     AS worker_execute_time,
    wr.config_id,
    th.id                               AS transaction_history_id,
    th.point_transaction_id,
    th.service_code
FROM transaction_history th
JOIN worker_runs wr
   ON wr.business_id  = th.business_id
   AND wr.program_id   = th.program_id
   AND wr.pool_id      = th.pool_id
   AND wr.store_id     = th.store_id
   AND wr.pos_id       = th.pos_id
   AND wr.txn_service_code = th.service_code
JOIN user_profile up
    ON up.id = th.user_profile_id
JOIN member m
    ON m.id = th.member_id
JOIN pool p
    ON p.id = th.pool_id
JOIN currency c
    ON c.id = p.currency_id
CROSS JOIN query_params prm
WHERE th.transaction_time &gt;= prm.retrieve_from
  AND th.transaction_time &lt;  prm.retrieve_to
  AND th.transaction_type = 'ADJ'
  AND th.status = 'S'
  AND th.redeem_point &gt; 0
  AND th.point_transaction_id IS NOT NULL
  AND NVL(th.cancellation, 'N') &lt;&gt; 'Y';</t>
  </si>
  <si>
    <t>[om][mag-hub][nonprod] Hỗ trợ migrate data cho scc hub</t>
  </si>
  <si>
    <t>2026-07-20T14:52:48.939+0700</t>
  </si>
  <si>
    <t>2026-07-20T14:52:56.146+0700</t>
  </si>
  <si>
    <t>Hi  @Hà Văn Vượng   @Đào Công Nghĩa   Nhờ 2 chú clone data từ các db bên dưới sang db mới phục vụ cho dự án scc hub nhé STT gcp project Source instance (IP) / DB name Destination instance / DB name 1 vinid-app-common-dev main (172.31.0.16)  / sccollab_qc main-mysql-8-2 (172.31.0.68)  / scc_hub_qc 2 vinid-app-common-dev main (172.31.0.16)  / sccollab_uat main-mysql-8-2 (172.31.0.68)  / scc_hub_uat</t>
  </si>
  <si>
    <t>[Team OneNexus AIP]_Provision PostgreSQL for file-artifact service (non-prod)</t>
  </si>
  <si>
    <t>2026-07-20T14:51:29.595+0700</t>
  </si>
  <si>
    <t>2026-07-20T14:51:39.416+0700</t>
  </si>
  <si>
    <t>Description: Hi DBA Team,   Nhờ team hỗ trợ tạo PostgreSQL database cho service mới "file-artifact" (Keystone) — service backend cho tính năng Upload file.   Service : file-artifact (Keystone) Environment: Non-prod (dev/qc/staging)  Sizing : Default/small instance {{2 vCPU / 4GB RAM / 20GB storage }} (có thể điều chỉnh sau nếu tải tăng)  Note: Đây là service mới, cần tạo DB riêng cho namespace file-artifact ở các môi trường non-prod trước</t>
  </si>
  <si>
    <t>[PROD] [18/07/2026] [UPay] Support release plan golive</t>
  </si>
  <si>
    <t>2026-07-20T13:39:50.504+0700</t>
  </si>
  <si>
    <t>2026-07-20T13:40:07.774+0700</t>
  </si>
  <si>
    <t>Hi a   @Nguyễn Văn Dũng  , nhờ a chạy giúp e script bên dưới khi bắt đầu golive với ạ Thời gian golive: 23h59p ngày 18/07/2026 Release golive:    CR:  https://onemount.atlassian.net/servicedesk/customer/portal/15/SH-72364?created=true Script:  1. PMBH: -- Tạo 6 bảng PMBH
CREATE TABLE DEVICE_LINK (
id bigint NOT NULL AUTO_INCREMENT,
service varchar(32) COLLATE utf8mb4_unicode_ci NOT NULL COMMENT 'SMARTPOS/SOUNDBOX',
partner_code varchar(32) COLLATE utf8mb4_unicode_ci DEFAULT NULL COMMENT 'Partner identifier',
merchant_code varchar(32) COLLATE utf8mb4_unicode_ci NOT NULL,
card_merchant_id varchar(64) COLLATE utf8mb4_unicode_ci DEFAULT NULL COMMENT 'CARD merchant ID',
card_terminal_id varchar(64) COLLATE utf8mb4_unicode_ci DEFAULT NULL COMMENT 'CARD terminal ID',
qr_merchant_id varchar(64) COLLATE utf8mb4_unicode_ci DEFAULT NULL COMMENT 'QR merchant ID',
qr_store_id varchar(64) COLLATE utf8mb4_unicode_ci DEFAULT NULL COMMENT 'QR store ID',
qr_terminal_id varchar(64) COLLATE utf8mb4_unicode_ci DEFAULT NULL COMMENT 'QR terminal ID',
device_serial_number varchar(64) COLLATE utf8mb4_unicode_ci NOT NULL,
status varchar(16) COLLATE utf8mb4_unicode_ci NOT NULL DEFAULT 'LINKED',
created_at timestamp DEFAULT CURRENT_TIMESTAMP,
updated_at timestamp DEFAULT CURRENT_TIMESTAMP ON UPDATE CURRENT_TIMESTAMP,
request_id varchar(100) COLLATE utf8mb4_unicode_ci DEFAULT NULL COMMENT 'PMBH link request id',
callback_url varchar(512) COLLATE utf8mb4_unicode_ci DEFAULT NULL COMMENT 'PMBH callback URL',
error_code varchar(64) COLLATE utf8mb4_unicode_ci DEFAULT NULL COMMENT 'Last link error code',
error_message varchar(512) COLLATE utf8mb4_unicode_ci DEFAULT NULL COMMENT 'Last link error message',
requested_at timestamp NULL DEFAULT NULL COMMENT 'PMBH request accepted time',
confirmed_at timestamp NULL DEFAULT NULL COMMENT 'POS final confirmation time',
PRIMARY KEY (id) /*T![clustered_index] CLUSTERED */,
KEY idx_status (status),
KEY idx_card_lookup (service,merchant_code,card_merchant_id,card_terminal_id),
KEY idx_qr_lookup (service,merchant_code,qr_merchant_id,qr_terminal_id),
UNIQUE KEY uk_device_serial_number (device_serial_number),
KEY idx_card_partner_lookup (service,merchant_code,partner_code,card_merchant_id,card_terminal_id,status),
KEY idx_qr_partner_store_lookup (service,merchant_code,partner_code,qr_merchant_id,qr_terminal_id,qr_store_id,status),
UNIQUE KEY uk_request_id (request_id),
KEY idx_status_updated_at (status,updated_at)
) ENGINE=InnoDB DEFAULT CHARSET=utf8mb4 COLLATE=utf8mb4_unicode_ci;
CREATE TABLE DEVICE_LINK_HISTORY (
id bigint NOT NULL AUTO_INCREMENT,
device_link_id bigint NOT NULL COMMENT 'FK to DEVICE_LINK.id',
service varchar(32) COLLATE utf8mb4_unicode_ci NOT NULL,
partner_code varchar(32) COLLATE utf8mb4_unicode_ci NOT NULL,
merchant_code varchar(32) COLLATE utf8mb4_unicode_ci NOT NULL,
card_merchant_id varchar(64) COLLATE utf8mb4_unicode_ci DEFAULT NULL,
card_terminal_id varchar(64) COLLATE utf8mb4_unicode_ci DEFAULT NULL,
qr_merchant_id varchar(64) COLLATE utf8mb4_unicode_ci DEFAULT NULL,
qr_store_id varchar(64) COLLATE utf8mb4_unicode_ci DEFAULT NULL,
qr_terminal_id varchar(64) COLLATE utf8mb4_unicode_ci DEFAULT NULL,
device_serial_number varchar(64) COLLATE utf8mb4_unicode_ci NOT NULL,
status varchar(16) COLLATE utf8mb4_unicode_ci NOT NULL,
change_type varchar(16) COLLATE utf8mb4_unicode_ci NOT NULL COMMENT 'INSERT/UPDATE/DELETE',
changed_by varchar(64) COLLATE utf8mb4_unicode_ci DEFAULT NULL,
snapshot_at timestamp NOT NULL DEFAULT CURRENT_TIMESTAMP,
request_id varchar(100) COLLATE utf8mb4_unicode_ci DEFAULT NULL,
callback_url varchar(512) COLLATE utf8mb4_unicode_ci DEFAULT NULL,
error_code varchar(64) COLLATE utf8mb4_unicode_ci DEFAULT NULL,
error_message varchar(512) COLLATE utf8mb4_unicode_ci DEFAULT NULL,
requested_at timestamp NULL DEFAULT NULL,
confirmed_at timestamp NULL DEFAULT NULL,
PRIMARY KEY (id) /*T![clustered_index] CLUSTERED */,
KEY idx_device_link_id (device_link_id),
KEY idx_snapshot_at (snapshot_at),
KEY idx_device_serial (device_serial_number)
) ENGINE=InnoDB DEFAULT CHARSET=utf8mb4 COLLATE=utf8mb4_unicode_ci;
CREATE TABLE PAYMENT_REQUESTS (
id bigint NOT NULL AUTO_INCREMENT,
order_id varchar(64) COLLATE utf8mb4_unicode_ci NOT NULL,
transaction_id varchar(64) COLLATE utf8mb4_unicode_ci DEFAULT NULL,
service varchar(32) COLLATE utf8mb4_unicode_ci NOT NULL,
merchant_code varchar(32) COLLATE utf8mb4_unicode_ci NOT NULL,
merchant_id varchar(64) COLLATE utf8mb4_unicode_ci NOT NULL,
terminal_id varchar(64) COLLATE utf8mb4_unicode_ci NOT NULL,
transaction_type varchar(16) COLLATE utf8mb4_unicode_ci DEFAULT NULL,
amount bigint NOT NULL,
payment_amount bigint DEFAULT NULL,
promo_eligible_amount bigint DEFAULT NULL,
callback_url varchar(512) COLLATE utf8mb4_unicode_ci DEFAULT NULL,
order_data json DEFAULT NULL,
promotion_data json DEFAULT NULL,
merchant_order_detail json DEFAULT NULL,
merchant_extra_data json DEFAULT NULL,
payment_result json DEFAULT NULL,
status varchar(32) COLLATE utf8mb4_unicode_ci NOT NULL DEFAULT 'WAITING_PAYMENT',
created_at timestamp DEFAULT CURRENT_TIMESTAMP,
updated_at timestamp DEFAULT CURRENT_TIMESTAMP ON UPDATE CURRENT_TIMESTAMP,
correlation_data varchar(100) COLLATE utf8mb4_unicode_ci DEFAULT NULL,
client_id varchar(100) COLLATE utf8mb4_unicode_ci DEFAULT NULL,
partner_code varchar(100) COLLATE utf8mb4_unicode_ci DEFAULT NULL,
store_id varchar(100) COLLATE utf8mb4_unicode_ci DEFAULT NULL,
PRIMARY KEY (id) /*T![clustered_index] CLUSTERED */,
KEY idx_order_id (order_id),
KEY idx_status_created (status,created_at),
UNIQUE KEY transaction_id (transaction_id),
KEY idx_correlation_data (correlation_data),
KEY idx_partner_code (partner_code),
KEY idx_store_id (store_id),
KEY idx_merchant_terminal_order (merchant_id,terminal_id,order_id)
) ENGINE=InnoDB DEFAULT CHARSET=utf8mb4 COLLATE=utf8mb4_unicode_ci;
CREATE TABLE PAYMENT_REQUESTS_HISTORY (
id bigint NOT NULL AUTO_INCREMENT,
payment_request_id bigint NOT NULL,
correlation_data varchar(100) COLLATE utf8mb4_unicode_ci DEFAULT NULL,
status varchar(32) COLLATE utf8mb4_unicode_ci NOT NULL,
error_message varchar(512) COLLATE utf8mb4_unicode_ci DEFAULT NULL,
payment_result json DEFAULT NULL,
created_at timestamp NOT NULL DEFAULT CURRENT_TIMESTAMP,
PRIMARY KEY (id) /*T![clustered_index] CLUSTERED */,
KEY idx_payment_request_id (payment_request_id),
KEY idx_created_at (created_at)
) ENGINE=InnoDB DEFAULT CHARSET=utf8mb4 COLLATE=utf8mb4_unicode_ci;
CREATE TABLE PAYMENT_TRANSACTION_MESSAGE (
id bigint NOT NULL AUTO_INCREMENT,
payment_transaction_id varchar(100) COLLATE utf8mb4_unicode_ci DEFAULT NULL,
message_id varchar(128) COLLATE utf8mb4_unicode_ci NOT NULL,
message_type varchar(32) COLLATE utf8mb4_unicode_ci NOT NULL DEFAULT 'PAYMENT',
message_data json NOT NULL,
device_serial_number varchar(64) COLLATE utf8mb4_unicode_ci NOT NULL,
status varchar(32) COLLATE utf8mb4_unicode_ci NOT NULL DEFAULT 'SENDING',
error_message varchar(512) COLLATE utf8mb4_unicode_ci DEFAULT NULL,
retry_count int DEFAULT '0',
payment_result json DEFAULT NULL,
created_at timestamp DEFAULT CURRENT_TIMESTAMP,
updated_at timestamp DEFAULT CURRENT_TIMESTAMP ON UPDATE CURRENT_TIMESTAMP,
sent_at timestamp NULL DEFAULT NULL,
received_at timestamp NULL DEFAULT NULL,
PRIMARY KEY (id) /*T![clustered_index] CLUSTERED */,
KEY idx_message_id (message_id),
KEY idx_device_serial (device_serial_number),
KEY idx_status_created (status,created_at),
UNIQUE KEY message_id (message_id),
KEY idx_payment_transaction_id (payment_transaction_id),
KEY idx_message_type_status_created (message_type,status,created_at)
) ENGINE=InnoDB DEFAULT CHARSET=utf8mb4 COLLATE=utf8mb4_unicode_ci;
CREATE TABLE PAYMENT_TRANSACTION_MESSAGE_HISTORY (
id bigint NOT NULL AUTO_INCREMENT,
payment_transaction_message_id bigint NOT NULL,
message_id varchar(128) COLLATE utf8mb4_unicode_ci NOT NULL,
status varchar(32) COLLATE utf8mb4_unicode_ci NOT NULL,
error_message varchar(512) COLLATE utf8mb4_unicode_ci DEFAULT NULL,
retry_count int DEFAULT '0',
created_at timestamp DEFAULT CURRENT_TIMESTAMP,
PRIMARY KEY (id) /*T![clustered_index] CLUSTERED */,
KEY idx_message_id (payment_transaction_message_id),
KEY idx_created_at (created_at)
) ENGINE=InnoDB DEFAULT CHARSET=utf8mb4 COLLATE=utf8mb4_unicode_ci;</t>
  </si>
  <si>
    <t>[OMC][MTP] Clear dữ liệu tracking tháng 06/2026</t>
  </si>
  <si>
    <t>2026-07-20T11:31:18.921+0700</t>
  </si>
  <si>
    <t>2026-07-20T11:31:38.647+0700</t>
  </si>
  <si>
    <t>Dear anh  @Nguyễn Văn Dũng  ,  @Đào Công Nghĩa  , nhờ anh/em chạy giúp script sau: -- OMC
use omc_mtp_tracking_events;
ALTER TABLE omc_mtp_tracking_events.mtp_tracking_events_omc  DROP INDEX idx_u_message_id;
ALTER TABLE omc_mtp_tracking_events.mtp_tracking_events_omc DROP PARTITION p20260601;
-- ALTER TABLE omc_mtp_tracking_events.mtp_tracking_events_omc DROP PARTITION p20260502;
ALTER TABLE omc_mtp_tracking_events.mtp_tracking_events_context_omc DROP PARTITION p20260601;
-- ALTER TABLE omc_mtp_tracking_events.mtp_tracking_events_context_omc DROP PARTITION p20260502;
ALTER TABLE omc_mtp_tracking_events.mtp_tracking_event_sessions DROP PARTITION p2026_06;
use omc_mtp_martech_activation;
ALTER TABLE omc_mtp_martech_activation.mtp_ads_events DROP PARTITION p2026_06;
ALTER TABLE omc_mtp_martech_activation.mtp_push_events DROP PARTITION p2026_06;
ALTER TABLE omc_mtp_martech_activation.mtp_tracking_email_events DROP PARTITION p2026_06;
ALTER TABLE omc_mtp_martech_activation.mtp_tracking_email_notifications DROP PARTITION p2026_06;
ALTER TABLE omc_mtp_martech_activation.mtp_tracking_fcm_messages DROP PARTITION p2026_06;
ALTER TABLE omc_mtp_martech_activation.mtp_tracking_push_notifications DROP PARTITION p2026_06;
-- OMRE
use omre_mtp_tracking_events;
ALTER TABLE omre_mtp_tracking_events.mtp_tracking_events_omre  DROP INDEX idx_u_message_id;
ALTER TABLE omre_mtp_tracking_events.mtp_tracking_events_omre drop partition p20260601;
-- ALTER TABLE omre_mtp_tracking_events.mtp_tracking_events_omre drop partition p20260502;
ALTER TABLE omre_mtp_tracking_events.mtp_tracking_events_context_omre DROP PARTITION p20260601;
-- ALTER TABLE omre_mtp_tracking_events.mtp_tracking_events_context_omre DROP PARTITION p20260502;
-- create global index
use omc_mtp_tracking_events;
ALTER TABLE omc_mtp_tracking_events.mtp_tracking_events_omc ADD UNIQUE INDEX idx_u_message_id (message_id) GLOBAL;
use omre_mtp_tracking_events;
ALTER TABLE omre_mtp_tracking_events.mtp_tracking_events_omre ADD UNIQUE INDEX idx_u_message_id (message_id) GLOBAL; Best regards DInh Quang Nguyen</t>
  </si>
  <si>
    <t>2026-07-20T11:31:05.103+0700</t>
  </si>
  <si>
    <t>2026-07-20T11:31:19.633+0700</t>
  </si>
  <si>
    <t>IP (Host):   ces-production.crcykac8kxtw.ap-southeast-1.rds.amazonaws.com Port:   3306 DB Name:  ces_workflow_service Command:   update ces_workflow_service.v2_user_tasks set status = "CREATED" where task_id = '0fd20875-8014-11f1-a49a-56445f7605cc'</t>
  </si>
  <si>
    <t>[PROD] [VCM] Chạy migrate chuẩn bị cho release tối 18/07</t>
  </si>
  <si>
    <t>2026-07-20T09:30:57.196+0700</t>
  </si>
  <si>
    <t>2026-07-20T09:31:27.837+0700</t>
  </si>
  <si>
    <t>Dear DBA team,  Nhờ a/e hỗ trợ chạy migrate script cho golive tối 12/07/2026 Thời gian thực hiện.  Trước ngày 12/0/2026 1. Update loyalty_service_code = VOUCHER_REDEMPTION_SNP Thông tin DB: IP: 172.31.4.9
DB NAME: ecom-configruation Script : UPDATE `merchant_payment_configs` SET `loyalty_service_code`='VOUCHER_REDEMPTION_SNP' WHERE id = 676; Add  column vào bảng merchant_unified_mapping  T*hông tin DB:* IP: 172.31.1.41
DB NAME: vincart_mm_merchant Script : ALTER TABLE merchant_unified_mapping
    ADD COLUMN qr_code VARCHAR(255) NULL;
ALTER TABLE merchant_unified_mapping
    ADD COLUMN bin_code VARCHAR(50) NULL;
create index merchant_unified_mapping_idx2 on merchant_unified_mapping (qr_code,bin_code); Tạo bảng  vào DB ecom-datatransform T*hông tin DB:* IP: 172.31.4.10
DB NAME: ecom-data-transform Script : CREATE TABLE IF NOT EXISTS saga_refund_leg (
  id              BIGINT       NOT NULL AUTO_INCREMENT,
  invoice_number  VARCHAR(191) NOT NULL,
  user_id         VARCHAR(191) NOT NULL,
  leg             VARCHAR(16)  NOT NULL,   -- POINT|DISCOUNT|VOUCHER|ORDER
  status          VARCHAR(16)  NOT NULL,   -- PENDING|SUCCEEDED|FAILED|SKIPPED|IN_DOUBT
  attempts        INT          NOT NULL DEFAULT 0,
  last_error      TEXT         NULL,
  version         INT          NOT NULL DEFAULT 0,
  created_at      DATETIME(3)  NOT NULL,
  updated_at      DATETIME(3)  NOT NULL,
  PRIMARY KEY (id),
  UNIQUE KEY uk_invoice_leg (invoice_number, leg),
  KEY idx_user (user_id),
  KEY idx_status_updated (status, updated_at)
) ENGINE=InnoDB DEFAULT CHARSET=utf8mb4;
ALTER TABLE saga_state
  ADD COLUMN invoice_number VARCHAR(191) NULL,
  ADD COLUMN user_id        VARCHAR(191) NULL;
UPDATE saga_state
   SET invoice_number = JSON_UNQUOTE(JSON_EXTRACT(payload_json, '$.invoiceNumber')),
       user_id        = JSON_UNQUOTE(JSON_EXTRACT(payload_json, '$.userId'))
 WHERE invoice_number IS NULL;
ALTER TABLE saga_state
  ADD UNIQUE KEY uk_saga_invoice (invoice_number),
  ADD KEY        idx_saga_user   (user_id);</t>
  </si>
  <si>
    <t xml:space="preserve">[HRM - Quản lý nhân sự] xin quyền view thông tin chấm công </t>
  </si>
  <si>
    <t>2026-07-20T09:14:42.532+0700</t>
  </si>
  <si>
    <t>2026-07-20T09:15:19.853+0700</t>
  </si>
  <si>
    <t>HRMS</t>
  </si>
  <si>
    <t>Xin quyền access vào các bảng về chấm công để verify dữ liệu chấm công cho dự án HRM MAG IP : 172.31.1.222 schema : idstaff table : `idstaff`.`attendance_logs`, `idstaff`.`attendance_daily` IP : 10.255.15.32 db name : time_keeping table : [dbo].[attendance_centralized]</t>
  </si>
  <si>
    <t xml:space="preserve">[Merchant-OM] Hỗ trợ cập nhật dữ liệu 20260711 </t>
  </si>
  <si>
    <t>2026-07-19T00:02:39.250+0700</t>
  </si>
  <si>
    <t>2026-07-19T00:03:10.560+0700</t>
  </si>
  <si>
    <t>Dear team, Nhờ team chạy giúp câu lệnh bên dưới ạ. Thông tin database https://console.cloud.google.com/sql/instances/main/overview?inv=1&amp;invt=Abqw_w&amp;project=vinid-merchant-prod DB_MYSQL_HOST=172.31.1.44
DB_MYSQL_DATABASE=merchant_service Câu lệnh update banks set bin_code='970416' where bank_code='ASCBVNVX';
update banks set bin_code='970436' where bank_code='BFTVVNVX';
update banks set bin_code='970415' where bank_code='ICBVVNVX';
update banks set bin_code='970407' where bank_code='VTCBVNVX';
update banks set bin_code='970418' where bank_code='BIDVVNVX';
update banks set bin_code='970426' where bank_code='MCOBVNVX';
update banks set bin_code='970432' where bank_code='VPBKVNVX';
update banks set bin_code='970405' where bank_code='VBAAVNVX';
update banks set bin_code='970431' where bank_code='EBVIVNVX';
update banks set bin_code='970403' where bank_code='SGTTVNVX';
update banks set bin_code='970406' where bank_code='EACBVNVX';
update banks set bin_code='970409' where bank_code='NASCVNVX';
update banks set bin_code='970441' where bank_code='VNIBVNVX';
update banks set bin_code='970427' where bank_code='VNACVNVX';
update banks set bin_code='970423' where bank_code='TPBVVNVX';
update banks set bin_code='970422' where bank_code='MSCBVNVX';
update banks set bin_code='970414' where bank_code='OJBAVNVX';
update banks set bin_code='970430' where bank_code='PGBLVNVX';
update banks set bin_code='970449' where bank_code='LVBKVNVX';
update banks set bin_code='970440' where bank_code='SEAVVNVX';
update banks set bin_code='970425' where bank_code='ABBKVNVX';
update banks set bin_code='970437' where bank_code='HDBCVNVX';
update banks set bin_code='970408' where bank_code='GBNKVNVX';
update banks set bin_code='970448' where bank_code='ORCOVNVX';
update banks set bin_code='970443' where bank_code='SHBAVNVX';
update banks set bin_code='970428' where bank_code='NAMAVNVX';
update banks set bin_code='970400' where bank_code='SBITVNVX';
update banks set bin_code='970429' where bank_code='SACLVNVX';
update banks set bin_code='970444' where bank_code='GTBAVNVX';
update banks set bin_code='970452' where bank_code='KLBKVNVX';
update banks set bin_code='970424' where bank_code='SHBKVNVX';
update banks set bin_code='970438' where bank_code='BVBVVNVX';
update banks set bin_code='970412' where bank_code='WBVNVNVX';
update banks set bin_code='970409' where bank_code='NASCVNX';
update banks set bin_code='970419' where bank_code='NVBAVNVX';
update banks set bin_code='970439' where bank_code='VIDPVNV5';
update banks set bin_code='970421' where bank_code='VRBAVNVX';
update banks set bin_code='970458' where bank_code='UOVBVNVXCMS';
update banks set bin_code='970434' where bank_code='IABBVNVX';
update banks set bin_code='970442' where bank_code='HLBBVNVX';
update banks set bin_code='970454' where bank_code='VCBCVNVX';
update banks set bin_code='970433' where bank_code='VNTTVNVX';
update banks set bin_code='970410' where bank_code='SCBLVNV10VN';
update banks set bin_code='970446' where bank_code=' -';
update banks set bin_code='970457' where bank_code='HVBKVNVX';
update banks set bin_code='970454' where bank_code='VCBCVNVX';</t>
  </si>
  <si>
    <t>[Prod][OMC][Gami] Hỗ trợ update table rule_templates cho release 18/07/2026.</t>
  </si>
  <si>
    <t>2026-07-18T13:23:10.540+0700</t>
  </si>
  <si>
    <t>2026-07-20T09:14:51.032+0700</t>
  </si>
  <si>
    <t>Nhờ team chạy giúp em 1 câu query trên production để update rule template. Host: 172.31.1.19 Db: pe_rule_engine UPDATE rule_templates
SET payload = CAST('{
  "id": "76fab1c3-7425-4208-ad45-0164198b6025",
  "event": "SigninEvent",
  "payload": {
    "data": {
      "source": "",
      "channel": "mBTvKSJfjzaLbtZ",
      "user_id": "1400167",
      "device_id": "0DDA69AB-7799-44D1-A0E6-54D2E2206CE4",
      "login_time": 1766656738779255600,
      "is_new_user": false,
      "has_password": true,
      "phone_number": "+84983915360",
      "auth0_user_id": "",
      "device_id_tns": "686D5E5F-4A22-4E37-B811-777F93A06D61",
      "is_first_login": false,
      "is_new_install": false
    },
    "metadata": null,
    "link_account_info": {
      "customer_id": "",
      "link_status": "",
      "linked_at": "",
      "created_at": "",
      "updated_at": ""
    },
    "member_attributes": {
      "frst_ctc_dt": 0,
      "target_segment_code": "",
      "cst_nationality": "",
      "employee_ind": "",
      "cst_gender": "",
      "cst_mobile_ind": "",
      "biz_line": "",
      "cst_first_login_date": 0,
      "cst_last_login_date": 0,
      "cst_ast_clss": "",
      "cst_bank_segment": "",
      "cst_pbt": "",
      "cst_toi": 0,
      "cst_cost": 0,
      "cst_family_group": "",
      "cst_family_member_type": "",
      "cst_occupation": "",
      "cst_ekyc_status": "",
      "cst_home_branch": "",
      "cst_sub_branch": "",
      "cst_rm_branch": "",
      "cst_merchant_ind": "",
      "cst_noti_channel": "",
      "cst_target_group": "",
      "cst_blk_lv": "",
      "cst_wtch_list": "",
      "cst_tier_program": "",
      "cst_residence": "",
      "cst_ekyc_channel": "",
      "cst_prd_holding": "",
      "cst_prd_active": "",
      "cst_pre_tier": "",
      "cst_brth_dt": 0,
      "tier_start_date": 0,
      "tier_end_date": 0,
      "product_code": [
        "A",
        "B"
      ],
      "product_lv1": [
        "A",
        "B"
      ],
      "product_lv2": [
        "A",
        "B"
      ],
      "product_lv3": [
        "A",
        "B"
      ],
      "product_lv4": [
        "A",
        "B"
      ],
      "product_lv5": [
        "A",
        "B"
      ],
      "product_lv6": [
        "A",
        "B"
      ],
      "prd_branch_code": [
        "A",
        "B"
      ],
      "prd_status": [
        "A",
        "B"
      ],
      "card_identifier": "",
      "card_ind": [
        "A",
        "B"
      ],
      "card_pan": "",
      "card_status": [
        "A",
        "B"
      ],
      "last_txn_date": 0,
      "update_status_latest_date": 0,
      "cst_accept_campaign": [
        "A",
        "B"
      ]
    }
  },
  "user_id": "1400167",
  "device_id": "0DDA69AB-7799-44D1-A0E6-54D2E2206CE4",
  "timestamp": 1766656738779,
  "event_time": 1766656738779,
  "payload_id": "dca7577b1f19520a8dce1b4222b60a26",
  "request_id": "",
  "ref_event_id": "",
  "service_code": "authen_sdk"
}' AS JSON)
WHERE id = 5
  AND code = 'USER_01';</t>
  </si>
  <si>
    <t>[LP][Core] Insert data prod</t>
  </si>
  <si>
    <t>2026-07-18T13:19:38.821+0700</t>
  </si>
  <si>
    <t>2026-07-18T13:46:29.656+0700</t>
  </si>
  <si>
    <t>Dear DBA Team, Nhờ team thực hiện giúp e câu insert data trên prod Thông tin database: IP: 10.255.23.119 Service name: oneloyaltydb Port: 1521 schema app: OLOYALTY SQL INSERT INTO OLOYALTY.ATTRIBUTE_SERVICE_CODE (CODE,VALUE,DESCRIPTION,STATUS,PROGRAM_ID,CREATED_BY,CREATED_AT,UPDATED_BY,UPDATED_AT,APPROVED_BY,APPROVED_AT,CREATED_YMD) VALUES ('VOUCHER_REDEMPTION_SNP','VOUCHER_REDEMPTION_SNP','','A',1,NULL,TIMESTAMP '2026-07-17 00:00:00.000000',NULL,TIMESTAMP '2026-07-17 00:00:00.000000',NULL,TIMESTAMP '2026-07-17 00:00:00.000000',20260717);  </t>
  </si>
  <si>
    <t>[UPP][PGW] - Hỗ trợ cập nhật manual mcc cho merchant event bóng đá trận VN-CAM</t>
  </si>
  <si>
    <t>2026-07-17T16:59:10.795+0700</t>
  </si>
  <si>
    <t>2026-07-17T16:59:20.508+0700</t>
  </si>
  <si>
    <t>UPP, payment-gateway</t>
  </si>
  <si>
    <t>Dear team DBA, Nhờ các anh chạy lệnh update bên dưới giúp em ạ Thông tin DB:  jdbc:mysql://vinpay-sql-onehub-master.int.vinid.net:3306/pay_payment_gateway Script: UPDATE MERCHANT SET mcc='4722' WHERE id in (1275,1276);  </t>
  </si>
  <si>
    <t>[Merchant-TCB] Xoá hồ sơ SmartPOS trùng NCC2MPVH (HS_SMARTPOS_56064631)</t>
  </si>
  <si>
    <t>2026-07-17T14:38:15.764+0700</t>
  </si>
  <si>
    <t>2026-07-17T14:38:42.566+0700</t>
  </si>
  <si>
    <t>Dear team, nhờ team chạy giúp câu lệnh xoá 1 hồ sơ SmartPOS bị tạo trùng (đã pre-check ở  ) ạ. Nhờ snapshot trước khi xoá để rollback được. Mục đích: merchant NCC2MPVH đang có 2 bộ hồ sơ SMARTPOS trùng nên TCB không duyệt được. Xoá bộ thừa HS_SMARTPOS_56064631 (id=21581), giữ HS_SMARTPOS_67154962 (id=21582). Đã verify: 2 bộ có file y hệt nhau, cả 2 request đều APPROVED. Thông tin database https://console.cloud.google.com/sql/instances/merchant-tcb/overview?project=vinid-merchant-prod DB_MYSQL_HOST=172.31.4.108 DB_MYSQL_DATABASE=merchant_service_tcb B1. Snapshot (backup trước khi xoá - để rollback) CREATE TABLE bak_ncc2mpvh_doc_20260717      AS SELECT * FROM tpay_merchant_documents        WHERE id=21581;
CREATE TABLE bak_ncc2mpvh_items_20260717    AS SELECT * FROM tpay_merchant_document_items    WHERE tpay_merchant_document_id=21581;
CREATE TABLE bak_ncc2mpvh_requests_20260717 AS SELECT * FROM tpay_merchant_document_requests WHERE tpay_merchant_document_id=21581; B2. Xoá (1 transaction; số dòng kỳ vọng: items=5, requests=1, documents=1) START TRANSACTION;
DELETE FROM tpay_merchant_document_items    WHERE tpay_merchant_document_id=21581;
DELETE FROM tpay_merchant_document_requests WHERE tpay_merchant_document_id=21581;
DELETE FROM tpay_merchant_documents WHERE id=21581 AND code='HS_SMARTPOS_56064631' AND tcb_merchant_code='NCC2MPVH' AND service_type='SMARTPOS';
-- kiểm tra 3 số dòng vừa xoá đúng 5/1/1 rồi COMMIT; nếu lệch thì ROLLBACK
COMMIT; B3. Verify sau xoá (phải còn đúng 1 hồ sơ = 21582) SELECT id, code, status FROM tpay_merchant_documents WHERE tcb_merchant_code='NCC2MPVH' AND service_type='SMARTPOS'; Rollback (chỉ khi cần) INSERT INTO tpay_merchant_documents        SELECT * FROM bak_ncc2mpvh_doc_20260717;
INSERT INTO tpay_merchant_document_items    SELECT * FROM bak_ncc2mpvh_items_20260717;
INSERT INTO tpay_merchant_document_requests SELECT * FROM bak_ncc2mpvh_requests_20260717;</t>
  </si>
  <si>
    <t>2026-07-17T14:15:03.037+0700</t>
  </si>
  <si>
    <t>2026-07-17T14:15:13.105+0700</t>
  </si>
  <si>
    <t>Dear DBA Team, Nhờ team thực hiện giúp e câu insert data trên prod Thông tin database: IP: 10.255.23.119 Service name: oneloyaltydb Port: 1521 schema app: OLOYALTY SQL INSERT INTO OLOYALTY.ATTRIBUTE_SERVICE_CODE (CODE,VALUE,DESCRIPTION,STATUS,PROGRAM_ID,CREATED_BY,CREATED_AT,UPDATED_BY,UPDATED_AT,APPROVED_BY,APPROVED_AT,CREATED_YMD) VALUES ('VOUCHER_REDEMPTION_SNP','VOUCHER_REDEMPTION_SNP','','A',426,NULL,TIMESTAMP '2026-07-17 00:00:00.000000',NULL,TIMESTAMP '2026-07-17 00:00:00.000000',NULL,TIMESTAMP '2026-07-17 00:00:00.000000',20260717);</t>
  </si>
  <si>
    <t>[Merchant-OM] Hỗ trợ cập nhật dữ liệu 20260717</t>
  </si>
  <si>
    <t>2026-07-17T11:20:59.801+0700</t>
  </si>
  <si>
    <t>2026-07-17T11:21:08.152+0700</t>
  </si>
  <si>
    <t>Dear team, Nhờ team chạy giúp câu lệnh bên dưới ạ. Thông tin database https://console.cloud.google.com/sql/instances/main/overview?inv=1&amp;invt=Abqw_w&amp;project=vinid-merchant-prod DB_MYSQL_HOST=172.31.1.44
DB_MYSQL_DATABASE=merchant_service Câu lệnh UPDATE
	merchant
SET
	parent_id = 387142,
	is_sap_debt = 1
WHERE
	id = 394973;</t>
  </si>
  <si>
    <t>[Merchant-TCB] Pre-check trên Production - MCC NCCE5UMB + hồ sơ trùng NCC2MPVH</t>
  </si>
  <si>
    <t>2026-07-17T10:35:25.083+0700</t>
  </si>
  <si>
    <t>2026-07-17T10:35:30.311+0700</t>
  </si>
  <si>
    <t>Dear team, nhờ team chạy giúp các câu SELECT (read-only, pre-check trước data-fix) và gửi lại kết quả ạ. Mục đích: lấy ảnh dữ liệu hiện tại để chốt script data-fix (cập nhật MCC + xoá 1 hồ sơ trùng). Thông tin database https://console.cloud.google.com/sql/instances/merchant-tcb/overview?project=vinid-merchant-prod DB_MYSQL_HOST=172.31.4.108 DB_MYSQL_DATABASE=merchant_service_tcb Câu lệnh (SELECT-only) -- R1: MCC hiện tại của merchant NCCE5UMB theo service (SMARTPOS)
SELECT sv.code AS service_code, ss.service_id, ts.mcc, COUNT(*) AS n
FROM tpay_store s
JOIN tpay_terminal t          ON t.store_code = s.code     AND t.deleted_at IS NULL
JOIN tpay_terminal_service ts ON ts.terminal_code = t.code AND ts.deleted_at IS NULL
JOIN tpay_store_service ss    ON ss.id = ts.store_service_id
JOIN tpay_service sv          ON sv.id = ss.service_id
WHERE s.deleted_at IS NULL AND s.tcb_merchant_code = 'NCCE5UMB'
GROUP BY sv.code, ss.service_id, ts.mcc ORDER BY sv.code;
SELECT * FROM tpay_register_service WHERE tcb_merchant_code = 'NCCE5UMB';
-- R2: các hồ sơ SMARTPOS của merchant NCC2MPVH + số dòng bảng con mỗi hồ sơ
SELECT d.id AS doc_id, d.code, d.status, d.service_type, d.created_at, d.approved_at, d.approved_by,
  (SELECT COUNT(*) FROM tpay_merchant_document_items    i WHERE i.tpay_merchant_document_id = d.id) AS items,
  (SELECT COUNT(*) FROM tpay_merchant_document_requests r WHERE r.tpay_merchant_document_id = d.id) AS requests
FROM tpay_merchant_documents d
WHERE d.tcb_merchant_code = 'NCC2MPVH' AND d.service_type = 'SMARTPOS';
-- R2: chi tiết item (file/URL) để so hồ sơ giữ vs hồ sơ xoá
SELECT i.tpay_merchant_document_id, i.*
FROM tpay_merchant_document_items i
WHERE i.tpay_merchant_document_id IN (
  SELECT id FROM tpay_merchant_documents WHERE tcb_merchant_code = 'NCC2MPVH' AND service_type = 'SMARTPOS');
-- R2: các request của hồ sơ SMARTPOS NCC2MPVH (xem request WAITING trỏ hồ sơ nào)
SELECT id, tpay_merchant_document_id, status, created_at
FROM tpay_merchant_document_requests
WHERE tcb_merchant_code = 'NCC2MPVH' AND service_type = 'SMARTPOS';</t>
  </si>
  <si>
    <t>Request user và schema cho Onering</t>
  </si>
  <si>
    <t>2026-07-17T10:30:47.323+0700</t>
  </si>
  <si>
    <t>2026-07-17T14:36:39.665+0700</t>
  </si>
  <si>
    <t>onering</t>
  </si>
  <si>
    <t>Hello các sếp, CBP đang phát triển sản phẩm mới là RAP, và Onering là 1 phần mới hoàn toàn thuộc RAP. Bên em xin tạo user + database trên instance 172.31.4.138 -  omre-cbp-prod-postgres cho 3 service của RAP platform, devops đã tạo instance: Xin 3 cặp user/database: user omre_cbp_rap — database omre_cbp_rap user omre_cbp_onering — database omre_cbp_onering user omre_cbp_litellm — database omre_cbp_litellm Yêu cầu chung: CREATE ROLE ... LOGIN + CREATE DATABASE ... OWNER ..., encoding UTF8 (dữ liệu tiếng Việt), không cần quyền superuser. Extension: chỉ omre_cbp_onering cần vector (ghi rõ ở dưới), hai database còn lại không cần gì. Riêng omre_cbp_onering: app tự tạo và tự migrate schema khi khởi động nên chỉ cần owner của database là đủ, không cần chạy script DDL. Nhờ team enable sẵn extension pgvector trong database omre_cbp_onering, TimeZone của instance/database là UTC. Ngoài ra cho em hỏi policy backup/PITR của instance này đang set thế nào ạ?</t>
  </si>
  <si>
    <t>2026-07-17T10:18:56.917+0700</t>
  </si>
  <si>
    <t>2026-07-17T10:19:06.138+0700</t>
  </si>
  <si>
    <t>Dear anh  @Đào Công Nghĩa , Tối ngày 16/07 team em có lịch golive và có nhu cầu cập nhật các DB sau, nhờ team DBA hỗ trợ. Thời gian chạy:  9h tối ngày 16/07/2026. Thông tin DB:  omc-mtp-tidb.int.onemount.com:4000 / omc_merchant_loyalty ALTER TABLE omc_merchant_loyalty.campaign ADD COLUMN sla INT NULL;
ALTER TABLE omc_merchant_loyalty.store ADD COLUMN short_name VARCHAR(256) NULL DEFAULT NULL AFTER store_name;
ALTER TABLE omc_merchant_loyalty.request ADD COLUMN onsite_notified_at DATETIME NULL;
ALTER TABLE omc_merchant_loyalty.request ADD INDEX idx_onsite_check (onsite_notified_at, voucher_expiry_date);
UPDATE omc_merchant_loyalty.request SET onsite_notified_at = NOW() WHERE voucher_start_date IS NOT NULL AND voucher_start_date &lt;= NOW() AND voucher_expiry_date IS NOT NULL AND voucher_expiry_date &gt; NOW() AND voucher_code IS NOT NULL AND voucher_code &lt;&gt; '';
INSERT INTO omc_merchant_loyalty.banners (title, description, image_url, cta, deeplink, status, priority,
                                              created_at, updated_at, created_by, updated_by, code, background_color)
VALUES ('', 'Bạn có thêm QR thanh toán mới chưa áp dụng ShopDeals',
        'https://cdn-mobile-next.vinid.net/r5pkvhd8szvcaaaa/merchant-loyalty/assets/cHJvZC42OThlZTZjY2NlZDE0N2IyOGI3YWU0NWEwMDczYjMxYw==.png',
        'Đồng bộ ngay', null, 'ACTIVE', 50, '2025-08-15 15:43:40', '2026-07-02 15:46:09', 'system', 'system',
        'STORE_SYNC_NEW_QR', '{"bottom": "#F1C4BA", "top": "#F6E7E4"}');
CREATE TABLE omc_merchant_loyalty.vcm_voucher (
  `voucher_code` varchar(100) COLLATE utf8mb4_unicode_ci NOT NULL,
  `vcm_merchant_id` bigint NOT NULL,
  `vcm_product_id` bigint NOT NULL,
  `created_at` datetime NOT NULL DEFAULT CURRENT_TIMESTAMP,
  `updated_at` datetime NOT NULL DEFAULT CURRENT_TIMESTAMP ON UPDATE CURRENT_TIMESTAMP,
  PRIMARY KEY (`voucher_code`) /*T![clustered_index] CLUSTERED */
) ENGINE=InnoDB DEFAULT CHARSET=utf8mb4 COLLATE=utf8mb4_unicode_ci; Release plan:    Thanks team, Thành An.</t>
  </si>
  <si>
    <t>Release Plan 16/07/2026 - Golive OneU - Fix 1 đơn hàng có thể thanh toán nhiều lần.</t>
  </si>
  <si>
    <t>2026-07-17T10:18:17.038+0700</t>
  </si>
  <si>
    <t>2026-07-17T10:18:26.086+0700</t>
  </si>
  <si>
    <t>OneU-Payment</t>
  </si>
  <si>
    <t>Hi  @Đào Công Nghĩa  , Nhờ em chạy giúp thông tin dưới đây: IP: 172.31.4.9 Database: ecom_transaction Script:  CREATE INDEX transaction_reference_id_type_idx ON `transactions` (reference_id, type);</t>
  </si>
  <si>
    <t xml:space="preserve">[ManMac][Prod] Chạy script migration Database </t>
  </si>
  <si>
    <t>2026-07-17T10:16:26.126+0700</t>
  </si>
  <si>
    <t>2026-07-17T10:16:31.522+0700</t>
  </si>
  <si>
    <t>Production</t>
  </si>
  <si>
    <t>Hỗ trợ release 16/07/2026. Nhờ team DBA chạy giúp em script sau hỗ trợ Release Production ALTER TYPE "request_status" ADD VALUE 'CANCELED';--&gt; statement-breakpoint
ALTER TYPE "request_item_status" ADD VALUE 'CANCELED';
DELETE FROM "security_violation_log"
WHERE "kind" IN ('LATE_ARRIVAL', 'EARLY_DEPARTURE');
ALTER TABLE "user" ADD COLUMN "otp_required" boolean DEFAULT true NOT NULL;</t>
  </si>
  <si>
    <t>[OMD][MongoDB][Hybris] Dọn dẹp các dữ liệu mongoDB Hybris</t>
  </si>
  <si>
    <t>2026-07-16T18:43:47.722+0700</t>
  </si>
  <si>
    <t>2026-07-16T18:44:14.370+0700</t>
  </si>
  <si>
    <t>save_cost</t>
  </si>
  <si>
    <t>Hi anh Hùng và Thành Hiện tại DBA check data trong mongoDB của OMD, thấy vẫn tồn tại các data cũ của Hybris. Vậy nhờ anh em TO, DEV check giúp xem các data này còn sử dụng nữa không? Có thể drop hoàn toàn đi không? Vì nếu drop được, thì các file vật lý trên disk mới giải phóng, và thu hồi được dung lượng disk thực tế đang cấp phát. Dung lượng của các collections đang có trong mongoDB Hybris: { "collection" : "capturePostingSAPV2Data", "count" : 10695940, "size_GB" : 26.29200041294098, "storage_GB" : 5.273277282714844, "index_GB" : 0.42960357666015625 }, { "collection" : "vinEvaluatePromotionLog", "count" : 384071, "size_GB" : 8.132140665315092, "storage_GB" : 5.637790679931641, "index_GB" : 0.040317535400390625 }, { "collection" : "notificationData", "count" : 41215, "size_GB" : 0.42690984066575766, "storage_GB" : 0.4023017883300781, "index_GB" : 0.0008544921875 }, { "collection" : "itemModificationInfo", "count" : 108698, "size_GB" : 0.051033664494752884, "storage_GB" : 47.95673751831055, "index_GB" : 62.11221694946289 }, { "collection" : "comboBudgetNotification", "count" : 21046, "size_GB" : 0.023979922756552696, "storage_GB" : 0.003337860107421875, "index_GB" : 0.000888824462890625 }, { "collection" : "opsSapMappingProductData", "count" : 10367, "size_GB" : 0.014799658209085464, "storage_GB" : 0.003345489501953125, "index_GB" : 0.000156402587890625 }, { "collection" : "vinRequestResponseLog", "count" : 899, "size_GB" : 0.012003648094832897, "storage_GB" : 189.08877563476562, "index_GB" : 0.00006866455078125 }, { "collection" : "notificationTokenData", "count" : 504, "size_GB" : 0.011274032294750214, "storage_GB" : 0.002948760986328125, "index_GB" : 0.00003814697265625 }, { "collection" : "leadsPartnerData", "count" : 193, "size_GB" : 0.0001042122021317482, "storage_GB" : 0.000080108642578125, "index_GB" : 0.000034332275390625 }, { "collection" : "OnsiteTrackingLog", "count" : 54, "size_GB" : 0.000009462237358093262, "storage_GB" : 0.000064849853515625, "index_GB" : 0.00012969970703125 }, { "collection" : "SearchTagLog", "count" : 0, "size_GB" : 0, "storage_GB" : 0.0000152587890625, "index_GB" : 0.0000457763671875 }, { "collection" : "integrationLog", "count" : 0, "size_GB" : 0, "storage_GB" : 0.00000762939453125, "index_GB" : 0.0000152587890625 }, { "collection" : "vinPromotionAppliedLog", "count" : 0, "size_GB" : 0, "storage_GB" : 0.000003814697265625, "index_GB" : 0.00000762939453125 }, { "collection" : "vinPromotionErrorLog", "count" : 0, "size_GB" : 0, "storage_GB" : 0.000003814697265625, "index_GB" : 0.00000762939453125 }</t>
  </si>
  <si>
    <t>[KARA - PROD] Cần chỉnh scheduled_purge_at cho 1 account test trên DB meeting-note (onx-mnote-prod)</t>
  </si>
  <si>
    <t>2026-07-16T18:08:03.548+0700</t>
  </si>
  <si>
    <t>2026-07-16T18:08:09.685+0700</t>
  </si>
  <si>
    <t>Database information GCP project     : onenexus-meeting-note-prod Instance name   : meeting-note-prod-postgres Instance: onenexus-meeting-note-prod--meeting-note-prod-postgres.cloudsql.int : 5432 Database name   : backend Time Run ticket:  ASAP (Càng sớm càng tốt) Mô tả chi tiết yêu cầu: LƯU Ý: ĐÂY LÀ YÊU CẦU XỬ LÝ CHO ACCOUNT TEST. Bối cảnh: Account test ( omre.qcteam@onemount.com ) đã request xóa từ trước, nhưng lúc đó cấu hình cooling-off là 7 ngày nên scheduled_purge_at bị đóng dấu ở mốc cũ (~7 ngày sau khi request). Chúng tôi đã đổi config account-deletion trên prod (cooling-off 60s), nhưng thay đổi này không tự tính lại scheduled_purge_at cho row đã tồn tại. Cần kéo mốc purge của account test này về hiện tại để background sweeper hard-delete nó ở tick kế tiếp (chạy mỗi 60s). Lưu ý quan trọng: Đây là thao tác dẫn tới hard-delete vĩnh viễn, không hoàn tác (xóa identity AuthOM + dữ liệu upstream + GCS + DB). Chỉ commit khi bước 1 xác nhận đúng 1 row pending_deletion của account test này. Nếu bước 1 trả về nhiều row hoặc không có row pending_deletion nào, xin dừng lại và báo lại chúng tôi. Quy trình thực hiện chi tiết: Bước 1 — SELECT (Kiểm tra dữ liệu trước khi xử lý): Cột email KHÔNG unique (1 người có thể có nhiều account theo login provider), query có thể trả về nhiều row. Chúng tôi chỉ cần xử lý row của account test có deletion_status = 'pending_deletion'. SELECT user_id, email, deletion_status, deletion_requested_at, scheduled_purge_at
FROM app_user
WHERE lower(email) = lower('omre.qcteam@onemount.com'); 👉 Nếu kết quả bước 1 có đúng 1 row ở trạng thái 'pending_deletion', ghi lại user_id (nếu cần nhắm chính xác theo UUID) và chuyển sang Bước  2. Nếu trả về nhiều row hoặc không có row nào ở trạng thái này, xin dừng lại và báo lại chat. Bước 2 — UPDATE (Chạy trong transaction, kiểm tra số row trước khi commit): BEGIN;
UPDATE app_user
SET scheduled_purge_at = now()
WHERE lower(email) = lower('omre.qcteam@onemount.com')
  AND deletion_status = 'pending_deletion';
-- Kỳ vọng: Chỉ UPDATE đúng 1 row account test (Nếu ra số khác 1, vui lòng ROLLBACK và báo lại).
COMMIT; Kết quả mong đợi: Đúng 1 row được update thành công. Sau đó sweeper của service sẽ tự động hard-delete account test này trong vòng ~60s (không cần xóa row hay đổi trạng thái thủ công).</t>
  </si>
  <si>
    <t>[UPP][PGW] - Hỗ trợ cập nhật manual trường mcc cho merchant event bóng đá</t>
  </si>
  <si>
    <t>2026-07-16T17:42:13.220+0700</t>
  </si>
  <si>
    <t>2026-07-16T17:43:07.222+0700</t>
  </si>
  <si>
    <t>Dear team DBA, Nhờ các anh chạy lệnh update bên dưới giúp em ạ Thông tin DB:  jdbc:mysql://vinpay-sql-onehub-master.int.vinid.net:3306/pay_payment_gateway Script:  UPDATE MERCHANT SET mcc='4722' WHERE id in (1273,1274);</t>
  </si>
  <si>
    <t>2026-07-16T17:27:36.356+0700</t>
  </si>
  <si>
    <t>2026-07-16T17:27:45.805+0700</t>
  </si>
  <si>
    <t xml:space="preserve">Em chào anh chị, Anh chị chạy giúp em lệnh SQL update DB với ạ. project: om-charity-prod Instance name: om-charity-fund-core IP: 172.31.4.7 DB name: fund-core user name: ? SQL:   </t>
  </si>
  <si>
    <t>Hỗ trợ tạo database Postgres cho CMS của Masterisehomes</t>
  </si>
  <si>
    <t>2026-07-16T14:32:24.312+0700</t>
  </si>
  <si>
    <t>2026-07-16T14:32:40.055+0700</t>
  </si>
  <si>
    <t>Hi  @Đào Công Nghĩa  , nhờ bạn tạo giúp mình database Postgres sau cho trang cms của Masterisehomes: ocean_crest_prod_postgres Cảm ơn bạn đã hỗ trợ</t>
  </si>
  <si>
    <t>2026-07-16T10:42:35.764+0700</t>
  </si>
  <si>
    <t>2026-07-16T12:21:26.455+0700</t>
  </si>
  <si>
    <t>IP (Host):   ces-production.crcykac8kxtw.ap-southeast-1.rds.amazonaws.com Port:   3306 DB Name:   ces_mh_mpm Command:  Trong file đính kèm</t>
  </si>
  <si>
    <t>2026-07-16T10:41:10.931+0700</t>
  </si>
  <si>
    <t>2026-07-16T15:15:08.260+0700</t>
  </si>
  <si>
    <t>Dear team DBA, Hiện tại team đang có nhu cầu kéo dữ liệu các bảng sau nhờ anh Linh tạo kafka topic ở môi trường PROD giúp team để kéo data về DP. PROD: IP host: 172.31.4.29 Schema: mhpos_catalog Table list: supplier
stock_item
inventory_document
inventory_document_line
stock_movement
product_barcode Thanks team, Cong</t>
  </si>
  <si>
    <t xml:space="preserve">[OMC][GAMI][Prod] Hỗ trợ xuất data trả thưởng ngày 15/7 cho campaign World cup 2026 </t>
  </si>
  <si>
    <t>2026-07-16T10:13:24.844+0700</t>
  </si>
  <si>
    <t>2026-07-16T10:13:34.713+0700</t>
  </si>
  <si>
    <t>Hỗ trợ xuất data trả thưởng ngày 15/7 cho campaign World cup 2026  Host: 172.31.1.14 DB:   gamezone Query: SELECT user_id, rule_id, created_at FROM `rule_logs` WHERE campaign_id = 830 AND created_at&gt;='2026-07-15 10:00:00' AND created_at&lt;='2026-07-15 15:00:00' AND rule_id in(6043,6056,6141,6052,6054,6045,6162,6067,6164,6163) 
ORDER BY user_id;</t>
  </si>
  <si>
    <t>[NCO][PROD]  Tạo dữ liệu giao dịch refund cho giao dịch NCO ngày 15/07/2026</t>
  </si>
  <si>
    <t>2026-07-15T21:40:12.426+0700</t>
  </si>
  <si>
    <t>2026-07-15T21:42:58.004+0700</t>
  </si>
  <si>
    <t>Hi  @Đào Công Nghĩa  , Nhờ em chạy giúp thông tin dưới đây: IP: 172.31.4.9 Database: ecom_transaction Script: trong file đính kèm</t>
  </si>
  <si>
    <t>[SM] V/v đẩy dữ liệu khung giá Q2/2026 lên iJupiter (Cao tầng + Thấp tầng)</t>
  </si>
  <si>
    <t>2026-07-15T17:13:15.297+0700</t>
  </si>
  <si>
    <t>2026-08-14T11:41:18.734+0700</t>
  </si>
  <si>
    <t>ijupiter</t>
  </si>
  <si>
    <t>Nhờ team DBA chạy giúp script xóa data cũ và đẩy data mới Q2/2026 lên DB iJupiter giúp Sao Mộc. Db: Postgres (172.31.3.37:5432) Luồng xử lý (mỗi bảng 1 file .sql, đã bọc transaction BEGIN/COMMIT — chạy trọn gói hoặc rollback):   Bước 1: DELETE các dự án có trong đợt cập nhật này.   Bước 2: INSERT data mới (mỗi dòng 1 câu INSERT). ──────────────────────────────── ① THẤP TẦNG — bảng đích: public.bds_lien_ke_bt File script: iju_thap_tang_bds_lien_ke_bt_20260715.sql  (DELETE 5 dự án + 3.427 dòng INSERT) File data đối chiếu: template đẩy iju thap tang - 20260715 (1).xlsx Câu xóa data cũ: DELETE FROM public.bds_lien_ke_bt WHERE ten_du_an IN (   'Bắc Sông Cấm MH - The Centric',   'RIVUS',   'Vinhomes Bắc Luân',   'Vinhomes Quang Trung',   'Vinhomes Wonder City - VIN Đan Phượng' ); ──────────────────────────────── ② CAO TẦNG — bảng đích: public.data_chung_cu File script: iju_cao_tang_data_chung_cu_20260715.sql  (DELETE 7 dự án + 12.948 dòng INSERT) File data đối chiếu: template đẩy iju cao tang - 20260715 (1).xlsx Câu xóa data cũ: DELETE FROM public.data_chung_cu WHERE ten_du_an IN (   'Lumiere Riverside',   'Masteri Era Landmark',   'Masteri Rivera Đà Nẵng',   'Masterise centre Point',   'The Global City - Lumiere MidTown',   'The Grand Hàng Bài',   'Vinhomes Star city Thanh Hóa' ); ──────────────────────────────── Đề nghị team DBA execute 2 file .sql đính kèm (đã gồm cả DELETE + INSERT ở trên). Câu DELETE dán ở đây chỉ để tiện rà soát phạm vi xóa. Cảm ơn team.</t>
  </si>
  <si>
    <t>[LP][Core] Xuất dữ liệu điểm hết hạn cho team BI</t>
  </si>
  <si>
    <t>2026-07-15T15:09:34.166+0700</t>
  </si>
  <si>
    <t>2026-07-15T15:41:53.819+0700</t>
  </si>
  <si>
    <t>Dear DBA Team, Nhờ team thực hiện  “Xuất dữ liệu điểm hết hạn cho team BI” Thông tin database: IP: 10.255.23.119 Service name: oneloyaltydb Port: 1521 schema app: OLOYALTY SQL SELECT
    COALESCE(up.master_user_id, m.partner_customer_id) AS user_id,
    up.master_user_id                                  AS master_user_id,
    m.partner_customer_id                              AS partner_customer_id,
    ab.business_id                                     AS business_id,
    ab.program_id                                      AS program_id,
    c.code                                             AS point_system,
    p.code                                             AS pool_code,
    SUM(ab.balance)                                    AS point_amount,
    TRUNC(ab.expired_date)                             AS expired_date
FROM account_balance ab
JOIN point_account pa
    ON pa.id = ab.account_id
JOIN user_profile up
    ON up.point_account_no = pa.account_no
   AND up.business_id = ab.business_id
JOIN member m
    ON m.user_profile_id = up.id
   AND m.program_id = ab.program_id
JOIN pool p
    ON p.id = ab.pool_id
JOIN currency c
    ON c.id = p.currency_id
WHERE ab.balance &gt; 0
  AND ab.expired_date &gt;= DATE '2026-06-30'
  AND ab.expired_date &lt;  DATE '2026-09-01'
GROUP BY
    up.master_user_id,
    m.partner_customer_id,
    ab.business_id,
    ab.program_id,
    c.code,
    p.code,
    TRUNC(ab.expired_date);</t>
  </si>
  <si>
    <t>[OMC][Loyalty MFT] VCM - Cập nhật thông tin discount của voucher</t>
  </si>
  <si>
    <t>2026-07-15T15:08:18.612+0700</t>
  </si>
  <si>
    <t>2026-07-15T15:08:26.154+0700</t>
  </si>
  <si>
    <t>LoyaltyMFT</t>
  </si>
  <si>
    <t>Hi team, Xuất phát từ nhu cầu đội vận hành CR  https://onemount.atlassian.net/browse/SH-72191 , nhờ team hỗ trợ cập nhật thông tin voucher theo thông tin bên dưới Thông tin database  - GCP project  vinid-loyalty-prod
- Instance name : voucher-distribution
- Instance IP : 172.31.4.82
- Database : b2b_voucher_distribution Script theo file đính kèm</t>
  </si>
  <si>
    <t>[Nexa][PSS][STG] Nhờ update data DB Oracle môi trường PT (STG) trên hạ tầng CMC on-premise</t>
  </si>
  <si>
    <t>2026-07-15T15:07:57.454+0700</t>
  </si>
  <si>
    <t>2026-08-07T15:30:04.387+0700</t>
  </si>
  <si>
    <t>Em xin nhờ anh/chị update data  DB Oracle môi trường PT trên hạ tầng CMC on-premise  của hệ thống Payment Switching Service (PSS) thuộc dự án Nexa. Thông tin update data cần hỗ trợ chạy: INSERT INTO PSS_MST_PT.MST_HOLIDAY_DAY (BUSINESS_HOURS_CODE, HOLIDAY_DATE, TIME_FROM, TIME_TO, EXTRA_DATA, VERSION, CREATED_BY, CREATED_AT, LAST_MODIFIED_BY, LAST_MODIFIED_AT) 
VALUES ( 'DEFAULT_CODE', '2026-08-31', null, null, null, 1, 'system', current_timestamp, 'system', current_timestamp);
INSERT INTO PSS_MST_PT.MST_HOLIDAY_DAY (BUSINESS_HOURS_CODE, HOLIDAY_DATE, TIME_FROM, TIME_TO, EXTRA_DATA, VERSION, CREATED_BY, CREATED_AT, LAST_MODIFIED_BY, LAST_MODIFIED_AT)
VALUES ( 'DEFAULT_CODE', '2026-09-01', null, null, null, 1, 'system', current_timestamp, 'system', current_timestamp);
INSERT INTO PSS_MST_PT.MST_HOLIDAY_DAY (BUSINESS_HOURS_CODE, HOLIDAY_DATE, TIME_FROM, TIME_TO, EXTRA_DATA, VERSION, CREATED_BY, CREATED_AT, LAST_MODIFIED_BY, LAST_MODIFIED_AT)
VALUES ( 'DEFAULT_CODE', '2026-09-02', null, null, null, 1, 'system', current_timestamp, 'system', current_timestamp);
INSERT INTO PSS_MST_PT.MST_HOLIDAY_DAY (BUSINESS_HOURS_CODE, HOLIDAY_DATE, TIME_FROM, TIME_TO, EXTRA_DATA, VERSION, CREATED_BY, CREATED_AT, LAST_MODIFIED_BY, LAST_MODIFIED_AT)
VALUES ( 'DEFAULT_CODE', '2026-09-03', null, null, null, 1, 'system', current_timestamp, 'system', current_timestamp);</t>
  </si>
  <si>
    <t>[OMC][GAMI][Prod] Hỗ trợ xuất data cho campaign World cup 2026 trả thưởng tuần 5</t>
  </si>
  <si>
    <t>2026-07-15T14:52:19.128+0700</t>
  </si>
  <si>
    <t>2026-07-15T14:52:32.488+0700</t>
  </si>
  <si>
    <t>Hỗ trợ xuất data cho campaign World cup 2026 trả thưởng tuần 5 Thưởng theo lịch sử phát sinh cộng/trừ xu theo tuần  created_at&gt;='2026-07-08 00:00:00' AND created_at&lt;'2026-07-15 00:00:00' Host: 172.31.1.14 DB: gami_collection_prod Query: SELECT user_id, SUM(amount) AS total FROM `point_transactions` WHERE campaign_id=830 AND created_at&gt;='2026-07-08 00:00:00' AND created_at&lt;'2026-07-15 00:00:00' GROUP by user_id ORDER BY total DESC;</t>
  </si>
  <si>
    <t>[Nexa][PSS][V2][PROD][BAU] Nhờ thiết lập luồng CDC Golden Gate TPZ2 DB Oracle Hệ thống PSS v2 môi trường PROD hạ tầng FTEL on-prem</t>
  </si>
  <si>
    <t>2026-07-15T14:37:54.664+0700</t>
  </si>
  <si>
    <t>2026-07-15T14:38:04.611+0700</t>
  </si>
  <si>
    <t>Em xin nhờ anh/chị thiết lập luồng CDC Golden Gate DB Oracle cho  cụm TPZ2 về cụm OPZ   môi trường PROD  của hệ thống  Payment Switching Service (PSS) version 2  thuộc dự án Nexa  hạ tầng FTEL on-prem Thông tin chung SAD: [ [PSS] Multi Availability Zone SAD | https://onemount.atlassian.net/wiki/spaces/nexa/pages/3389554689/PSS+Multi+Availability+Zone+SAD ] Bảng mapping các service của hệ thống PSS v2 sử dụng Infra service nào, sheet  TPZ   Infra, OPZ Infra  : [ [Nexa] PSS v2 Overview | https://docs.google.com/spreadsheets/d/1Z82dbJEmWAfWYNDKOYp1y5p26EntPxVcMd2H7AiW1H4/edit?pli=1&amp;gid=1627553322#gid=1627553322 ] Bảng thông tin các service của hệ thống PSS v2 chạy trên môi trường GCP, sheet  CICD Request : [ [Nexa] PSS v2 Overview | https://docs.google.com/spreadsheets/d/1Z82dbJEmWAfWYNDKOYp1y5p26EntPxVcMd2H7AiW1H4/edit?pli=1&amp;gid=1627553322#gid=1627553322 ] Thiết lập GG cho các bảng sau: Môi trường  PROD : Đồng bộ từ cụm TPZ01  PSS_TPZ02_TXN   về cụm OPZ  PSS_STLMT Schema nguồn Bảng nguồn Schema đích Bảng đích PSS_TPZ02_TXN TXN_BATCH PSS_STLMT STLMT_TXN_BATCH PSS_TPZ02_TXN TXN_TRANSACTION PSS_STLMT STLMT_TXN_TRANSACTION PSS_TPZ02_TXN TXN_STATUS PSS_STLMT STLMT_TXN_STATUS PSS_TPZ02_TXN TXN_REFERENCE PSS_STLMT STLMT_TXN_REFERENCE PSS_TPZ02_TXN   TXN_REQUEST PSS_STLMT STLMT_TXN_REQUEST PSS_TPZ02_TXN TXN_DLQ_MESSAGE PSS_STLMT STLMT_TXN_DLQ_MESSAGE</t>
  </si>
  <si>
    <t>[UPAY] Update database hỗ trợ merchant WCM update thông tin giao dịch</t>
  </si>
  <si>
    <t>2026-07-15T14:33:15.607+0700</t>
  </si>
  <si>
    <t>2026-07-15T14:48:22.608+0700</t>
  </si>
  <si>
    <t>tpay</t>
  </si>
  <si>
    <t>Hi team DBA, Nhờ anh/em chạy script theo mô tả ở môi trường PRODUCTION theo thông tin dưới đây ạ: Thời gian chạy script: ngay khi được approval Thông tin database:   mysql://pay-tidb.int.onemount.com:4000/saas_tpay Script:  UPDATE TRANSACTION_DETAIL SET transaction_id = 'd696232af9594043b131d3d2a8d20e98_BAK', ft_id = 'FT26192568305026_BAK' where id = 'dc67e2d261f344bfb34adba09e249682';</t>
  </si>
  <si>
    <t>[Non-PROD][UPP] Tạo 6 bảng DDL PMBH SmartPOS trên vinpay_saas_tpay_staging (PB-29782)</t>
  </si>
  <si>
    <t>2026-07-15T11:04:25.883+0700</t>
  </si>
  <si>
    <t>2026-07-15T11:11:08.171+0700</t>
  </si>
  <si>
    <t>PMBH, Smartpos</t>
  </si>
  <si>
    <t>Mục đích Nhờ team DBA chạy 6 lệnh CREATE TABLE dưới đây lên schema vinpay_saas_tpay_staging phục vụ golive PMBH x SmartPOS (epic  , golive 18/07/2026). Nguồn = SHOW CREATE TABLE từ QC (vinidpay_tcb_payment_qc). Không có FK, thứ tự chạy linh hoạt. Bảng SMARTPOS_DEVICE_MAPPING đã có sẵn trên staging. Charset/collation = utf8mb4 / utf8mb4_unicode_ci. Environment STAGING - DB vinpay_saas_tpay_staging @ tidb.int.onemount.dev:4000 (TiDB). Flyway off (DDL thủ công qua DBA). DDL - 6 CREATE TABLE CREATE TABLE `DEVICE_LINK` (
  `id` bigint NOT NULL AUTO_INCREMENT,
  `service` varchar(32) COLLATE utf8mb4_unicode_ci NOT NULL COMMENT 'SMARTPOS/SOUNDBOX',
  `partner_code` varchar(32) COLLATE utf8mb4_unicode_ci DEFAULT NULL COMMENT 'Partner identifier',
  `merchant_code` varchar(32) COLLATE utf8mb4_unicode_ci NOT NULL,
  `card_merchant_id` varchar(64) COLLATE utf8mb4_unicode_ci DEFAULT NULL COMMENT 'CARD merchant ID',
  `card_terminal_id` varchar(64) COLLATE utf8mb4_unicode_ci DEFAULT NULL COMMENT 'CARD terminal ID',
  `qr_merchant_id` varchar(64) COLLATE utf8mb4_unicode_ci DEFAULT NULL COMMENT 'QR merchant ID',
  `qr_store_id` varchar(64) COLLATE utf8mb4_unicode_ci DEFAULT NULL COMMENT 'QR store ID',
  `qr_terminal_id` varchar(64) COLLATE utf8mb4_unicode_ci DEFAULT NULL COMMENT 'QR terminal ID',
  `device_serial_number` varchar(64) COLLATE utf8mb4_unicode_ci NOT NULL,
  `status` varchar(16) COLLATE utf8mb4_unicode_ci NOT NULL DEFAULT 'LINKED',
  `created_at` timestamp DEFAULT CURRENT_TIMESTAMP,
  `updated_at` timestamp DEFAULT CURRENT_TIMESTAMP ON UPDATE CURRENT_TIMESTAMP,
  `request_id` varchar(100) COLLATE utf8mb4_unicode_ci DEFAULT NULL COMMENT 'PMBH link request id',
  `callback_url` varchar(512) COLLATE utf8mb4_unicode_ci DEFAULT NULL COMMENT 'PMBH callback URL',
  `error_code` varchar(64) COLLATE utf8mb4_unicode_ci DEFAULT NULL COMMENT 'Last link error code',
  `error_message` varchar(512) COLLATE utf8mb4_unicode_ci DEFAULT NULL COMMENT 'Last link error message',
  `requested_at` timestamp NULL DEFAULT NULL COMMENT 'PMBH request accepted time',
  `confirmed_at` timestamp NULL DEFAULT NULL COMMENT 'POS final confirmation time',
  PRIMARY KEY (`id`) /*T![clustered_index] CLUSTERED */,
  KEY `idx_status` (`status`),
  KEY `idx_card_lookup` (`service`,`merchant_code`,`card_merchant_id`,`card_terminal_id`),
  KEY `idx_qr_lookup` (`service`,`merchant_code`,`qr_merchant_id`,`qr_terminal_id`),
  UNIQUE KEY `uk_device_serial_number` (`device_serial_number`),
  KEY `idx_card_partner_lookup` (`service`,`merchant_code`,`partner_code`,`card_merchant_id`,`card_terminal_id`,`status`),
  KEY `idx_qr_partner_store_lookup` (`service`,`merchant_code`,`partner_code`,`qr_merchant_id`,`qr_terminal_id`,`qr_store_id`,`status`),
  UNIQUE KEY `uk_request_id` (`request_id`),
  KEY `idx_status_updated_at` (`status`,`updated_at`)
) ENGINE=InnoDB DEFAULT CHARSET=utf8mb4 COLLATE=utf8mb4_unicode_ci;
CREATE TABLE `DEVICE_LINK_HISTORY` (
  `id` bigint NOT NULL AUTO_INCREMENT,
  `device_link_id` bigint NOT NULL COMMENT 'FK to DEVICE_LINK.id',
  `service` varchar(32) COLLATE utf8mb4_unicode_ci NOT NULL,
  `partner_code` varchar(32) COLLATE utf8mb4_unicode_ci NOT NULL,
  `merchant_code` varchar(32) COLLATE utf8mb4_unicode_ci NOT NULL,
  `card_merchant_id` varchar(64) COLLATE utf8mb4_unicode_ci DEFAULT NULL,
  `card_terminal_id` varchar(64) COLLATE utf8mb4_unicode_ci DEFAULT NULL,
  `qr_merchant_id` varchar(64) COLLATE utf8mb4_unicode_ci DEFAULT NULL,
  `qr_store_id` varchar(64) COLLATE utf8mb4_unicode_ci DEFAULT NULL,
  `qr_terminal_id` varchar(64) COLLATE utf8mb4_unicode_ci DEFAULT NULL,
  `device_serial_number` varchar(64) COLLATE utf8mb4_unicode_ci NOT NULL,
  `status` varchar(16) COLLATE utf8mb4_unicode_ci NOT NULL,
  `change_type` varchar(16) COLLATE utf8mb4_unicode_ci NOT NULL COMMENT 'INSERT/UPDATE/DELETE',
  `changed_by` varchar(64) COLLATE utf8mb4_unicode_ci DEFAULT NULL,
  `snapshot_at` timestamp NOT NULL DEFAULT CURRENT_TIMESTAMP,
  `request_id` varchar(100) COLLATE utf8mb4_unicode_ci DEFAULT NULL,
  `callback_url` varchar(512) COLLATE utf8mb4_unicode_ci DEFAULT NULL,
  `error_code` varchar(64) COLLATE utf8mb4_unicode_ci DEFAULT NULL,
  `error_message` varchar(512) COLLATE utf8mb4_unicode_ci DEFAULT NULL,
  `requested_at` timestamp NULL DEFAULT NULL,
  `confirmed_at` timestamp NULL DEFAULT NULL,
  PRIMARY KEY (`id`) /*T![clustered_index] CLUSTERED */,
  KEY `idx_device_link_id` (`device_link_id`),
  KEY `idx_snapshot_at` (`snapshot_at`),
  KEY `idx_device_serial` (`device_serial_number`)
) ENGINE=InnoDB DEFAULT CHARSET=utf8mb4 COLLATE=utf8mb4_unicode_ci;
CREATE TABLE `PAYMENT_REQUESTS` (
  `id` bigint NOT NULL AUTO_INCREMENT,
  `order_id` varchar(64) COLLATE utf8mb4_unicode_ci NOT NULL,
  `transaction_id` varchar(64) COLLATE utf8mb4_unicode_ci DEFAULT NULL,
  `service` varchar(32) COLLATE utf8mb4_unicode_ci NOT NULL,
  `merchant_code` varchar(32) COLLATE utf8mb4_unicode_ci NOT NULL,
  `merchant_id` varchar(64) COLLATE utf8mb4_unicode_ci NOT NULL,
  `terminal_id` varchar(64) COLLATE utf8mb4_unicode_ci NOT NULL,
  `transaction_type` varchar(16) COLLATE utf8mb4_unicode_ci DEFAULT NULL,
  `amount` bigint NOT NULL,
  `payment_amount` bigint DEFAULT NULL,
  `promo_eligible_amount` bigint DEFAULT NULL,
  `callback_url` varchar(512) COLLATE utf8mb4_unicode_ci DEFAULT NULL,
  `order_data` json DEFAULT NULL,
  `promotion_data` json DEFAULT NULL,
  `merchant_order_detail` json DEFAULT NULL,
  `merchant_extra_data` json DEFAULT NULL,
  `payment_result` json DEFAULT NULL,
  `status` varchar(32) COLLATE utf8mb4_unicode_ci NOT NULL DEFAULT 'WAITING_PAYMENT',
  `created_at` timestamp DEFAULT CURRENT_TIMESTAMP,
  `updated_at` timestamp DEFAULT CURRENT_TIMESTAMP ON UPDATE CURRENT_TIMESTAMP,
  `correlation_data` varchar(100) COLLATE utf8mb4_unicode_ci DEFAULT NULL,
  `client_id` varchar(100) COLLATE utf8mb4_unicode_ci DEFAULT NULL,
  `partner_code` varchar(100) COLLATE utf8mb4_unicode_ci DEFAULT NULL,
  `store_id` varchar(100) COLLATE utf8mb4_unicode_ci DEFAULT NULL,
  PRIMARY KEY (`id`) /*T![clustered_index] CLUSTERED */,
  KEY `idx_order_id` (`order_id`),
  KEY `idx_status_created` (`status`,`created_at`),
  UNIQUE KEY `transaction_id` (`transaction_id`),
  KEY `idx_correlation_data` (`correlation_data`),
  KEY `idx_partner_code` (`partner_code`),
  KEY `idx_store_id` (`store_id`),
  KEY `idx_merchant_terminal_order` (`merchant_id`,`terminal_id`,`order_id`)
) ENGINE=InnoDB DEFAULT CHARSET=utf8mb4 COLLATE=utf8mb4_unicode_ci;
CREATE TABLE `PAYMENT_REQUESTS_HISTORY` (
  `id` bigint NOT NULL AUTO_INCREMENT,
  `payment_request_id` bigint NOT NULL,
  `correlation_data` varchar(100) COLLATE utf8mb4_unicode_ci DEFAULT NULL,
  `status` varchar(32) COLLATE utf8mb4_unicode_ci NOT NULL,
  `error_message` varchar(512) COLLATE utf8mb4_unicode_ci DEFAULT NULL,
  `payment_result` json DEFAULT NULL,
  `created_at` timestamp NOT NULL DEFAULT CURRENT_TIMESTAMP,
  PRIMARY KEY (`id`) /*T![clustered_index] CLUSTERED */,
  KEY `idx_payment_request_id` (`payment_request_id`),
  KEY `idx_created_at` (`created_at`)
) ENGINE=InnoDB DEFAULT CHARSET=utf8mb4 COLLATE=utf8mb4_unicode_ci;
CREATE TABLE `PAYMENT_TRANSACTION_MESSAGE` (
  `id` bigint NOT NULL AUTO_INCREMENT,
  `payment_transaction_id` varchar(100) COLLATE utf8mb4_unicode_ci DEFAULT NULL,
  `message_id` varchar(128) COLLATE utf8mb4_unicode_ci NOT NULL,
  `message_type` varchar(32) COLLATE utf8mb4_unicode_ci NOT NULL DEFAULT 'PAYMENT',
  `message_data` json NOT NULL,
  `device_serial_number` varchar(64) COLLATE utf8mb4_unicode_ci NOT NULL,
  `status` varchar(32) COLLATE utf8mb4_unicode_ci NOT NULL DEFAULT 'SENDING',
  `error_message` varchar(512) COLLATE utf8mb4_unicode_ci DEFAULT NULL,
  `retry_count` int DEFAULT '0',
  `payment_result` json DEFAULT NULL,
  `created_at` timestamp DEFAULT CURRENT_TIMESTAMP,
  `updated_at` timestamp DEFAULT CURRENT_TIMESTAMP ON UPDATE CURRENT_TIMESTAMP,
  `sent_at` timestamp NULL DEFAULT NULL,
  `received_at` timestamp NULL DEFAULT NULL,
  PRIMARY KEY (`id`) /*T![clustered_index] CLUSTERED */,
  KEY `idx_message_id` (`message_id`),
  KEY `idx_device_serial` (`device_serial_number`),
  KEY `idx_status_created` (`status`,`created_at`),
  UNIQUE KEY `message_id` (`message_id`),
  KEY `idx_payment_transaction_id` (`payment_transaction_id`),
  KEY `idx_message_type_status_created` (`message_type`,`status`,`created_at`)
) ENGINE=InnoDB DEFAULT CHARSET=utf8mb4 COLLATE=utf8mb4_unicode_ci;
CREATE TABLE `PAYMENT_TRANSACTION_MESSAGE_HISTORY` (
  `id` bigint NOT NULL AUTO_INCREMENT,
  `payment_transaction_message_id` bigint NOT NULL,
  `message_id` varchar(128) COLLATE utf8mb4_unicode_ci NOT NULL,
  `status` varchar(32) COLLATE utf8mb4_unicode_ci NOT NULL,
  `error_message` varchar(512) COLLATE utf8mb4_unicode_ci DEFAULT NULL,
  `retry_count` int DEFAULT '0',
  `created_at` timestamp DEFAULT CURRENT_TIMESTAMP,
  PRIMARY KEY (`id`) /*T![clustered_index] CLUSTERED */,
  KEY `idx_message_id` (`payment_transaction_message_id`),
  KEY `idx_created_at` (`created_at`)
) ENGINE=InnoDB DEFAULT CHARSET=utf8mb4 COLLATE=utf8mb4_unicode_ci; Verify Sau khi chạy, verify đủ 6 bảng trên vinpay_saas_tpay_staging: DEVICE_LINK, DEVICE_LINK_HISTORY, PAYMENT_REQUESTS, PAYMENT_REQUESTS_HISTORY, PAYMENT_TRANSACTION_MESSAGE, PAYMENT_TRANSACTION_MESSAGE_HISTORY.</t>
  </si>
  <si>
    <t>[MAG][GBIA][NonProd] Tạo database cho dự án GBIA trên môi trường non-prod</t>
  </si>
  <si>
    <t>2026-07-15T10:41:34.101+0700</t>
  </si>
  <si>
    <t>2026-07-16T11:39:08.576+0700</t>
  </si>
  <si>
    <t>Dear anh  @Nguyễn Văn Duy  và DBA team, Dự án GBIA  triển khai cho MAG cần tạo Postgress DB  trên hạ tầng AWS. Vì thế e tạo ticket nhờ anh support team khởi tạo db với ạ. Thông tin dự án :  Thông tin database: dev: gbia_staffapp_common_task_dev Em xin cám ơn ạ cc a  @Hoàng Trọng Lộc</t>
  </si>
  <si>
    <t>[Prod][OMC][Gami] Hỗ trợ thêm column bảng transaction_status</t>
  </si>
  <si>
    <t>2026-07-14T18:11:20.008+0700</t>
  </si>
  <si>
    <t>2026-07-14T18:11:30.103+0700</t>
  </si>
  <si>
    <t>Nhờ team chạy câu query add column bảng transaction_status phục vụ giao dịch phát quà challenge phía gami: Host: 172.31.4.75 Db: promo_quest alter table transaction_status
    add claim_type varchar(30) null;</t>
  </si>
  <si>
    <t>[Non-PROD][UPay][ECOM] Tạo config cho ECOM INSTALLMENT</t>
  </si>
  <si>
    <t>2026-07-14T17:22:34.895+0700</t>
  </si>
  <si>
    <t>2026-07-14T17:22:43.031+0700</t>
  </si>
  <si>
    <t>Dear các anh team DBA, Thông tin database saas_tpay: tidb.int.onemount.dev:4000/vinpay_saas_tpay_staging Nhờ team chạy giúp em script sau ạ: -- 1. Thêm cột và tự động gán dữ liệu cũ là SMARTPOS
ALTER TABLE CUSTOMER_INFO_CONFIG
    ADD COLUMN channel VARCHAR(20) NOT NULL DEFAULT 'SMARTPOS' AFTER id;
-- 2. Copy dữ liệu từ DB nguồn, gán channel = ECOM
INSERT INTO CUSTOMER_INFO_CONFIG (
    bank_code,
    provider_code,
    provider_name,
    field_name,
    description,
    display_order,
    required,
    is_active,
    channel
)
SELECT
    src.bank_code,
    src.provider_code,
    src.provider_name,
    src.field_name,
    src.description,
    src.display_order,
    src.required,
    src.is_active,
    'ECOM'
FROM CUSTOMER_INFO_CONFIG src;
-- 3. Bỏ SMARTPOS là default
ALTER TABLE CUSTOMER_INFO_CONFIG
    ALTER COLUMN channel DROP DEFAULT;
-- 4. Thêm config template id cho luông BK cả SMARTPOS + ECOM (note: prod có giá trị khác cần check lại)
INSERT INTO SYSTEM_CONFIGURATION (SYSTEM_PARAM_CODE, SYSTEM_PARAM_NAME, SYSTEM_PARAM_VALUE,
                                                          IS_ACTIVE, IS_ENCRYPTED)
SELECT 'EMAIL_TEMPLATE_ID_REPORT_INSTALLMENT_BK_ECOM',
       'EMAIL_TEMPLATE_ID_REPORT_INSTALLMENT_BK_ECOM',
       '686b5202b83f283c6b860842',
       1,
       NULL
WHERE NOT EXISTS (SELECT 1
                  FROM SYSTEM_CONFIGURATION
                  WHERE SYSTEM_PARAM_CODE = 'EMAIL_TEMPLATE_ID_REPORT_INSTALLMENT_BK_ECOM'
                  AND IS_ACTIVE = 1);
INSERT INTO SYSTEM_CONFIGURATION (SYSTEM_PARAM_CODE,
                                                          SYSTEM_PARAM_NAME,
                                                          SYSTEM_PARAM_VALUE,
                                                          IS_ACTIVE,
                                                          IS_ENCRYPTED)
SELECT 'EMAIL_TEMPLATE_ID_REPORT_INSTALLMENT_BK_SMARTPOS',
       'EMAIL_TEMPLATE_ID_REPORT_INSTALLMENT_BK_SMARTPOS',
       '686b5202b83f283c6b860842',
       1,
       NULL
WHERE NOT EXISTS (SELECT 1
                  FROM SYSTEM_CONFIGURATION
                  WHERE SYSTEM_PARAM_CODE = 'EMAIL_TEMPLATE_ID_REPORT_INSTALLMENT_BK_SMARTPOS'
                  AND IS_ACTIVE = 1); Em xin cảm ơn ạ.</t>
  </si>
  <si>
    <t>[Kara] Tạo database môi trường prod cho dự án Kara</t>
  </si>
  <si>
    <t>2026-07-14T17:07:40.809+0700</t>
  </si>
  <si>
    <t>2026-07-14T17:07:47.534+0700</t>
  </si>
  <si>
    <t>Dear ace DBA,  Nhờ ace tạp giúp team Kara database môi trường prod cho dự án Kara: Cloudsql Redis Qdrant</t>
  </si>
  <si>
    <t>[OMRE][mongoDB][PROD] Dọn dẹp bớt log trong onehs_user_profile.user_logs</t>
  </si>
  <si>
    <t>2026-07-14T17:01:15.432+0700</t>
  </si>
  <si>
    <t>2026-07-15T17:41:39.691+0700</t>
  </si>
  <si>
    <t>Hiện tại team DBA check mongoDB  onehs_user_profile  thuộc OMRE, có collection  user_logs  chứa các thông tin log từ năm  2022 . Mà hiện tại DB này lại cần backup về DC theo quý, ví dụ thực hiện cho quý 2 năm 2026:    Vậy nhờ TO  @Lê Văn Huy  check giúp xem có clean bớt data log của collections này đi không? Để giảm size của mongoDB Atlas (tiết kiệm cost), cũng như giảm dung lượng backup về DC.</t>
  </si>
  <si>
    <t>2026-07-14T16:59:55.921+0700</t>
  </si>
  <si>
    <t>2026-07-14T17:06:05.165+0700</t>
  </si>
  <si>
    <t>Dear a  @Đào Công Nghĩa   Nhờ a chạy luôn giúp bên em lệnh script clone attribute  voucher_accepted_merchants  từ channel TCBM → ONEU cho voucher  VD_VC_1782379297555, VD_VC_1782471182451 ,  VD_VC_1781684360158 ,  VD_VC_1764990579427 ,  VD_VC_1781867655000 ,  VD_VC_1781866203159 insert into vincart_mm_product.entity_attributes_values (attribute_id, value, name,
                                                             entity_id,
                                                             type, display_order, channel_code)
select attribute_id,
       value,
       name,
       entity_id,
       type,
       display_order,
       'ONEU'
from vincart_mm_product.entity_attributes_values
WHERE name = 'voucher_accepted_merchants' 
  and type = 'VARIANT'
  and entity_id in (select id from vincart_mm_product.variants where code in ('VD_VC_1782379297555','VD_VC_1782471182451','VD_VC_1781684360158','VD_VC_1764990579427','VD_VC_1781867655000','VD_VC_1781866203159''));</t>
  </si>
  <si>
    <t>[Nexa][PSS][V2][BAU][OPZ] Nhờ hỗ trợ update data DB Oracle cho cụm OPZ Hệ thống PSS v2 môi trường PROD hạ tầng FTEL on-prem</t>
  </si>
  <si>
    <t>2026-07-14T15:56:54.010+0700</t>
  </si>
  <si>
    <t>2026-07-14T15:57:34.214+0700</t>
  </si>
  <si>
    <t>Em xin nhờ anh/chị tạo bảng, stored procedure và init data DB Oracle cho  cụm OPZ   môi trường PROD  của hệ thống  Payment Switching Service (PSS) version 2  thuộc dự án Nexa  hạ tầng FTEL on-prem Thông tin chung SAD: [ [PSS] Multi Availability Zone SAD | https://onemount.atlassian.net/wiki/spaces/nexa/pages/3389554689/PSS+Multi+Availability+Zone+SAD ] Bảng mapping các service của hệ thống PSS v2 sử dụng Infra service nào, sheet  TPZ   Infra, OPZ Infra  : [ [Nexa] PSS v2 Overview | https://docs.google.com/spreadsheets/d/1Z82dbJEmWAfWYNDKOYp1y5p26EntPxVcMd2H7AiW1H4/edit?pli=1&amp;gid=1627553322#gid=1627553322 ] Bảng thông tin các service của hệ thống PSS v2 chạy trên môi trường GCP, sheet  CICD Request : [ [Nexa] PSS v2 Overview | https://docs.google.com/spreadsheets/d/1Z82dbJEmWAfWYNDKOYp1y5p26EntPxVcMd2H7AiW1H4/edit?pli=1&amp;gid=1627553322#gid=1627553322 ] Thông tin update: update PSS_MST.CFG_INTEGRATION
set base_url = 'https://api-pss-stg.nexa.mobi/simulator/'
where base_url = 'https://api-opz-pss-v2pt.nexa.mobi/simulator/' and target_system_code in (
'NAMAVNVX',
'ORCIVNVX',
'VNIBVNVX',
'NVBAVNVX',
'SACLVNVX',
'SBITVNVX',
'SHBAVNVX',
'VNACVNVX',
'VNTTVNVX',
'PGBLVNVX',
'EBVIVNVX',
'HDBCVNVX',
'ANZBVNVX',
'HLBBVNVX',
'HSBCVNVX',
'SHBKVNVX',
'SCBLVNVX',
'VIDPVNV5',
'CIBBVNVN',
'HVBKVNVX',
'UOVBVNVX',
'IABBVNVX',
'VRBAVNVX',
'VPSSVNVX');
commit;</t>
  </si>
  <si>
    <t>[Nonprod] Hỗ trợ tạo DB mới</t>
  </si>
  <si>
    <t>2026-07-14T15:50:12.218+0700</t>
  </si>
  <si>
    <t>2026-07-15T09:30:53.871+0700</t>
  </si>
  <si>
    <t>Dear anh Nghĩa, Nhờ anh hỗ trợ team tạo mới DB dưới môi trường dev/qc/uat với ạ Thông tin: IP: 172.31.0.61
DB name: ai_crawler_dev/qc/uat
User_name: ai_crawler_dev/qc/uat SAD:    Em cảm ơn anh</t>
  </si>
  <si>
    <t>[Nexa][PSS][V2][TPZ2]  Nhờ hỗ trợ tạo DB Oracle cho cụm TPZ2 Hệ thống PSS v2 môi trường PROD</t>
  </si>
  <si>
    <t>2026-07-14T15:18:26.385+0700</t>
  </si>
  <si>
    <t>2026-07-14T15:18:43.602+0700</t>
  </si>
  <si>
    <t xml:space="preserve">Em xin nhờ anh/chị tạo giúp DB Oracle cho cụm TPZ2  môi trường PROD  của hệ thống  Payment Switching Service (PSS) version 2  thuộc dự án Nexa. Thông tin chung SAD: [ [PSS] Multi Availability Zone SAD | https://onemount.atlassian.net/wiki/spaces/nexa/pages/3389554689/PSS+Multi+Availability+Zone+SAD ] Bảng mapping các service của hệ thống PSS v2 sử dụng Infra service nào, sheet  TPZ   Infra, OPZ Infra  : [ [Nexa] PSS v2 Overview | https://docs.google.com/spreadsheets/d/1Z82dbJEmWAfWYNDKOYp1y5p26EntPxVcMd2H7AiW1H4/edit?pli=1&amp;gid=1627553322#gid=1627553322 ] Bảng thông tin các service của hệ thống PSS v2 chạy trên môi trường GCP, sheet  CICD Request : [ [Nexa] PSS v2 Overview | https://docs.google.com/spreadsheets/d/1Z82dbJEmWAfWYNDKOYp1y5p26EntPxVcMd2H7AiW1H4/edit?pli=1&amp;gid=1627553322#gid=1627553322 ] Thông tin  DB Oracle   cần tạo: Cụm TPZ: PSS_TPZ02_MST PSS_TPZ02_TXN Thông tin database gửi mail cho SRE của dự án ( @Nguyễn Mạnh Tưởng   @Phạm Việt Hùng  ) cc a  @Nguyễn Văn Hiệp  a  @Nguyễn Văn Duy   @Hoàng Trọng Tấn  </t>
  </si>
  <si>
    <t>[OMC][ONEU] Update variants</t>
  </si>
  <si>
    <t>2026-07-14T12:18:30.579+0700</t>
  </si>
  <si>
    <t>2026-07-14T12:22:29.479+0700</t>
  </si>
  <si>
    <t>Dear team Do cần update sản phẩm để mở bán nhưng ops chưa hỗ trợ, nhờ team chạy giúp em câu lệnh sau ạ Thank team project: vincart-prod instance: main ip: 172.31.1.41 DB: vincart_mm_product UPDATE variants
set stock_type = 'INIT'
WHERE id in (1085220,
1085221,
1085222,
1085223);
UPDATE inventories
set channel_code = 'INIT'
WHERE variant_id in (1085220,
1085221,
1085222,
1085223);
UPDATE variant_prices
set channel_code = 'ONEU'
WHERE variant_id in (1085220,
1085221,
1085222,
1085223)</t>
  </si>
  <si>
    <t>[Merchant-OM] Hỗ trợ cập nhật dữ liệu 20261407</t>
  </si>
  <si>
    <t>2026-07-14T12:15:35.455+0700</t>
  </si>
  <si>
    <t>2026-07-14T12:15:46.112+0700</t>
  </si>
  <si>
    <t>Dear team, Nhờ team chạy giúp câu lệnh bên dưới ạ. Thông tin database https://console.cloud.google.com/sql/instances/main/overview?inv=1&amp;invt=Abqw_w&amp;project=vinid-merchant-prod DB_MYSQL_HOST=172.31.1.44
DB_MYSQL_DATABASE=merchant_service Câu lệnh update vat_invoice_info set tax_code='0109534715' where merchant_id in (select id from merchant where code='DOOPS26089ISF');
update vat_invoice_info set tax_code='0109532475' where merchant_id in (select id from merchant where code='DOOPS26089bq9');
update vat_invoice_info set tax_code='0110199652' where merchant_id in (select id from merchant where code='DOOPS26089qOp');</t>
  </si>
  <si>
    <t>[UPAY][PROD] Update mở rộng thời hạn cho phép refund ECOM</t>
  </si>
  <si>
    <t>2026-07-14T12:12:58.522+0700</t>
  </si>
  <si>
    <t>2026-07-14T12:13:06.062+0700</t>
  </si>
  <si>
    <t>Hi a  @Nguyễn Văn Dũng  nhờ a chạy script theo mô tả  dưới đây ở môi trường PRODUCTION theo thông tin dưới đây ạ: Thông tin database:   mysql://pay-tidb.int.onemount.com:4000/saas_tpay update SYSTEM_CONFIGURATION set SYSTEM_PARAM_VALUE = '{
    {
      "void_config": {
          "international_card": {
              "allowed_transaction_type": [
                  "PAYMENT"
              ],
              "disallowed_void_bins": [],
              "void_cutoff_schedule": [
                  {
                      "days": [
                          "MONDAY",
                          "TUESDAY",
                          "WEDNESDAY",
                          "THURSDAY",
                          "FRIDAY",
                          "SATURDAY",
                          "SUNDAY"
                      ],
                      "cutoff_time": "17:00:00"
                  }
              ]
          }
      },
      "refund_config": {
          "global_enable": true,
          "merchant_enable": {
            "OMG": true,
            "NCC450AX": true,
            "NCCQSFYK": true,
            "NCCHUKTV": true
          },
          "international_card": {
              "allowed_transaction_type": [
                  "PAYMENT"
              ],
              "disallowed_refund_bins": [],
              "max_days_refund": "67",
              "minimum_amount_refund": "1"
          },
          "domestic_card": {
              "allowed_transaction_type": [
                  "PAYMENT"
              ],
              "disallowed_refund_bins": [],
              "max_days_refund": "60",
              "minimum_amount_refund": "1"
          },
          "qr": {
              "allowed_transaction_type": [
                  "PAYMENT"
              ],
              "disallowed_refund_account_number": [],
              "max_days_refund": "60",
              "minimum_amount_refund": "2000"
          }
      }
    }
}' where SYSTEM_PARAM_CODE = 'CONFIG_VOID_AND_REFUND_CHANNEL_ECOM';</t>
  </si>
  <si>
    <t>[BackuptoDC] Backup DB onehs_user_profile về DC cho Quý 2 - 2026</t>
  </si>
  <si>
    <t>2026-07-14T10:51:35.728+0700</t>
  </si>
  <si>
    <t>2026-07-14T14:53:04.670+0700</t>
  </si>
  <si>
    <t>BackuptoDC</t>
  </si>
  <si>
    <t>Do nhu cầu cần thực hiện backup thêm DB onehs_user_profile từ Cloud về DC (theo flow backup 7 DB chứa dữ liệu PSII,  chi tiết ), nhờ anh em team DBA hỗ trợ dump data giúp em để team kéo về DC.  Thông tin DB: DB name: onehs_user_profile Hosts:  1housing.8j11t.gcp.mongodb.net:27017 1housing-shard-00-01.8j11t.gcp.mongodb.net:27017 1housing-shard-00-00.8j11t.gcp.mongodb.net:27017 1housing-shard-00-02.8j11t.gcp.mongodb.net:27017 Nơi lưu trữ: DC Em cám ơn team!</t>
  </si>
  <si>
    <t>[PROD] [12/07/2026] [SIT OneU &amp; NEXA] Support SIT OneU và NEXA</t>
  </si>
  <si>
    <t>2026-07-14T10:39:23.454+0700</t>
  </si>
  <si>
    <t>2026-07-14T10:39:41.080+0700</t>
  </si>
  <si>
    <t>Anh  @Nguyễn Văn Dũng   ơi, Em có chuẩn bị sẵn script, nhờ anh hỗ trợ chạy khi team Nexa xác nhận yêu cầu ạ. Thời gian Go-live:   00:00 ngày 12/07/2026 Database: mysql://vinpay-sql-onehub-master.int.vinid.net:3306/pay_payment_gateway Script: INSERT INTO MERCHANT_PAY_OPERATION (
    merchant_id,
    pay_operation_id,
    is_active,
    created_date
) VALUES (
    '129',
    '5',
    true,
    CURRENT_TIMESTAMP
);
UPDATE SYSTEM_CONFIGURATION
SET system_param_value = 'VINID08-SVIN08-PVIN08,VINTICKET-TICKET001-PGW01'
WHERE system_param_code = 'MERCHANT_CONFIG_PILOT_NEXA';
UPDATE PROVIDER
SET is_active = 1
WHERE provider_id IN ('42'); Nhờ anh giúp em chạy khi team Nexa thông báo nhé. Cảm ơn anh!</t>
  </si>
  <si>
    <t>Hỗ trợ cập nhật trạng thái tồn kho - kho 8124</t>
  </si>
  <si>
    <t>2026-07-13T21:28:53.947+0700</t>
  </si>
  <si>
    <t>2026-07-14T16:24:24.304+0700</t>
  </si>
  <si>
    <t>Hi DBA team, Hiện tại kho 8124 cần fix lỗi dữ liệu, nhờ team DBA hỗ trợ cập nhật theo thông tin dưới đây Project : vinid-b2b-platform-prod Instance/IP : main (read-write): 172.31.4.59 Port : 3306 Database : omd_wms_8115 update whse_stock_detail w 
set w.whse_stock_type = 'M4'
where w.whse_stock_type = 'M3'
and w.prod_code in ('000000000095008444', '000000000095009398', '000000000095008727', '000000000095008361', '000000000095007283', '000000000095000839', '000000000095008472', '000000000095009398', '000000000095002845', '000000000095008968', '000000000095009338', '000000000095009398', '000000000095008342', '000000000095006752', '000000000095002845', '000000000095009398', '000000000095007286', '000000000095009398', '000000000095008170', '000000000095008355', '000000000095003168', '000000000095001019', '000000000095008349', '000000000095008968', '000000000095008278', '000000000095007278', '000000000095001401', '000000000095008600', '000000000095008349', '000000000095009130', '000000000095008429', '000000000095008361', '000000000095009024', '000000000095009386', '000000000095001400', '000000000095008450', '000000000095007246', '000000000095009347', '000000000095001740', '000000000095002845', '000000000095001019', '000000000095007657', '000000000095008278', '000000000095007657', '000000000095009398', '000000000095001050', '000000000095009126', '000000000095009024', '000000000095008591', '000000000095008329', '000000000095001021', '000000000095002845', '000000000095008462', '000000000095007274', '000000000095009126', '000000000095002366', '000000000095009130', '000000000095002845', '000000000095001021', '000000000095008162', '000000000095008576', '000000000095008591', '000000000095009398', '000000000095008170', '000000000095009347', '000000000095009400', '000000000095007283', '000000000095003169', '000000000095001740', '000000000095006657', '000000000095003169', '000000000095009168', '000000000095009398', '000000000095007887', '000000000095008343', '000000000095008170', '000000000095009277', '000000000095008342', '000000000095009122', '000000000095008349', '000000000095007287', '000000000095008591', '000000000095009122', '000000000095008349', '000000000095009394', '000000000095008159', '000000000095009130', '000000000095008349', '000000000095008994', '000000000095007283', '000000000095008342', '000000000095007286', '000000000095002844', '000000000095006752', '000000000095003169', '000000000095004347', '000000000095001740', '000000000095008162', '000000000095008360', '000000000095008462', '000000000095007286', '000000000095007286', '000000000095009386', '000000000095007280', '000000000095008361', '000000000095003168', '000000000095009117', '000000000095002179', '000000000095008159', '000000000095001740', '000000000095008453', '000000000095007657', '000000000095006752', '000000000095007294', '000000000095009075', '000000000095009139', '000000000095007294', '000000000095000840', '000000000095007274', '000000000095008444', '000000000095009350', '000000000095003168', '000000000095007294', '000000000095008730', '000000000095009398', '000000000095009277', '000000000095008278', '000000000095009389', '000000000095001036', '000000000095009339', '000000000095008600', '000000000095007280', '000000000095003169', '000000000095008358', '000000000095003169', '000000000095009398', '000000000095000839', '000000000095002845', '000000000095008591', '000000000095008358', '000000000095001019', '000000000095008591', '000000000095008162', '000000000093000514', '000000000095008462', '000000000095007274', '000000000095009347', '000000000095007274', '000000000095003168', '000000000095008730', '000000000095007785', '000000000095008600', '000000000095009109', '000000000095009350', '000000000095001740', '000000000095008450', '000000000095006657', '000000000095007274', '000000000095009277', '000000000095002179', '000000000095004349', '000000000095009386', '000000000095007160', '000000000095008834', '000000000095008355', '000000000095008350', '000000000095008361', '000000000095008343', '000000000095002845', '000000000095008472', '000000000095007293', '000000000095008600', '000000000095008278', '000000000095009117', '000000000095006988', '000000000095007274', '000000000095002428', '000000000095009339', '000000000095008361', '000000000095008591', '000000000095000839', '000000000095002366')
and w.pallet_id in ('PTL_8124_106249', 'PTL_8124_106246', 'PTL_8124_106245', 'PTL_8124_106241', 'PTL_8124_106244', 'PTL_8124_106251', 'PTL_8124_106241', 'PTL_8124_106246', 'PTL_8124_106239', 'PTL_8124_106241', 'PTL_8124_106239', 'PTL_8124_106240', 'PTL_8124_106244', 'PTL_8124_106239', 'PTL_8124_106246', 'PTL_8124_106254', 'PTL_8124_106237', 'PTL_8124_106254', 'PTL_8124_106254', 'PTL_8124_106253', 'PTL_8124_106247', 'PTL_8124_106240', 'PTL_8124_106241', 'PTL_8124_106241', 'PTL_8124_106244', 'PTL_8124_106248', 'PTL_8124_106240', 'PTL_8124_106237', 'PTL_8124_106241', 'PTL_8124_106253', 'PTL_8124_106250', 'PTL_8124_106241', 'PTL_8124_106243', 'PTL_8124_106240', 'PTL_8124_106244', 'PTL_8124_106245', 'PTL_8124_106249', 'PTL_8124_106240', 'PTL_8124_106247', 'PTL_8124_106246', 'PTL_8124_106251', 'PLT000019074', 'PTL_8124_106251', 'PLT000019074', 'PTL_8124_106254', 'PTL_8124_106237', 'PTL_8124_106250', 'PTL_8124_106244', 'PTL_8124_106238', 'PTL_8124_106244', 'PTL_8124_106237', 'PTL_8124_106239', 'PTL_8124_106248', 'PTL_8124_106237', 'PTL_8124_106250', 'PTL_8124_106252', 'PTL_8124_106253', 'PTL_8124_106246', 'PTL_8124_106238', 'PTL_8124_106237', 'PTL_8124_106238', 'PTL_8124_106244', 'PTL_8124_106254', 'PTL_8124_106254', 'PTL_8124_106252', 'PTL_8124_106250', 'PTL_8124_106237', 'PTL_8124_106254', 'PTL_8124_106240', 'PTL_8124_106250', 'PTL_8124_106247', 'PTL_8124_106243', 'PTL_8124_106240', 'PTL_8124_106248', 'PTL_8124_106249', 'PTL_8124_106254', 'PTL_8124_106244', 'PTL_8124_106250', 'PTL_8124_106253', 'PTL_8124_106241', 'PTL_8124_106237', 'PTL_8124_106251', 'PTL_8124_106253', 'PTL_8124_106254', 'PTL_8124_106248', 'PTL_8124_106248', 'PTL_8124_106253', 'PTL_8124_106254', 'PTL_8124_106250', 'PTL_8124_106244', 'PTL_8124_106243', 'PTL_8124_106243', 'PTL_8124_106240', 'PTL_8124_106239', 'PTL_8124_106241', 'PTL_8124_106250', 'PTL_8124_106240', 'PTL_8124_106251', 'PTL_8124_106238', 'PTL_8124_106252', 'PTL_8124_106237', 'PTL_8124_106237', 'PTL_8124_106253', 'PTL_8124_106238', 'PTL_8124_106252', 'PTL_8124_106252', 'PTL_8124_106250', 'PTL_8124_106240', 'PTL_8124_106248', 'PTL_8124_106247', 'PTL_8124_106252', 'PTL_8124_106245', 'PTL_8124_106239', 'PTL_8124_106237', 'PTL_8124_106237', 'PTL_8124_106249', 'PTL_8124_106248', 'PTL_8124_106239', 'PTL_8124_106243', 'PTL_8124_106244', 'PTL_8124_106237', 'PTL_8124_106241', 'PTL_8124_106243', 'PTL_8124_106239', 'PTL_8124_106240', 'PTL_8124_106244', 'PTL_8124_106244', 'PTL_8124_106248', 'PTL_8124_106248', 'PTL_8124_106237', 'PTL_8124_106252', 'PTL_8124_106238', 'PTL_8124_106241', 'PTL_8124_106249', 'PTL_8124_106254', 'PTL_8124_106246', 'PTL_8124_106239', 'PTL_8124_106240', 'PTL_8124_106238', 'PTL_8124_106238', 'PTL_8124_106240', 'PTL_8124_106244', 'PTL_8124_106238', 'PTL_8124_106250', 'PTL_8124_106248', 'PTL_8124_106237', 'PTL_8124_106245', 'PTL_8124_106237', 'PTL_8124_106241', 'PTL_8124_106239', 'PTL_8124_106239', 'PTL_8124_106239', 'PTL_8124_106249', 'PTL_8124_106243', 'PTL_8124_106247', 'PTL_8124_106251', 'PTL_8124_106249', 'PTL_8124_106248', 'PTL_8124_106244', 'PTL_8124_106253', 'PTL_8124_106248', 'PTL_8124_106253', 'PTL_8124_106245', 'PTL_8124_106249', 'PTL_8124_106249', 'PTL_8124_106244', 'PTL_8124_106241', 'PTL_8124_106243', 'PTL_8124_106246', 'PTL_8124_106241', 'PTL_8124_106238', 'PTL_8124_106245', 'PTL_8124_106251', 'PTL_8124_106250', 'PTL_8124_106237', 'PTL_8124_106237', 'PTL_8124_106243', 'PTL_8124_106243', 'PTL_8124_106254', 'PTL_8124_106251', 'PTL_8124_106238', 'PTL_8124_106252')
and w.dc_code = '8124';</t>
  </si>
  <si>
    <t>[om][scc-hub] Xin cấp sql db cho dự án scc hub</t>
  </si>
  <si>
    <t>2026-07-13T16:37:58.656+0700</t>
  </si>
  <si>
    <t>2026-07-13T16:38:08.213+0700</t>
  </si>
  <si>
    <t>Hi  @Hà Văn Vượng   nhờ chú tạo giúp anh các DB môi trường non-prod cho dự án Supply Chain Collaboration ( scc-hub) gcp project: vinid-app-common-dev instance:  main-mysql-8-2  ( 172.31.0.68) dev env: scc-hub-dev qc env: scc-hub-qc uat env: scc-hub-uat</t>
  </si>
  <si>
    <t xml:space="preserve">V/V Xin cấp  database non-prod AML - CBP Project </t>
  </si>
  <si>
    <t>2026-07-13T14:53:30.114+0700</t>
  </si>
  <si>
    <t>2026-07-14T09:17:11.949+0700</t>
  </si>
  <si>
    <t>AML, ORME</t>
  </si>
  <si>
    <t>Dear DBA  Team,  Do nhu cầu phát triển dự án AML - hỗ trợ phát hiện, phòng chống nguy cơ rửa tiền , team dự án cần cấp 1 database instance MYSQL 8, host: 172.31.0.67 user/database: omre_cbp_aml_$env. Nhờ team DBA hỗ trợ. E xin cảm ơn  ạ.</t>
  </si>
  <si>
    <t>[PROD][UPAY][BO] Off các Job execution đồng bộ đơn VMM đang bị treo</t>
  </si>
  <si>
    <t>2026-07-13T10:46:02.658+0700</t>
  </si>
  <si>
    <t>2026-07-13T10:46:16.731+0700</t>
  </si>
  <si>
    <t>Hi a   @Đào Công Nghĩa  , nhờ a chạy giúp e script bên dưới với ạ Thông tin database:  172.31.1.133:3306/bo UPDATE BATCH_STEP_EXECUTION
SET STATUS       = 'FAILED',
    EXIT_CODE    = 'FAILED',
    EXIT_MESSAGE = 'MANUAL_CLOSE_STALE_STARTED',
    END_TIME     = COALESCE(END_TIME, NOW()),
    LAST_UPDATED = NOW(),
    VERSION      = VERSION + 1
WHERE JOB_EXECUTION_ID IN (SELECT bje.JOB_EXECUTION_ID
                           FROM BATCH_JOB_INSTANCE bji
                                    JOIN BATCH_JOB_EXECUTION bje ON bji.JOB_INSTANCE_ID = bje.JOB_INSTANCE_ID
                           WHERE bji.JOB_NAME = 'batch.job.courier.dremio.order.new'
                             AND bje.STATUS IN ('STARTING', 'STARTED')
                           ORDER BY bje.JOB_EXECUTION_ID DESC)
  AND STATUS IN ('STARTING', 'STARTED');
UPDATE BATCH_JOB_EXECUTION bje
JOIN BATCH_JOB_INSTANCE bji
  ON bji.JOB_INSTANCE_ID = bje.JOB_INSTANCE_ID
SET bje.STATUS = 'FAILED',
    bje.EXIT_CODE = 'FAILED',
    bje.EXIT_MESSAGE = 'MANUAL_CLOSE_STALE_STARTED',
    bje.END_TIME = COALESCE(bje.END_TIME, NOW()),
    bje.LAST_UPDATED = NOW(),
    bje.VERSION = bje.VERSION + 1
WHERE bji.JOB_NAME = 'batch.job.courier.dremio.order.new'
  AND bje.STATUS IN ('STARTING', 'STARTED');
UPDATE BATCH_CONFIG SET END_SUCCESS_TIME = '2026-07-10 00:00:00.000' WHERE ID = 'batch.job.courier.dremio.order.new';</t>
  </si>
  <si>
    <t>[PROD] [12/07/2026] [UPay] Support release plan golive</t>
  </si>
  <si>
    <t>2026-07-13T09:27:52.077+0700</t>
  </si>
  <si>
    <t>2026-07-13T09:27:58.058+0700</t>
  </si>
  <si>
    <t>Hi a   @Nguyễn Văn Dũng  , nhờ a chạy giúp e script bên dưới khi bắt đầu golive với ạ Thời gian golive: 23h59p ngày 11/07/2026 Release golive:    CR:    Thông tin database:  mysql://pay-tidb.int.onemount.com:4000/saas_tpay Script SQL: UPDATE STEP_CONFIG SET status = 'INACTIVE', is_display = 0 WHERE code = 'SOFTPOS_ONBOARD_STORE_ADDRESS';</t>
  </si>
  <si>
    <t>[OMD][MHPOS] Hỗ trợ init dữ liệu trên môi trường PROD dự án merchant-hub-pos</t>
  </si>
  <si>
    <t>2026-07-11T22:43:34.920+0700</t>
  </si>
  <si>
    <t>2026-07-12T21:06:22.807+0700</t>
  </si>
  <si>
    <t>Hi Linh nhờ Linh support init dữ liệu.  Khi nào chạy QUANGPH sẽ báo. Sau khi deploy   jdbc:postgresql://omd-merchant-hub-prod--mhpos-catalog-prod-postgres.cloudsql.int:5432/mhpos_catalog</t>
  </si>
  <si>
    <t>Xin quyền update trên DB: 172.31.4.82</t>
  </si>
  <si>
    <t>2026-07-11T21:41:55.701+0700</t>
  </si>
  <si>
    <t>2026-07-11T21:42:04.835+0700</t>
  </si>
  <si>
    <t>update</t>
  </si>
  <si>
    <t>Nhờ team add giúp acc hoapd1 trên DB: GCP project  vinid-loyalty-prod Instance name : voucher-distribution Instance IP : 172.31.4.82 Database : b2b_voucher_distribution Bảng: b2b_voucher_distribution.purchase_order và b2b_voucher_distribution.purchase_order_voucher với nhé Đã có phê duyệt update trên DB ở ticket:    trước đó rồi nhé, chỉ là thêm bảng trên db (trước đó cũng đã báo comment thêm khi cần support rồi)</t>
  </si>
  <si>
    <t>[Nexa][DataPlatform] Nhờ tạo Database PostgreSQL các hệ thống Nexa DP</t>
  </si>
  <si>
    <t>2026-07-11T17:08:04.960+0700</t>
  </si>
  <si>
    <t>2026-07-11T17:08:14.897+0700</t>
  </si>
  <si>
    <t xml:space="preserve">Do cần phải migrate từ MySQL sang PostgreSQL, nhờ team DBA hỗ trợ tạo Database PostgreSQL cho các hệ thống Nexa DP, cụ thể airflow datahub data_platform username/password thì cần có full quyền trên database Ticket liên quan:  https://onemount.atlassian.net/browse/NEXA-14474 cc anh  @Trần Vi Duân  ,  @Lê Minh Tú  </t>
  </si>
  <si>
    <t>[OMD][MHPOS]Hỗ trợ lấy dữ liệu trên môi trường PROD dự án merchant-hub-pos</t>
  </si>
  <si>
    <t>2026-07-11T16:16:27.681+0700</t>
  </si>
  <si>
    <t>2026-07-11T17:42:13.344+0700</t>
  </si>
  <si>
    <t>Hi Linh.  Nhờ linh support lấy dữ liệu trên môi trường production jdbc:postgresql://omd-merchant-hub-prod--mhpos-catalog-prod-postgres.cloudsql.int:5432/mhpos_catalog select id,merchant_id,code,merchant_name from public.merchant order by id;
select id,merchant_id,code,warehouse_name from public.warehouse order by id; jdbc:postgresql://omd-merchant-hub-prod--mhpos-order-prod-postgres.cloudsql.int:5432/mhpos_oms select id,merchant_id,code,name from public.merchant order by id;
select id,merchant_id,code,name from public.warehouse order by id;</t>
  </si>
  <si>
    <t>[Prod][OMC][Gami] Hỗ trợ export data Danh sách Khách Hàng + số lượt chơi đã thu hồi thuộc về campaign BASES0726_QRMVP3_LUCKY</t>
  </si>
  <si>
    <t>2026-07-11T12:28:40.263+0700</t>
  </si>
  <si>
    <t>2026-07-11T12:28:52.063+0700</t>
  </si>
  <si>
    <t>Nhờ team chạy 2 câu query trên prodution giúp Loyalty Gami, export ra csv, vận hành Loyalty có nhu cầu xuất danh sách khách hàng đã bị thu hồi lượt + số lượt thu hồi của campaign BASES0726_QRMVP3_LUCKY để thực hiện phát bù. Host: 172.31.4.75 Db: promo_mysterybox SELECT 
    customer_id, 
    SUM(quantity) AS total_deduct_raw
FROM turn_histories
WHERE campaign_id = 177
  AND reason = 'DEDUCT'
  AND created_at &gt; '2026-07-01 00:00:00'
GROUP BY customer_id; SELECT 
    customer_id, 
    SUM(quantity) AS total_deduct_raw
FROM turn_histories
WHERE campaign_id = 177
  AND reason = 'DEDUCT_AUTO'
  AND created_at &gt; '2026-07-01 00:00:00'
GROUP BY customer_id;</t>
  </si>
  <si>
    <t>[RAP] Tạo DB postgres cho RAP</t>
  </si>
  <si>
    <t>2026-07-11T09:20:34.689+0700</t>
  </si>
  <si>
    <t>2026-07-11T09:32:51.237+0700</t>
  </si>
  <si>
    <t>Rap qc ( https://gitlab.id.vin/1housing/cbp/ai/rap ) sử dụng litellm nên cần DB riêng cho litellm Hiện tại rap qc đang dùng DB ở  DATABASE_URL=postgres://omre_cbp_rap_qc:&lt;secret&gt;@omre-cobroker-np--sm-rim-np-postgres.cloudsql.int:5432/omre_cbp_rap_qc Em request thêm 1 postgres db tương tự cho lite llm ạ  omre_cbp_rap_lite_llm_qc</t>
  </si>
  <si>
    <t>V/v tạo thêm bảng mới trong db ecom_data_transform môi trường PROD</t>
  </si>
  <si>
    <t>2026-07-10T18:14:26.274+0700</t>
  </si>
  <si>
    <t>2026-07-10T18:16:57.981+0700</t>
  </si>
  <si>
    <t>Newretail</t>
  </si>
  <si>
    <t>Dear DBA, Release ngày 12/07/2026, bên OMC có lên luồng San&amp;Pay with Voucher, cần thêm bảng vào DB: ecom_data_transform. Thông tin db: Cụm:  172.31.4.10(vincart-ecom-high-mysql-master.int.vinid.net) Database: ecom_data_transform Do db này sẽ được call từ service: order-orchestrator-internal nên sẽ cần user/pass riêng có quyền read/write. @Đào Công Nghĩa   tạo rồi gửi thông tin cho anh  @Dương Tuấn Trình  để anh ấy đưa vào secret trên prod nhé! SQL: CREATE TABLE IF NOT EXISTS saga_state (
  idem_key        VARCHAR(191) NOT NULL,          
  invoice_number  VARCHAR(191) NULL,
  user_id         VARCHAR(191) NULL,
  attempt         INT          NOT NULL DEFAULT 1,
  payload_json    MEDIUMTEXT   NULL,               
  outcome         VARCHAR(32)  NULL,
  epoch           BIGINT       NOT NULL DEFAULT 1, 
  updated_at      DATETIME(3)  NULL,
  expires_at      DATETIME(3)  NULL,
  PRIMARY KEY (idem_key),
  UNIQUE KEY uk_saga_invoice_attempt (invoice_number, attempt),
  KEY        idx_saga_user (user_id)
) ENGINE=InnoDB DEFAULT CHARSET=utf8mb4;
CREATE TABLE IF NOT EXISTS saga_refund_leg (
  id              BIGINT       NOT NULL AUTO_INCREMENT,
  invoice_number  VARCHAR(191) NOT NULL,
  user_id         VARCHAR(191) NOT NULL,
  leg             VARCHAR(16)  NOT NULL,           -- POINT|DISCOUNT|VOUCHER|ORDER
  status          VARCHAR(16)  NOT NULL,           -- PENDING|SUCCEEDED|FAILED|SKIPPED|IN_DOUBT
  attempts        INT          NOT NULL DEFAULT 0, -- bộ đếm retry của leg
  apply_attempt   INT          NOT NULL DEFAULT 1, -- KHÁC attempts: số lần apply, để dedupe theo attempt
  last_error      TEXT         NULL,
  version         INT          NOT NULL DEFAULT 0,
  created_at      DATETIME(3)  NOT NULL,
  updated_at      DATETIME(3)  NOT NULL,
  PRIMARY KEY (id),
  UNIQUE KEY uk_invoice_attempt_leg (invoice_number, apply_attempt, leg),
  KEY idx_user (user_id),
  KEY idx_status_updated (status, updated_at)
) ENGINE=InnoDB DEFAULT CHARSET=utf8mb4;</t>
  </si>
  <si>
    <t>[Prod][OMC][Gami] Insert attribute mới cho Gami phục vụ release 11/07/2026</t>
  </si>
  <si>
    <t>2026-07-10T17:50:21.103+0700</t>
  </si>
  <si>
    <t>2026-07-10T17:50:27.776+0700</t>
  </si>
  <si>
    <t>Nhờ team chạy query trên prodution giúp Loyalty Gami, phục vụ release 11/07/2026: Host: 172.31.4.75 Db: promo_rule_engine UPDATE `rule_templates` 
SET `payload` = JSON_SET(
    `payload`,
    '$.payload.transaction_attributes.txn_prefix_merchant_id', 'a',
    '$.payload.transaction_attributes.txn_partner_name', 'a',
    '$.payload.transaction_attributes.txn_account_identifier', 'a'
) WHERE id = 7;
UPDATE `rule_templates` 
SET `payload` = JSON_SET(
    `payload`,
    '$.payload.transaction_attributes.txn_prefix_merchant_id', 'a',
    '$.payload.transaction_attributes.txn_partner_name', 'a',
    '$.payload.transaction_attributes.txn_account_identifier', 'a'
) WHERE id = 11;
INSERT INTO categories (tenant_id,rule_template_id,`key`,name,field_type,ui_type,operator,group_name,is_master_data,description,status,created_at,updated_at) VALUES
	 (1,7,'payload.transaction_attributes.txn_prefix_merchant_id','[TXN_PREFIX_MERCHANT_ID] Nhận diện loại merchant thông qua virtual account prefix.','string','TEXT','==|!=|contains|not contains','Program Attribute',0,'Nhận diện loại merchant thông qua virtual account prefix.','ACTIVE','2026-06-03 00:00:00','2026-06-03 00:00:00'),
	 (1,11,'payload.transaction_attributes.txn_prefix_merchant_id','[TXN_PREFIX_MERCHANT_ID] Nhận diện loại merchant thông qua virtual account prefix.','string','TEXT','==|!=|contains|not contains','Program Attribute',0,'Nhận diện loại merchant thông qua virtual account prefix.','ACTIVE','2026-06-03 00:00:00','2026-06-03 00:00:00');
INSERT INTO categories (tenant_id,rule_template_id,`key`,name,field_type,ui_type,operator,group_name,is_master_data,description,status,created_at,updated_at) VALUES
	 (1,7,'payload.transaction_attributes.txn_partner_name','[TXN_PARTNER_NAME] Nhận diện partner/merchant name','string','TEXT','==|!=|contains|not contains','Program Attribute',0,'Nhận diện partner/merchant name','ACTIVE','2026-06-03 00:00:00','2026-06-03 00:00:00'),
	 (1,11,'payload.transaction_attributes.txn_partner_name','[TXN_PARTNER_NAME] Nhận diện partner/merchant name','string','TEXT','==|!=|contains|not contains','Program Attribute',0,'Nhận diện partner/merchant name','ACTIVE','2026-06-03 00:00:00','2026-06-03 00:00:00');
INSERT INTO categories (tenant_id,rule_template_id,`key`,name,field_type,ui_type,operator,group_name,is_master_data,description,status,created_at,updated_at) VALUES
	 (1,7,'payload.transaction_attributes.txn_account_identifier','[TXN_ACCOUNT_IDENTIFIER] Nhận diện khách hàng thông qua account identifier đã được mã hóa','string','TEXT','==|!=|contains|not contains','Program Attribute',0,'Nhận diện khách hàng thông qua account identifier đã được mã hóa','ACTIVE','2026-06-03 00:00:00','2026-06-03 00:00:00'),
	 (1,11,'payload.transaction_attributes.txn_account_identifier','[TXN_ACCOUNT_IDENTIFIER] Nhận diện khách hàng thông qua account identifier đã được mã hóa','string','TEXT','==|!=|contains|not contains','Program Attribute',0,'Nhận diện khách hàng thông qua account identifier đã được mã hóa','ACTIVE','2026-06-03 00:00:00','2026-06-03 00:00:00');</t>
  </si>
  <si>
    <t>[Merchant-TCB] Hỗ trợ cập nhật dữ liệu 20260710</t>
  </si>
  <si>
    <t>2026-07-10T17:09:47.523+0700</t>
  </si>
  <si>
    <t>2026-07-10T17:09:53.299+0700</t>
  </si>
  <si>
    <t>Dear team, Nhờ team chạy giúp câu lệnh bên dưới ạ. Thông tin database https://console.cloud.google.com/sql/instances/merchant-tcb/overview?inv=1&amp;invt=AbsndA&amp;project=vinid-merchant-prod DB_MYSQL_HOST=172.31.4.108
DB_MYSQL_DATABASE=merchant_service_tcb Câu lệnh INSERT INTO `tpay_staff_permission` (`id`, `created_at`, `updated_at`, `module`, `code`, `name`, `description`) VALUES
('2026-07-11 17:00:00', '2026-07-11 17:00:00', 'PMBH_Quản lý kho', 'edit:pos_setting_allow_negative_sell', 'Cấu hình bán âm tồn kho', 'On/off toggle Cấu hình bán âm tồn'),
('2026-07-11 17:00:00', '2026-07-11 17:00:00', 'PMBH_Tạo và quản lý sản phẩm', 'view:product_stock_history', 'Biến động tồn kho', 'Xem biến động tồn kho của 1 sản phẩm'),
('2026-07-11 17:00:00', '2026-07-11 17:00:00', 'PMBH_Quản lý kho', 'view:inventory_report', 'Báo cáo tồn kho', 'Xem màn Báo cáo tồn kho và chi tiết tồn kho của sản phẩm');</t>
  </si>
  <si>
    <t>[MAG][NSP] Nhờ cấp database cho BPM (Camunda) cho dự án MAG Sales Platform</t>
  </si>
  <si>
    <t>2026-07-10T12:17:48.515+0700</t>
  </si>
  <si>
    <t>2026-07-10T12:17:55.083+0700</t>
  </si>
  <si>
    <t>Hi team DBA, Dự án Masterise Sales Platform có sử dụng Camunda làm BPM engine phục vụ cho các luồng xử lý nghiệp vụ của hệ thống,  sẽ cần cung cấp 1 database để phục vụ cho service này, nhờ team hỗ trợ tạo giúp team database với các thông tin như sau. Database type: PostgreSQL (Instance đã có được tạo theo thông tin ticket    ) Thông tin db: Tên Database: mag_sales_platform_bpm Username: mag_sales_platform_bpm Thông tin tài khoản được tạo vui lòng gửi vào mail cho  khoi.nguyen3@onemount.com  và  hoa.le8@onemount.com  ạ Thông tin SAD dự án:  cc anh  @Nguyễn Văn Duy   @Đào Công Nghĩa   @Đoàn Việt Hưng   Em cám ơn ạ.</t>
  </si>
  <si>
    <t xml:space="preserve">[OMC][MTP] cập nhật dữ liệu cho MKT </t>
  </si>
  <si>
    <t>2026-07-10T12:15:06.888+0700</t>
  </si>
  <si>
    <t>2026-07-10T12:15:14.092+0700</t>
  </si>
  <si>
    <t>Dear anh  @Nguyễn Văn Dũng  ,  @Đào Công Nghĩa  , nhờ anh em chạy giúp scripts sau. DB:  TiDB-OMC Schema:  omc_mtp_user_profile Best regards Dinh Quang Nguyen</t>
  </si>
  <si>
    <t xml:space="preserve">[UPAY] Tác động database hỗ trợ merchant CIRCLEK update thông tin giao dịch </t>
  </si>
  <si>
    <t>2026-07-10T11:35:15.591+0700</t>
  </si>
  <si>
    <t>2026-07-10T11:35:24.132+0700</t>
  </si>
  <si>
    <t>Description Hi a  @Nguyễn Văn Dũng  nhờ a chạy script theo mô tả  dưới đây ở môi trường PRODUCTION theo thông tin dưới đây ạ: Thời gian chạy script: ngay khi được approval  Thông tin database:   mysql://pay-tidb.int.onemount.com:4000/saas_tpay Chạy theo thứ tự sau: UPDATE TRANSACTION_MASTER SET transaction_status='SUCCESS'
where destination_account_number IN (
    'MD061780972989643XG',
    'MD061780972990086MN',
    'MD061780972989475AC',
    'MD061780992341312NH',
    'MD061780669939826XR'
) and merchant_code = 'CIRCLEK'; UPDATE TRANSACTION_DETAIL tgt
INNER JOIN TRANSACTION_DETAIL src
    ON src.transaction_id = tgt.transaction_id
    AND src.transaction_status = 'SUCCESS'
    AND src.created_by = 'TPAY_RECONCILE_SYSTEM'
SET
    tgt.ft_id               = src.ft_id,
    tgt.tcb_transaction_id = src.tcb_transaction_id,
    tgt.transaction_amount = src.transaction_amount,
    tgt.transaction_time   = src.transaction_time,
    tgt.value_date         = src.value_date,
    tgt.notify_date        = src.notify_date,
    tgt.transaction_status = 'SUCCESS'
WHERE tgt.id IN (
    '6310cc03165b41f58f3b836db02d5e48',
    '1b7a41639ef84db385faf4755e47e532',
    '8a66cc5702ca4a83bcf5edc31a3be621',
    'ae7e644c9bbf4fb48d7090349a78ae91',
    'ab3e9925f09a4c439627f3a332a8eafb'
)
AND tgt.transaction_status = 'INIT'
AND tgt.ft_id IS NULL
AND tgt.created_by IS NULL
AND tgt.merchant_code = 'CIRCLEK'; UPDATE TRANSACTION_DETAIL
SET
    transaction_id = CONCAT(transaction_id, '_BAK'),
    updated_date = NOW(),
    updated_by = 'TPAY_RECONCILE_SYSTEM'
WHERE id IN (
    '6cd519bb377b4074b9bcd634eb91b82f',
    '04f9dac841b44c0a9c1c5dcc832ad700',
    '7587815ab4324bbf9fe5b71180c14b17',
    'ce2c0801afe2493db541e5743018bed3',
    'f2a56a2f81a446658b35b5d328541d93'
)
AND transaction_status = 'SUCCESS'
AND created_by = 'TPAY_RECONCILE_SYSTEM';</t>
  </si>
  <si>
    <t>[PROD][CCS] Cài đặt 2 server memstore Redis</t>
  </si>
  <si>
    <t>2026-07-10T11:24:49.638+0700</t>
  </si>
  <si>
    <t>2026-07-10T11:25:25.136+0700</t>
  </si>
  <si>
    <t>Cài đặt 2 server database Redis trên hạ tầng MBF Redis 1 Ubuntu 24.04 LTS DMZ 2 10.2.175.229 172.20.151.101 Redis 2 Ubuntu 24.04 LTS DMZ 2 10.2.175.230 172.20.151.102</t>
  </si>
  <si>
    <t>[PROD][CCS] Cài đặt 2 server database Postgresql</t>
  </si>
  <si>
    <t>2026-07-10T11:22:06.903+0700</t>
  </si>
  <si>
    <t>2026-07-10T11:23:28.526+0700</t>
  </si>
  <si>
    <t>Cài đặt 2 server database Postgresql trên hạ tầng MBF Database 1 Ubuntu 24.04 LTS Internal 10.2.66.36 172.20.101.52 Database 2 Ubuntu 24.04 LTS Internal 10.2.66.37 172.20.101.53</t>
  </si>
  <si>
    <t>[OMC][ONEU] Xóa cache redis</t>
  </si>
  <si>
    <t>2026-07-10T11:11:34.368+0700</t>
  </si>
  <si>
    <t>2026-07-10T11:11:40.649+0700</t>
  </si>
  <si>
    <t>Dear team Do vận hành cần nghiệm thu tính năng nhưng đang dính cache 1 ngày trên redis, nhờ team chạy giúp em câu lệnh sau ạ host :  vincart-prod--cache.memstore.int port : 6379 database : 5 unlink vmm:product:get_settings_merchant_ids_key::SimpleKey [[392961],FILTER_OUT_OUT_OF_STOCK]</t>
  </si>
  <si>
    <t>[PROD][VCM] Chuẩn bị cho golive 11/07/2026</t>
  </si>
  <si>
    <t>2026-07-09T22:05:34.207+0700</t>
  </si>
  <si>
    <t>2026-07-10T09:09:39.186+0700</t>
  </si>
  <si>
    <t>Để chuẩn bị cho golive đêm  11/07/2026 , nhờ team DBA support migrate data này vào lúc  22h ngày 09/07/2026 : Thông tin database: IP:  172.31.1.41 Database:  vincart_mm_product Script cần chạy: INSERT INTO vincart_mm_product.attributes(name, status)VALUES('provider_purchase_price', 'ACTIVE'); Cảm ơn team DBA nhiều ạ.</t>
  </si>
  <si>
    <t>[OMC][MTP][PROD] Hỗ trợ cập nhật database - Notification Hubs</t>
  </si>
  <si>
    <t>2026-07-09T18:13:11.060+0700</t>
  </si>
  <si>
    <t>2026-07-09T18:13:20.024+0700</t>
  </si>
  <si>
    <t>Dear anh  @Đào Công Nghĩa , Team em có nhu cầu cập nhật DB với script dưới đây, nhờ team DBA hỗ trợ. Thời gian chạy:  Team chạy luôn giúp em ạ. Thông tin DB:  172.31.4.192:3306/martech_notification_prod update martech_notification_prod.app_config_category 
set icon_url = 'https://cdn-merchant.vinid.net/images/gallery/softpos/1773506275_T-Shop.png'
where app_config_id = '328aacae-ec4b-4629-8f2f-29f942bfa48d'
and category_id = 8; Thank anh, Thành An.</t>
  </si>
  <si>
    <t>[om][mag-hub] Xin cấp mongo db cho các dự án phục vụ cho MAG hub</t>
  </si>
  <si>
    <t>2026-07-09T17:44:58.894+0700</t>
  </si>
  <si>
    <t>2026-07-09T18:03:35.665+0700</t>
  </si>
  <si>
    <t>MAG_SCM</t>
  </si>
  <si>
    <t>Dear anh  @Phạm Tuấn Linh   1 số dự án đang phục vụ cho mag cần mongodb để lưu log activity, tracking Nhờ anh tạo giúp em các DB theo danh sách bên dứoi nhé ạ Host:  mongos-ilb-2.int.onemount.dev  clms:         qc env: clms_qc        uat env: clms_uat mdm:        qc env: mdm_qc        uat env: mdm_uat pms        qc env: pms_qc        uat env: pms_uat scc        qc env: scc_qc        uat env: scc_uat</t>
  </si>
  <si>
    <t>[OMC][OneU][PROD] Xóa cart các merchant Yeah1</t>
  </si>
  <si>
    <t>2026-07-09T16:54:13.747+0700</t>
  </si>
  <si>
    <t>2026-07-09T16:54:22.615+0700</t>
  </si>
  <si>
    <t>Dear team Do vận hành có nhu cầu đổi store của bán hàng  của Yeah1 Nhờ mọi người chạy giúp em câu lệnh sau để xóa cart của Yeah1 ạ Thank team host : vincart-prod--vmm.memstore.int port : 6379 database : 4 redis-cli -h vincart-prod--vmm.memstore.int -p 6379 -n 4 --scan --pattern "vincart:vmm:cart:392961:*" | xargs -r -L 100 redis-cli -h vincart-prod--vmm.memstore.int -p 6379 -n 4 UNLINK</t>
  </si>
  <si>
    <t>[PROD] Update config callback cho GGG</t>
  </si>
  <si>
    <t>2026-07-09T16:49:01.437+0700</t>
  </si>
  <si>
    <t>2026-07-09T16:49:08.941+0700</t>
  </si>
  <si>
    <t>Hi team Nhờ anh  @Đào Công Nghĩa  chạy giúp em script sau ạ Thông tin database saas_tpay: mysql://pay-tidb.int.onemount.com:4000/saas_tpay UPDATE SYSTEM_CONFIGURATION SET SYSTEM_PARAM_VALUE = '{
  "NCCQSFYK": "/api/v1/payment-gateway/techcombank/smart-pos/webhook",
  "GOLDENGATE": "/api/v1/payment-gateway/techcombank/smart-pos/webhook"
}' WHERE SYSTEM_PARAM_CODE = 'CALLBACK_GGG_MERCHANT_CONFIG';</t>
  </si>
  <si>
    <t>[Merchant-TCB] Hỗ trợ cập nhật dữ liệu 20260707</t>
  </si>
  <si>
    <t>2026-07-09T15:09:42.390+0700</t>
  </si>
  <si>
    <t>2026-07-09T15:09:54.394+0700</t>
  </si>
  <si>
    <t>Dear team, Nhờ team chạy giúp câu lệnh bên dưới ạ. Thông tin database https://console.cloud.google.com/sql/instances/merchant-tcb/overview?inv=1&amp;invt=AbsndA&amp;project=vinid-merchant-prod DB_MYSQL_HOST=172.31.4.108
DB_MYSQL_DATABASE=merchant_service_tcb Câu lệnh INSERT INTO tpay_staff_permission (module, code, name, description, created_at, updated_at) VALUES
-- Entrypoint tại Profile
('TSHOP Cài đặt', 'view:inventory_import_entry', 'Xem entry Phiếu nhập', 'Người dùng đc nhìn thấy entry Phiếu nhập tại Section Quản lý kho ở màn hình Profile', '2026-07-11 17:00:00', '2026-07-11 17:00:00'),
('TSHOP Cài đặt', 'view:inventory_export_entry', 'Xem entry Phiếu xuất', 'Người dùng đc quyền nhìn thấy entry Phiếu xuất tại Section Quản lý kho ở màn hình Profile', '2026-07-11 17:00:00', '2026-07-11 17:00:00'),
('TSHOP Cài đặt', 'view:supplier_entry', 'Xem entry Nhà cung cấp', 'Người dùng đc quyền nhìn thấy entry Nhà cung cấp tại Section Quản lý kho ở màn hình Profile', '2026-07-11 17:00:00', '2026-07-11 17:00:00'),
('TSHOP Cài đặt', 'view:inventory_transfer_entry', 'Xem entry Phiếu chuyển kho', 'Ngdùng đc quyền nhìn thấy entry Chuyển kho tại Section Quản lý kho ở màn hình Profile', '2026-07-11 17:00:00', '2026-07-11 17:00:00'),
('TSHOP Cài đặt', 'view:app_noti_hub', 'Xem entry Thông báo', 'Xem Thông báo của cửa hàng', '2026-07-11 17:00:00', '2026-07-11 17:00:00'),
('TSHOP Cài đặt', 'view:inventory_report_entry', 'Xem entry Quản lý kho', 'Xem báo cáo tồn kho', '2026-07-11 17:00:00', '2026-07-11 17:00:00'),
-- Quản lý NCC
('PMBH_Quản lý kho', 'view:supplier_list', 'Nhà cung cấp', 'View danh sách NCC', '2026-07-11 17:00:00', '2026-07-11 17:00:00'),
('PMBH_Quản lý kho', 'create:supplier_info', 'Nhà cung cấp', 'Có quyền nhấn Plus để đi vào Luồng Thêm mới NCC', '2026-07-11 17:00:00', '2026-07-11 17:00:00'),
('PMBH_Quản lý kho', 'view:supplier_info_detail', 'Chi tiết NCC', 'View màn hình thông tin chi tiết NCC', '2026-07-11 17:00:00', '2026-07-11 17:00:00'),
('PMBH_Quản lý kho', 'edit:supplier_info', 'Nhà cung cấp', 'Người dùng có quyền: nhìn thấy btn Sửa thông tin ở màn hình Detail + màn Listing; click vào để đi luồng Sửa thông tin NCC', '2026-07-11 17:00:00', '2026-07-11 17:00:00'),
('PMBH_Quản lý kho', 'cancel:supplier_info', 'Nhà cung cấp', 'Người dùng có quyền: Nhìn thấy btn Xóa ở màn hình Detail; Click để thực hiện xóa NCC', '2026-07-11 17:00:00', '2026-07-11 17:00:00'),
-- Phiếu xuất
('PMBH_Quản lý kho', 'view:export_note_list', 'Phiếu xuất', 'View màn Danh sách Phiếu xuất', '2026-07-11 17:00:00', '2026-07-11 17:00:00'),
('PMBH_Quản lý kho', 'create:export_note', 'Phiếu xuất', 'Người dùng có quyền: Nhìn thấy btn Plus &amp; nhấn để đi vào luồng Tạo mới phiếu xuất', '2026-07-11 17:00:00', '2026-07-11 17:00:00'),
('PMBH_Quản lý kho', 'view:export_note_detail', 'Chi tiết Phiếu xuất', 'View màn hình Chi tiết Phiếu xuất (Ko phân biệt trạng thái PX)', '2026-07-11 17:00:00', '2026-07-11 17:00:00'),
('PMBH_Quản lý kho', 'edit:export_note', 'Phiếu xuất', 'Người dùng có quyền: Nhìn thấy btn Tiếp tục hoàn thành tại màn hình Chi tiết phiếu xuất (trạng thái Lưu nháp); Tap on để đi Chỉnh sửa', '2026-07-11 17:00:00', '2026-07-11 17:00:00'),
('PMBH_Quản lý kho', 'cancel:export_note', 'Phiếu xuất', 'Người dùng có quyền: Nhìn thấy btn Xóa phiếu và Tap on để đi luồng Xóa phiếu', '2026-07-11 17:00:00', '2026-07-11 17:00:00'),
-- Phiếu nhập
('PMBH_Quản lý kho', 'view:import_note_list', 'Phiếu nhập', 'View màn Danh sách Phiếu nhập', '2026-07-11 17:00:00', '2026-07-11 17:00:00'),
('PMBH_Quản lý kho', 'create:import_note', 'Phiếu nhập', 'Người dùng có quyền: Nhìn thấy btn Plus &amp; nhấn Plus để đi vào Luồng Thêm mới phiếu nhập', '2026-07-11 17:00:00', '2026-07-11 17:00:00'),
('PMBH_Quản lý kho', 'view:import_note_detail', 'Chi tiết Phiếu nhập', 'View màn hình Chi tiết Phiếu nhập', '2026-07-11 17:00:00', '2026-07-11 17:00:00'),
('PMBH_Quản lý kho', 'create:return_note', 'Phiếu nhập', 'Người dùng có quyền: Nhìn thấy btn Tạo Phiếu trả hàng &amp; Tap on để đi vào luồng', '2026-07-11 17:00:00', '2026-07-11 17:00:00'),
('PMBH_Quản lý kho', 'edit:import_note', 'Phiếu nhập', 'Người dùng có quyền: Nhìn thấy btn Tiếp tục hoàn thiện tại màn Chi tiết PN (trạng thái Lưu nháp) &amp; Tap on để đi Chỉnh sửa phiếu', '2026-07-11 17:00:00', '2026-07-11 17:00:00'),
('PMBH_Quản lý kho', 'cancel:import_note', 'Phiếu nhập', 'Người dùng có quyền: Nhìn thấy btn Xóa phiếu và Tap on để đi luồng Xóa phiếu', '2026-07-11 17:00:00', '2026-07-11 17:00:00'),
-- Phiếu chuyển kho
('PMBH_Quản lý kho', 'view:inventory_transfer_list', 'Phiếu chuyển kho', 'View màn Danh sách Phiếu Chuyển kho', '2026-07-11 17:00:00', '2026-07-11 17:00:00'),
('PMBH_Quản lý kho', 'create:transfer_note', 'Phiếu chuyển kho', 'Người dùng có quyền: Nhìn thấy btn Plus &amp; nhấn Plus để đi vào Luồng Thêm mới phiếu chuyển kho', '2026-07-11 17:00:00', '2026-07-11 17:00:00'),
('PMBH_Quản lý kho', 'view:transfer_note_detail', 'Chi tiết Phiếu chuyển kho', 'View màn hình Chi tiết Phiếu chuyển kho', '2026-07-11 17:00:00', '2026-07-11 17:00:00'),
('PMBH_Quản lý kho', 'edit:transfer_note', 'Phiếu chuyển kho', 'Người dùng có quyền: Nhìn thấy btn Chỉnh sửa (trạng thái Lưu nháp) &amp; Tap on để đi Chỉnh sửa phiếu', '2026-07-11 17:00:00', '2026-07-11 17:00:00'),
('PMBH_Quản lý kho', 'cancel:transfer_note', 'Phiếu chuyển kho', 'Người dùng có quyền: Nhìn thấy btn Hủy phiếu và Tap on để đi luồng Hủy phiếu', '2026-07-11 17:00:00', '2026-07-11 17:00:00');</t>
  </si>
  <si>
    <t>2026-07-09T15:07:18.394+0700</t>
  </si>
  <si>
    <t>2026-07-09T15:07:31.099+0700</t>
  </si>
  <si>
    <t>Dear team Do cần update sản phẩm để mở bán nhưng ops chưa hỗ trợ, nhờ team chạy giúp em câu lệnh sau ạ Thank team project: vincart-prod instance: main ip: 172.31.1.41 DB: vincart_mm_product UPDATE variants
set stock_type = 'INIT'
WHERE id in (1084666,1084667,1084668,1084669,1084670,1084671,1084672,1084673,1084674);
UPDATE inventories
set channel_code = 'INIT'
WHERE variant_id in (1084666,1084667,1084668,1084669,1084670,1084671,1084672,1084673,1084674);
UPDATE variant_prices
set channel_code = 'ONEU'
WHERE variant_id in (1084666,1084667,1084668,1084669,1084670,1084671,1084672,1084673,1084674)</t>
  </si>
  <si>
    <t>2026-07-09T15:01:09.393+0700</t>
  </si>
  <si>
    <t>2026-07-09T15:01:15.381+0700</t>
  </si>
  <si>
    <t>Dear anh  @Đào Công Nghĩa , Team em có nhu cầu cập nhật DB với script dưới đây, nhờ team DBA hỗ trợ. Thời gian chạy:  Team chạy luôn giúp em ạ. Thông tin DB:  omc-mtp-tidb.int.onemount.com:4000 / omc_merchant_loyalty update omc_merchant_loyalty.contract 
set attributes = '{"address_province_name": {"value": "Hồ Chí Minh"}, "address_street": {"value": "100/15 Hùng Vương"}, "address_ward_name": {"value": "An Đông"}, "auto_renew": {}, "bank_account_holder": {"value": "HO KINH DOANH UC CAFE SPACE 01 HO KINH DOANH UC CAFE SPACE 01"}, "bank_account_number": {"value": "19030223495033"}, "bank_name": {"value": "Ngân hàng TMCP Kỹ Thương Việt Nam"}, "business_license_issue_agency": {"value": "Phường An Đông"}, "business_license_issue_date": {"value": "2026-04-08"}, "business_license_license_number": {"value": "079091009956"}, "business_license_tax_code": {"value": "079091009956"}, "contract_ref_no": {}, "date_time": {}, "discount_value": {}, "district_code": {}, "effective_date": {}, "end_date": {}, "hotline": {"value": "0936682213"}, "legal_name": {"value": "HO KINH DOANH UC CAFE SPACE 01"}, "legal_representative_email": {"value": "namlexuanha@gmail.com"}, "legal_representative_full_name": {"value": "LE XUAN HA NAM"}, "legal_representative_identity_number": {"value": "079091009956"}, "legal_representative_identity_number_issue_agency": {"value": "Cục Cảnh Sát Quản Lý Hành Chính Về Trật Tự Xã Hội"}, "legal_representative_identity_number_issue_date": {"value": "2021-12-21"}, "legal_representative_phone": {"value": "0936682213"}, "max_discount": {}, "max_redemptions": {}, "minimum_order_apply": {}, "province_code": {"value": "79"}, "short_name": {"value": "UC CAFE SPACE 01"}, "trade_name": {"value": "HO KINH DOANH UC CAFE SPACE 01"}, "voucher_quantity": {}, "voucher_short_name": {}, "ward_code": {"value": "27316"}}'
where id = 77965; Thank anh, Thành An.</t>
  </si>
  <si>
    <t>2026-07-09T10:03:45.014+0700</t>
  </si>
  <si>
    <t>2026-07-09T10:04:47.215+0700</t>
  </si>
  <si>
    <t>Thực hiện xóa partition reconcile cũ theo định kỳ Host:  172.31.4.75 DB:  promo_rule_engine Table:  data_reconciliation Thực hiện xóa các partition cũ, chỉ giữ lại từ tháng 6/2026</t>
  </si>
  <si>
    <t>[OMC][GAMI][Prod] Hỗ trợ xuất data cho campaign World cup 2026 trả thưởng tuần 4</t>
  </si>
  <si>
    <t>2026-07-09T10:00:41.611+0700</t>
  </si>
  <si>
    <t>2026-07-09T10:00:51.028+0700</t>
  </si>
  <si>
    <t>Hỗ trợ xuất data cho campaign World cup 2026 trả thưởng tuần 4 Thưởng theo lịch sử phát sinh cộng/trừ xu theo tuần  created_at&gt;='2026-07-01 00:00:00' AND created_at&lt;'2026-07-08 00:00:00' Host: 172.31.1.14 DB: gami_collection_prod Query: SELECT user_id, SUM(amount) AS total FROM `point_transactions` WHERE campaign_id=830 AND created_at&gt;='2026-07-01 00:00:00' AND created_at&lt;'2026-07-08 00:00:00' GROUP by user_id ORDER BY total DESC;  </t>
  </si>
  <si>
    <t>[SmartPos][GGG][Prod] update trường area ở unified_store cho merchant GGG</t>
  </si>
  <si>
    <t>2026-07-08T17:43:58.089+0700</t>
  </si>
  <si>
    <t>2026-07-08T17:44:22.549+0700</t>
  </si>
  <si>
    <t>Hi các anh team DBA, Thông tin database saas_tpay:  pay-tidb.int.onemount.com:4000/saas_tpay Nhờ team chạy giúp em script ở file đính kèm sau ạ ‘</t>
  </si>
  <si>
    <t>2026-07-08T17:40:14.550+0700</t>
  </si>
  <si>
    <t>2026-07-08T17:40:26.578+0700</t>
  </si>
  <si>
    <t>Hi a   @Đào Công Nghĩa  , nhờ a chạy giúp e script bên dưới với ạ Thông tin database:  172.31.1.133:3306/bo UPDATE BATCH_STEP_EXECUTION
SET STATUS       = 'FAILED',
    EXIT_CODE    = 'FAILED',
    EXIT_MESSAGE = 'MANUAL_CLOSE_STALE_STARTED',
    END_TIME     = COALESCE(END_TIME, NOW()),
    LAST_UPDATED = NOW(),
    VERSION      = VERSION + 1
WHERE JOB_EXECUTION_ID IN (SELECT bje.JOB_EXECUTION_ID
                           FROM BATCH_JOB_INSTANCE bji
                                    JOIN BATCH_JOB_EXECUTION bje ON bji.JOB_INSTANCE_ID = bje.JOB_INSTANCE_ID
                           WHERE bji.JOB_NAME = 'batch.job.courier.dremio.order.new'
                             AND bje.STATUS IN ('STARTING', 'STARTED')
                           ORDER BY bje.JOB_EXECUTION_ID DESC)
  AND STATUS IN ('STARTING', 'STARTED');
UPDATE BATCH_JOB_EXECUTION bje
JOIN BATCH_JOB_INSTANCE bji
  ON bji.JOB_INSTANCE_ID = bje.JOB_INSTANCE_ID
SET bje.STATUS = 'FAILED',
    bje.EXIT_CODE = 'FAILED',
    bje.EXIT_MESSAGE = 'MANUAL_CLOSE_STALE_STARTED',
    bje.END_TIME = COALESCE(bje.END_TIME, NOW()),
    bje.LAST_UPDATED = NOW(),
    bje.VERSION = bje.VERSION + 1
WHERE bji.JOB_NAME = 'batch.job.courier.dremio.order.new'
  AND bje.STATUS IN ('STARTING', 'STARTED');</t>
  </si>
  <si>
    <t>[Merchant-TCB] Update trạng thái store/terminal của merchant GOLDENGATE sang WAITING_FOR_ACTIVATION</t>
  </si>
  <si>
    <t>2026-07-08T17:34:43.300+0700</t>
  </si>
  <si>
    <t>2026-07-08T17:34:49.770+0700</t>
  </si>
  <si>
    <t>Dear team, nhờ team chạy giúp câu lệnh bên dưới ạ. Mục đích: update trạng thái store/terminal của merchant GOLDENGATE sang WAITING_FOR_ACTIVATION trên 4 bảng (tpay_store, tpay_store_service, tpay_terminal, tpay_terminal_service). Phạm vi: 37 store code của GOLDENGATE, loại trừ record đang ACTIVE. Thông tin database https://console.cloud.google.com/sql/instances/merchant-tcb/overview?project=vinid-merchant-prod DB_MYSQL_HOST=172.31.4.108 DB_MYSQL_DATABASE=merchant_service_tcb Câu lệnh -- 1) tpay_store
UPDATE tpay_store s
SET s.status='WAITING_FOR_ACTIVATION', s.updated_at=NOW(), s.updated_by='SYSTEM'
WHERE s.merchant_code='GOLDENGATE' AND s.deleted_at IS NULL AND s.status &lt;&gt; 'ACTIVE'
  AND s.code IN (
    'SSTHAIHA','SSVPH','SSLDT','SSTHNCCG','SXTIMESCITY','SMGV','SMHDT','SMHQV',
    'UPPDP','UPNKT','WYTIMESCITY','UPHDT','UPBATRIEU','WOOMASTERTH','ASHIMAPDP',
    'ASHIMAHDT','ASHIMAGVM','ASHIMAHTK','ASHIMATVV','GOGIHVBG','GOGIHVVTPT',
    'GOGITDTVP','GOGIHHLC','GOGIPDPTN','GOGIPLLS','GOGITSBN','GOGIDDBN2',
    'GOGIVCHLQN','GOGITIMEGARDENHLQN','GOGI2ALHP','GOGI316NLBHD','GOGIVHIMPERIAHP',
    'KICHIKICHINB','GOGILVTNB','GOGICTTH','GOGIBHHN','GOGIDAND','CDGOBHDNI');
-- 2) tpay_store_service (join store_id)
UPDATE tpay_store_service ss
JOIN tpay_store s ON s.id=ss.store_id AND s.merchant_code='GOLDENGATE' AND s.deleted_at IS NULL
SET ss.status='WAITING_FOR_ACTIVATION', ss.updated_at=NOW()
WHERE ss.deleted_at IS NULL AND ss.status &lt;&gt; 'ACTIVE'
  AND s.code IN (
    'SSTHAIHA','SSVPH','SSLDT','SSTHNCCG','SXTIMESCITY','SMGV','SMHDT','SMHQV',
    'UPPDP','UPNKT','WYTIMESCITY','UPHDT','UPBATRIEU','WOOMASTERTH','ASHIMAPDP',
    'ASHIMAHDT','ASHIMAGVM','ASHIMAHTK','ASHIMATVV','GOGIHVBG','GOGIHVVTPT',
    'GOGITDTVP','GOGIHHLC','GOGIPDPTN','GOGIPLLS','GOGITSBN','GOGIDDBN2',
    'GOGIVCHLQN','GOGITIMEGARDENHLQN','GOGI2ALHP','GOGI316NLBHD','GOGIVHIMPERIAHP',
    'KICHIKICHINB','GOGILVTNB','GOGICTTH','GOGIBHHN','GOGIDAND','CDGOBHDNI');
-- 3) tpay_terminal (join store_code = store.code)
UPDATE tpay_terminal t
JOIN tpay_store s ON s.code=t.store_code AND s.merchant_code='GOLDENGATE' AND s.deleted_at IS NULL
SET t.status='WAITING_FOR_ACTIVATION', t.updated_at=NOW(), t.updated_by='SYSTEM'
WHERE t.deleted_at IS NULL AND t.status &lt;&gt; 'ACTIVE'
  AND s.code IN (
    'SSTHAIHA','SSVPH','SSLDT','SSTHNCCG','SXTIMESCITY','SMGV','SMHDT','SMHQV',
    'UPPDP','UPNKT','WYTIMESCITY','UPHDT','UPBATRIEU','WOOMASTERTH','ASHIMAPDP',
    'ASHIMAHDT','ASHIMAGVM','ASHIMAHTK','ASHIMATVV','GOGIHVBG','GOGIHVVTPT',
    'GOGITDTVP','GOGIHHLC','GOGIPDPTN','GOGIPLLS','GOGITSBN','GOGIDDBN2',
    'GOGIVCHLQN','GOGITIMEGARDENHLQN','GOGI2ALHP','GOGI316NLBHD','GOGIVHIMPERIAHP',
    'KICHIKICHINB','GOGILVTNB','GOGICTTH','GOGIBHHN','GOGIDAND','CDGOBHDNI');
-- 4) tpay_terminal_service (join terminal_code = terminal.code)
UPDATE tpay_terminal_service ts
JOIN tpay_terminal t ON t.code=ts.terminal_code AND t.deleted_at IS NULL
JOIN tpay_store s ON s.code=t.store_code AND s.merchant_code='GOLDENGATE' AND s.deleted_at IS NULL
SET ts.status='WAITING_FOR_ACTIVATION', ts.updated_at=NOW()
WHERE ts.deleted_at IS NULL AND ts.status &lt;&gt; 'ACTIVE'
  AND s.code IN (
    'SSTHAIHA','SSVPH','SSLDT','SSTHNCCG','SXTIMESCITY','SMGV','SMHDT','SMHQV',
    'UPPDP','UPNKT','WYTIMESCITY','UPHDT','UPBATRIEU','WOOMASTERTH','ASHIMAPDP',
    'ASHIMAHDT','ASHIMAGVM','ASHIMAHTK','ASHIMATVV','GOGIHVBG','GOGIHVVTPT',
    'GOGITDTVP','GOGIHHLC','GOGIPDPTN','GOGIPLLS','GOGITSBN','GOGIDDBN2',
    'GOGIVCHLQN','GOGITIMEGARDENHLQN','GOGI2ALHP','GOGI316NLBHD','GOGIVHIMPERIAHP',
    'KICHIKICHINB','GOGILVTNB','GOGICTTH','GOGIBHHN','GOGIDAND','CDGOBHDNI');</t>
  </si>
  <si>
    <t>[UPay][PROD] Hỗ trợ cấu hình nguồn tiền TCB Direct ngày 7/7/2025</t>
  </si>
  <si>
    <t>2026-07-08T17:32:32.756+0700</t>
  </si>
  <si>
    <t>2026-08-29T09:48:18.570+0700</t>
  </si>
  <si>
    <t>PGW, UPP</t>
  </si>
  <si>
    <t>Dear team DBA Ngày 7/7 team cần  Bật/tắt cấu hình dịch vụ TCB Direct để hỗ trợ OMC test dịch vụ, nhờ anh/em support ạ Thông tin DB:  vinpay-sql-onehub-master.int.vinid.net:3306/pay_payment_gateway UPDATE "172_31_1_148_onehub"."pay_payment_gateway"."SYSTEM_CONFIGURATION"
SET is_active=0
WHERE system_configuration_id=14; UPDATE "172_31_1_148_onehub"."pay_payment_gateway"."SYSTEM_CONFIGURATION"
SET is_active=0
WHERE system_configuration_id=15; nhờ team dba phần quyền cả cho đội IT247 có thể update hộ được</t>
  </si>
  <si>
    <t>[Nexa][PSS][PT][BAU] Nhờ hỗ trợ migrate bảng, stored procedure, object type, collection type và data DB Oracle RAC Hệ thống PSS môi trường PT hạ tầng GCP</t>
  </si>
  <si>
    <t>2026-07-08T17:13:40.270+0700</t>
  </si>
  <si>
    <t>2026-07-08T17:34:47.170+0700</t>
  </si>
  <si>
    <t>Em xin nhờ anh/chị migrate bảng, stored procedure, object type, collection type và data all schema DB Oracle RAC cho môi trường PT của hệ thống  Payment Switching Service (PSS) version 2  thuộc dự án Nexa hạ tầng GCP Lấy từ môi trường PT hạ tầng STG CMC On-prem Schema: PSS_APRV_PT PSS_LOG_PT PSS_MST_PT PSS_STLMT_PT PSS_TXN_PT TAD_BP TADBP_GW</t>
  </si>
  <si>
    <t>[Prod][OMC][Gami] Hỗ trợ Export data theo nhu cầu TCB</t>
  </si>
  <si>
    <t>2026-07-08T12:37:11.365+0700</t>
  </si>
  <si>
    <t>2026-07-08T12:37:19.819+0700</t>
  </si>
  <si>
    <t>Nhờ team export giúp em kết quả 2 câu query trên production ra 2 file csv ạ, Tcb có nhu cầu Lấy danh sách khách hàng đã nhận được quà tặng và quà trung gian, tổng số quà đã nhận của từng KH thuộc về 3 campaign 178,179,180. Host: 172.31.4.75 Db: promo_quest SELECT campaign_id, customer_id, COUNT(DISTINCT invoice_no) as count_invoice_no
FROM rule_logs
WHERE campaign_id IN (178, 179, 180)
  AND tenant_id = 1
  AND reward_type = 'MISSION'
  AND status = 'SUCCESS'
  AND created_at &gt;= '2026-07-01 00:00:00'
GROUP BY campaign_id, customer_id
ORDER BY campaign_id; SELECT campaign_id, customer_id, COUNT(*) as count_transaction
FROM transactions
WHERE reward_id = 614
  AND campaign_id IN (178, 179, 180)
  AND status = 'SUCCESS'
  AND created_at &gt;= '2026-07-01 00:00:00'
GROUP BY campaign_id, customer_id
ORDER BY campaign_id;</t>
  </si>
  <si>
    <t xml:space="preserve">[PowerBI] Đổi password cho account powerbi_read </t>
  </si>
  <si>
    <t>2026-07-08T12:31:29.771+0700</t>
  </si>
  <si>
    <t>2026-07-08T12:31:41.036+0700</t>
  </si>
  <si>
    <t>Hiện tại để phục vụ cho việc quản lý tài khoản gắn trên PowerBI, và không tìm được credential của tài khoản cũ. Team nhờ DBA hỗ trợ reset lại password cho account sau, cụ thể: database type:  Mysql username : powerbi_read server :  tidb.int.onemount.com   Database : omre_mongo_onehs_crm_lead</t>
  </si>
  <si>
    <t>2026-07-08T09:38:20.761+0700</t>
  </si>
  <si>
    <t>2026-07-10T09:40:26.560+0700</t>
  </si>
  <si>
    <t>Description Database information: SAP Business One trên SAP HANA 2.0 SP04 (version 2.00.044.00.1571081837), on-prem trên AWS, do MAG/CDT quản lý. Kết nối tới HANA replica, read-only. GCP project: N/A Time Run ticket: 1 week Mô tả chi tiết yêu cầu: Mục đích: NDP cần đọc read-only SAP B1 (HANA replica) để khảo sát và ingest data Phạm vi: 4 schema MAS, MAG, MTR, MPM; tham chiếu OACT, OBPL. Mở firewall/egress để Nexus (GCP) reach HANA replica endpoint  </t>
  </si>
  <si>
    <t>[Merchant-TCB] Hỗ trợ Query dữ liệu 20260707</t>
  </si>
  <si>
    <t>2026-07-07T23:32:36.298+0700</t>
  </si>
  <si>
    <t>2026-07-07T23:33:39.031+0700</t>
  </si>
  <si>
    <t>Dear team, Nhờ team chạy giúp câu lệnh bên dưới ạ. Thông tin database https://console.cloud.google.com/sql/instances/merchant-tcb/overview?inv=1&amp;invt=AbsndA&amp;project=vinid-merchant-prod DB_MYSQL_HOST=172.31.4.108
DB_MYSQL_DATABASE=merchant_service_tcb Câu lệnh select * from tpay_store where tcb_merchant_code = 'GOLDENGATE';</t>
  </si>
  <si>
    <t>[OMC][MTP] Clear dữ liệu tracking W2 05/2026</t>
  </si>
  <si>
    <t>2026-07-07T23:29:16.958+0700</t>
  </si>
  <si>
    <t>2026-07-07T23:29:24.106+0700</t>
  </si>
  <si>
    <t>Dear anh  @Nguyễn Văn Dũng  , nhờ anh chạy giúp em scripts sau với ạ. -- OMC
use omc_mtp_tracking_events;
ALTER TABLE omc_mtp_tracking_events.mtp_tracking_events_omc  DROP INDEX idx_u_message_id;
-- ALTER TABLE omc_mtp_tracking_events.mtp_tracking_events_omc DROP PARTITION p20260501;
ALTER TABLE omc_mtp_tracking_events.mtp_tracking_events_omc DROP PARTITION p20260502;
-- ALTER TABLE omc_mtp_tracking_events.mtp_tracking_events_context_omc DROP PARTITION p20260501;
ALTER TABLE omc_mtp_tracking_events.mtp_tracking_events_context_omc DROP PARTITION p20260502;
-- ALTER TABLE omc_mtp_tracking_events.mtp_tracking_event_sessions DROP PARTITION p2026_05;
-- use omc_mtp_martech_activation;
-- ALTER TABLE omc_mtp_martech_activation.mtp_ads_events DROP PARTITION p2026_05;
-- ALTER TABLE omc_mtp_martech_activation.mtp_push_events DROP PARTITION p2026_05;
-- ALTER TABLE omc_mtp_martech_activation.mtp_tracking_email_events DROP PARTITION p2026_05;
-- ALTER TABLE omc_mtp_martech_activation.mtp_tracking_email_notifications DROP PARTITION p2026_05;
-- ALTER TABLE omc_mtp_martech_activation.mtp_tracking_fcm_messages DROP PARTITION p2026_05;
-- ALTER TABLE omc_mtp_martech_activation.mtp_tracking_push_notifications DROP PARTITION p2026_05;
-- OMRE
use omre_mtp_tracking_events;
ALTER TABLE omre_mtp_tracking_events.mtp_tracking_events_omre  DROP INDEX idx_u_message_id;
-- ALTER TABLE omre_mtp_tracking_events.mtp_tracking_events_omre drop partition p20260501;
ALTER TABLE omre_mtp_tracking_events.mtp_tracking_events_omre drop partition p20260502;
-- ALTER TABLE omre_mtp_tracking_events.mtp_tracking_events_context_omre DROP PARTITION p20260501;
ALTER TABLE omre_mtp_tracking_events.mtp_tracking_events_context_omre DROP PARTITION p20260502;
-- create global index
use omc_mtp_tracking_events;
ALTER TABLE omc_mtp_tracking_events.mtp_tracking_events_omc ADD UNIQUE INDEX idx_u_message_id (message_id) GLOBAL;
use omre_mtp_tracking_events;
ALTER TABLE omre_mtp_tracking_events.mtp_tracking_events_omre ADD UNIQUE INDEX idx_u_message_id (message_id) GLOBAL;</t>
  </si>
  <si>
    <t>Update record trên DB Merchant Hub Fiscal PROD</t>
  </si>
  <si>
    <t>2026-07-07T17:05:53.497+0700</t>
  </si>
  <si>
    <t>2026-07-07T17:08:45.103+0700</t>
  </si>
  <si>
    <t>Thông tin DB instance: mhpos-common-prod-postgres - 172.31.4.36
mhpos_fiscal Thông tin query update UPDATE e_invoice_settings
SET auto_issue_enabled = FALSE
WHERE id = '019d7aa2-fd3c-7f98-8584-e9d87ae37c94'; Thông tin query check lại SELECT id, auto_issue_enabled
FROM e_invoice_settings
WHERE id = '019d7aa2-fd3c-7f98-8584-e9d87ae37c94'; CR Link: https://onemount.atlassian.net/servicedesk/customer/portal/15/SH-72221</t>
  </si>
  <si>
    <t>[Prod][OMC][Gami] Hỗ trợ update config data campaign đã hết hạn để tắt hiển thị trên app tcb.</t>
  </si>
  <si>
    <t>2026-07-07T15:49:47.111+0700</t>
  </si>
  <si>
    <t>2026-07-07T17:33:59.217+0700</t>
  </si>
  <si>
    <t>Nhờ team chạy giúp em câu query trên production để update config cho campaign id 151. Host: 172.31.4.75 Db: promo_gamezone UPDATE promo_gamezone.campaigns
SET config = JSON_SET(
        config,
        '$.extra_config.data.vi.is_show_on_app', false,
        '$.extra_config.data.en.is_show_on_app', false
             )
WHERE id = 151;</t>
  </si>
  <si>
    <t>Hỗ trợ tạo database cho MKT</t>
  </si>
  <si>
    <t>2026-07-07T14:38:37.408+0700</t>
  </si>
  <si>
    <t>2026-07-07T15:10:34.719+0700</t>
  </si>
  <si>
    <t>Hi  @Đào Công Nghĩa  , nhờ bạn tạo giúp mình database postgresql sau cho các trang cms của Masterisehomes soho_prod_postgres Cảm ơn bạn đã hỗ trợ.</t>
  </si>
  <si>
    <t>[OMD][MHPOS]Hỗ trợ Update dữ liệu trên môi trường QC (non-prod) dự án merchant-hub-pos</t>
  </si>
  <si>
    <t>2026-07-07T11:30:39.414+0700</t>
  </si>
  <si>
    <t>2026-07-07T18:16:41.097+0700</t>
  </si>
  <si>
    <t>Hi Team nhờ team hỗ trợ chạy file update dữ liệu trên môi trường QC (non-prod) jdbc:postgresql://omd-merchant-hub-np--merchant-hub-np-postgres.cloudsql.int:5432/mhpos_catalog_qc</t>
  </si>
  <si>
    <t>[Prod] Seeding trạng thái đơn hàng</t>
  </si>
  <si>
    <t>2026-07-07T09:38:21.258+0700</t>
  </si>
  <si>
    <t>2026-07-07T09:38:28.279+0700</t>
  </si>
  <si>
    <t>SET @order_code := 'MGN547B9';
SET @user_id := '1698724';
SET @channel_code := 'ONEU';
SET @claim_request_code := 'aUBcCz4PmzhIUa59uxbrd';
SET @fulfillment_item_id := 13798273;
SET time_zone = '+00:00';
SET @now := UTC_TIMESTAMP();
START TRANSACTION;
SET @resolved_order_id := (
    SELECT o.id
    FROM orders o
    WHERE o.code = @order_code
      AND o.user_id = @user_id
    ORDER BY o.id
    LIMIT 1
);
SET @resolved_fulfillment_item_id := COALESCE(
    @fulfillment_item_id,
    (
        SELECT fi.id
        FROM fulfillment_items fi
        JOIN fulfillments f ON f.id = fi.fulfillment_id
        WHERE f.order_id = @resolved_order_id
          AND fi.is_digital = 1
        ORDER BY f.id, fi.id
        LIMIT 1
    )
);
SET @resolved_fulfillment_id := (
    SELECT fi.fulfillment_id
    FROM fulfillment_items fi
    WHERE fi.id = @resolved_fulfillment_item_id
    LIMIT 1
);
SET @resolved_variant_id := (
    SELECT fi.variant_id
    FROM fulfillment_items fi
    WHERE fi.id = @resolved_fulfillment_item_id
    LIMIT 1
);
UPDATE orders o
SET
    o.status = 'FINISHED',
    o.payment_status = 'PAID',
    o.updated_at = @now
WHERE o.id = @resolved_order_id;
UPDATE fulfillments f
SET
    f.status = 'SHIPPED',
    f.updated_at = @now
WHERE f.id = @resolved_fulfillment_id;
INSERT INTO serial_fulfillment_items (
    created_at,
    updated_at,
    user_id,
    order_id,
    order_code,
    fulfillment_id,
    fulfillment_item_id,
    variant_id,
    serial_code,
    distribute_code,
    expired_time
)
VALUES
    (
        @now,
        @now,
        @user_id,
        @resolved_order_id,
        @order_code,
        @resolved_fulfillment_id,
        @resolved_fulfillment_item_id,
        @resolved_variant_id,
        'cb9c9355343d4d869470beffdc8bf0aa',
        @claim_request_code,
        FROM_UNIXTIME(1798042740)
    ),
    (
        @now,
        @now,
        @user_id,
        @resolved_order_id,
        @order_code,
        @resolved_fulfillment_id,
        @resolved_fulfillment_item_id,
        @resolved_variant_id,
        'f8122d1d89854758a748ea0180c50ef1',
        @claim_request_code,
        FROM_UNIXTIME(1798042740)
    )
ON DUPLICATE KEY UPDATE
    updated_at = VALUES(updated_at),
    user_id = VALUES(user_id),
    order_id = VALUES(order_id),
    order_code = VALUES(order_code),
    fulfillment_id = VALUES(fulfillment_id),
    variant_id = VALUES(variant_id),
    distribute_code = VALUES(distribute_code),
    expired_time = VALUES(expired_time);
COMMIT;</t>
  </si>
  <si>
    <t>[OMC][GAMI][PS2][Prod] Hỗ trợ cập nhật config campaign challenge MVP3</t>
  </si>
  <si>
    <t>2026-07-06T09:39:24.854+0700</t>
  </si>
  <si>
    <t>2026-07-06T09:39:38.872+0700</t>
  </si>
  <si>
    <t>Hỗ trợ cập nhật config campaign challenge MVP3 đang chạy Hiện tại do campaign đã start rồi nên không cho update qua portal, nên cần thực hiện qua migration DB Host:  172.31.4.75 DB: promo_gamezone Query: Do câu lệnh config dài quá nên đính kèm file vào ticket nhé Theo mail yêu cầu của vận hành TCB</t>
  </si>
  <si>
    <t>[omd][cdp] Cut off cụm Tidb OMD</t>
  </si>
  <si>
    <t>2026-07-06T05:32:53.445+0700</t>
  </si>
  <si>
    <t>2026-07-06T05:33:10.088+0700</t>
  </si>
  <si>
    <t>Hi anh  @Nguyễn Văn Dũng   Do nhu cầu luồng Biz của omd sẽ close và luồng CDP này mình cũng không phục vụ cho biz nào khác nên mình sẽ cutoff cụm này nhé 1. đầu api services em đã cutoff này 29/06/2026 2. đầu TiDB nhờ anh Dũng lên phương án backup, shutdown VM ( chưa xoá VM, cho tới khi có kế hoạch xoá ạ)</t>
  </si>
  <si>
    <t>[OMD][PROD] Save_cost - Bỏ HA - Giảm cấu hình các instance DB thuộc OMD</t>
  </si>
  <si>
    <t>2026-07-04T23:09:40.275+0700</t>
  </si>
  <si>
    <t>2026-07-04T23:10:26.294+0700</t>
  </si>
  <si>
    <t>Team DBA thực hiện Save_cost - Bỏ HA - Giảm cấu hình các instance DB thuộc OMD, chi tiết theo file:   Do có downtime, nên làm trùng time thực hiện maintenance của OMD: 22h 04Jul26</t>
  </si>
  <si>
    <t>2026-07-04T20:01:17.457+0700</t>
  </si>
  <si>
    <t>2026-07-04T20:01:28.561+0700</t>
  </si>
  <si>
    <t>Dear team Do vận hành có nhu cầu tối ưu các merchant food_delivery. Nhờ mọi người chạy giúp em câu lệnh sau để xóa cart của Yeah1 ạ Thank team host : vincart-prod--vmm.memstore.int port : 6379 database : 4 redis-cli -h vincart-prod--vmm.memstore.int -p 6379 -n 4 --scan --pattern "vincart:vmm:cart:392961:*" | xargs -r -L 100 redis-cli -h vincart-prod--vmm.memstore.int -p 6379 -n 4 UNLINK</t>
  </si>
  <si>
    <t>2026-07-04T11:03:31.710+0700</t>
  </si>
  <si>
    <t>2026-07-04T11:03:39.270+0700</t>
  </si>
  <si>
    <t>Dear team Do cần update sản phẩm để mở bán nhưng ops chưa hỗ trợ, nhờ team chạy giúp em câu lệnh sau ạ Thank team project: vincart-prod instance: main ip: 172.31.1.41 DB: vincart_mm_product UPDATE variants set stock_type = 'INIT' WHERE id in (1084223, 1084222, 1084221);
UPDATE inventories set channel_code = 'INIT' WHERE variant_id in (1084223, 1084222, 1084221);
UPDATE variant_prices set channel_code = 'ONEU' WHERE variant_id in (1084223, 1084222, 1084221)</t>
  </si>
  <si>
    <t>[OMD][PROD]Hỗ trợ cập nhật trạng thái treo tồn xuất hàng kho Thuận Phong (tiếp theo DBASD-10868)</t>
  </si>
  <si>
    <t>2026-07-03T15:47:57.658+0700</t>
  </si>
  <si>
    <t>2026-07-03T15:52:31.911+0700</t>
  </si>
  <si>
    <t>Hi DBA team, Hiện tại kho thuanphong2 cần fix lỗi dữ liệu bị lệch số lượng tồn, nhờ team DBA hỗ trợ cập nhật theo thông tin dưới đây Project : vinid-b2b-platform-prod Instance/IP : main (read-write): 172.31.4.59 Port : 3306 Database : omd_wms_thuanphong2 // update inventory
update report_warehouse_stock_item rw 
set rw.type = 'M4' where 
rw.wave_code in ('PH04WV00006447') 
and rw.type = 'M3'; // update wave
update wave_order_header woh 
join wave_order_item woi 
on woh.id = woi.header_id
set woh.status = 'SHIPPED', woi.status = 'SHIPPED'
where woh.code in ('PH04WV00006447'); // update DO
update order_hdr oh 
join order_item oi on oi.order_hdr_id = oh.order_hdr_id
set oh.order_status = 'SHIPPED',
    oi.item_status = 'SHIPPED',
    oh.last_modified_date = UTC_TIMESTAMP,
    oi.last_modified_date = UTC_TIMESTAMP
where oh.order_number 
in ('2026061967164002', '2026061943061002', 
'2026061925526002', '2026061981458002', 
'2026061929401002', '2026061985417002',
'2026061940421002', '2026061972662002',
'2026061920383002', '2026061997133002',
'2026061955971002', '2026061940829002',
'2026061928172002', '2026061917348002',
'2026061979683002', '2026061945815002',
'2026061942932002', '2026061991539002',
'2026061987424002', '2026061916182002') 
and oh.dc_code = 'PHO04' 
and oh.main_instruction_type = 'DO'; // update SO
update order_hdr oh 
join order_item oi on oi.order_hdr_id = oh.order_hdr_id
set oh.order_status = 'SHIPPED',
    oi.item_status = 'SHIPPED',
    oh.last_modified_date = UTC_TIMESTAMP,
    oi.last_modified_date = UTC_TIMESTAMP
where oh.order_number 
in ('2026061967164', '2026061943061', 
'2026061925526', '2026061981458', 
'2026061929401', '2026061985417',
'2026061940421', '2026061972662',
'2026061920383', '2026061997133',
'2026061955971', '2026061940829',
'2026061928172', '2026061917348',
'2026061979683', '2026061945815',
'2026061942932', '2026061991539',
'2026061987424', '2026061916182') 
and oh.dc_code = 'PHO04' 
and oh.main_instruction_type = 'SO';</t>
  </si>
  <si>
    <t>[OneNexus][FDP][Non-Prod] Hỗ trợ tạo ImmuDB</t>
  </si>
  <si>
    <t>2026-07-03T15:23:24.922+0700</t>
  </si>
  <si>
    <t>2026-07-03T15:23:50.732+0700</t>
  </si>
  <si>
    <t>FDP_Federated_Data_Platform, immudb</t>
  </si>
  <si>
    <t>Hi team, Hiện tại bên em đang có nhu cầu sử dụng ImmuDB làm database cho audit service. Nhờ team anh xem xét để deploy giúp em nhé. Thanks team.</t>
  </si>
  <si>
    <t>[DBA][NonProd Tạo Database esign_platform_dev</t>
  </si>
  <si>
    <t>2026-07-03T10:28:01.590+0700</t>
  </si>
  <si>
    <t>Nhờ anh  @Đoàn Việt Hưng  tạo DB mới cho einvoice giúp em theo thông tin sau DB Host:  common-dev-postgres.cr62264i6qsz.ap-southeast-1.rds.amazonaws.com DB Name:  esign_platform_dev DB Username:  esign_platform_service</t>
  </si>
  <si>
    <t>[OMC][DP]V/v tạo topic bảng mới</t>
  </si>
  <si>
    <t>2026-07-03T11:42:03.933+0700</t>
  </si>
  <si>
    <t>2026-07-03T14:07:14.231+0700</t>
  </si>
  <si>
    <t>Dear Linh, Em tạo giúp anh topic cho bảng sau với nhé: Ticket IP: 172.31.1.3 DB: vinticket Table: otp_email_logs</t>
  </si>
  <si>
    <t>[OMD][PROD]Hỗ trợ cập nhật trạng thái treo tồn xuất hàng kho Thuận Phong</t>
  </si>
  <si>
    <t>2026-07-03T11:25:36.132+0700</t>
  </si>
  <si>
    <t>2026-07-03T11:45:02.308+0700</t>
  </si>
  <si>
    <t>Hi DBA team, Hiện tại kho thuanphong2 cần fix lỗi dữ liệu bị lệch số lượng tồn, nhờ team DBA hỗ trợ cập nhật theo thông tin dưới đây Project : vinid-b2b-platform-prod Instance/IP : main (read-write): 172.31.4.59 Port : 3306 Database : omd_wms_thuanphong2 update wave_order_header woh 
join wave_order_item woi
on woh.id = woi.header_id 
set woh.status = 'FULFILLED', woi.status = 'FULFILLED'
where woh.id in (11671); update whse_order_hdr woh 
join whse_order_item woi on woi.whse_order_hdr_id = woh.whse_order_hdr_id
set woh.order_status = 'DONE', woi.item_status = 'DONE'
where woh.batch_reference_number in ('PH04WV00006447') 
and woh.main_instruction_type = 'STAGING_TRANSFER' 
AND woh.dc_code = 'PHO04';</t>
  </si>
  <si>
    <t>[DBA-SAPBASIS] Xử lý alert Resource High Load SAP HCM</t>
  </si>
  <si>
    <t>2026-07-03T10:53:30.795+0700</t>
  </si>
  <si>
    <t>2026-07-03T10:53:31.497+0700</t>
  </si>
  <si>
    <t>2026-07-03T10:50:02.695+0700</t>
  </si>
  <si>
    <t>2026-07-03T10:50:12.185+0700</t>
  </si>
  <si>
    <t>[DBA-SAPBASIS] Xử lý phân vùng SAP PROD ~80% và remove service EDR cũ</t>
  </si>
  <si>
    <t>2026-07-03T10:47:47.689+0700</t>
  </si>
  <si>
    <t>2026-07-03T10:47:48.359+0700</t>
  </si>
  <si>
    <t>Xử lý phân vùng SAP PROD ~80% /var/log/daemon.log tăng Kiểm tra do log timeout đến service EDR cũ, tiến hành remove service EDR cũ các server SAP NONPROD và PROD</t>
  </si>
  <si>
    <t>[DBA-SAPBASIS] Review user tích hợp HANA DB SAP OM</t>
  </si>
  <si>
    <t>2026-07-03T10:44:28.250+0700</t>
  </si>
  <si>
    <t>2026-07-03T10:44:28.928+0700</t>
  </si>
  <si>
    <t>Review user tích hợp HANA DB SAP OM NONPROD và PROD Deactive user VINHNT16 cho tích hợp DWH-SAP ERP và tạo user app DWH_READ</t>
  </si>
  <si>
    <t>2026-07-02T15:40:51.289+0700</t>
  </si>
  <si>
    <t>2026-07-02T15:41:00.045+0700</t>
  </si>
  <si>
    <t>Dear a  @Đào Công Nghĩa   Nhờ a chạy luôn giúp bên anh lệnh script clone attribute  voucher_accepted_merchants  từ channel TCBM → ONEU cho voucher  VD_VC_1782903862439, VD_VC_1782903862198 insert into vincart_mm_product.entity_attributes_values (attribute_id, value, name,
                                                             entity_id,
                                                             type, display_order, channel_code)
select attribute_id,
       value,
       name,
       entity_id,
       type,
       display_order,
       'ONEU'
from vincart_mm_product.entity_attributes_values
WHERE name = 'voucher_accepted_merchants' 
  and type = 'VARIANT'
  and entity_id = (select id from vincart_mm_product.variants where code in ('VD_VC_1782903862439','VD_VC_1782903862198);</t>
  </si>
  <si>
    <t>[PROD][UPay][Smartpos] Update DB hỗ trợ lỗi callback khi duyệt SmartPOS từ TCB</t>
  </si>
  <si>
    <t>2026-07-02T12:10:56.528+0700</t>
  </si>
  <si>
    <t>2026-07-02T12:11:06.767+0700</t>
  </si>
  <si>
    <t>Hi các anh team DBA, Thông tin database saas_tpay:  pay-tidb.int.onemount.com:4000/saas_tpay Nhờ team chạy giúp em script sau ạ:</t>
  </si>
  <si>
    <t>[VCM] Cập nhật thông tin serial</t>
  </si>
  <si>
    <t>2026-07-02T11:04:43.359+0700</t>
  </si>
  <si>
    <t>2026-07-02T11:04:52.875+0700</t>
  </si>
  <si>
    <t>Theo yêu cầu từ ticket  https://onemount.atlassian.net/browse/SH-72090 , nhờ team DBA hỗ trợ cập nhật lại thông tin serial cho đúng trạng thái với ạ. Thông tin database: onevc_vwm_prod (*IP: *172.31.4.126) Script SQL: UPDATE
	onevc_vwm_prod.warehouse_serial ws
SET
	ws.status = 'CLAIMED'
WHERE
	ws.serial_code IN ('06ecad0dd9d64ee7bab353725affb55d', '701b1074d5a944ec8ed79c302ddacaa1'); Cảm ơn team DBA nhiều ạ.</t>
  </si>
  <si>
    <t>[OMC][GAMI][PS2][Prod] Hỗ trợ lấy danh sách accept challenge cho campaign TCB</t>
  </si>
  <si>
    <t>2026-07-02T10:17:12.644+0700</t>
  </si>
  <si>
    <t>2026-07-02T10:17:20.564+0700</t>
  </si>
  <si>
    <t>Hỗ trợ lấy danh sách accept challenge cho campaign TCB Host:  172.31.4.75 DB: promo_gamezone Query: SELECT 
    u.customer_id, 
    ac.created_at,
    ac.user_id
FROM 
    `accept_challenge` ac
JOIN 
    `users` u ON ac.user_id = u.id
WHERE 
    ac.campaign_id = 119; Theo yêu cầu vận hành Techcombank</t>
  </si>
  <si>
    <t>[UPAY] [GL] Release sprint</t>
  </si>
  <si>
    <t>2026-07-01T22:40:42.628+0700</t>
  </si>
  <si>
    <t>2026-07-02T07:35:49.750+0700</t>
  </si>
  <si>
    <t>Hi các anh, Vào lúc 23h ngày 01/07/2026 team em có release sprint GL, nhờ các anh chạy giúp em phần DB vào lúc  22h30 ngày 01/07/2026 . Em gửi thông tin DB :  tidb.int.onemount.com:4000/vinpay_vinpay_prod_saas_ps2_general_ledger CR :    Thanks mn,</t>
  </si>
  <si>
    <t>[CLM][MAG][SPRINT 12] Init data config CLMS</t>
  </si>
  <si>
    <t>2026-07-01T14:44:35.229+0700</t>
  </si>
  <si>
    <t>2026-07-01T14:59:49.135+0700</t>
  </si>
  <si>
    <t>Dear Team @Phạm Hồng Quang   @Hà Văn Vượng   CLM - Contract Lifecycle Management cần int data cho sprint 12 này. Anh em thêm giúp nhé. Database:
project gcp: onemg-integration-platform-prd
instance(IP): main (172.31.1.118)
Database name: clm_prod_mysql</t>
  </si>
  <si>
    <t>2026-07-01T14:27:52.057+0700</t>
  </si>
  <si>
    <t>2026-07-03T11:59:49.961+0700</t>
  </si>
  <si>
    <t>Dear anh  @Nguyễn Văn Duy  và DBA team, Dự án GBIA  triển khai cho MAG cần tạo Postgress DB  trên hạ tầng AWS. Vì thế e tạo ticket nhờ anh support team khởi tạo db với ạ. Thông tin dự án :  Thông tin database: dev: gbia_staffapp_notification-orchestrator_dev Em xin cám ơn ạ cc a  @Hoàng Trọng Lộc</t>
  </si>
  <si>
    <t>2026-07-01T12:04:20.733+0700</t>
  </si>
  <si>
    <t>2026-07-01T12:04:35.002+0700</t>
  </si>
  <si>
    <t>Dear anh Nghĩa, Nhờ anh hỗ trợ chạy giúp team lệnh SQL này với ạ IP: 172.31.1.197
DB: topup
SQL:
UPDATE `notification_banner` SET `data` = '{\"icon\": \"https://cdn-merchant.vinid.net/images/gallery/web_oneu_home/1781165226_icon-warning.png\", \"message\": \"Tính năng Mua mã thẻ và Nạp điện thoại sẽ dừng hoạt động từ 15/07. Quý khách có mã thẻ chưa sử dụng vui lòng kiểm tra và nạp sớm trước thời hạn trên.\", \"background_color\": \"#FEF7F7\"}' WHERE `notification_banner`.`id` = 3;
INSERT INTO `notification_banner` (`id`, `title`, `priority`, `data`, `from_date`, `to_date`, `enable`, `attributes`, `service_code`) VALUES (NULL, 'Trả trước', '1', '{\"icon\": \"https://cdn-merchant.vinid.net/images/gallery/web_oneu_home/1781165226_icon-warning.png\", \"message\": \"Tính năng Mua mã thẻ và Nạp điện thoại sẽ dừng hoạt động từ 15/07. Quý khách có mã thẻ chưa sử dụng vui lòng kiểm tra và nạp sớm trước thời hạn trên.\", \"background_color\": \"#FEF7F7\"}', '2020-08-03 00:00:00', '2030-12-26 23:59:59', '1', NULL, '\"MOBILE_PHONE_CARD\"');
INSERT INTO `notification_banner` (`id`, `title`, `priority`, `data`, `from_date`, `to_date`, `enable`, `attributes`, `service_code`) VALUES (NULL, 'Trả trước', '1', '{\"icon\": \"https://cdn-merchant.vinid.net/images/gallery/web_oneu_home/1781165226_icon-warning.png\", \"message\": \"Tính năng Mua mã thẻ và Nạp điện thoại sẽ dừng hoạt động từ 15/07. Quý khách có mã thẻ chưa sử dụng vui lòng kiểm tra và nạp sớm trước thời hạn trên.\", \"background_color\": \"#FEF7F7\"}', '2020-08-03 00:00:00', '2030-12-26 23:59:59', '1', NULL, '\"MOBILE_DATA\"'); Em cảm ơn anh</t>
  </si>
  <si>
    <t>2026-06-30T22:23:30.261+0700</t>
  </si>
  <si>
    <t>2026-06-30T22:23:40.683+0700</t>
  </si>
  <si>
    <t>Dear anh  @Đào Công Nghĩa , Tối nay team em có lịch golive và có nhu cầu cập nhật các DB sau, nhờ team DBA hỗ trợ. Thời gian chạy:  9h tối ngày 30/06/2026. Thông tin DB:  omc-mtp-tidb.int.onemount.com:4000 / omc_merchant_loyalty ALTER TABLE omc_merchant_loyalty.campaign_invitation_merchant
ADD COLUMN is_viewed BOOLEAN NOT NULL DEFAULT FALSE;
INSERT INTO omc_merchant_loyalty.omc_mtp_merchant_loyalty.banners
  (title, description, image_url, cta, deeplink, status, priority, 
   created_at, updated_at, created_by, updated_by, code, background_color)
VALUES
  ('', 'Có lời mời tham gia Voucher thiết kế riêng cho shop', 
   'https://cdn-mobile-next.vinid.net/r5pkvhd8szvcaaaa/merchant-loyalty/assets/cHJvZC5kMDExMzZlZjk1NmI0Yzg1OGFjZTgyNDY4OGQ4ODJmZA==.png', 
   'Xác nhận ngay', '/otp-invitation', 'ACTIVE', 50, 
   '2026-06-22 12:07:52', '2026-06-23 11:49:15', 'system', 'system', 
   'INVITATION_OTP', '{"bottom": "#CCDDE5", "top": "#E9F2F6"}'),
  ('', 'Gói Voucher thiết kế riêng cho shop đã lên sàn', 
   'https://cdn-mobile-next.vinid.net/r5pkvhd8szvcaaaa/merchant-loyalty/assets/cHJvZC4zNWQ4NmVmNDhmMzY0ZDRiYjNmMGVlN2UxOTNiYzgwNw==.png', 
   'Xem ngay', '/offline-invitation', 'ACTIVE', 50, 
   '2026-06-22 12:07:52', '2026-06-23 11:49:14', 'system', 'system', 
   'INVITATION_OFFLINE', '{"bottom": "#D7E0B2", "top": "#E7F1C9"}');
UPDATE omc_merchant_loyalty.contract SET is_active = 1 WHERE id = 45216;
UPDATE omc_merchant_loyalty.contract SET is_active = NULL WHERE id = 78667; Thanks team, Thành An.</t>
  </si>
  <si>
    <t>2026-06-30T17:22:06.960+0700</t>
  </si>
  <si>
    <t>2026-06-30T17:22:14.695+0700</t>
  </si>
  <si>
    <t>Dear team Do vận hành cần nghiệm thu tính năng nhưng đang dính cache 1h trên redis, nhờ team chạy giúp em câu lệnh sau ạ host :  vincart-prod--cache.memstore.int port : 6379 database : 5 unlink vmm:product:images_variants::1082636</t>
  </si>
  <si>
    <t>(Gấp) Hỗ trợ cập nhật tồn kho bị treo kho 8124 (tiếp theo DBASD-10850)</t>
  </si>
  <si>
    <t>2026-06-30T16:41:24.728+0700</t>
  </si>
  <si>
    <t>2026-06-30T16:44:37.091+0700</t>
  </si>
  <si>
    <t>Hi DBA team, Hiện tại kho 8124 cần fix lỗi dữ liệu, nhờ team DBA hỗ trợ cập nhật theo thông tin dưới đây Project : vinid-b2b-platform-prod Instance/IP : main (read-write): 172.31.4.59 Port : 3306 Database : omd_wms_8115 // update inventory
update report_warehouse_stock_item rw 
set rw.type = 'M4' where 
rw.wave_code in ('24WV00001822', '24WV00001823', '24WV00001820') 
and rw.type = 'M3';
 // update wave update wave_order_header woh 
join wave_order_item woi 
on woh.id = woi.header_id
set woh.status = 'SHIPPED', woi.status = 'SHIPPED'
where woh.code in ('24WV00001822', '24WV00001823', '24WV00001820'); // update SO
update order_hdr oh 
join order_item oi on oi.order_hdr_id = oh.order_hdr_id
set oh.order_status = 'SHIPPED',
    oi.item_status = 'SHIPPED',
    oh.last_modified_date = UTC_TIMESTAMP,
    oi.last_modified_date = UTC_TIMESTAMP
where oh.order_number in ("99913968710101","61778539490101","78974091600101","97979624470101","76119422800101","34786045070101","71246540340101","91185990010101","57220355640101","42651597410101","56578755200101","41922294760101","88713481840101","71850251920101","52633645890101","47280635710101","60466964040101","88850046580101","21194784250101","61410649530101","61229447360101","51907373020101","26172330810101","26209178600101","74320859210101","40959258320101","63027464820101","54516424730101","98014025620101","81748297990101","64948581670101","98373507100101","78063977950101","39543486070102","34721432410101","35869296910101","48436857850101","83599830870101","28166560170101","30629384550101","34298724960101","65117459260101","48949240690101","59000519610101","60308298050101","67084604870101","62486941190101","91376182610101","69023024510101","26817697470101","30778503150101","70016378080101","56295824290101","82796796770101","43237743490101","84827723080101","97571243400101","25376269680101","57416457310101","93799182770101","74310626400101","64152672670101","34514714310101","93444363820101","20289962450101","40098371210101") and oh.dc_code = '8124' and oh.main_instruction_type = 'SO'; // update DO
update order_hdr oh 
join order_item oi on oi.order_hdr_id = oh.order_hdr_id
set oh.order_status = 'SHIPPED',
    oi.item_status = 'SHIPPED',
    oh.last_modified_date = UTC_TIMESTAMP,
    oi.last_modified_date = UTC_TIMESTAMP
where oh.order_number in ("99913968710101002","61778539490101002","78974091600101002","97979624470101002","76119422800101002","34786045070101002","71246540340101002","91185990010101002","57220355640101002","42651597410101002","56578755200101002","41922294760101002","88713481840101002","71850251920101002","52633645890101002","47280635710101002","60466964040101002","88850046580101002","21194784250101002","61410649530101002","61229447360101002","51907373020101002","26172330810101002","26209178600101002","74320859210101002","40959258320101002","63027464820101002","54516424730101002","98014025620101002","81748297990101002","64948581670101002","98373507100101002","78063977950101002","39543486070102002","34721432410101002","35869296910101002","48436857850101002","83599830870101002","28166560170101002","30629384550101002","34298724960101002","65117459260101002","48949240690101002","59000519610101002","60308298050101002","67084604870101002","62486941190101002","91376182610101002","69023024510101002","26817697470101002","30778503150101002","70016378080101002","56295824290101002","82796796770101002","43237743490101002","84827723080101002","97571243400101002","25376269680101002","57416457310101002","93799182770101002","74310626400101002","64152672670101002","34514714310101002","93444363820101002","20289962450101002","40098371210101002") and oh.dc_code = '8124' and oh.main_instruction_type = 'DO';</t>
  </si>
  <si>
    <t>[NCO][PROD]  Tạo dữ liệu giao dịch refund cho giao dịch NCO</t>
  </si>
  <si>
    <t>2026-06-30T15:22:39.317+0700</t>
  </si>
  <si>
    <t>2026-06-30T15:22:48.124+0700</t>
  </si>
  <si>
    <t>Hi  @Đào Công Nghĩa  , Nhờ em chạy giúp thông tin dưới đây: IP: 172.31.4.9 Database: ecom_transaction Script: UPDATE transactions SET status='SUCCEEDED' WHERE id=10219411;
UPDATE transaction_lines SET  status='SUCCEEDED', error_message="Manual update status because this line is refunded by Loyalty OPS" WHERE id=10870361;
# transaction id = 13527904
INSERT INTO `transactions` (
    `tenant_id`,
    `created_at`,
    `updated_at`,
    `succeeded_at`,
    `expired_at`,
    `order_expire_at`,
    `type`,
    `pay_platform`,
    `display_id`,
    `user_id`,
    `invoice_no`,
    `payment_flow`,
    `service_code`,
    `business_code`,
    `merchant_code`,
    `store_code`,
    `verification_method`,
    `reference_id`,
    `amount`,
    `total_amount`,
    `fee_amount`,
    `data`,
    `status`,
    `fund_in_transaction_id`,
    `sale_person_phone_number`,
    `partner_order_id`,
    `currency`,
    `is_tcb_only`
) VALUES ( 
    'CHECKOUT',
    '2026-06-26 09:47:52',
    NOW(),
    NOW(),
    NULL,
    '2026-06-23 11:57:51',
    'REFUND',
    'VINID_APP',
    'T1782793308',
    11436902,
    'M5XVYQK6',
    'NORMAL',
    'ONERETAILS',
    NULL,
    'NEWRETAILS',
    NULL,
    'NONE',
    NULL,
    0,
    1154400,
    0,
    '{"store": {}, "amount": 1154400, "status": "READY_FOR_PAY", "user_id": "11436902", "currency": "POINT", "merchant": {"code": "NEWRETAILS", "name": "NEWRETAILS"}, "order_no": 0, "fee_amount": 0, "invoice_no": "M5XVYQK6", "description": "", "is_tcb_only": false, "paid_amount": 1154400, "callback_url": "https://apex.int.vinid.net/ecom-payment/v2/transactions/callback", "payment_flow": "NORMAL", "service_code": "ONERETAILS", "service_icon": "asset://ic_24transaction_cart", "total_amount": 1154400, "money_sources": [{"id": "29aaf2cf-31fd-3ab2-8c43-6b00c1482d14", "amount": 1154400, "errors": [], "non_pnl": false, "primary": false, "user_id": "11436902", "holdable": false, "tcb_only": false, "image_url": "https://cdn-vincart.vinid.net/cdn-cgi/image/fit=scale-down,w=1200,quality=75,f=auto/checkout/im_80color_upoint_wallet@3x.png", "extra_data": {"merchant_id": "IOJ", "terminal_id": "IOJKM", "merchant_code": "OMCPS2"}, "fee_amount": 0, "invoice_no": "M5XVYQK6", "paid_amount": 1154400.0, "pay_by_card": false, "input_amount": 1154400, "service_code": "ONERETAILS", "total_amount": 1154400, "merchant_code": "NEWRETAILS", "payment_service_id": "NORMAL_PURCHASE", "multiple_validation": 1, "payment_method_code": "U_POINT"}], "order_details": {"items": [{"sku": "VD_VC_1757933645405", "code": "1011833", "price": 288600, "quantity": 4, "image_url": "https://cdn-onevoucher.onemount.com/prod/OMC/sale-banner/banner_G6GgU54T_jlF6PIvUNziW_VD_VC_1757933645405.jpg", "extra_data": {"prices": [], "segment_ids": ["229c1c73-cdfd-4d43-9bc9-604f155c38de", "469671ee-7f82-4ea1-94f5-8d3494baa7f4", "54c77be815d44114bf6c06bd9a5b3eb9", "54c77be815d44114bf6c06bd9a5be5b8", "8044526c-51e7-45f5-8223-9cbd2ac51324", "80e2450a-3472-4aa3-b9ec-e922c2762fb5", "8758e8bd-2cda-4505-bf30-c5c751077125", "aa07a518-3ff3-467d-ad7a-068877882003", "cf9b8bc8d5974a97b9e98e7396a96ab2", "dafdd2d3-a989-4efb-ae27-cfe1db6ee51f", "e1a15d75-6057-43bd-9e59-1642af4d1add", "e7c56c9e-4ae6-4ab2-bda2-565536499398", "f452911f-5c84-4d94-869b-269f6ef55e0a"]}, "product_id": "759742", "unit_price": 300000, "variant_id": "1011833", "postpaid_type": "PAY_AT_CLAIM", "voucher_uo_cate": "Restaurants", "product_payment_type": "Point"}], "user_id": "11436902", "attributes": [{"code": "VOUCHER_SALE_CODE", "value": "VD_VC_1757933645405"}], "total_amount": 1154400, "shipping_fees": [{"shipping_fee": 0, "merchant_code": "OMCPS2"}], "order_currency": "VND", "total_discount": 45600, "total_items_amount": 1154400, "total_shipping_fee": 0, "total_applied_promotion_amount": 1154400}, "service_title": "Thanh toán đơn hàng", "order_expire_at": 1782215871, "original_amount": 1154400, "payment_configs": [{"configs": {"merchant_id": "SNG", "terminal_id": "SNG", "merchant_code": "SNG"}, "payment_method_code": "COD"}, {"configs": {"merchant_id": "SNG", "terminal_id": "SNG", "merchant_code": "SNG"}, "payment_method_code": "DIRECT_PAYMENT"}, {"configs": {"merchant_id": "SNG", "terminal_id": "SNG", "merchant_code": "SNG"}, "payment_method_code": "GROUP"}, {"configs": {"merchant_id": "SNG", "terminal_id": "SNG", "merchant_code": "SNG"}, "payment_method_code": "POINT"}, {"configs": {"merchant_id": "SNG", "terminal_id": "SNG", "merchant_code": "SNG"}, "payment_method_code": "TOKENIZED"}, {"configs": {"merchant_id": "SNG", "terminal_id": "SNG", "merchant_code": "SNG"}, "payment_method_code": "WALLET"}, {"configs": {"merchant_id": "SNG", "terminal_id": "SNG", "merchant_code": "SNG"}, "payment_method_code": "WALLET_BANK"}, {"configs": {"merchant_id": "SNG", "terminal_id": "SNG", "merchant_code": "SNG"}, "payment_method_code": "BANK_TRANSFER"}, {"configs": {"merchant_id": "IOJ", "terminal_id": "IOJKM", "merchant_code": "OMCPS2"}, "payment_method_code": "U_POINT"}], "hold_transaction": false, "payment_instrument": "IN_APP"}',
    'SUCCEEDED',
    NULL,
    NULL,
    NULL,
    'POINT',
    NULL
);
INSERT INTO transaction_lines (
    tenant_id, created_at, updated_at, succeeded_at, transaction_id, 
    transaction_core_id, payment_method_code, money_source_id, verification_method, 
    reference_id, amount, paid_amount, fee_amount, data, status, 
    error_code, error_message, holdable, point_owner_id, redeem_point_amount
) VALUES (
    'CHECKOUT', '2026-06-23 11:47:53', NOW(), NOW(), 13527904, 
    NULL, 'U_POINT', '29aaf2cf-31fd-3ab2-8c43-6b00c1482d14', NULL, 
    'LOC741914343704', 1154400.000, 1154400.000, 0.000, 
    '{"loc_ref_no": "LOC741914343704","merchant_id": "IOJ","terminal_id": "IOJKM","merchant_code": "OMCPS2"}', 
    'SUCCEEDED',NULL, NULL, NULL, NULL, NULL
);
# transaction id = 13527941
INSERT INTO `transactions` (
    `tenant_id`, 
    `created_at`, 
    `updated_at`, 
    `succeeded_at`, 
    `expired_at`, 
    `order_expire_at`, 
    `type`, 
    `pay_platform`, 
    `display_id`, 
    `user_id`, 
    `invoice_no`, 
    `payment_flow`, 
    `service_code`, 
    `business_code`, 
    `merchant_code`, 
    `store_code`, 
    `verification_method`, 
    `reference_id`, 
    `amount`, 
    `total_amount`, 
    `fee_amount`, 
    `data`, 
    `status`, 
    `fund_in_transaction_id`, 
    `sale_person_phone_number`, 
    `partner_order_id`, 
    `currency`, 
    `is_tcb_only`
) VALUES (
    'CHECKOUT', 
    '2026-06-26 09:48:25', 
    NOW(), 
    NOW(), 
    NULL, 
    '2026-06-23 11:57:51', 
    'REFUND', 
    'VINID_APP', 
    'T1782793309', 
    11436902, 
    'M5XVYQK6', 
    'NORMAL', 
    'ONERETAILS', 
    NULL, 
    'NEWRETAILS', 
    NULL, 
    'NONE', 
    NULL, 
    0, 
    1154400, 
    0, 
    '{"store": {}, "amount": 1154400, "status": "READY_FOR_PAY", "user_id": "11436902", "currency": "POINT", "merchant": {"code": "NEWRETAILS", "name": "NEWRETAILS"}, "order_no": 0, "fee_amount": 0, "invoice_no": "M5XVYQK6", "description": "", "is_tcb_only": false, "paid_amount": 1154400, "callback_url": "https://apex.int.vinid.net/ecom-payment/v2/transactions/callback", "payment_flow": "NORMAL", "service_code": "ONERETAILS", "service_icon": "asset://ic_24transaction_cart", "total_amount": 1154400, "money_sources": [{"id": "29aaf2cf-31fd-3ab2-8c43-6b00c1482d14", "amount": 1154400, "errors": [], "non_pnl": false, "primary": false, "user_id": "11436902", "holdable": false, "tcb_only": false, "image_url": "https://cdn-vincart.vinid.net/cdn-cgi/image/fit=scale-down,w=1200,quality=75,f=auto/checkout/im_80color_upoint_wallet@3x.png", "extra_data": {"merchant_id": "IOJ", "terminal_id": "IOJKM", "merchant_code": "OMCPS2"}, "fee_amount": 0, "invoice_no": "M5XVYQK6", "paid_amount": 1154400.0, "pay_by_card": false, "input_amount": 1154400, "service_code": "ONERETAILS", "total_amount": 1154400, "merchant_code": "NEWRETAILS", "payment_service_id": "NORMAL_PURCHASE", "multiple_validation": 1, "payment_method_code": "U_POINT"}], "order_details": {"items": [{"sku": "VD_VC_1757933645405", "code": "1011833", "price": 288600, "quantity": 4, "image_url": "https://cdn-onevoucher.onemount.com/prod/OMC/sale-banner/banner_G6GgU54T_jlF6PIvUNziW_VD_VC_1757933645405.jpg", "extra_data": {"prices": [], "segment_ids": ["229c1c73-cdfd-4d43-9bc9-604f155c38de", "469671ee-7f82-4ea1-94f5-8d3494baa7f4", "54c77be815d44114bf6c06bd9a5b3eb9", "54c77be815d44114bf6c06bd9a5be5b8", "8044526c-51e7-45f5-8223-9cbd2ac51324", "80e2450a-3472-4aa3-b9ec-e922c2762fb5", "8758e8bd-2cda-4505-bf30-c5c751077125", "aa07a518-3ff3-467d-ad7a-068877882003", "cf9b8bc8d5974a97b9e98e7396a96ab2", "dafdd2d3-a989-4efb-ae27-cfe1db6ee51f", "e1a15d75-6057-43bd-9e59-1642af4d1add", "e7c56c9e-4ae6-4ab2-bda2-565536499398", "f452911f-5c84-4d94-869b-269f6ef55e0a"]}, "product_id": "759742", "unit_price": 300000, "variant_id": "1011833", "postpaid_type": "PAY_AT_CLAIM", "voucher_uo_cate": "Restaurants", "product_payment_type": "Point"}], "user_id": "11436902", "attributes": [{"code": "VOUCHER_SALE_CODE", "value": "VD_VC_1757933645405"}], "total_amount": 1154400, "shipping_fees": [{"shipping_fee": 0, "merchant_code": "OMCPS2"}], "order_currency": "VND", "total_discount": 45600, "total_items_amount": 1154400, "total_shipping_fee": 0, "total_applied_promotion_amount": 1154400}, "service_title": "Thanh toán đơn hàng", "order_expire_at": 1782215871, "original_amount": 1154400, "payment_configs": [{"configs": {"merchant_id": "SNG", "terminal_id": "SNG", "merchant_code": "SNG"}, "payment_method_code": "COD"}, {"configs": {"merchant_id": "SNG", "terminal_id": "SNG", "merchant_code": "SNG"}, "payment_method_code": "DIRECT_PAYMENT"}, {"configs": {"merchant_id": "SNG", "terminal_id": "SNG", "merchant_code": "SNG"}, "payment_method_code": "GROUP"}, {"configs": {"merchant_id": "SNG", "terminal_id": "SNG", "merchant_code": "SNG"}, "payment_method_code": "POINT"}, {"configs": {"merchant_id": "SNG", "terminal_id": "SNG", "merchant_code": "SNG"}, "payment_method_code": "TOKENIZED"}, {"configs": {"merchant_id": "SNG", "terminal_id": "SNG", "merchant_code": "SNG"}, "payment_method_code": "WALLET"}, {"configs": {"merchant_id": "SNG", "terminal_id": "SNG", "merchant_code": "SNG"}, "payment_method_code": "WALLET_BANK"}, {"configs": {"merchant_id": "SNG", "terminal_id": "SNG", "merchant_code": "SNG"}, "payment_method_code": "BANK_TRANSFER"}, {"configs": {"merchant_id": "IOJ", "terminal_id": "IOJKM", "merchant_code": "OMCPS2"}, "payment_method_code": "U_POINT"}], "hold_transaction": false, "payment_instrument": "IN_APP"}', 
    'SUCCEEDED', 
    NULL, 
    NULL, 
    NULL, 
    'POINT', 
    NULL
);
INSERT INTO transaction_lines (
    tenant_id, created_at, updated_at, succeeded_at, transaction_id, 
    transaction_core_id, payment_method_code, money_source_id, verification_method, 
    reference_id, amount, paid_amount, fee_amount, data, status, 
    error_code, error_message, holdable, point_owner_id, redeem_point_amount
) VALUES (
    'CHECKOUT', '2026-06-23 11:48:26', NOW(), NOW(), 13527941, 
    NULL, 'U_POINT', '29aaf2cf-31fd-3ab2-8c43-6b00c1482d14', NULL, 
    'LOC070914342766', 1154400.000, 1154400.000, 0.000, 
    '{"loc_ref_no": "LOC070914342766","merchant_id": "IOJ","terminal_id": "IOJKM","merchant_code": "OMCPS2"}', 
    'SUCCEEDED', NULL, NULL, NULL, NULL, NULL
); Thread chat:  https://chat.google.com/room/AAQA3sMgmxo/yBtEP5fKrG0/EvavXvy8ma4?cls=10</t>
  </si>
  <si>
    <t>[PROD] Hỗ trợ phân quyền INSERT/UPDATE cho IT247 đối với các bảng của hệ thống UPAY_PAYMENT_GATEWAY</t>
  </si>
  <si>
    <t>2026-06-30T15:13:44.780+0700</t>
  </si>
  <si>
    <t>2026-06-30T15:14:02.341+0700</t>
  </si>
  <si>
    <t>Dear team DBA, Do quy chế mới của tập đoàn, các tác vụ update DB phải thực hiện từ mạng văn phòng. Vậy nên nhờ các anh phân quyền cho team IT247 các quyền theo mô tả trong tài liệu bên dưới ạ Reference:    Thanks team</t>
  </si>
  <si>
    <t>2026-06-30T14:38:05.716+0700</t>
  </si>
  <si>
    <t>2026-06-30T14:38:11.369+0700</t>
  </si>
  <si>
    <t>Release 25/06, nhờ các anh DBA chạy script migration Database phục vụ releasee 25/06 như file đính kèm Thời gian: 20h</t>
  </si>
  <si>
    <t>Import data authentication for auth-om to auth0_info table on schema b2b_esb</t>
  </si>
  <si>
    <t>2026-06-30T14:34:40.080+0700</t>
  </si>
  <si>
    <t>2026-06-30T14:34:50.740+0700</t>
  </si>
  <si>
    <t>Dear anh Dũng, Anh chạy giúp em sql script bên dưới ạ. Mục đích là để insert thông tin về authentication của  NSP  , dữ liệu được dùng để validate token khi client call vào ESB  Thông tb db : schema: b2b_esb project: onemg-integration-platform-prd instance: main Master IP: 172.31.1.118 Thanks anh ạ!!!! INSERT INTO `auth0_info` (`client_id`,`sign_certificate`, `resource`, `create_by`, `create_date`)
 VALUES ('thdNmITeAaBekUYsTIxgNqTOvMjLfNHd', '.well-known/openid-configuration', 'NSP', 'daibq', '2026-06-26 00:00:00')</t>
  </si>
  <si>
    <t>[OMD][PROD](Gấp) Hỗ trợ cập nhật tồn kho bị treo kho 8124</t>
  </si>
  <si>
    <t>2026-06-30T14:11:00.221+0700</t>
  </si>
  <si>
    <t>2026-06-30T14:33:29.055+0700</t>
  </si>
  <si>
    <t>Hi DBA team, Hiện tại kho 8124 cần fix lỗi dữ liệu, nhờ team DBA hỗ trợ cập nhật theo thông tin dưới đây Project : vinid-b2b-platform-prod Instance/IP : main (read-write): 172.31.4.59 Port : 3306 Database : omd_wms_8115 update wave_order_header woh 
join wave_order_item woi
on woh.id = woi.header_id 
set woh.status = 'FULFILLED', woi.status = 'FULFILLED'
where woh.id in (16331, 16326); update whse_order_hdr woh 
join whse_order_item woi on woi.whse_order_hdr_id = woh.whse_order_hdr_id
set woh.order_status = 'DONE', woi.item_status = 'DONE'
where woh.batch_reference_number in ('24WV00001822' , '24WV00001820', '24WV00001823' 
and woh.main_instruction_type = 'STAGING_TRANSFER' 
AND woh.dc_code = '8124';</t>
  </si>
  <si>
    <t>[NCO][PROD] Update short_name for bank_issuer</t>
  </si>
  <si>
    <t>2026-06-30T10:27:28.698+0700</t>
  </si>
  <si>
    <t>2026-06-30T14:28:49.523+0700</t>
  </si>
  <si>
    <t>Hi  @Đào Công Nghĩa  , Nhờ em chạy giúp thông tin dưới đây: IP: 172.31.4.9 Database: ecom_transaction Script: UPDATE `bank_issuer` SET `short_name`='Visa/Mastercard/JCB' WHERE `card_prefix_number`='INTERNATIONAL_CARD_DEFAULT';
UPDATE `bank_issuer` SET `short_name`='ATM' WHERE `card_prefix_number`='ATM_CARD_DEFAULT';</t>
  </si>
  <si>
    <t>[VCM] Cập nhật dữ liệu serial quantity cho đồng nhất giữa các hệ thống</t>
  </si>
  <si>
    <t>2026-06-30T10:17:14.346+0700</t>
  </si>
  <si>
    <t>2026-06-30T12:14:51.763+0700</t>
  </si>
  <si>
    <t>Nhờ team DBA hỗ trợ cập nhật dữ liệu serial quantity theo các thông tin dưới đây. Thông tin database: onevc_vsm_prod  (IP:  172.31.4.126) onevc_vwm_prod (*IP: *172.31.4.126) vincart_mm_product  (IP:  172.31.1.41) Lấy dữ liệu hiện tại để kiểm tra lại thông tin: OneVC Sale SELECT d.sale_code, d.total_stock FROM onevc_vsm_prod.distribute_lock d
WHERE
	d.sale_code IN (
'VD_VC_1782704577572'
'VD_VC_1782704850554'
'VD_VC_1782704852687'
'VD_VC_1782704853887'
'VD_VC_1782704854952'
'VD_VC_1782704859454'
'VD_VC_1782704857387'
'VD_VC_1782704858655'
'VD_VC_1782704860480'
'VD_VC_1782704861355'
'VD_VC_1782704862677'
'VD_VC_1782704863856'
'VD_VC_1782704865067'
'VD_VC_1782704865837'
'VD_VC_1782704866691'
'VD_VC_1782704856285'
'VD_VC_1782704867524'); OneVC Warehouse SELECT
	w.code,
	w.capacity
FROM
	onevc_vwm_prod.warehouse w
WHERE
	w.code IN (
	SELECT
		s.warehouse_code
	FROM
		onevc_vsm_prod.sale s
	WHERE
		s.code IN (
'VD_VC_1782704577572'
'VD_VC_1782704850554'
'VD_VC_1782704852687'
'VD_VC_1782704853887'
'VD_VC_1782704854952'
'VD_VC_1782704859454'
'VD_VC_1782704857387'
'VD_VC_1782704858655'
'VD_VC_1782704860480'
'VD_VC_1782704861355'
'VD_VC_1782704862677'
'VD_VC_1782704863856'
'VD_VC_1782704865067'
'VD_VC_1782704865837'
'VD_VC_1782704866691'
'VD_VC_1782704856285'
'VD_VC_1782704867524')); VMM SELECT
	i.variant_code,
	i.available,
	i.on_hand,
	i.total_stock
FROM
	inventories i
WHERE
	i.variant_code IN (
'VD_VC_1782704577572'
'VD_VC_1782704850554'
'VD_VC_1782704852687'
'VD_VC_1782704853887'
'VD_VC_1782704854952'
'VD_VC_1782704859454'
'VD_VC_1782704857387'
'VD_VC_1782704858655'
'VD_VC_1782704860480'
'VD_VC_1782704861355'
'VD_VC_1782704862677'
'VD_VC_1782704863856'
'VD_VC_1782704865067'
'VD_VC_1782704865837'
'VD_VC_1782704866691'
'VD_VC_1782704856285'
'VD_VC_1782704867524'); Các bước thực hiện migrate: Bước 1: Cập nhật dữ liệu OneVC Sale UPDATE
    onevc_vsm_prod.distribute_lock d
SET
    d.total_stock = 2000
WHERE
    d.sale_code IN (
'VD_VC_1782704577572'
'VD_VC_1782704850554'
'VD_VC_1782704852687'
'VD_VC_1782704853887'
'VD_VC_1782704854952'
'VD_VC_1782704859454'
'VD_VC_1782704857387'
'VD_VC_1782704858655'
'VD_VC_1782704860480'
'VD_VC_1782704861355'
'VD_VC_1782704862677'
'VD_VC_1782704863856'
'VD_VC_1782704865067'
'VD_VC_1782704865837'
'VD_VC_1782704866691'
'VD_VC_1782704856285'
'VD_VC_1782704867524'); Bước 2: Cập nhật dữ liệu OneVC Warehouse UPDATE
    onevc_vwm_prod.warehouse w
SET
    w.capacity = 2000
WHERE
    w.code IN (
    SELECT
        s.warehouse_code
    FROM
        onevc_vsm_prod.sale s
    WHERE
        s.code IN (
'VD_VC_1782704577572'
'VD_VC_1782704850554'
'VD_VC_1782704852687'
'VD_VC_1782704853887'
'VD_VC_1782704854952'
'VD_VC_1782704859454'
'VD_VC_1782704857387'
'VD_VC_1782704858655'
'VD_VC_1782704860480'
'VD_VC_1782704861355'
'VD_VC_1782704862677'
'VD_VC_1782704863856'
'VD_VC_1782704865067'
'VD_VC_1782704865837'
'VD_VC_1782704866691'
'VD_VC_1782704856285'
'VD_VC_1782704867524')); Bước 3: Cập nhật dữ liệu VMM UPDATE
    vincart_mm_product.inventories i
SET
    i.available = 2000,
    i.on_hand = 2000,
    i.total_stock = 2000
WHERE
    i.variant_code IN (
'VD_VC_1782704577572'
'VD_VC_1782704850554'
'VD_VC_1782704852687'
'VD_VC_1782704853887'
'VD_VC_1782704854952'
'VD_VC_1782704859454'
'VD_VC_1782704857387'
'VD_VC_1782704858655'
'VD_VC_1782704860480'
'VD_VC_1782704861355'
'VD_VC_1782704862677'
'VD_VC_1782704863856'
'VD_VC_1782704865067'
'VD_VC_1782704865837'
'VD_VC_1782704866691'
'VD_VC_1782704856285'
'VD_VC_1782704867524'); Cảm ơn team DBA nhiều ạ.</t>
  </si>
  <si>
    <t xml:space="preserve">[OMC][HealthOS][Non-Prod] Tạo database cho service HealthOS BFF </t>
  </si>
  <si>
    <t>2026-06-29T18:17:51.435+0700</t>
  </si>
  <si>
    <t>2026-06-29T18:17:58.273+0700</t>
  </si>
  <si>
    <t>Nhờ team DBA hỗ trợ tạo postgres database (môi trường Non Prod) cho service mới của dự án HealthOS SAD:    Database instance:  https://console.cloud.google.com/sql/instances/omc-healthos-np-postgresql-01/databases?project=omc-healthos-np Database name: QC: healthos_bff_qc UAT: healthos_bff_uat</t>
  </si>
  <si>
    <t>2026-06-29T18:05:45.893+0700</t>
  </si>
  <si>
    <t>2026-06-29T18:06:00.656+0700</t>
  </si>
  <si>
    <t>Dear anh Nghĩa, Nhờ anh chạy giúp team câu lệnh SQL dưới đây ạ Ip: 172.31.7.11
DB name: sp_postgres_link_account
SQL: 
UPDATE PARTNERS
SET name = 'Techcom Securities'
WHERE id = 3; Em cảm ơn anh</t>
  </si>
  <si>
    <t>[PROD][UPAY][BO] Update config hạch toán bán điểm UPOINT cho VMM</t>
  </si>
  <si>
    <t>2026-06-29T18:04:02.927+0700</t>
  </si>
  <si>
    <t>2026-06-29T18:04:17.491+0700</t>
  </si>
  <si>
    <t>Hi a   @Đào Công Nghĩa  , nhờ a chạy giúp e script bên dưới với ạ Thông tin database:  172.31.1.133:3306/bo alter table ORDER_SHIPPING add TRIP_ID varchar(100) null after SHIPMENT_ID;
alter table ORDER_SHIPPING_HIS add TRIP_ID varchar(100) null after SHIPMENT_ID;
alter table ORDER_SHIPPING_NAU add TRIP_ID varchar(100) null after SHIPMENT_ID;
alter table RECONCILE_EXECUTION add TRIP_ID varchar(100) null after SHIPMENT_ID;
alter table RECONCILE_EXECUTION_HIS add TRIP_ID varchar(100) null after SHIPMENT_ID;
alter table RECONCILE_EXECUTION_NAU add TRIP_ID varchar(100) null after SHIPMENT_ID;
ALTER TABLE ORDER_PAYMENT ADD POINT_CURRENCY VARCHAR(64) NULL AFTER PAYMENT_METHOD_CODE;
ALTER TABLE ORDER_PAYMENT_NAU ADD POINT_CURRENCY VARCHAR(64) NULL AFTER PAYMENT_METHOD_CODE;
ALTER TABLE ORDER_PAYMENT_HIS ADD POINT_CURRENCY VARCHAR(64) NULL AFTER PAYMENT_METHOD_CODE;
update COMPANY_CONFIG
set CONFIG_VALUE = case
                       when CONFIG_VALUE is null or CONFIG_VALUE = '' then 'LOYALTY_SALES_U_POINT_API'
                       when find_in_set('LOYALTY_SALES_U_POINT_API', CONFIG_VALUE) = 0
                           then concat(CONFIG_VALUE, ',LOYALTY_SALES_U_POINT_API')
                       else CONFIG_VALUE
                   end,
    UPDATE_DATETIME = now()
where COMPANY_ID = 'VN0010017'
  and CONFIG_TYPE = '4';
insert into FEE_CONFIG (ID, MAP_TRANS_BUS, COMPANY_ID, DOMAIN_ID, SERVICE_ID, SERVICE_REF, DESCRIPTION, FEE_NAME_2,
                        FEE_TYPE, FEE_GROUP, SETTLE_TYPE, CALCULATE_TYPE, CALCULATE_BASE, CYCLE_ID, SCALE,
                        TAX_CODE, ACCRUAL_ID, TRANS_BUS, CATEGORY_NET, CATEGORY_GROSS, CATEGORY_TAX,
                        BASE_LINE_RULE, ADD_DAY, GO_LIVE_TIME, LAST_SETTLE_TIME, SETTLE_ACCRUAL_TYPE, APPLY_ALL,
                        POSITIVE, POSTING_DATE_TYPE, AUTO_CONFIG, WORK_FLOW, CRITERIA, VERSION, INSERT_OPERATOR,
                        UPDATE_OPERATOR, AUTHORISE_OPERATOR, AUTHOR_DATETIME, INSERT_DATETIME, UPDATE_DATETIME,
                        RECORD_STATUS)
select 'LOYALTY_API_BAN_DIEM_UPOINT', MAP_TRANS_BUS, COMPANY_ID, DOMAIN_ID, SERVICE_ID, SERVICE_REF,
       'Bán điểm UPOINT', 'Bán điểm UPOINT', FEE_TYPE, FEE_GROUP, SETTLE_TYPE, CALCULATE_TYPE,
       'LOYALTY_SALES_U_POINT_API', CYCLE_ID, SCALE, null, ACCRUAL_ID, 'AD004', CATEGORY_NET,
       CATEGORY_GROSS, null, BASE_LINE_RULE, ADD_DAY, GO_LIVE_TIME, LAST_SETTLE_TIME,
       SETTLE_ACCRUAL_TYPE, APPLY_ALL, POSITIVE, POSTING_DATE_TYPE, AUTO_CONFIG, WORK_FLOW, CRITERIA, 1,
       INSERT_OPERATOR, UPDATE_OPERATOR, AUTHORISE_OPERATOR, now(), now(), now(), RECORD_STATUS
from FEE_CONFIG
where ID = 'LOYALTY_API_BAN_DIEM'
on duplicate key update DESCRIPTION = values(DESCRIPTION),
                        FEE_NAME_2 = values(FEE_NAME_2),
                        CALCULATE_BASE = values(CALCULATE_BASE),
                        TAX_CODE = values(TAX_CODE),
                        TRANS_BUS = values(TRANS_BUS),
                        CATEGORY_NET = values(CATEGORY_NET),
                        CATEGORY_GROSS = values(CATEGORY_GROSS),
                        CATEGORY_TAX = values(CATEGORY_TAX),
                        UPDATE_DATETIME = now();
insert into FEE_PRICE_LIST (ID, COMPANY_ID, DOMAIN_ID, SERVICE_ID, SERVICE_REF, FEE_CONFIG_ID, CALCULATE_TYPE,
                            BO_CUSTOMER_ID, MERCHANT_CODE, SKU, FROM_VALUE, TO_VALUE, AMOUNT, AMOUNT2,
                            MIN_AMOUNT, MAX_AMOUNT, INCLUDE_VAT, VALID_FROM, VALID_TO, DESCRIPTION, GOLIVE_TIME,
                            LAST_SETTLE_DATE, GROUP_BY, DISTRIBUTE, DISTRIBUTE_TO, GROUP_BY_POSITIVE, VERSION,
                            INSERT_OPERATOR, UPDATE_OPERATOR, AUTHORISE_OPERATOR, PRIORITY, CUSTOMER_CHARGE,
                            CONDITION_TYPE, GROUP1, GROUP2, GROUP3, EXTRA, PLANT, TYPE_EVENT, AUTHOR_DATETIME,
                            INSERT_DATETIME, UPDATE_DATETIME, RECORD_STATUS)
select concat('UPOINT_', ID), COMPANY_ID, DOMAIN_ID, SERVICE_ID, SERVICE_REF, 'LOYALTY_API_BAN_DIEM_UPOINT', CALCULATE_TYPE,
       BO_CUSTOMER_ID, MERCHANT_CODE, SKU, FROM_VALUE, TO_VALUE, AMOUNT, AMOUNT2, MIN_AMOUNT, MAX_AMOUNT,
       0, VALID_FROM, VALID_TO, replace(DESCRIPTION, 'bán điểm', 'bán điểm UPOINT'), GOLIVE_TIME,
       LAST_SETTLE_DATE, GROUP_BY, DISTRIBUTE, DISTRIBUTE_TO, GROUP_BY_POSITIVE, 1,
       INSERT_OPERATOR, UPDATE_OPERATOR, AUTHORISE_OPERATOR, PRIORITY, CUSTOMER_CHARGE, CONDITION_TYPE,
       GROUP1, GROUP2, GROUP3, EXTRA, PLANT, TYPE_EVENT, now(), now(), now(), RECORD_STATUS
from FEE_PRICE_LIST
where SERVICE_ID = 'VN0010017'
  and FEE_CONFIG_ID = 'LOYALTY_API_BAN_DIEM'
on duplicate key update AMOUNT = values(AMOUNT),
                        AMOUNT2 = values(AMOUNT2),
                        INCLUDE_VAT = values(INCLUDE_VAT),
                        VALID_FROM = values(VALID_FROM),
                        VALID_TO = values(VALID_TO),
                        GOLIVE_TIME = values(GOLIVE_TIME),
                        LAST_SETTLE_DATE = values(LAST_SETTLE_DATE),
                        UPDATE_DATETIME = now();
insert into TRANS_BUSINESS (ID, TYPE, TRANSACTION_ID, SUM_GROUP_ENABLED, COMPANY_ID, DOMAIN_ID, SERVICE_ID,
                            BO_CUSTOMER_ID, TRANSACT_NAME, NAME2, TRANSACTION_INDICATOR, CATEGORY, INCLUDE_TAX,
                            TAX_CODE, TRANS_GROUP, ACCT_MAP_ACCOUNTING_LINE_ID, VERSION, RECORD_STATUS,
                            INSERT_OPERATOR, UPDATE_OPERATOR, AUTHORISE_OPERATOR, INSERT_DATETIME, UPDATE_DATETIME,
                            AUTHOR_DATETIME)
select concat('UPOINT_', ID), TYPE, 'AD004', SUM_GROUP_ENABLED, COMPANY_ID, DOMAIN_ID, SERVICE_ID, BO_CUSTOMER_ID,
       'Bán điểm UPOINT', 'Bán điểm UPOINT', TRANSACTION_INDICATOR,
       case when TRANSACTION_INDICATOR = 'DR' then 'REC003' else 'GEN002' end, null, null,
       TRANS_GROUP, ACCT_MAP_ACCOUNTING_LINE_ID, 1, RECORD_STATUS, INSERT_OPERATOR, UPDATE_OPERATOR,
       AUTHORISE_OPERATOR, now(), now(), now()
from TRANS_BUSINESS
where SERVICE_ID = 'VN0010017'
  and TRANSACTION_ID = 'AD002'
  and TRANSACTION_INDICATOR in ('DR', 'CR')
on duplicate key update TRANSACT_NAME = values(TRANSACT_NAME),
                        NAME2 = values(NAME2),
                        CATEGORY = values(CATEGORY),
                        INCLUDE_TAX = values(INCLUDE_TAX),
                        TAX_CODE = values(TAX_CODE),
                        UPDATE_DATETIME = now();
insert into ACCT_MAP_COA (ID, GL_ACCOUNT, GL_ACCOUNT_NAME, VERSION, RECORD_STATUS, INSERT_OPERATOR, UPDATE_OPERATOR,
                          AUTHORISE_OPERATOR, INSERT_DATETIME, UPDATE_DATETIME, AUTHOR_DATETIME)
values ('VN0010017.AD004.REC003...', '1311110000', null, 1, null, 'ADMIN', 'ADMIN', 'ADMIN', now(), now(), now())
on duplicate key update GL_ACCOUNT = values(GL_ACCOUNT),
                        UPDATE_DATETIME = now();
insert into ACCT_MAP_COA (ID, GL_ACCOUNT, GL_ACCOUNT_NAME, VERSION, RECORD_STATUS, INSERT_OPERATOR, UPDATE_OPERATOR,
                          AUTHORISE_OPERATOR, INSERT_DATETIME, UPDATE_DATETIME, AUTHOR_DATETIME)
values ('VN0010017.AD004.GEN002...', '3388116000', null, 1, null, 'ADMIN', 'ADMIN', 'ADMIN', now(), now(), now())
on duplicate key update GL_ACCOUNT = values(GL_ACCOUNT),
                        UPDATE_DATETIME = now();
insert into ACCT_MAP_DOCTYPE (ID, SERVICE_ID, TRANSACTION_TYPE, SOURCE_TYPE, DOC_TYPE, ACCT_HEADER_GROUP, VERSION,
                              RECORD_STATUS, INSERT_OPERATOR, UPDATE_OPERATOR, AUTHORISE_OPERATOR, INSERT_DATETIME,
                              UPDATE_DATETIME, AUTHOR_DATETIME)
select concat('UPOINT_', ID), SERVICE_ID, 'AD004', SOURCE_TYPE, DOC_TYPE, ACCT_HEADER_GROUP, 1, RECORD_STATUS,
       INSERT_OPERATOR, UPDATE_OPERATOR, AUTHORISE_OPERATOR, now(), now(), now()
from ACCT_MAP_DOCTYPE
where SERVICE_ID = 'VN0010017'
  and TRANSACTION_TYPE = 'AD002'
on duplicate key update DOC_TYPE = values(DOC_TYPE),
                        ACCT_HEADER_GROUP = values(ACCT_HEADER_GROUP),
                        UPDATE_DATETIME = now();
insert into SAP_COLLECTION_SUM (ID, TRAN_BUS_ID, GROUP_ID, CYCLE, TRANS_BUS_ID_CLOSING, POSITIVE, POSTING_KEY_DR,
                                POSTING_KEY_CR, DOC_TYPE, GOLIVE_TIME, LAST_SETTLE_DATE, VERSION, RECORD_STATUS,
                                INSERT_OPERATOR, UPDATE_OPERATOR, AUTHORISE_OPERATOR, AUTHOR_DATETIME, SERVICE_ID,
                                INSERT_DATETIME, UPDATE_DATETIME)
select 'VN0010017_AD004_CUSTOMER', 'AD004', GROUP_ID, CYCLE, 'AD004_E', POSITIVE, POSTING_KEY_DR, POSTING_KEY_CR,
       DOC_TYPE, GOLIVE_TIME, LAST_SETTLE_DATE, 1, RECORD_STATUS, INSERT_OPERATOR, UPDATE_OPERATOR,
       AUTHORISE_OPERATOR, now(), SERVICE_ID, now(), now()
from SAP_COLLECTION_SUM
where SERVICE_ID = 'VN0010017'
  and TRAN_BUS_ID = 'AD002'
on duplicate key update CYCLE = values(CYCLE),
                        TRANS_BUS_ID_CLOSING = values(TRANS_BUS_ID_CLOSING),
                        UPDATE_DATETIME = now();</t>
  </si>
  <si>
    <t>[LP][Core][TCB] - Insert data phục vụ campaign MKT 072026 (Tháng 07 lần 1)</t>
  </si>
  <si>
    <t>2026-06-29T17:34:18.908+0700</t>
  </si>
  <si>
    <t>2026-06-29T17:34:32.578+0700</t>
  </si>
  <si>
    <t>Dear DBA Team, Nhờ team thực hiện insert data phục vụ campaign MKT 072026 lần 01, theo các bước sau: Thông tin database: IP: 10.255.23.119 Service name: oneloyaltydb Port: 1521 schema app: OLOYALTY   Bước 1: Tạo bảng tạm CREATE TABLE OLOYALTY.CST_TARGET_GROUP_072026_01
(
    "ID"             NUMBER(10,0) GENERATED BY DEFAULT ON NULL AS IDENTITY,
    "LOYALTY_ID"           VARCHAR2(32 BYTE) DEFAULT NULL,
    "CST_TARGET_GROUP"           VARCHAR2(256 BYTE) DEFAULT NULL,
    PRIMARY KEY ("ID")
); Bước 02: Load dữ liệu tất cả các files trong thư mục  đính kèm vào bảng tạm   Bước 03: Insert data vào bảng Member Attribute từ bảng bảng tạm 3.1. Kiểm số row bảng   CST_TARGET_GROUP_072026_01 SELECT /*+ parallel(16) */ count(*) FROM OLOYALTY.CST_TARGET_GROUP_072026_01; 3.2 Kiểm tra trùng ,  báo lại dự án nếu có SELECT /*+ parallel(16) */ LOYALTY_ID,count(*) FROM OLOYALTY.CST_TARGET_GROUP_072026_01 GROUP BY LOYALTY_ID HAVING count(*) &gt; 1; 3.3 Kiểm tra số dòng dự kiến insert, báo lại dự án nếu số dòng khác với số dòng của bảng   CST_TARGET_GROUP_072026_01 .   Note: Có thể bỏ qua nếu câu lệnh chạy quá lâu SELECT /*+ parallel(16) */ count(*) FROM OLOYALTY.MEMBER m JOIN OLOYALTY.CST_TARGET_GROUP_072026_01 b ON m.PARTNER_CUSTOMER_ID = b.LOYALTY_ID WHERE m.PROGRAM_ID = 426;   3.4 Chạy lệnh insert INSERT INTO OLOYALTY.MEMBER_ATTRIBUTE (PROGRAM_ID, MEMBER_ID, PROGRAM_ATTRIBUTE_ID, VALUE, STATUS,CREATED_BY)
SELECT 426,
    m.id AS MEMBER_ID,
    423 AS PROGRAM_ATTRIBUTE_ID,
    REPLACE(b.CST_TARGET_GROUP, CHR(13) ,'') AS VALUE,
    'A' AS STATUS,
    'MKT_202607_01'
FROM OLOYALTY.MEMBER m JOIN OLOYALTY.CST_TARGET_GROUP_072026_01 b ON m.PARTNER_CUSTOMER_ID = b.LOYALTY_ID WHERE m.PROGRAM_ID = 426
; 3.5 Kiểm tra kết quả cuối cùng SELECT /*+ parallel(16) */ count(*) FROM OLOYALTY.MEMBER_ATTRIBUTE ma 
WHERE ma.PROGRAM_ATTRIBUTE_ID = 423 AND ma.CREATED_BY = 'MKT_202607_01';   Thanks!</t>
  </si>
  <si>
    <t>2026-06-29T17:21:33.649+0700</t>
  </si>
  <si>
    <t>2026-06-29T17:21:41.727+0700</t>
  </si>
  <si>
    <t>Dear DBA team, Nhờ team hỗ  trợ chạy giúp script: Thông tin yêu cầu:    Thông tin DB: IP: 172.31.1.41
Database: vincart_mm_product Lệnh update: -- update merchant name
UPDATE entity_attributes_values
SET `value` = replace (value, '"merchant_name":"Lẩu Ếch Huyền Anh - Văn Quán/Linh Đàm"', '"merchant_name":"LẨU ẾCH HUYỀN ANH"')
where id in (980264, 980546);
-- update logo YIHETANG "merchant_code":"DOOPS261679hg"
UPDATE entity_attributes_values
SET `value` = replace (value, '"logo_url":"https://cdn-merchant.vinid.net/mpops/1782290226_yihetang (1).png"', '"logo_url":"https://cdn-vincart.vinid.net/cdn-cgi/image/fit=scale-down,w=600,quality=75,f=auto/vmm/merchants/doops261679hg/20260629/logo_DOOPS261679hg_1782710311.png"')
where id =1097362;
-- update logo YIHETANG "merchant_code":"DOTCB25340Msu"
UPDATE entity_attributes_values
SET `value` = replace (value, '"logo_url":"https://cdn-merchant.vinid.net/mpops/1765942963_DOTCB25340Msu.png"', '"logo_url":"https://cdn-vincart.vinid.net/cdn-cgi/image/fit=scale-down,w=600,quality=75,f=auto/vmm/merchants/dotcb25340msu/20260629/logo_DOTCB25340Msu_1782710346.png"')
where id in (
    454152, 454427,455500,470877
    );</t>
  </si>
  <si>
    <t>[NCO][PROD] Update loyalty service code for Merchandise</t>
  </si>
  <si>
    <t>2026-06-29T16:57:57.412+0700</t>
  </si>
  <si>
    <t>2026-06-29T16:58:06.272+0700</t>
  </si>
  <si>
    <t>Hi Nghĩa, Nhờ em chạy giúp anh thông tin dưới đây: IP:  172.31.4.9 Database:  ecom_configuration Script: UPDATE `merchant_payment_configs` SET `loyalty_service_code`='ECOMMERCE' WHERE id = 57;</t>
  </si>
  <si>
    <t>[Sao Mộc] Đẩy data lên iJupiter (172.31.3.37:5432)</t>
  </si>
  <si>
    <t>2026-06-29T16:07:39.056+0700</t>
  </si>
  <si>
    <t>2026-06-30T11:14:00.091+0700</t>
  </si>
  <si>
    <t>SaoMoc</t>
  </si>
  <si>
    <t xml:space="preserve">Nhờ team DBA chạy giúp e script delete data cũ và đẩy giúp data lên db iJupiter giúp Sao Mộc ạ: Db: Postgres (172.31.3.37:5432) Script:  delete from public.bds_lien_ke_bt where ten_du_an= 'Vinhomes Royal Island'; Data mới: Bảng dest:  public.bds_lien_ke_bt Em cảm ơn ạ. CC anh  @Nguyễn Đăng Trung  </t>
  </si>
  <si>
    <t>[PROD][OMC][PS2][Loyalty] Add Attribute Service Code</t>
  </si>
  <si>
    <t>2026-06-29T14:51:00.618+0700</t>
  </si>
  <si>
    <t>2026-06-29T14:51:59.885+0700</t>
  </si>
  <si>
    <t>Hi team, nhờ team chạy script này trên môi trường PROD của DB Loyalty Oracle giúp team Loyalty ạ. IP: 10.255.23.119 Service name: oneloyaltydb Port: 1521 Schema app: OLOYALTY INSERT INTO OLOYALTY.ATTRIBUTE_SERVICE_CODE (CODE,VALUE,DESCRIPTION,STATUS,PROGRAM_ID,CREATED_BY,CREATED_AT,UPDATED_BY,UPDATED_AT,APPROVED_BY,APPROVED_AT,CREATED_YMD) VALUES ('VOUCHER_REDEMPTION_UT','VOUCHER_REDEMPTION_UT','','A',1,NULL,TIMESTAMP '2026-06-29 00:00:00.000000',NULL,TIMESTAMP '2026-06-29 00:00:00.000000',NULL,TIMESTAMP '2026-06-29 00:00:00.000000',20260629); Có thể chạy trong giờ hành chính</t>
  </si>
  <si>
    <t>[Sao Mộc] Xóa data trên iJupiter (172.31.3.37:5432)</t>
  </si>
  <si>
    <t>2026-06-29T13:20:50.968+0700</t>
  </si>
  <si>
    <t>2026-06-30T09:10:22.440+0700</t>
  </si>
  <si>
    <t>Nhờ team DBA chạy giúp SM script delete data cũ dự án  Vinhomes Green Paradise  đã hết hiệu lực. Db: Postgres (172.31.3.37:5432) Script:  delete from public.bds_lien_ke_bt where ten_du_an= 'Vinhomes Green Paradise'; Bảng dest:  public.bds_lien_ke_bt Trân trọng! CC  @Nguyễn Đăng Trung</t>
  </si>
  <si>
    <t>[Merchant-TCB] Hỗ trợ export danh sách nhân viên HASAKI (nhóm quyền HASAKI_VIEW)</t>
  </si>
  <si>
    <t>2026-06-29T11:55:48.413+0700</t>
  </si>
  <si>
    <t>2026-06-29T11:55:54.537+0700</t>
  </si>
  <si>
    <t>Dear team, nhờ team chạy giúp câu lệnh SELECT bên dưới và xuất/gửi lại kết quả (danh sách hoặc CSV) giúp ạ. Câu lệnh chỉ đọc dữ liệu (read-only), không thay đổi data. Thông tin database https://console.cloud.google.com/sql/instances/merchant-tcb/overview?project=vinid-merchant-prod DB_MYSQL_HOST=172.31.4.108 DB_MYSQL_DATABASE=merchant_service_tcb Câu lệnh SELECT s.user_name        AS username, s.full_name        AS ho_ten, s.email, s.phone            AS so_dien_thoai, s.tcb_merchant_code, r.code             AS ma_nhom_quyen, r.name             AS ten_nhom_quyen, s.status           AS trang_thai, s.source           AS nguon, s.created_at       AS ngay_tao FROM tpay_staff s JOIN tpay_staff_role r ON r.id = s.role_id WHERE s.tcb_merchant_code = 'HASAKI' AND r.code = 'HASAKI_VIEW' AND r.deleted_at IS NULL AND r.tcb_merchant_code IN ('HASAKI', 'ALL') ORDER BY s.created_at DESC, s.id DESC; Lưu ý: nếu câu lệnh không trả về dòng nào, nhờ team chạy giúp câu kiểm tra sau để xác nhận HASAKI_VIEW là code hay name của nhóm quyền: SELECT id, code, name, tcb_merchant_code, deleted_at FROM tpay_staff_role WHERE code = 'HASAKI_VIEW' OR name = 'HASAKI_VIEW';</t>
  </si>
  <si>
    <t xml:space="preserve">[ManMac][Prod] Xoá bớt dữ liệu test trên Database </t>
  </si>
  <si>
    <t>2026-06-29T09:41:41.999+0700</t>
  </si>
  <si>
    <t>2026-06-29T09:41:53.327+0700</t>
  </si>
  <si>
    <t>Nhờ các anh DBA chạy script xoá data test trên môi trường Production theo script sau. Thời gian dự kiến: 20h Lưu ý: Khi nhận được confirm mới action.</t>
  </si>
  <si>
    <t>[OMC][VCM][PROD] Thực hiện migrate database cho golive ngày 27/06/2026</t>
  </si>
  <si>
    <t>2026-06-28T00:39:15.964+0700</t>
  </si>
  <si>
    <t>2026-06-28T23:56:17.023+0700</t>
  </si>
  <si>
    <t>Theo kế hoạch golive vào ngày 27/06/2026 (22h00) thì team VCM có các migration sau, nhờ team Database Service support team ạ. Link CR:    Danh sách database: *b2b_voucher_distribution (*IP:  172.31.4.82) onevc_vsm_prod  (IP:  172.31.4.126) vincart_mm_product  (IP:  172.31.1.41) Các bước thực hiện migrate: Cập nhật dữ liệu trên database b2b_voucher_distribution UPDATE b2b_voucher_distribution.voucher v 
SET v.sub_use_case = 'GSM|TICKET|FOOD_DELIVERY'
WHERE v.use_case = 'NEW_CHECKOUT'; Cập nhật dữ liệu trên database onevc_vsm_prod UPDATE onevc_vsm_prod.sale s
SET s.sub_use_case = 'GSM|TICKET|FOOD_DELIVERY'
WHERE s.use_case = 'NEW_CHECKOUT'; Cập nhật dữ liệu trên database vincart_mm_product Bước 1: Lấy dữ liệu variant_id và product_id có use_case là NEW_CHECKOUT sau đó gửi lại cho team SELECT
	v.id,
	v.product_id
FROM
	vincart_mm_product.variants v
WHERE
	v.id IN (
	SELECT
		e.entity_id
	FROM
		vincart_mm_product.entity_attributes_values e
	WHERE
		e.name = 'applied_voucher_type'
		AND e.value = 'NEW_CHECKOUT'
		AND e.`type` = 'VARIANT'); Bước 2: Xóa dữ liệu sub_use_case cũ DELETE
FROM
	vincart_mm_product.entity_attributes_values e
WHERE
	e.name = 'sub_use_case'
	AND e.`type` = 'VARIANT'; Bước 3: Team cung cấp câu lệnh insert sub_use_case mới từ dữ liệu export ra từ Bước 1 Bước 4: Team DBA chạy câu sql insert dữ liệu vào Cảm ơn team DBA nhiều.</t>
  </si>
  <si>
    <t>[OMD][MHPOS]Hỗ trợ Update dữ liệu trên môi trường PROD dự án merchant-hub-pos</t>
  </si>
  <si>
    <t>2026-06-27T21:59:15.967+0700</t>
  </si>
  <si>
    <t>2026-06-27T22:15:01.502+0700</t>
  </si>
  <si>
    <t>Hi Team nhờ team hỗ trợ chạy file update dữ liệu trên môi trường  PROD với Acc của admin đã bypass rls postgres. Khi nào chạy QuangPH sẽ thông báo (sau khi deploy) jdbc:postgresql://omd-merchant-hub-prod--mhpos-catalog-prod-postgres.cloudsql.int:5432/mhpos_catalog</t>
  </si>
  <si>
    <t>[UPAY][Checkout] - Script golive tính năng cập nhật phương thức thanh toán mặc định</t>
  </si>
  <si>
    <t>2026-06-27T13:19:37.377+0700</t>
  </si>
  <si>
    <t>2026-06-27T22:18:24.719+0700</t>
  </si>
  <si>
    <t>Dear team DBA, Nhờ anh/em chạy giúp em script bên dưới cho kế hoạch golive ngày 27/6 của OMC Thông tin DB: mysql://vinpay-sql-onehub-master.int.vinid.net:3306/qrdb Script create table USER_CONFIG
(
    id          varchar(50)   not null,
    user_id     BIGINT        not null,
    type_config varchar(50)   not null,
    data        varchar(1000) null,
    created_at  TIMESTAMP     NOT NULL DEFAULT CURRENT_TIMESTAMP,
    updated_at  TIMESTAMP     NULL ON UPDATE CURRENT_TIMESTAMP,
    constraint MONEY_SOURCE_DEFAULT_pk
        primary key (id)
);
create index USER_CONFIG_user_id_and_type_config_index
    on USER_CONFIG (user_id, type_config);</t>
  </si>
  <si>
    <t>2026-06-27T11:35:38.955+0700</t>
  </si>
  <si>
    <t>2026-06-27T11:37:22.051+0700</t>
  </si>
  <si>
    <t>IP (Host):   ces-production.crcykac8kxtw.ap-southeast-1.rds.amazonaws.com Port:  3306 DB Name:   ces_data_transfer Command: update ces_data_transfer.services set base_url = 'http://mh-mpm-internal/mh-mpm' where id = 'f7902682-59a1-11f1-a163-06df16508de1'</t>
  </si>
  <si>
    <t>[Nexa][PSS][V2][BAU][OPZ] Nhờ update data DB Oracle cho cụm OPZ Hệ thống PSS v2 môi trường PROD hạ tầng FTEL on-prem</t>
  </si>
  <si>
    <t>2026-06-27T11:33:27.411+0700</t>
  </si>
  <si>
    <t>2026-06-27T11:33:37.867+0700</t>
  </si>
  <si>
    <t>Em xin nhờ anh/chị update data DB Oracle cho  cụm OPZ   môi trường PROD  của hệ thống  Payment Switching Service (PSS) version 2  thuộc dự án Nexa  hạ tầng FTEL on-prem Thông tin chung SAD: [ [PSS] Multi Availability Zone SAD | https://onemount.atlassian.net/wiki/spaces/nexa/pages/3389554689/PSS+Multi+Availability+Zone+SAD ] Bảng mapping các service của hệ thống PSS v2 sử dụng Infra service nào, sheet  TPZ   Infra, OPZ Infra  : [ [Nexa] PSS v2 Overview | https://docs.google.com/spreadsheets/d/1Z82dbJEmWAfWYNDKOYp1y5p26EntPxVcMd2H7AiW1H4/edit?pli=1&amp;gid=1627553322#gid=1627553322 ] Bảng thông tin các service của hệ thống PSS v2 chạy trên môi trường GCP, sheet  CICD Request : [ [Nexa] PSS v2 Overview | https://docs.google.com/spreadsheets/d/1Z82dbJEmWAfWYNDKOYp1y5p26EntPxVcMd2H7AiW1H4/edit?pli=1&amp;gid=1627553322#gid=1627553322 ]   Câu lệnh update: update PSS_MST.CFG_INTEGRATION set AUTHENTICATION_CONFIG = TO_CLOB('{"username":"admin","password":"-----BEGIN PGP MESSAGE-----\nVersion: BCPG v1.80\n\nwcBMA6AxT/qhCX5yAQf+M5dSnHfwZAiHuoIiYWzAts5f+jIpq3AeSC+Jb8qHgAPm\nwFTPbuse+4FTsGkgUuJhg6Luwn6lXuNJrhgwj8oHIjK+In559xMHymXj/DZTQw1g\nJdANT+CBu5QFW/3HRwwiN+TTwSlAN4RoHsexEMPEjuVV14xuBvLGQo/pa6IXTzDH\nv4Ki01PVC7xzNr47pMd1rFX2XZ7IcF3RDyhKJISuJA9Y2jbGm9c1+uxjDKy4x/TJ\n6/zcI9dfWOJSIH2xR4WE/1fhSWt9kaGiks51LF9+Inw7+q1r/Iqko88myMkIBWAS\nERdHTZMtCgPTOiGR8Fw9K9g0X9RNQXVKKfWKjoYUlNI+ATA7YHHO9MSt567WGKpT\nQE72PV9vUhvmhzZd8pqL5RCxeVQe6oBe91UQAEH5spOrpyzHvPoF1JXKKgOFVfg=\n=JQ8T\n-----END PGP MESSAGE-----\n"}')
where TARGET_SYSTEM_CODE = 'UOVBVNVX' and DBMS_LOB.COMPARE(AUTHENTICATION_CONFIG, TO_CLOB('{"username":"admin","password":"-----BEGIN PGP MESSAGE-----\nVersion: BCPG v1.80\n\nwcBMA6AxT/qhCX5yAQf+M5dSnHfwZAiHuoIiYWzAts5f+jIpq3AeSC+Jb8qHgAPm\nwFTPbuse+4FTsGkgUuJhg6Luwn6lXuNJrhgwj8oHIjK+In559xMHymXj/DZTQw1g\nJdANT+CBu5QFW/3HRwwiN+TTwSlAN4RoHsexEMPEjuVV14xuBvLGQo/pa6IXTzDH\nv4Ki01PVC7xzNr47pMd1rFX2XZ7IcF3RDyhKJISuJA9Y2jbGm9c1+uxjDKy4x/TJ\n6/zcI9dfWOJSIH2xR4WE/1fhSWt9kaGiks51LF9+Inw7+q1r/Iqko88myMkIBWAS\nERdHTZMtCgPTOiGR8Fw9K9g0X9RNQXVKKfWKjoYUlNI+ATA7YHHO9MSt567WGKpT\nQE72PV9vUhvmhzZd8pqL5RCxeVQe6oBe91UQAEH5spOrpyzHvPoF1JXKKgOFVfg=\n=JQ8T\n-----END PGP MESSAGE-----\n","apiKey":"-----BEGIN PGP MESSAGE-----\nVersion: BCPG v1.80\n\nwcBMA6AxT/qhCX5yAQf/Xgm7aalhK6J35DBhEnJ6QF14dSRyIiVRI0I224qh2xQZ\ndnbpoRcF4yI+qXhtg3i73i7N78jER7dnRI8anuNBQztBitshYXjxUMp9KRZQTm72\n4e6zOyOmKUvXZ6UBB88iYzwm7CyvcwZN5gomytx0uyBn47ngqGTUTghssTSdJing\nDJahBWzoUa/tXF8DRT/PUyrBl01ZPMx/gaPqtFi0bMfShW/q4aZmX0UT6C06CccX\nDJZchgetP8+/S0eoNDjcbp0MKkJaJYEDx26Jnw6W3hkk5WVZxx9BD93ws0Pq3Upt\nd9Z3ALj245hE9h1KG1sOjqMJSFahcjNGzKr3yEh0XNJCAYqUbS/9YJXmjgfpztcb\nYaob6jQ59bNtO9tNTewNrWqnoqgpK0flJ+TN1ohYFB78Drbf9VCnCyZGM/Y3RdqI\n7Ks9\n=Y39y\n-----END PGP MESSAGE-----\n"}')) = 0;
update PSS_MST.CFG_INTEGRATION set AUTHENTICATION_CONFIG = TO_CLOB('{"username":"admin","password":"-----BEGIN PGP MESSAGE-----\nVersion: BCPG v1.80\n\nwcBMA6AxT/qhCX5yAQf+KPFs1zDCAySDIH/Q7TAaIpOMbrdNWaJoTG7WOKYt860S\naaUCyLyZzvUT87I4aRnhunJLYFoHsBYjTuJY5wUGJua9Quo2qvs+Zae9qVhXGAZa\nop2MRMsKHd1FJ4TK5cOL+xyk550d5UWyk0HL51phBwA7ipFHBsn5UHzXAACHSu/Q\n9vohmTG6+x7jHUKg84cecQKoEBmbv81gFjtWw+tA390LaDcdrV2Vh3bVKlDk4PT9\n6lq9MgcZ+o7S7AMgJjh07rd6SyypQ4s3J5rCErkpvsn8wNF0/Hn0QDfNLd1tTzKN\nKfIqCHDPXOZjBPm1TOvNZApfCqkFKONlNloPyvNYK9I+AWrj2rZqFnbBQ+gCpw3o\nqeeWJ6oGwnJA9mAMMpZ2jrgwK8rywbBAWDbiRWksNEwTiSwb8zyy2mLvlVtH2fs=\n=Z60j\n-----END PGP MESSAGE-----\n"}')
where TARGET_SYSTEM_CODE = 'ABBKVNVX' and DBMS_LOB.COMPARE(AUTHENTICATION_CONFIG, TO_CLOB('{"username":"admin","password":"-----BEGIN PGP MESSAGE-----\nVersion: BCPG v1.80\n\nwcBMA6AxT/qhCX5yAQf+KPFs1zDCAySDIH/Q7TAaIpOMbrdNWaJoTG7WOKYt860S\naaUCyLyZzvUT87I4aRnhunJLYFoHsBYjTuJY5wUGJua9Quo2qvs+Zae9qVhXGAZa\nop2MRMsKHd1FJ4TK5cOL+xyk550d5UWyk0HL51phBwA7ipFHBsn5UHzXAACHSu/Q\n9vohmTG6+x7jHUKg84cecQKoEBmbv81gFjtWw+tA390LaDcdrV2Vh3bVKlDk4PT9\n6lq9MgcZ+o7S7AMgJjh07rd6SyypQ4s3J5rCErkpvsn8wNF0/Hn0QDfNLd1tTzKN\nKfIqCHDPXOZjBPm1TOvNZApfCqkFKONlNloPyvNYK9I+AWrj2rZqFnbBQ+gCpw3o\nqeeWJ6oGwnJA9mAMMpZ2jrgwK8rywbBAWDbiRWksNEwTiSwb8zyy2mLvlVtH2fs=\n=Z60j\n-----END PGP MESSAGE-----\n","apiKey":"-----BEGIN PGP MESSAGE-----\nVersion: BCPG v1.80\n\nwcBMA6AxT/qhCX5yAQf/d5oRbvT44AHl9EHIRDSUXRkj25vmqiz1YhiyN33vf9LE\nDQhB8LW0JmM+DKsepFo7PuK9XqIfeWXKzYcaj1StRdnn+7wUNjnP6AIzPAxONcmR\n886mL3TisTFvj83+b+Owrd78kyUGQ32gYKjbiQAU+kE+tJRzqsSq+O5+3JrMmIUO\nNO8ob8UgPLRUoHIWzW0wOVOMCTVnG4Afqk39Cc3rWFrD5MITwnx2tgqsK5KBzb3I\nw+yneRuLrBxu8iGwlpmRt58TKEkSpiFxO10CqI0KJS05Tb7LM6zr4XBHUuqE6N2d\nP7f6YlO0vdpnxYYIj8ZmXrM4+2Y3EUpbtU5g15IGxtJCATIBVeZV9oLt7rF+rNoF\n68JonuuXnxPYJHOQZuk19xSezWM6Wu9a/ZGJwQrmIVgxtc+fUvnuCWjqiszLB/Iy\nfIFa\n=JnpR\n-----END PGP MESSAGE-----\n"}')) = 0;
update PSS_MST.CFG_INTEGRATION set AUTHENTICATION_CONFIG = TO_CLOB('{"username":"admin","password":"-----BEGIN PGP MESSAGE-----\nVersion: BCPG v1.80\n\nwcBMA6AxT/qhCX5yAQf+Odb+24oKcyPtAA8AVWlkrJcYbNDU4DPSgrQoFroumgjm\niwPychm2OMKRVzTBr7x0X4l2c3jFD1QebTQ02aA39TKIHDP8atXqDorNpZNe9riS\n8WFe1ma4m3Au6XwtEMRoB/v3k1JtqHOHKZKj1fkim4/XABdHN4tHs1VRVAkeMNQj\nDYgm+W82f24rKxN011WTV6W1UMQw7Nq3aUfgU3Wp5pKrpbwhoifvgliHhxMi7Lzb\n/9SHB63YCVwTpRmmK2LVF5Eh9YITrpYq4N/COjw+mTTymF8Z/4mVTWqxBkbzGTBz\nq1m08g21/5/eOiXA4KJb8Me+nYnRd2iMGJYuiCa+d9I+AalXn/meIgfgG7vD7V4k\nkka7sQqWvCCRj+eDP43AOv4nlrJs5lvdZxi6iqA7mb50pKvF0h+waizYsZfO7B4=\n=Bxjc\n-----END PGP MESSAGE-----\n"}')
where TARGET_SYSTEM_CODE = 'SHBAVNVX' and DBMS_LOB.COMPARE(AUTHENTICATION_CONFIG, TO_CLOB('{"username":"admin","password":"-----BEGIN PGP MESSAGE-----\nVersion: BCPG v1.80\n\nwcBMA6AxT/qhCX5yAQf+Odb+24oKcyPtAA8AVWlkrJcYbNDU4DPSgrQoFroumgjm\niwPychm2OMKRVzTBr7x0X4l2c3jFD1QebTQ02aA39TKIHDP8atXqDorNpZNe9riS\n8WFe1ma4m3Au6XwtEMRoB/v3k1JtqHOHKZKj1fkim4/XABdHN4tHs1VRVAkeMNQj\nDYgm+W82f24rKxN011WTV6W1UMQw7Nq3aUfgU3Wp5pKrpbwhoifvgliHhxMi7Lzb\n/9SHB63YCVwTpRmmK2LVF5Eh9YITrpYq4N/COjw+mTTymF8Z/4mVTWqxBkbzGTBz\nq1m08g21/5/eOiXA4KJb8Me+nYnRd2iMGJYuiCa+d9I+AalXn/meIgfgG7vD7V4k\nkka7sQqWvCCRj+eDP43AOv4nlrJs5lvdZxi6iqA7mb50pKvF0h+waizYsZfO7B4=\n=Bxjc\n-----END PGP MESSAGE-----\n","apiKey":"-----BEGIN PGP MESSAGE-----\nVersion: BCPG v1.80\n\nwcBMA6AxT/qhCX5yAQf8C7v5y+so3vVNXLhRiWm+EOLuGH1ZeDVmAHyGkLDRUKr4\ni1IatOLDwqv6rYzR4iMa2uNRqKiMRkmsvyqGzuCt+uFm6gt0gWu47Ksy7VJrvyTz\nbVFczSpU2Fc6fPgTpe7+3TmceHvW0kIKi/A0X6ZchdnoWqljeTxe1dC/gualUiYM\n8HARqY9fiRGH9/o/jW+HHk80R+YP29Ofo0UrLB3smzCl4VpFIJZ/qjFRO3p6KejL\nKT+qsAfxI6LHt2FoPVuCJ3BdgNlwYrxvGIreiaslpmEqG2G+vdWUDcU09SImiqBb\nhFvS5XTNrMbKi/IsEGCzGEaVUQkQnyLkCAIIByZSCdJCAWBLmGYwABBTFwdxoSPB\nRSkko7zOwOFWNwaqazeKzXYX3AER07356KXk4kvPUcBTfahuHqGyrNfS3cSgYKN0\ns4ui\n=wM7+\n-----END PGP MESSAGE-----\n"}')) = 0;
commit;</t>
  </si>
  <si>
    <t>[NCO][PROD] Update loyalty service code for Food Delivery</t>
  </si>
  <si>
    <t>2026-06-27T10:42:17.170+0700</t>
  </si>
  <si>
    <t>2026-06-27T10:42:26.117+0700</t>
  </si>
  <si>
    <t>Hi Nghĩa, Nhờ em chạy giúp anh thông tin dưới đây: IP:  172.31.4.9 Database:  ecom_configuration Script: UPDATE `merchant_payment_configs` SET `loyalty_service_code`='ECOMMERCE' WHERE id = 655;</t>
  </si>
  <si>
    <t>[Prod][OMC][Gami] Hỗ trợ tạo index phục vụ worker thu hồi lượt chơi Lucky Box cho release 27/06/2026.</t>
  </si>
  <si>
    <t>2026-06-27T10:18:30.780+0700</t>
  </si>
  <si>
    <t>2026-06-27T22:38:44.278+0700</t>
  </si>
  <si>
    <t>Nhờ team chạy giúp em 3 câu query trên production lấy kết quả ạ, tcb muốn lấy số user đang chờ phát quà. Host: 172.31.4.75 Db: promo_mysterybox CREATE INDEX idx_user_turns_deduct_scan
    ON user_turns (campaign_id, user_id, customer_id, turn_left);
CREATE INDEX idx_turn_histories_recent_by_user
    ON turn_histories (campaign_id, user_id, customer_id, created_at, quantity);</t>
  </si>
  <si>
    <t>Release Plan 27/06/2026 - Golive  Unified Checkout</t>
  </si>
  <si>
    <t>2026-06-27T10:17:54.474+0700</t>
  </si>
  <si>
    <t>2026-06-28T00:38:48.016+0700</t>
  </si>
  <si>
    <t>Hi  @Đào Công Nghĩa  , Nhờ em chạy giúp thông tin dưới đây: IP:  172.31.1.41 Database:  vincart_mm_product Script: ## Alter table
ALTER TABLE `transactions` ADD COLUMN `business_code` varchar(255) AFTER `service_code`;
ALTER TABLE `bank_issuer` ADD COLUMN `card_prefix_number` varchar(50) AFTER `name`;
CREATE INDEX bank_issuer_card_prefix_number_idx ON `bank_issuer` (card_prefix_number);
## Script Update data in attach file: update_prefix_cart_bank_issuer.sql</t>
  </si>
  <si>
    <t>Hỗ trợ cập nhật trạng thái wave bị treo kho 8124</t>
  </si>
  <si>
    <t>2026-06-27T10:12:35.238+0700</t>
  </si>
  <si>
    <t>2026-06-27T10:14:40.423+0700</t>
  </si>
  <si>
    <t>Hi DBA team, Hiện tại kho 8124 cần fix lỗi dữ liệu, nhờ team DBA hỗ trợ cập nhật theo thông tin dưới đây Project : vinid-b2b-platform-prod Instance/IP : main (read-write): 172.31.4.59 Port : 3306 Database : omd_wms_8115 update wave_order_header woh 
join wave_order_item woi
on woh.id = woi.header_id 
set woh.status = 'FULFILLED', woi.status = 'FULFILLED'
where woh.id = 16328;</t>
  </si>
  <si>
    <t>2026-06-27T09:09:36.274+0700</t>
  </si>
  <si>
    <t>2026-06-27T09:32:48.460+0700</t>
  </si>
  <si>
    <t>IP (Host):   ces-production.crcykac8kxtw.ap-southeast-1.rds.amazonaws.com Port:  3306 DB Name:   ces_data_transfer Command:   UPDATE ces_data_transfer.data_type_topics SET type = 'ces-unit-batch-data-created' WHERE id = 'eaaf67cf-630e-11f1-9a38-02aeb0ef9b53';
UPDATE ces_data_transfer.data_type_topics SET type = 'ces-unit-send-data-created' WHERE id = 'eaaf6b06-630e-11f1-9a38-02aeb0ef9b53';
UPDATE ces_data_transfer.data_type_topics SET type = 'ces-unit-batch-data-completed' WHERE id = 'eaaf6c95-630e-11f1-9a38-02aeb0ef9b53';
UPDATE ces_data_transfer.data_type_topics SET type = 'ces-unit-upload-request-completed' WHERE id = 'eaaf6d41-630e-11f1-9a38-02aeb0ef9b53';
UPDATE ces_data_transfer.data_type_topics SET type = 'ces-unit-batch-data-completed' WHERE id = 'eaaf8bfd-630e-11f1-9a38-02aeb0ef9b53';</t>
  </si>
  <si>
    <t>[PROD] Chạy câu lệnh SQL phục vụ golive ngày 26/06</t>
  </si>
  <si>
    <t>2026-06-27T07:42:45.883+0700</t>
  </si>
  <si>
    <t>2026-06-27T07:43:03.025+0700</t>
  </si>
  <si>
    <t>Dear team DBA, Nhờ team chạy các câu lệnh SQL dưới đây nhé ạ. Thời gian run: 22h ngày 26/06/2026 Host: omc-mtp-tidb.int.onemount.com
Port: 4000
DB name: omc_mtp_user_profile SQL: -- Database: TiDB
-- Lưu trữ dữ liệu của tất cả các loyalty_id của tất cả các đối tác tích hợp Link Account
-- Cấu trúc EAV: label_code + label_value thay vì lưu theo cột
CREATE TABLE segment_partner_cdp (
    id BIGINT UNSIGNED AUTO_INCREMENT NOT NULL PRIMARY KEY,
    loyalty_id VARCHAR(36) NOT NULL,
    partner_code VARCHAR(36) NOT NULL,
    label_code VARCHAR(50) NOT NULL,
    label_value VARCHAR(16384) NOT NULL,
    created_at TIMESTAMP DEFAULT CURRENT_TIMESTAMP NOT NULL,
    updated_at TIMESTAMP DEFAULT CURRENT_TIMESTAMP ON UPDATE CURRENT_TIMESTAMP NOT NULL,
    created_date DATE GENERATED ALWAYS AS (DATE(created_at)) STORED NOT NULL,
    updated_date DATE GENERATED ALWAYS AS (DATE(updated_at)) STORED NOT NULL,
    UNIQUE KEY uk_loy_lab (loyalty_id, partner_code, label_code)
) ENGINE=InnoDB DEFAULT CHARSET=utf8mb4 COLLATE=utf8mb4_unicode_ci AUTO_INCREMENT=1 /*T![auto_id_cache] AUTO_ID_CACHE=1 */;
-- Database: TiDB
-- Truy xuất thông tin user OneU liên kết với user của đối tác nào
CREATE TABLE segment_profile_partner (
    id BIGINT UNSIGNED AUTO_INCREMENT NOT NULL PRIMARY KEY,
    uid VARCHAR(36) NOT NULL,
    loyalty_id VARCHAR(36) NOT NULL,
    partner_code VARCHAR(36) NOT NULL,
    created_at TIMESTAMP DEFAULT CURRENT_TIMESTAMP NOT NULL,
    updated_at TIMESTAMP DEFAULT CURRENT_TIMESTAMP ON UPDATE CURRENT_TIMESTAMP NOT NULL,
    UNIQUE KEY uk_loy_part (loyalty_id, partner_code),
    UNIQUE KEY uk_uid_part (uid, partner_code)
) ENGINE=InnoDB DEFAULT CHARSET=utf8mb4 COLLATE=utf8mb4_unicode_ci AUTO_INCREMENT=1 /*T![auto_id_cache] AUTO_ID_CACHE=1 */; Em cảm ơn.</t>
  </si>
  <si>
    <t>2026-06-26T15:55:58.788+0700</t>
  </si>
  <si>
    <t>2026-06-26T15:56:09.171+0700</t>
  </si>
  <si>
    <t>Hi a   @Đào Công Nghĩa  , nhờ a chạy giúp e script bên dưới với ạ Thông tin database:  172.31.1.133:3306/bo UPDATE BATCH_STEP_EXECUTION
SET STATUS       = 'FAILED',
    EXIT_CODE    = 'FAILED',
    EXIT_MESSAGE = 'MANUAL_CLOSE_STALE_STARTED',
    END_TIME     = COALESCE(END_TIME, NOW()),
    LAST_UPDATED = NOW(),
    VERSION      = VERSION + 1
WHERE JOB_EXECUTION_ID IN (SELECT bje.JOB_EXECUTION_ID
                           FROM BATCH_JOB_INSTANCE bji
                                    JOIN BATCH_JOB_EXECUTION bje ON bji.JOB_INSTANCE_ID = bje.JOB_INSTANCE_ID
                           WHERE bji.JOB_NAME = 'batch.job.courier.dremio.order.new'
                             AND bje.STATUS IN ('STARTING', 'STARTED')
                           ORDER BY bje.JOB_EXECUTION_ID DESC)
  AND STATUS IN ('STARTING', 'STARTED');
UPDATE BATCH_JOB_EXECUTION
SET STATUS       = 'FAILED',
    EXIT_CODE    = 'FAILED',
    EXIT_MESSAGE = 'MANUAL_CLOSE_STALE_STARTED',
    END_TIME     = COALESCE(END_TIME, NOW()),
    LAST_UPDATED = NOW(),
    VERSION      = VERSION + 1
WHERE JOB_EXECUTION_ID IN (SELECT bje.JOB_EXECUTION_ID
                           FROM BATCH_JOB_INSTANCE bji
                                    JOIN BATCH_JOB_EXECUTION bje ON bji.JOB_INSTANCE_ID = bje.JOB_INSTANCE_ID
                           WHERE bji.JOB_NAME = 'batch.job.courier.dremio.order.new'
                             AND bje.STATUS IN ('STARTING', 'STARTED')
                           ORDER BY bje.JOB_EXECUTION_ID DESC)
  AND STATUS IN ('STARTING', 'STARTED');</t>
  </si>
  <si>
    <t>Update DB Portal DTD</t>
  </si>
  <si>
    <t>2026-06-26T15:37:58.360+0700</t>
  </si>
  <si>
    <t>2026-06-26T15:47:28.516+0700</t>
  </si>
  <si>
    <t>Update data truyền sang TCB</t>
  </si>
  <si>
    <t>[OMC][MTP][PROD] Hỗ trợ cập nhật database</t>
  </si>
  <si>
    <t>2026-06-26T15:11:40.759+0700</t>
  </si>
  <si>
    <t>2026-06-26T15:11:53.515+0700</t>
  </si>
  <si>
    <t>Dear team, Team em có nhu cầu bổ sung index cho các bảng ở dưới, nhờ team hỗ trợ ạ CREATE INDEX CONCURRENTLY idx_auue_device_created_at
ON public.affiliate_update_user_event (device_id, created_at);
CREATE INDEX CONCURRENTLY idx_te_type_user_created_device_id_code
ON public.track_events (type, user_id, created_at, device_id, id, code); Em cảm ơn team, Thành An.</t>
  </si>
  <si>
    <t>[HealthOS][Nonprod] Tạo CDC Debezium connect cho Kafka connect cuả dự án HealthOS</t>
  </si>
  <si>
    <t>2026-06-26T15:03:34.948+0700</t>
  </si>
  <si>
    <t>2026-06-26T15:33:48.915+0700</t>
  </si>
  <si>
    <t>Database</t>
  </si>
  <si>
    <t xml:space="preserve">Dear các anh, Dự án Healthos cần 1 CDC Debezium đọc WAL cuả PostgreSQL, do đó cần bật config logical on và mở kết nối cho phép Kafka connector đọc WAL Tên cuả user cấp cho Kafka connector:  debezium_healthos SAD:   </t>
  </si>
  <si>
    <t>2026-06-26T11:56:59.675+0700</t>
  </si>
  <si>
    <t>2026-06-26T11:57:10.061+0700</t>
  </si>
  <si>
    <t xml:space="preserve">Em chào anh chị, Anh chị chạy giúp em lệnh SQL update DB với ạ. project: om-charity-prod Instance name: om-charity-fund-core IP: 172.31.4.7 DB name: fund-core user name: ? SQL:     </t>
  </si>
  <si>
    <t>2026-06-25T22:59:18.918+0700</t>
  </si>
  <si>
    <t>2026-06-25T22:59:32.598+0700</t>
  </si>
  <si>
    <t>Dear team Do có nhu cầu update data prod để verify code sau golive nhờ team chạy giúp em các câu lệnh sau ạ Thank team project: vincart-prod instance: main ip: 172.31.1.41 DB: vincart_mm_product UPDATE variants set stock_type = 'INIT' WHERE id in (1082628,
1082629,
1082630,
1082631,
1082632,
1082633,
1082634,
1082635,
1082636,
1082637,
1082638,
1082639,
1082640,
1082641) UPDATE inventories set channel_code = 'INIT' WHERE variant_id in (1082628,
1082629,
1082630,
1082631,
1082632,
1082633,
1082634,
1082635,
1082636,
1082637,
1082638,
1082639,
1082640,
1082641) UPDATE variant_prices set channel_code = 'ONEU' WHERE variant_id in (1082628,
1082629,
1082630,
1082631,
1082632,
1082633,
1082634,
1082635,
1082636,
1082637,
1082638,
1082639,
1082640,
1082641)</t>
  </si>
  <si>
    <t>[OMC][MTP] Update dữ liệu cho MKT</t>
  </si>
  <si>
    <t>2026-06-25T20:55:41.875+0700</t>
  </si>
  <si>
    <t>2026-06-25T20:55:59.397+0700</t>
  </si>
  <si>
    <t>Dear  @Đào Công Nghĩa  , nhờ em chạy giúp anh script sau: -- DB: TiDB OMC
UPDATE omc_mtp_user_profile.identified_profile b
INNER JOIN dp_omc_semantic_omc_bsi_cdp.f_customer_label a 
    ON a.customer_id = b.uid 
SET b.is_linking = true
WHERE a.label_code = 'hv_tt_link_acc' 
  AND a.label_value = '1' 
  AND b.is_linking = false 
  AND b.last_confirmed &lt; '2026-06-10' 
  AND b.last_unlinked &lt; '2026-06-10'; Best regards Dinh Quang Nguyen</t>
  </si>
  <si>
    <t>[PROD][QR247] Script thêm cấu hình cho task tối ưu performance</t>
  </si>
  <si>
    <t>2026-06-25T20:54:21.997+0700</t>
  </si>
  <si>
    <t>2026-06-25T20:54:31.812+0700</t>
  </si>
  <si>
    <t>Hi team Nhờ anh/em chạy các script thêm cấu hình system trên môi trường PROD. Thông tin database saas_tpay: mysql://pay-tidb.int.onemount.com:4000/saas_tpay INSERT INTO SYSTEM_CONFIGURATION (SYSTEM_PARAM_CODE,
                                                           SYSTEM_PARAM_NAME, SYSTEM_PARAM_VALUE, IS_ACTIVE,
                                                           IS_ENCRYPTED, CREATED_BY, UPDATED_BY, UPDATED_DATE,
                                                           CREATED_DATE)
VALUES ('SEARCH_TRANSACTION_CREATED_DATE_PADDING_DAYS', 'SEARCH_TRANSACTION_CREATED_DATE_PADDING_DAYS', '7', 1, null,
        'system', null, null, NOW());</t>
  </si>
  <si>
    <t>[OMRE][MongoDB] MongoDB Atlas tăng tải từ M20-M30</t>
  </si>
  <si>
    <t>2026-06-25T17:39:56.586+0700</t>
  </si>
  <si>
    <t>2026-06-26T14:33:52.811+0700</t>
  </si>
  <si>
    <t>Hi Huy 2 Đêm gần đây, MongoDB trên Atlas:  1housing.8j11t.gcp.mongodb.net  , có hiện tượng tăng tải, nên DB tự động tăng cấu hình từ M20 lên M30, phát sinh x2 chi phí phần cứng Collection gọi nhiều :  onehs_user_tracking_data.view_events Vậy dự án kiểm tra lại xem vì sao lệnh gọi nhiều, và đưa phương án để phối hợp với DBA tối ưu nhé.</t>
  </si>
  <si>
    <t>Hỗ trợ phân quyền cho team IT247 hỗ trợ vận hành</t>
  </si>
  <si>
    <t>2026-06-25T16:24:04.111+0700</t>
  </si>
  <si>
    <t>2026-06-25T16:24:20.723+0700</t>
  </si>
  <si>
    <t>IT247</t>
  </si>
  <si>
    <t>Dear Team DBA, Do cần hỗ trợ update các thông tin của giao dịch (như ở guide sau    ) nên team 247 xin quyền thao tác DB cụ thể như sau: Link DB:  http://pay-tidb.int.onemount.com:4000/saas_tpay Quyền cụ thể: Bảng  TRANSACTION_MASTER ,  TRANSACTION_DETAIL  quyền  update   Các thành viên team 247: nhatntt thanhdv19 huong.le3 tung.hoang2 kien.nguyen12 cuong.nguyen8 hoang.phan dungnt96 hoapd1 Em xin cảm ơn !</t>
  </si>
  <si>
    <t>[OMC][ONEU] Chạy script cấu hình thời gian hết hạn đơn hàng cho merchant</t>
  </si>
  <si>
    <t>2026-06-25T16:18:56.335+0700</t>
  </si>
  <si>
    <t>2026-06-25T16:19:03.722+0700</t>
  </si>
  <si>
    <t>Dear team DBA Do vận hành có nhu cầu cấu hình thời gian hết hạn đơn hàng cho merchant mới, nhờ team chạy script sau. Thời gian thực hiện: 21h ngày 25/06/2026 Thank team project: vincart-prod instance: main ip: 172.31.1.41 DB: vincart_mm_merchant INSERT INTO `settings` (`merchant_id`, `setting_key`, `setting_value`, `name`, `status`) 
VALUES ('392961', 'MERCHANT_ORDER_EXPIRE_TIME', '{\"expire_time_millis\":1800000,\"buffer_expire_time_millis\":0,\"notify_time_millis\":1500000}', 'thời gian hết hạn order', 'active');</t>
  </si>
  <si>
    <t>Cấp user cho Sao Mộc để chạy jobs cho dự án iJupiter</t>
  </si>
  <si>
    <t>2026-06-25T15:53:27.379+0700</t>
  </si>
  <si>
    <t xml:space="preserve">Dear team, Hiện tại Sao Mộc cần tạo lại user để chạy jobs ETL cho phần mềm iJupiter. Trước kia có 2 user kien_tran6 và trang.hoang đã được phân quyền trước đó bị expired không rõ lý do. Phân quyền: DDL + DML Mục đích: phân tích &amp; đẩy dữ liệu lên phần mềm iJupiter. Tên user (mới): saomoc_ijupiter Connection:  172.31.3.37:5432 CC anh  @Nguyễn Đăng Trung  </t>
  </si>
  <si>
    <t>[MAG][Fins][Prod] Nhờ cấp resource Elastic Cache phục vụ dự án Fins Platform</t>
  </si>
  <si>
    <t>2026-06-25T14:14:39.189+0700</t>
  </si>
  <si>
    <t>2026-06-26T14:45:30.085+0700</t>
  </si>
  <si>
    <t>Do nhu cầu dự án Masterise Fins Platform cần sử dụng giải pháp cache nhờ team cung cấp resource AWS elastic cache cho môi trường PRODUCTION Cần thêm thông tin gì mọi người cứ request em ạ SAD</t>
  </si>
  <si>
    <t>[MAG][Fins Platform] Nhờ cấp database nôi trương PRODUCTION</t>
  </si>
  <si>
    <t>2026-06-25T11:13:23.430+0700</t>
  </si>
  <si>
    <t>2026-06-26T10:16:16.384+0700</t>
  </si>
  <si>
    <t>Nhờ tạo giúp em database PRODUCTION trên RDS trên hạ tâng MAG AWS theo thông tin sau fins-platform-core</t>
  </si>
  <si>
    <t>2026-06-25T09:35:51.696+0700</t>
  </si>
  <si>
    <t>2026-06-25T09:36:20.579+0700</t>
  </si>
  <si>
    <t>Em cần hỗ trợ thực thi câu lệnh xóa dữ liệu, nhờ các anh DBA hỗ trợ em với ạ. Database: ces_mcm_storage Câu lệnh: DELETE FROM casbin_rule WHERE v0 IN ( '3f37c35e-c208-41f0-a282-a2d2fe9db07e', '594b6178-015f-40d3-b4f3-9b480208b769', '2ad1caa5-82d3-4d1d-961d-ce5b54790b2e', '1bc33127-f858-42a6-aa02-ba0f80fe6d42', 'ac955ace-fc56-402f-9b3a-066f5d97e198', '4b8ca55c-9662-48f8-8893-42f6ef442e40', '8f8a6c62-1f24-449e-bf18-12934a3cf068', '5cf2ce06-0648-4a11-a9c2-af5c0f767fbf', '0e3ff96f-97c0-4a54-8eb4-25d0e6c0f83b', '0623bfa6-54f5-4197-b73e-7c3a7ed79d66', 'd1f08d5d-bab3-4d1f-81ce-ef2987b3b947', '2708abbc-41c9-44e2-9152-40b0ec05bb10', '9176624e-2024-4fcc-a498-2fa1401134de', '3bd18d82-ca2d-4aa9-8f80-bbed44d3a05d', '5be48d2f-5952-41eb-bbbf-c720a35f1b9b', '6f4aad88-7007-408d-9fc3-00c7c5495a75', 'db321389-568d-46a1-b9a9-e0c319244840', 'ccc5d43f-644b-484d-8ff5-60dff1ecf138', '5b041f3f-057b-4083-a4d7-216fb5fda0ab', '6132e30c-2cb5-487a-be1f-6bc45640e96b', 'b87c3104-f40f-4fea-aefd-e88db9e5c05a', '51806538-837d-4b59-8969-f37f4edc0bf5', '0e4d6b77-43da-48dd-9bca-d3ffe6d94418', '0e6ef250-2355-4f37-b2a2-3fea2eab6be9', '110a4632-cf75-4531-adcc-363cf429181c', '287540c2-7c33-4383-ae25-3089901e1285', '39d86b3d-4bcb-42d9-bd7d-e50cd04b0c65', '4c68561e-e984-4947-9629-305149e7b8c1', '77ebcc94-e7a3-4402-a549-b87e7a0e254d', '78f3e7d8-b5d8-4a0f-9a20-a452c92c2a5b', '7a072ec3-10c1-484c-bc7e-83449fef2084', '7d234700-a724-4262-8d03-42139c697610', '8ba75d48-5eb6-4dd9-a953-8f7c5a4e8a53', 'c968fba4-ced4-4e2f-b889-664b84311691', 'c9ead1ca-381e-4a94-900b-d21573b2593a', 'ca83197e-d48f-4b03-b227-1e5c3ad42409', 'd700911b-5f7c-4c8f-9ca0-8472dd375721', 'f9788129-ecad-44b6-ade0-fe4cb1e7efa0' ) AND v1 LIKE '%P-0054 ONE CENTRAL/03. QUAN LY THIET KE%';</t>
  </si>
  <si>
    <t>[PROD][QR247] Hỗ trợ cấu hình thông tin cụm merchant của Sài Gòn Coopmart_P3</t>
  </si>
  <si>
    <t>2026-06-24T18:18:12.732+0700</t>
  </si>
  <si>
    <t>2026-06-24T18:18:21.945+0700</t>
  </si>
  <si>
    <t>Hi team Nhờ anh/em chạy các script để cấu hình 28 merchant của Sài Gòn Coopmart tích hợp TPAY trên môi trường PROD. Thông tin database saas_tpay: mysql://pay-tidb.int.onemount.com:4000/saas_tpay INSERT INTO PARTNER (client_id, name, public_key, enable, merchant_code)
VALUES ('GnwEbKzlfJvqSPpVcUqQbZdlHlUfeYff', 'SGC XLHN', '-----BEGIN PUBLIC KEY-----
MIIBIjANBgkqhkiG9w0BAQEFAAOCAQ8AMIIBCgKCAQEAijT0z6i+jN59g0lIaXwC
ooh14Mf8M2N5W/BMnWj/88iQakOy1atfoqewCx/5WHzgBER+PYIW+gwrBXJgtUjv
M/ZdqhOQvVWdRavhFVvVUL5KSncsEJ4X4kr0gf6faoiFEfkCS/aMh4WAeKvn1uYf
ASUPIhOj6qN/XBesqxZu5L5QhGWMkpYe+ixGjzAwH5e0rBvS755pOxH/nPQEgft8
s8OGfic6rJTW1zmUZLQRsQBw+zde4qrc3EW2+2nDHMD+W3aty0GSbFOkNZf6xCg3
Pz/62nRcTIvE3BsO+lr4rbJg+VaETKO3RbXSotoGJsIPBvqWpdvgiuoc40Q5Dovm
XQIDAQAB
-----END PUBLIC KEY-----', 1, 'SGC_QBI');
INSERT INTO PARTNER (client_id, name, public_key, enable, merchant_code)
VALUES ('GnwEbKzlfJvqSPpVcUqQbZdlHlUfeYff', 'SGC XLHN', '-----BEGIN PUBLIC KEY-----
MIIBIjANBgkqhkiG9w0BAQEFAAOCAQ8AMIIBCgKCAQEAijT0z6i+jN59g0lIaXwC
ooh14Mf8M2N5W/BMnWj/88iQakOy1atfoqewCx/5WHzgBER+PYIW+gwrBXJgtUjv
M/ZdqhOQvVWdRavhFVvVUL5KSncsEJ4X4kr0gf6faoiFEfkCS/aMh4WAeKvn1uYf
ASUPIhOj6qN/XBesqxZu5L5QhGWMkpYe+ixGjzAwH5e0rBvS755pOxH/nPQEgft8
s8OGfic6rJTW1zmUZLQRsQBw+zde4qrc3EW2+2nDHMD+W3aty0GSbFOkNZf6xCg3
Pz/62nRcTIvE3BsO+lr4rbJg+VaETKO3RbXSotoGJsIPBvqWpdvgiuoc40Q5Dovm
XQIDAQAB
-----END PUBLIC KEY-----', 1, 'SGC_HTN');</t>
  </si>
  <si>
    <t>[ODS] [UPP] Xử lý xóa index nhằm giải phóng không gian lưu trữ, cải thiện hiệu năng cho hệ thống</t>
  </si>
  <si>
    <t>2026-06-24T18:11:38.240+0700</t>
  </si>
  <si>
    <t>2026-06-24T18:11:58.558+0700</t>
  </si>
  <si>
    <t>Dear anh/em team DBA, Sau khi review và cân nhắc, team đã tổng hợp các index có thể drop tại  Đây  theo các tiêu chí: Không sử dụng Ít sử dụng nhưng tốn nhiều dung lượng Dung lượng lớn nhưng hiệu quả thấp   Team CNSP sẽ phối hợp với team DBA thực hiện xóa index vào 23h ngày 23/6</t>
  </si>
  <si>
    <t xml:space="preserve">[DBA-DEV] Open cdc data from MAG FINS to DP </t>
  </si>
  <si>
    <t>2026-06-24T17:19:46.019+0700</t>
  </si>
  <si>
    <t>2026-07-06T11:17:39.226+0700</t>
  </si>
  <si>
    <t xml:space="preserve">Edit parameter: rds.log_repilcation = 1 to open CDC for postgresql. source: RDS DEV Fins  inf:  mag-common-sandbox-postgres.czqi8qus0dv0.ap-southeast-1.rds.amazonaws.com port: 5432 destination: DP </t>
  </si>
  <si>
    <t>2026-06-24T17:13:55.769+0700</t>
  </si>
  <si>
    <t>2026-06-24T17:27:19.890+0700</t>
  </si>
  <si>
    <t>2026-06-24T16:58:25.360+0700</t>
  </si>
  <si>
    <t>2026-06-24T16:58:32.709+0700</t>
  </si>
  <si>
    <t>Dear a  @Đào Công Nghĩa   Nhờ a chạy luôn giúp bên anh lệnh script clone attribute  voucher_accepted_merchants  từ channel TCBM → ONEU cho voucher  VD_VC_1781860002747 insert into vincart_mm_product.entity_attributes_values (attribute_id, value, name,
                                                             entity_id,
                                                             type, display_order, channel_code)
select attribute_id,
       value,
       name,
       entity_id,
       type,
       display_order,
       'ONEU'
from vincart_mm_product.entity_attributes_values
WHERE name = 'voucher_accepted_merchants' 
  and type = 'VARIANT'
  and entity_id = (select id from vincart_mm_product.variants where code = 'VD_VC_1781860002747');</t>
  </si>
  <si>
    <t>[OMC][GAMI][Prod] Hỗ trợ xuất data cho campaign World cup 2026 tuần 2</t>
  </si>
  <si>
    <t>2026-06-24T16:10:43.825+0700</t>
  </si>
  <si>
    <t>2026-06-24T16:22:46.844+0700</t>
  </si>
  <si>
    <t>Hỗ trợ xuất data cho campaign World cup 2026 trả thưởng tuần 2 Thưởng theo lịch sử phát sinh cộng/trừ xu theo tuần  created_at&gt;='2026-06-17 00:00:00' AND created_at&lt;'2026-06-24 00:00:00' Host: 172.31.1.14 DB: gami_collection_prod Query: SELECT user_id, SUM(amount) AS total FROM `point_transactions` WHERE campaign_id=1495 AND created_at&gt;='2026-06-17 00:00:00' AND created_at&lt;'2026-06-24 00:00:00' GROUP by user_id ORDER BY total DESC;</t>
  </si>
  <si>
    <t>2026-06-24T12:25:12.429+0700</t>
  </si>
  <si>
    <t>2026-06-24T12:32:39.830+0700</t>
  </si>
  <si>
    <t>Dear anh  @Đào Công Nghĩa  , Team em có nhu cầu cập nhật các bản ghi trên Posgresql, nhờ anh hỗ trợ chạy luôn giúp em ạ. DB: 172.31.3.49:5432 -   mtp_assets_management INSERT INTO public.mtp_assets_sms_template (id, name, type, category, brand_name, sender_name, content, master_code,
                                            status, created_at, updated_at, es, department, client_id, updated_by,
                                            approved_at, created_by, approved_by)
VALUES ('362ec561-9dee-4fec-89ab-a8a4d6a40580', 'Xem giá đề xuất căn hộ', 'Transaction', 'OTP', 'OneHousing',
        'OneHousing',
        'OneHousing xin chao, truy cap va tao tai khoan bang SDT tai {{link}} de xem ngay gia de xuat can {{ma_can}} cua ban.',
        'C230300616', 'APPROVED', DEFAULT, DEFAULT, 'OMRE', 'OMRE Tech', 62, null, '2026-06-09 12:58:22.000000',
        'phuong.pham4@onemount.com', 'phuong.pham4@onemount.com'),
       ('9109d3b4-97fe-49cf-9826-402ac7f27a81', 'Ký kết thành công hợp đồng mua bán', 'Transaction', 'Custom',
        'OneHousing', 'OneHousing',
        'Chuc mung Quy khach ky ket thanh cong HDMB căn {{property_code}} du an {{project_name}}. Quy khach luu y thuc hien thanh toan/giai ngan theo quy dinh HDMB. Hotline 1800646466(0d)',
        'C221100608', 'APPROVED', DEFAULT, DEFAULT, 'OMRE', 'OMRE Tech', 62, null, '2026-06-09 12:58:22.000000',
        'phuong.pham4@onemount.com', 'phuong.pham4@onemount.com'),
       ('bf12996b-8b2d-4844-ae65-4a3935af537a', 'Theo dõi yêu cầu hoàn tiền thiện chí', 'Transaction', 'Custom',
        'OneHousing', 'OneHousing',
        'Quy khach vui long truy cap {{link}} de theo doi thong tin yeu cau hoan coc {{request_code}}',
        'C221100608', 'APPROVED', DEFAULT, DEFAULT, 'OMRE', 'OMRE Tech', 62, null, '2026-06-09 12:58:22.000000',
        'phuong.pham4@onemount.com', 'phuong.pham4@onemount.com'),
       ('792d817c-6750-4a32-b62b-bdff13dde6a5', 'Ký thỏa thuận thiện chí', 'Transaction', 'Custom', 'OneHousing',
        'OneHousing', 'Quy khach vui long truy cap {{link}} de ky thoa thuan thien chi {{deposit_code}}', 'C220700601',
        'APPROVED', DEFAULT, DEFAULT, 'OMRE', 'OMRE Tech', 62, null, '2026-06-09 12:58:22.000000',
        'phuong.pham4@onemount.com', 'phuong.pham4@onemount.com'),
       ('0a67983b-f841-43c6-b986-6423ea52f574', 'Xem giá đề xuất căn nhà', 'Transaction', 'OTP', 'OneHousing',
        'OneHousing',
        'OneHousing xin chao, truy cap va tao tai khoan bang SDT tai  {{link}}   de xem ngay gia de xuat can nha cua ban.',
        'C230300616', 'APPROVED', DEFAULT, DEFAULT, 'OMRE', 'OMRE Tech', 62, null, '2026-06-09 12:58:22.000000',
        'phuong.pham4@onemount.com', 'phuong.pham4@onemount.com'),
       ('63fa5bca-89df-42f2-971f-1da57043406c', 'Theo dõi giao dịch mua bất động sản', 'Transaction', 'Custom',
        'OneHousing', 'OneHousing',
        'Quy khach vui long truy cap {{link}} de theo doi thong tin mua bat dong san {{request_code}}', 'C221100608',
        'APPROVED', DEFAULT, DEFAULT, 'OMRE', 'OMRE Tech', 62, null, '2026-06-09 12:58:22.000000',
        'phuong.pham4@onemount.com', 'phuong.pham4@onemount.com'),
       ('31e26e24-c02f-4d55-b897-0780a5558616', 'Theo dõi thỏa thuận thiện chí', 'Transaction', 'Custom', 'OneHousing',
        'OneHousing',
        'Quy khach vui long truy cap {{link}} de theo doi thong tin thoa thuan thien chi {{deposit_code}}',
        'C220700599', 'APPROVED', DEFAULT, DEFAULT, 'OMRE', 'OMRE Tech', 62, null, '2026-06-09 12:58:22.000000',
        'phuong.pham4@onemount.com', 'phuong.pham4@onemount.com'),
       ('a6c5709b-5c4a-47d9-b7c4-ec37b2573b71', 'Đặt cọc thành công', 'Transaction', 'Custom', 'OneHousing',
        'OneHousing',
        'Chuc mung Quy khach dat coc thanh cong can {{property_code}} du an {{project_name}}. Quy khach thuc hien thu tuc theo thong bao CDT de dam bao quyen loi. Hotline 1800646466 (0d)',
        'C221100608', 'APPROVED', DEFAULT, DEFAULT, 'OMRE', 'OMRE Tech', 62, null, '2026-06-09 12:58:22.000000',
        'phuong.pham4@onemount.com', 'phuong.pham4@onemount.com'),
       ('a7348ad4-a527-4574-b6e4-9808169d39fe', 'Nội dung động', 'Transaction', 'Custom', 'OneHousing', 'OneHousing',
        '{{content}}', 'C221000606', 'APPROVED', DEFAULT, DEFAULT, 'OMRE', 'OMRE Tech', 62, null,
        '2026-06-09 12:58:22.000000', 'phuong.pham4@onemount.com', 'phuong.pham4@onemount.com'),
       ('3794f63f-76f2-441b-9fc5-3aeec895da34', 'Nội dung động', 'Transaction', 'Custom', 'OneHousing', 'OneHousing',
        'Ma OTP cua quy khach tren OneHousing la {{otp}}. Khong cung cap ma nay cho bat ky ai. /EtAVa5GRcd',
        'C221000606', 'APPROVED', DEFAULT, DEFAULT, 'OMRE', 'OMRE Tech', 62, null,
        '2026-06-09 12:58:22.000000', 'phuong.pham4@onemount.com', 'phuong.pham4@onemount.com'),
       ('a353fef9-46be-4a31-88ca-2b02b6ad47c6', 'Nội dung động', 'Transaction', 'Custom', 'OneHousing', 'OneHousing',
        '{{content}}', 'C221000606', 'APPROVED', DEFAULT, DEFAULT, 'OMRE', 'OMRE Tech', 62, null,
        '2026-06-09 12:58:22.000000', 'phuong.pham4@onemount.com', 'phuong.pham4@onemount.com'),
       ('3f6e5ae3-849c-4677-abef-729c7c7f7473', 'Ký hợp đồng dịch vụ môi giới', 'Transaction', 'Custom', 'OneHousing',
        'OneHousing', 'Quy khach vui long truy cap {{link}} de ky hop dong dich vu moi gioi {{reference number}}',
        'C230300616', 'APPROVED', DEFAULT, DEFAULT, 'OMRE', 'OMRE Tech', 62, null, '2026-06-09 12:58:22.000000',
        'phuong.pham4@onemount.com', 'phuong.pham4@onemount.com'),
       ('9120ae85-35e0-4ec5-8643-6e68a5ca3085', 'Ký thành công hợp đồng môi giới', 'Transaction', 'Custom',
        'OneHousing', 'OneHousing',
        'Quy khach da ky thanh cong hop dong dich vu moi gioi so {{contract_number}}. Quy khach vui long truy cap {{link}} de theo doi thong tin. Hotline 1800646466(0d).',
        'C241000625', 'APPROVED', DEFAULT, DEFAULT, 'OMRE', 'OMRE Tech', 62, null, '2026-06-09 12:58:22.000000',
        'phuong.pham4@onemount.com', 'phuong.pham4@onemount.com'),
       ('1dd39f7e-8095-45d5-8036-8d8dfc3e594d', 'Theo dõi mua bất động sản', 'Transaction', 'Custom', 'OneHousing',
        'OneHousing', 'Quy khach vui long truy cap {{link}} de theo doi thong tin mua bat dong san {{product_name}}',
        'C220700601', 'APPROVED', DEFAULT, DEFAULT, 'OMRE', 'OMRE Tech', 62, null, '2026-06-09 12:58:22.000000',
        'phuong.pham4@onemount.com', 'phuong.pham4@onemount.com'),
       ('dd6ac8fe-c979-4cc3-b085-5cfe2f7bcd4d', 'Đăng ký chuyển nhượng', 'Transaction', 'Custom', 'OneHousing',
        'OneHousing',
        'Dang ky chuyen nhuong {{Code}} cua Quy khach da duoc ghi nhan. OneHousing se lien he xac thuc thong tin trong 24 gio. Hotline 1800646466 (0d) .',
        'C221200611', 'APPROVED', DEFAULT, DEFAULT, 'OMRE', 'OMRE Tech', 62, null, '2026-06-09 12:58:22.000000',
        'phuong.pham4@onemount.com', 'phuong.pham4@onemount.com'),
       ('eab50a9b-e233-4d5c-900b-b41c65ec09af', 'Kết thúc giao dịch và đánh giá dịch vụ', 'Transaction', 'Custom',
        'OneHousing', 'OneHousing',
        'Rat tiec, giao dich {{Code}} cua Quy khach da ket thuc. Phan hoi chat luong dich vu tai https://s.onehousing.vn/fal de duoc ho tro. Hotline 1800646466 (0d) .',
        'C221200611', 'APPROVED', DEFAULT, DEFAULT, 'OMRE', 'OMRE Tech', 62, null, '2026-06-09 12:58:22.000000',
        'phuong.pham4@onemount.com', 'phuong.pham4@onemount.com'),
       ('b010d0fe-3b11-4991-9631-b9b9525e73eb', 'Căn hộ được phê duyệt', 'Transaction', 'Custom', 'OneHousing',
        'OneHousing',
        'Can ho {{Code}} cua Quy khach da duoc OneHousing phe duyet. De lai danh gia cua ban tai: https://s.onehousing.vn/scss .',
        'C221200611', 'APPROVED', DEFAULT, DEFAULT, 'OMRE', 'OMRE Tech', 62, null, '2026-06-09 12:58:22.000000',
        'phuong.pham4@onemount.com', 'phuong.pham4@onemount.com'),
       ('a31feb2c-4a61-4ad4-8025-152768117c74', 'Xác nhận chia sẻ dữ liệu cá nhân', 'Transaction', 'Custom',
        'VinID.net', 'VinID.net',
        'Quy khach vui long truy cap: {{link}} (co hieu luc trong 2 tieng) de xac nhan viec chia se va xu ly du lieu ca nhan cua minh boi OneHousing. Xin tran trong cam on.',
        'C230300616', 'APPROVED', DEFAULT, DEFAULT, 'OMRE', 'OMRE Tech', 62, null, '2026-06-09 12:58:22.000000',
        'phuong.pham4@onemount.com', 'phuong.pham4@onemount.com');
INSERT INTO public.mtp_assets_sms_template (id, name, type, category, brand_name, sender_name, content, master_code,
                                            status, es, department, client_id, updated_by,
                                            approved_at, created_by, approved_by)
VALUES ('799d6538-00c4-4ce7-9389-4f03e766bc93', 'Mật khẩu đơn hàng GiftCode',
        'Transaction', 'Custom', 'VINID.net', 'VINID.net',
        'CTCP OMC kinh gui Quy khach password don hang GiftCode so {{GC_BATCH_SO}}: {{GC_TRANS_PWD}}. Quy khach vui long bao mat thong tin nay. Tran trong cam on!',
        'C220500580', 'APPROVED', 'OMC', 'OMC Loyalty', 12,
        'phuong.pham4@onemount.com', '2026-06-09 18:11:01', 'phuong.pham4@onemount.com', 'phuong.pham4@onemount.com'),
       ('be80466e-aa4f-4d69-8498-6006b448f584', 'Thông báo điểm sắp hết hạn',
        'Transaction', 'Custom', 'VINID.net', 'VINID.net',
        'Ban co {{total_point}} diem HET HAN vao {{date_expire}}. Tu {{date_expire}}, VinID se gui thong bao qua app OneU. Su dung diem truoc han ngay! Tai app: {{link_download}}. LH {{hotline}}.',
        'C220800603', 'APPROVED', 'OMC', 'OMC Loyalty', 12,
        'phuong.pham4@onemount.com', '2026-06-09 18:11:02', 'phuong.pham4@onemount.com', 'phuong.pham4@onemount.com'),
       ('6535d0cf-f42e-4364-878c-bdd2e1f7497b', 'SMS nội dung tùy biến',
        'Transaction', 'Custom', 'VINID.net', 'VINID.net',
        '{{content}}', 'C220700598', 'APPROVED', 'OMC', 'OMC Loyalty', 12,
        'phuong.pham4@onemount.com', '2026-06-09 18:11:04', 'phuong.pham4@onemount.com', 'phuong.pham4@onemount.com'); Thanks anh, Thành An.</t>
  </si>
  <si>
    <t>2026-06-24T09:44:33.574+0700</t>
  </si>
  <si>
    <t>2026-06-24T10:19:25.589+0700</t>
  </si>
  <si>
    <t>[OutSystems] Hỗ trợ xoá record của bảng OSUSR_f1t_AccessToken</t>
  </si>
  <si>
    <t>2026-06-23T22:28:49.714+0700</t>
  </si>
  <si>
    <t>2026-06-23T22:29:04.627+0700</t>
  </si>
  <si>
    <t>Nhờ DBA xoá giúp e các record của bảng OSUSR_f1t_AccessToken có ExpiryDateTime lâu hơn 7 ngày so với hiện tại</t>
  </si>
  <si>
    <t>2026-06-23T17:03:55.995+0700</t>
  </si>
  <si>
    <t>2026-06-23T17:04:03.183+0700</t>
  </si>
  <si>
    <t>Hi team DBA, Dự án Masterise Sales Platform có sử dụng Camunda làm BPM engine phục vụ cho các luồng xử lý nghiệp vụ của hệ thống,  sẽ cần cung cấp 1 database để phục vụ cho service này, nhờ team hỗ trợ tạo giúp team database với các thông tin như sau. Database type: PostgreSQL (Instance đã có được tạo theo thông tin ticket   ) Thông tin db: 3 db tương ứng với các môi trường mag_sales_platform_bpm_dev mag_sales_platform_bpm_qc mag_sales_platform_bpm_uat Thông tin tài khoản được tạo vui lòng gửi vào mail cho  khoi.nguyen3@onemount.com  và  hoa.le8@onemount.com  ạ Thông tin SAD dự án:  Em cám ơn ạ.</t>
  </si>
  <si>
    <t>2026-06-23T16:42:40.256+0700</t>
  </si>
  <si>
    <t>2026-06-23T16:42:45.401+0700</t>
  </si>
  <si>
    <t>Dear team, Loyalty có nhu cầu read data Mysql (Gami) trên production phục vụ việc trace bug, vì vậy nhờ team cấp account để loyalty có thể connect vào ạ. Thông tin DB:  IP: 172.31.4.75 Em xin cảm ơn.</t>
  </si>
  <si>
    <t>[HealthOS][Nonprod] Tạo memstore cho dự án HealthOS cuả OMC x IVIE</t>
  </si>
  <si>
    <t>2026-06-23T16:38:51.420+0700</t>
  </si>
  <si>
    <t>2026-06-23T16:39:02.350+0700</t>
  </si>
  <si>
    <t>memstore</t>
  </si>
  <si>
    <t>Dear các anh, Dự án mơí cần dựng 1 con redis memstore ở nonprod. GCP Project: omc-healthos-np, link:  https://console.cloud.google.com/kubernetes/overview/get-started?project=omc-healthos-np&amp;pli=1 Region: Cùng region với GKE / Cloud SQL Capacity SIT/UAT: 1-2GB</t>
  </si>
  <si>
    <t>[OneNexus][Keycloak][PROD] Hỗ trợ tạo RDS cho Keycloak</t>
  </si>
  <si>
    <t>2026-06-23T16:37:39.719+0700</t>
  </si>
  <si>
    <t>2026-06-23T16:37:56.956+0700</t>
  </si>
  <si>
    <t>Dear a/e Nhờ a/e hỗ trợ tạo giúp em database cho hệ thống Keycloak Production với thông tin như sau: username:  om-keycloak Database:  om-keycloak Account:  om-system-platform-prod Hostname:  om-keycloak-prod-postgres</t>
  </si>
  <si>
    <t>[OMD][MySQL]Truy vấn dữ liệu DB PROD LitePOS</t>
  </si>
  <si>
    <t>2026-06-22T18:06:12.473+0700</t>
  </si>
  <si>
    <t>2026-06-22T18:09:06.440+0700</t>
  </si>
  <si>
    <t>Nhờ anh truy xuất dữ liệu giúp VH theo thông tin sau ạ gcp project: omd-pos-prod
instance: omd-pos-commerce (IP: 172.31.1.6)
DB: litepos_pcm_prod Query select p.name as ten_san_pham, p.costPrice as gia_nhap, p.finalPrice as gia_ban, st.available as ton_kho FROM Stock as st JOIN Offer as p ON st.offer_id = p.id WHERE st.merchantCode = 'MCL0LFKQG1KWC' e cảm ơn</t>
  </si>
  <si>
    <t>[OMD][MySQL]Xin cấp account truy cập DB MySQL PROD dự án LitePOS</t>
  </si>
  <si>
    <t>2026-06-22T17:30:16.109+0700</t>
  </si>
  <si>
    <t>2026-06-22T17:36:10.981+0700</t>
  </si>
  <si>
    <t>Để phục vụ truy xuất dữ liệu cho VH trước khi shutdown dự án, nhờ các sếp cấp cho em account ready only truy xuất dữ liệu các DB sau thông qua VM ạ gcp project: omd-pos-prod
instance: omd-pos-commerce (IP: 172.31.1.6)
DB: litepos_oms_prod
DB: litepos_pcm_prod
DB: litepos_user_prod em cảm ơn</t>
  </si>
  <si>
    <t>[PROD][UPAY][BO] Support xuất data Accounting Detail VMM</t>
  </si>
  <si>
    <t>2026-06-22T17:18:51.993+0700</t>
  </si>
  <si>
    <t>2026-06-22T17:19:04.080+0700</t>
  </si>
  <si>
    <t>Hi a   @Đào Công Nghĩa  , nhờ a chạy giúp e script bên dưới với ạ. Xuất file csv giúp em 4 ngày sau: 7,11,12,20 /6  để hỗ trợ kế toán đối soát ạ Thông tin database:  172.31.1.133:3306/bo -- 7/6/2026
WITH SAP_SUM AS (
    SELECT
        ss.SERVICE_ID,
        ss.ACT_SUM_ID,
        LISTAGG(ss.REFERENCE, ',') AS REFERENCE
    FROM SAP_TRANS_SUM ss
    WHERE ss.SERVICE_ID = 'VN0010010'
      AND ss.REFERENCE &lt;&gt; ''
      AND ss.DEAL_NO IS NULL
      AND ss.TRANSACTION_DATE &gt;= TIMESTAMP '2026-06-07 00:00:00'
      AND ss.TRANSACTION_DATE &lt;  TIMESTAMP '2026-06-08 00:00:00'
    GROUP BY ss.SERVICE_ID, ss.ACT_SUM_ID
)
SELECT
    std.*,
    sts.REFERENCE
FROM SAP_TRANS_DETAIL std
LEFT JOIN SAP_SUM sts
    ON std.ACT_SUM_ID = sts.ACT_SUM_ID
   AND std.SERVICE_ID = sts.SERVICE_ID
WHERE std.COMPANY_ID = 'VN0010002'
  AND std.DOMAIN_ID = 'VN0010006'
  AND std.SERVICE_ID = 'VN0010010'
  AND std.TRANS_BUS_GROUP = 'PAYMENTS'
  AND std.TRANSACTION_DATE &gt;= TIMESTAMP '2026-06-07 00:00:00'
  AND std.TRANSACTION_DATE &lt;  TIMESTAMP '2026-06-08 00:00:00'
ORDER BY
    std.TRANSACTION_HEADER_ID ASC,
    CASE
        WHEN std.POSTING_KEY IN ('50', '31', '11', '75', '91') THEN 1
        WHEN std.POSTING_KEY IN ('40', '21', '01', '70', '81') THEN 2
        ELSE 3
    END,
    std.TRANS_LINE_ID ASC,
    std.ID ASC;
-- 11/6/2026
    WITH SAP_SUM AS (
    SELECT
        ss.SERVICE_ID,
        ss.ACT_SUM_ID,
        LISTAGG(ss.REFERENCE, ',') AS REFERENCE
    FROM SAP_TRANS_SUM ss
    WHERE ss.SERVICE_ID = 'VN0010010'
      AND ss.REFERENCE &lt;&gt; ''
      AND ss.DEAL_NO IS NULL
      AND ss.TRANSACTION_DATE &gt;= TIMESTAMP '2026-06-11 00:00:00'
      AND ss.TRANSACTION_DATE &lt;  TIMESTAMP '2026-06-12 00:00:00'
    GROUP BY ss.SERVICE_ID, ss.ACT_SUM_ID
)
SELECT
    std.*,
    sts.REFERENCE
FROM SAP_TRANS_DETAIL std
LEFT JOIN SAP_SUM sts
    ON std.ACT_SUM_ID = sts.ACT_SUM_ID
   AND std.SERVICE_ID = sts.SERVICE_ID
WHERE std.COMPANY_ID = 'VN0010002'
  AND std.DOMAIN_ID = 'VN0010006'
  AND std.SERVICE_ID = 'VN0010010'
  AND std.TRANS_BUS_GROUP = 'PAYMENTS'
  AND std.TRANSACTION_DATE &gt;= TIMESTAMP '2026-06-11 00:00:00'
  AND std.TRANSACTION_DATE &lt;  TIMESTAMP '2026-06-12 00:00:00'
ORDER BY
    std.TRANSACTION_HEADER_ID ASC,
    CASE
        WHEN std.POSTING_KEY IN ('50', '31', '11', '75', '91') THEN 1
        WHEN std.POSTING_KEY IN ('40', '21', '01', '70', '81') THEN 2
        ELSE 3
    END,
    std.TRANS_LINE_ID ASC,
    std.ID ASC;
-- 12/6/2026
WITH SAP_SUM AS (
    SELECT
        ss.SERVICE_ID,
        ss.ACT_SUM_ID,
        LISTAGG(ss.REFERENCE, ',') AS REFERENCE
    FROM SAP_TRANS_SUM ss
    WHERE ss.SERVICE_ID = 'VN0010010'
      AND ss.REFERENCE &lt;&gt; ''
      AND ss.DEAL_NO IS NULL
      AND ss.TRANSACTION_DATE &gt;= TIMESTAMP '2026-06-12 00:00:00'
      AND ss.TRANSACTION_DATE &lt;  TIMESTAMP '2026-06-13 00:00:00'
    GROUP BY ss.SERVICE_ID, ss.ACT_SUM_ID
)
SELECT
    std.*,
    sts.REFERENCE
FROM SAP_TRANS_DETAIL std
LEFT JOIN SAP_SUM sts
    ON std.ACT_SUM_ID = sts.ACT_SUM_ID
   AND std.SERVICE_ID = sts.SERVICE_ID
WHERE std.COMPANY_ID = 'VN0010002'
  AND std.DOMAIN_ID = 'VN0010006'
  AND std.SERVICE_ID = 'VN0010010'
  AND std.TRANS_BUS_GROUP = 'PAYMENTS'
  AND std.TRANSACTION_DATE &gt;= TIMESTAMP '2026-06-12 00:00:00'
  AND std.TRANSACTION_DATE &lt;  TIMESTAMP '2026-06-13 00:00:00'
ORDER BY
    std.TRANSACTION_HEADER_ID ASC,
    CASE
        WHEN std.POSTING_KEY IN ('50', '31', '11', '75', '91') THEN 1
        WHEN std.POSTING_KEY IN ('40', '21', '01', '70', '81') THEN 2
        ELSE 3
    END,
    std.TRANS_LINE_ID ASC,
    std.ID ASC;
-- 20/6/2026
WITH SAP_SUM AS (
    SELECT
        ss.SERVICE_ID,
        ss.ACT_SUM_ID,
        LISTAGG(ss.REFERENCE, ',') AS REFERENCE
    FROM SAP_TRANS_SUM ss
    WHERE ss.SERVICE_ID = 'VN0010010'
      AND ss.REFERENCE &lt;&gt; ''
      AND ss.DEAL_NO IS NULL
      AND ss.TRANSACTION_DATE &gt;= TIMESTAMP '2026-06-20 00:00:00'
      AND ss.TRANSACTION_DATE &lt;  TIMESTAMP '2026-06-21 00:00:00'
    GROUP BY ss.SERVICE_ID, ss.ACT_SUM_ID
)
SELECT
    std.*,
    sts.REFERENCE
FROM SAP_TRANS_DETAIL std
LEFT JOIN SAP_SUM sts
    ON std.ACT_SUM_ID = sts.ACT_SUM_ID
   AND std.SERVICE_ID = sts.SERVICE_ID
WHERE std.COMPANY_ID = 'VN0010002'
  AND std.DOMAIN_ID = 'VN0010006'
  AND std.SERVICE_ID = 'VN0010010'
  AND std.TRANS_BUS_GROUP = 'PAYMENTS'
  AND std.TRANSACTION_DATE &gt;= TIMESTAMP '2026-06-20 00:00:00'
  AND std.TRANSACTION_DATE &lt;  TIMESTAMP '2026-06-21 00:00:00'
ORDER BY
    std.TRANSACTION_HEADER_ID ASC,
    CASE
        WHEN std.POSTING_KEY IN ('50', '31', '11', '75', '91') THEN 1
        WHEN std.POSTING_KEY IN ('40', '21', '01', '70', '81') THEN 2
        ELSE 3
    END,
    std.TRANS_LINE_ID ASC,
    std.ID ASC;</t>
  </si>
  <si>
    <t xml:space="preserve"> [PROD] [VCM] Update tên merchant accepted cho voucher</t>
  </si>
  <si>
    <t>2026-06-22T15:34:31.397+0700</t>
  </si>
  <si>
    <t>2026-06-22T15:34:37.905+0700</t>
  </si>
  <si>
    <t>Dear DBA team, Nhờ team hỗ  trợ chạy giúp script: Yêu cầu:  https://chat.google.com/room/AAQAtRBds7U/W4JYTeTmaIM/8jIa50kb3Aw?cls=10 Thông tin DB: IP: 172.31.1.41
Database: vincart_mm_product Lệnh update: UPDATE entity_attributes_values
SET value = replace(value, '"merchant_name":"YEN COFFEE N MORE"', '"merchant_name":"YEN COFFEE"')
WHERE name = 'voucher_accepted_merchants'
  and entity_id in (1065272, 1066721)
  and type = 'VARIANT';</t>
  </si>
  <si>
    <t>2026-06-22T11:34:26.949+0700</t>
  </si>
  <si>
    <t>2026-06-22T11:53:01.726+0700</t>
  </si>
  <si>
    <t>RELEASE 22/06 Nhờ a  @Đào Công Nghĩa  chạy script Database hỗ trợ releaes ngày 22/06 theo file đính kèm sau. Details: DB instance:  gb-prod-postgres.cpak8g4gc50r.ap-southeast-1.rds.amazonaws.com Type: Postgres</t>
  </si>
  <si>
    <t>[OMD][Account][Prod] Tạo tài khoản ingest dữ liệu nguồn MHPOS FISCAL (MONGO) phục vụ dự án MERCHANT HUB</t>
  </si>
  <si>
    <t>2026-06-22T10:24:18.135+0700</t>
  </si>
  <si>
    <t>2026-06-22T10:24:36.731+0700</t>
  </si>
  <si>
    <t>DP, OMD</t>
  </si>
  <si>
    <t>Hiện tại OMD đang có nhu cầu kéo dữ liệu database chi tiết như bên dưới, nhờ anh Linh tạo Account Ingest ở môi trường PROD giúp team để kéo data về DP. User:  dataplatform_ingestion Permission: read all tables on database IP/PORT Database omd-mhpos-prod.8j11t.mongodb.net :27017 mhpos_fiscal_prod</t>
  </si>
  <si>
    <t>[OneNexus][TCB OPS][Prod] cấp database và user cho môi trường prod của dự án TCB Ops</t>
  </si>
  <si>
    <t>2026-06-22T10:03:48.442+0700</t>
  </si>
  <si>
    <t>2026-06-22T10:05:46.694+0700</t>
  </si>
  <si>
    <t>DBA cấp database và user cho môi trường prod của dự án TCB Ops cấp trên instance:  https://console.cloud.google.com/sql/instances/tcb-ops-prod-postgres/overview?project=onenexus-tcb-ops-prod</t>
  </si>
  <si>
    <t>[Prod][OMC][Gami] Hỗ trợ Select data lấy số lượng user đang chờ nhận quà.</t>
  </si>
  <si>
    <t>2026-06-19T16:55:39.934+0700</t>
  </si>
  <si>
    <t>2026-06-19T16:56:00.227+0700</t>
  </si>
  <si>
    <t>Nhờ team chạy giúp em 3 câu query trên production lấy kết quả ạ, tcb muốn lấy số user đang chờ phát quà. Host: 172.31.4.75 Db: promo_quest select count(distinct campaign_progress.user_id) from campaign_progress 
where campaign_id = 115 and is_finish = 1 and received_reward = 0 and length(phrase_id)&gt;1; select count(distinct campaign_progress.user_id) from campaign_progress 
where campaign_id = 116 and is_finish = 1 and received_reward = 0 and length(phrase_id)&gt;1; select count(distinct campaign_progress.user_id) from campaign_progress 
where campaign_id = 117 and is_finish = 1 and received_reward = 0 and length(phrase_id)&gt;1;</t>
  </si>
  <si>
    <t>[NDP] Cấp quyền kết nối FINS Platform non-prod (QC/UAT) cho Nexus Data Platform</t>
  </si>
  <si>
    <t>2026-06-19T16:37:56.771+0700</t>
  </si>
  <si>
    <t>2026-06-19T16:38:05.691+0700</t>
  </si>
  <si>
    <t>Database information: FINS Platform — PostgreSQL 18.1, môi trường non-prod, deploy trên RDS AWS Time Run ticket: 1 week Mô tả chi tiết yêu cầu:  Mục đích: NDP cần đọc dữ liệu FINS Platform non-prod để khảo sát schema, profiling và lấy sample phục vụ thiết kế pipeline cho NDP. Yêu cầu cụ thể: Tạo read-only user cho Nexus trên FINS non-prod. Mở kết nối mạng từ Nexus tới instance (host:port), kèm source IP/range của Nexus. Cấp quyền tạo logical replication slot + publication.</t>
  </si>
  <si>
    <t>[HealthOS][Nonprod] Tạo database postgres 16 cho dự án HealthOS cuả OMC x IVIE</t>
  </si>
  <si>
    <t>2026-06-19T12:38:15.561+0700</t>
  </si>
  <si>
    <t>2026-06-19T17:07:08.852+0700</t>
  </si>
  <si>
    <t>Single PostgreSQL 16 pgcrypto cho gen_random_uuid() do đó cần cài extension  CREATE EXTENSION IF NOT EXISTS pgcrypto;  cho postgre 16 Có Debezium đọc WAL nên BẮT BUỘC cần bật logical replication (wal_level=logical) + replication slot cho Debezium CDC Tạo database cho môi trương nonprod hssk_qc hssk_uat SAD:    GCP Project: omc-healthos-np, link  https://console.cloud.google.com/kubernetes/overview/get-started?project=omc-healthos-np</t>
  </si>
  <si>
    <t>[OMC][MTP] Clear dữ liệu tracking tháng W1-05/2026</t>
  </si>
  <si>
    <t>2026-06-19T12:29:42.450+0700</t>
  </si>
  <si>
    <t>2026-06-19T12:29:50.285+0700</t>
  </si>
  <si>
    <t xml:space="preserve">Dear anh  @Nguyễn Văn Dũng  , nhờ anh chạy giúp em script sau: -- OMC
use omc_mtp_tracking_events;
ALTER TABLE omc_mtp_tracking_events.mtp_tracking_events_omc  DROP INDEX idx_u_message_id;
ALTER TABLE omc_mtp_tracking_events.mtp_tracking_events_omc DROP PARTITION p20260501;
-- ALTER TABLE omc_mtp_tracking_events.mtp_tracking_events_omc DROP PARTITION p20260402;
ALTER TABLE omc_mtp_tracking_events.mtp_tracking_events_context_omc DROP PARTITION p20260501;
-- ALTER TABLE omc_mtp_tracking_events.mtp_tracking_events_context_omc DROP PARTITION p20260402;
ALTER TABLE omc_mtp_tracking_events.mtp_tracking_event_sessions DROP PARTITION p2026_05;
use omc_mtp_martech_activation;
ALTER TABLE omc_mtp_martech_activation.mtp_ads_events DROP PARTITION p2026_05;
ALTER TABLE omc_mtp_martech_activation.mtp_push_events DROP PARTITION p2026_05;
ALTER TABLE omc_mtp_martech_activation.mtp_tracking_email_events DROP PARTITION p2026_05;
ALTER TABLE omc_mtp_martech_activation.mtp_tracking_email_notifications DROP PARTITION p2026_05;
ALTER TABLE omc_mtp_martech_activation.mtp_tracking_fcm_messages DROP PARTITION p2026_05;
ALTER TABLE omc_mtp_martech_activation.mtp_tracking_push_notifications DROP PARTITION p2026_05;
-- OMRE
use omre_mtp_tracking_events;
ALTER TABLE omre_mtp_tracking_events.mtp_tracking_events_omre  DROP INDEX idx_u_message_id;
ALTER TABLE omre_mtp_tracking_events.mtp_tracking_events_omre drop partition p20260501;
-- ALTER TABLE omre_mtp_tracking_events.mtp_tracking_events_omre drop partition p20260402;
ALTER TABLE omre_mtp_tracking_events.mtp_tracking_events_context_omre DROP PARTITION p20260501;
-- ALTER TABLE omre_mtp_tracking_events.mtp_tracking_events_context_omre DROP PARTITION p20260402;
-- create global index
use omc_mtp_tracking_events;
ALTER TABLE omc_mtp_tracking_events.mtp_tracking_events_omc ADD UNIQUE INDEX idx_u_message_id (message_id) GLOBAL;
use omre_mtp_tracking_events;
ALTER TABLE omre_mtp_tracking_events.mtp_tracking_events_omre ADD UNIQUE INDEX idx_u_message_id (message_id) GLOBAL; CR:   </t>
  </si>
  <si>
    <t>[UPAY] [GL] Update master data  bảng general_ledger_data_list bổ sung thêm các reason code</t>
  </si>
  <si>
    <t>2026-06-19T12:02:18.762+0700</t>
  </si>
  <si>
    <t>2026-06-19T12:02:27.976+0700</t>
  </si>
  <si>
    <t>Hi các anh, Hiện tại phía TCB có nhờ em bổ sung thêm các mã reason code, e có tạo script nhờ các anh chạy giúp em với ạ. Em gửi thông tin DB :  tidb.int.onemount.com:4000/vinpay_vinpay_prod_saas_ps2_general_ledger Thanks mn, INSERT INTO general_ledger_data_list (`service`, data_key, data_value, data_name, created_by, created_at) VALUES ('general_ledger', 'adj_txn_reason_code', 'ADJ_116', 'Trả điểm thưởng chương trình khuyến mại Lộc Vàng An Khang 2026', 'system', NOW());
INSERT INTO general_ledger_data_list (`service`, data_key, data_value, data_name, created_by, created_at) VALUES ('general_ledger', 'adj_txn_reason_code', 'ADJ_117', 'Trả điểm thưởng chương trình khuyến mại An tâm toàn diện 2026', 'system', NOW());
INSERT INTO general_ledger_data_list (`service`, data_key, data_value, data_name, created_by, created_at) VALUES ('general_ledger', 'adj_txn_reason_code', 'ADJ_118', 'Trả điểm thưởng chương trình khuyến mại cho CBNV của TCB', 'system', NOW());
INSERT INTO general_ledger_data_list (`service`, data_key, data_value, data_name, created_by, created_at) VALUES ('general_ledger', 'adj_txn_reason_code', 'ADJ_119', 'Trả điểm thưởng chương trình khuyến mại cho khách hàng tái tục bảo hiểm', 'system', NOW());
INSERT INTO general_ledger_data_list (`service`, data_key, data_value, data_name, created_by, created_at) VALUES ('general_ledger', 'adj_txn_reason_code', 'ADJ_120', 'Điểm thưởng chương trình “Đặc quyền chi tiêu-Xứng tầm vị thế"', 'system', NOW());
INSERT INTO general_ledger_data_list (`service`, data_key, data_value, data_name, created_by, created_at) VALUES ('general_ledger', 'adj_txn_reason_code', 'ADJ_121', 'Điểm thưởng chương trình “Đặc quyền chi tiêu-Xứng tầm vị thế"', 'system', NOW());
INSERT INTO general_ledger_data_list (`service`, data_key, data_value, data_name, created_by, created_at) VALUES ('general_ledger', 'adj_txn_reason_code', 'ADJ_122', 'Điểm thưởng chương trình “Đặc quyền chi tiêu-Xứng tầm vị thế"', 'system', NOW());
INSERT INTO general_ledger_data_list (`service`, data_key, data_value, data_name, created_by, created_at) VALUES ('general_ledger', 'adj_txn_reason_code', 'ADJ_123', 'Điểm thưởng chương trình “Đặc quyền chi tiêu-Xứng tầm vị thế"', 'system', NOW());</t>
  </si>
  <si>
    <t>[Tpay] [PROD] Hỗ trợ update thông tin thiết bị (TCB_DEVICE)</t>
  </si>
  <si>
    <t>2026-06-19T11:33:57.438+0700</t>
  </si>
  <si>
    <t>2026-06-19T11:34:14.918+0700</t>
  </si>
  <si>
    <t>Dear team DBA. Team Pay có thực hiện update thông tin thiết bị (bảng TCB_DEVICE). Nhờ team DBA hỗ trợ với thông tin cụ thể như sau: Thông tin database jdbc:mysql://pay-tidb.int.onemount.com:4000/saas_tpay script UPDATE TCB_DEVICE SET PHYSICAL_STATUS = 'RETURNED' WHERE device_serial_number = 'SDLTCBY66A1223240070';
UPDATE TCB_DEVICE SET PHYSICAL_STATUS = 'IMPORTED' WHERE device_serial_number = 'SDLTCBY66A1223242076';
UPDATE TCB_DEVICE SET device_serial_number = 'Y66w01032624430' WHERE device_id = 'SB_RLINK_Y66W_Y66W01032624430';
UPDATE TCB_DEVICE SET device_serial_number = 'y66w08122520316' WHERE device_id = 'SB_RLINK_Y66W_Y66W08122520316';</t>
  </si>
  <si>
    <t>[DBA-SAPBASIS] Workplan triển khai new SAP PIPO HA</t>
  </si>
  <si>
    <t>2026-06-19T11:07:24.908+0700</t>
  </si>
  <si>
    <t>2026-06-19T11:15:46.114+0700</t>
  </si>
  <si>
    <t xml:space="preserve"> </t>
  </si>
  <si>
    <t>[DBA-SAPBASIS] Confluence set Chrome default cho Web Service SAP</t>
  </si>
  <si>
    <t>2026-06-19T11:00:44.175+0700</t>
  </si>
  <si>
    <t>2026-06-19T11:07:31.535+0700</t>
  </si>
  <si>
    <t xml:space="preserve">Confluence set Chrome default cho Web Service SAP:   </t>
  </si>
  <si>
    <t>[DBA-SAPBASIS] Cài đặt SAP và test clone HW key trên GCP PlayGround</t>
  </si>
  <si>
    <t>2026-06-19T10:58:46.838+0700</t>
  </si>
  <si>
    <t>2026-06-19T10:58:47.377+0700</t>
  </si>
  <si>
    <t>Cài đặt SAP và test clone HW key trên GCP PlayGround</t>
  </si>
  <si>
    <t>[DBA-SAPBASIS] Kế hoạch triển khai test clone SAP OM cho MAG MPM</t>
  </si>
  <si>
    <t>2026-06-19T10:54:59.702+0700</t>
  </si>
  <si>
    <t>2026-06-19T10:55:00.225+0700</t>
  </si>
  <si>
    <t xml:space="preserve">Workplan triển khai test clone SAP OM cho MAG MPM  </t>
  </si>
  <si>
    <t>[DBA-SAPBASIS] Báo cáo tổng thể hiệu năng SAP OM PRD trước&amp;sau khi nâng cấp</t>
  </si>
  <si>
    <t>2026-06-19T10:51:08.229+0700</t>
  </si>
  <si>
    <t>2026-06-19T10:51:08.775+0700</t>
  </si>
  <si>
    <t xml:space="preserve">Confluence:   </t>
  </si>
  <si>
    <t>[DBA-SAPBASIS] Xử lý lỗi peak CPU SAP HCM daily</t>
  </si>
  <si>
    <t>2026-06-19T10:46:32.489+0700</t>
  </si>
  <si>
    <t>2026-06-19T10:46:32.961+0700</t>
  </si>
  <si>
    <t>Hiện trạng:  Hệ thống SAP HCM peak CPU daily từ khoảng 00:45 - 00:55 Nguyên nhân:  Kiểm tra batch job daily HCM thấy có 2 job 'ZHR240D_2026' double, same start time. So thời gian end job với log time trên gcp console, splunk alert -5p khớp. Duplicate job start cùng thời điểm dẫn tới peak CPU khi cùng một hành động tác động xuống table DB. Giải pháp:  Delete duplicate job Kết quả sau khi nâng cấp:  hệ thống không còn peak CPU tại thời điểm đó</t>
  </si>
  <si>
    <t>[DBA-SAPBASIS] Xử lý lỗi memory statement limit gây high load mem SAP HCM</t>
  </si>
  <si>
    <t>2026-06-19T10:42:30.996+0700</t>
  </si>
  <si>
    <t>2026-06-19T10:42:31.635+0700</t>
  </si>
  <si>
    <t>Xử lý lỗi memory statement limit gây high load mem SAP HCM Hiện trạng:  Alert High load resource SAP ERP Nguyên nhân:  Log warning OOM, một số process cần nhiều resource chạy tại thời điểm đó Tuy nhiên nguyên nhân do Statement memory limit, các process xin cấp phát thêm mem nhưng bị limit nên warining OOM. Top "limited composite allocator" allocators (component, name, size). Ordered descending by exclusive_size_in_use.  1: Statement Execution &amp; Intermediate Results: Connection/225582/Statement/968867313074030/IMPLICIT                                  48gb (51539814232b)  2: System:                                     Connection/225582/Statement/968867313074030/Pool/RowEngine/QueryExecution/SearchAlloc 12.84kb (13152b)  3: Statement Execution &amp; Intermediate Results: Connection/225582/Statement/968867313074030                                           192b    (limit=50gb, limitSumAllocated=48gb) Top "limited composite allocator" allocators (component, name, size). Ordered descending by inclusive_size_in_use.  1: Statement Execution &amp; Intermediate Results: Connection/225582/Statement/968867313074030                                           48gb (51539827576b)    (limit=50gb, limitSumAllocated=48gb)  2: Statement Execution &amp; Intermediate Results: Connection/225582/Statement/968867313074030/IMPLICIT                                  48gb (51539814232b)  3: System:                                     Connection/225582/Statement/968867313074030/Pool/RowEngine/QueryExecution/SearchAlloc 12.84kb (13152b) [9945]{225582}[63/2533577760] 2026-06-01 03:00:36.214382 e Memory           mmReportMemoryProblems.cpp(02242) : Memory composite limit violation occurred. More information in runtime dump! [9945]{225582}[63/2533577760] 2026-06-01 03:00:40.168933 e Memory           mmReportMemoryProblems.cpp(01848) : Composite limit violation (OUT OF MEMORY) occurred. Composite limit=50gb (53687091200b) Root allocator name=Connection/225582/Statement/968867313074030 Host: sap-hdb-pr1 Executable: hdbindexserver PID: 6593 Failed to allocate 2gb (2147483648b). Current callstack:  1: 0x00007fa15b0ab510 in MemoryManager::LimitInfo::incrementLimitRelevantUsageDoWork(unsigned long)+0x260 at mmLimitInfo.cpp:358 (libhdbbasis.so)  2: 0x00007fa15b0ab542 in MemoryManager::LimitInfo::incrementCoreStriping(unsigned long)+0x10 at mmLimitInfo.cpp:288 (libhdbbasis.so)  3: 0x00007fa15b0ab70d in MemoryManager::LimitInfo::incrementInterleavedSlots(unsigned long)+0x39 at mmLimitInfo.cpp:232 (libhdbbasis.so)  4: 0x00007fa15b0e513e in MemoryManager::LimitRelevantUsageScope::incrementUsage(unsigned long)+0xaa at mmLimitRelevantUsageScope.hpp:137 (libhdbbasis.so)  5: 0x00007fa15b08352b in MemoryManager::MemoryPool::allocatePage(unsigned long, unsigned short, ltt::allocator_statistics&amp;, bool&amp;, bool, void const*)+0x2a7 at mmMemoryPool.cpp:2063 (libhdbbasis.so)  6: 0x00007fa15b084c6a in MemoryManager::MemoryPool::allocateAligned(unsigned long, unsigned long, unsigned short, ltt::allocator_statistics&amp;, bool&amp;, bool, void const*)+0x506 at mmMemoryPool.cpp:1899 (libhdbbasis.so)  7: 0x00007fa15b050e03 in MemoryManager::PoolPageAllocator::allocateNoThrowImpl(unsigned long, void const*)+0x50 at mmPoolAllocator.cpp:2015 (libhdbbasis.so) Giải pháp:  tăng giá trị tham số statement_memory_limit từ 50GB lên 70GB Kết quả sau khi nâng cấp:  các job nặng được cấp phát đủ resource nên không lặp lại hiện tượng OOM, treo service.</t>
  </si>
  <si>
    <t>[DBA-SAPBASIS] Xử lý lỗi phân vùng root sap-hdb-pr1 warning 80%</t>
  </si>
  <si>
    <t>2026-06-19T10:36:52.572+0700</t>
  </si>
  <si>
    <t>2026-06-19T10:36:53.069+0700</t>
  </si>
  <si>
    <t>Xử lý lỗi phân vùng root trên VM sap-hdb-pr1 warning 80%</t>
  </si>
  <si>
    <t>[OMC][MCL][PROD] Hỗ trợ Golive - Merchant Loyalty</t>
  </si>
  <si>
    <t>2026-06-18T23:43:24.699+0700</t>
  </si>
  <si>
    <t>2026-06-18T23:43:32.795+0700</t>
  </si>
  <si>
    <t>Dear anh  @Nguyễn Văn Dũng  anh  @Đào Công Nghĩa , Team em có nhu cầu cập nhật các DB sau, nhờ team DBA hỗ trợ team em buổi golive tối nay ạ. Thời gian chạy:  09h tối ngày 28/05/2026. Thông tin DB:  omc-mtp-tidb.int.onemount.com:4000 / omc_merchant_loyalty CREATE TABLE omc_merchant_loyalty.voucher_job_log
(
    `job_id`          varchar(36) COLLATE utf8mb4_unicode_ci NOT NULL,
    `job_type`        varchar(30) COLLATE utf8mb4_unicode_ci NOT NULL,
    `campaign_id`     varchar(36) COLLATE utf8mb4_unicode_ci          DEFAULT NULL,
    `start_time`      timestamp                              NOT NULL,
    `end_time`        timestamp                              NULL     DEFAULT NULL,
    `status`          varchar(20) COLLATE utf8mb4_unicode_ci NOT NULL DEFAULT 'RUNNING',
    `processed_count` int                                    NOT NULL DEFAULT '0',
    `fail_count`      int                                    NOT NULL DEFAULT '0',
    `created_at`      timestamp                              NOT NULL DEFAULT CURRENT_TIMESTAMP,
    `run_date`        date                                            DEFAULT NULL,
    UNIQUE KEY `uq_job_type_run_date` (`job_type`, `run_date`),
    KEY `idx_job_type_start` (`job_type`, `start_time`),
    PRIMARY KEY (`job_id`) /*T![clustered_index] CLUSTERED */
) ENGINE = InnoDB
  DEFAULT CHARSET = utf8mb4
  COLLATE = utf8mb4_unicode_ci;
ALTER TABLE omc_merchant_loyalty.request
    ADD COLUMN is_auto_renew    TINYINT(1)  NOT NULL DEFAULT 0,
    ADD COLUMN root_scheme_code VARCHAR(36) NULL     DEFAULT NULL,
    ADD COLUMN reminder_sent_at TIMESTAMP   NULL     DEFAULT NULL;
ALTER TABLE omc_merchant_loyalty.request
    ADD INDEX idx_request_campaign_status_created (campaign_id, status, created_at),
    ADD INDEX idx_request_autorenew_expiry (is_auto_renew, voucher_expiry_date),
    ADD INDEX idx_request_root_scheme (root_scheme_code),
    ADD INDEX idx_request_parent (parent_request_id);
ALTER TABLE omc_merchant_loyalty.store
    ADD COLUMN tcb_physical_store_code VARCHAR(64) NULL AFTER um_id,
    ADD COLUMN selected                TINYINT(1)  NOT NULL DEFAULT 1 AFTER status,
    ADD COLUMN setup_status            VARCHAR(20) NOT NULL DEFAULT 'DONE' AFTER status;
ALTER TABLE omc_merchant_loyalty.store_service
    ADD COLUMN enroll_status VARCHAR(20) NOT NULL DEFAULT 'PENDING';
ALTER TABLE omc_merchant_loyalty.contract
    ADD sales_referrer VARCHAR(128) DEFAULT NULL AFTER sales_manager;
UPDATE omc_merchant_loyalty.store
SET setup_status = 'DRAFT'
WHERE status IN ('DRAFT', 'FAILED_OMMP', 'FAILED_LOYALTY_STORE');
UPDATE omc_merchant_loyalty.store_service ss
    JOIN omc_merchant_loyalty.store s ON s.id = ss.store_id
    JOIN omc_merchant_loyalty.service sv ON sv.id = ss.service_id
SET ss.enroll_status = 'ENROLLED'
WHERE s.status = 'ACTIVE'
  AND s.setup_status = 'DONE'
  AND s.ommp_store_code IS NOT NULL
  AND s.ommp_store_code &lt;&gt; ''
  AND sv.status = 'ACTIVE';
INSERT INTO omc_merchant_loyalty.master_data (code, value, created_at, updated_at)
VALUES ('AWO_VOUCHER_CONFIG', '{
  "start_lead_working_days": {
    "default": 3,
    "onboarding": 4
  }
}', default,
        null);
UPDATE omc_merchant_loyalty.banners set deeplink = '/contract-ocr/upload-documents' where id = 2; Thanks team, Thành An.</t>
  </si>
  <si>
    <t>[PROD][UPAY] [SMARPOS] Update config public key cho BV198</t>
  </si>
  <si>
    <t>2026-06-18T21:48:24.219+0700</t>
  </si>
  <si>
    <t>2026-06-18T22:04:50.623+0700</t>
  </si>
  <si>
    <t>Nhờ anh  @Nguyễn Văn Dũng  chạy giúp em script sau ạ: Thông tin database:   mysql://pay-tidb.int.onemount.com:4000/saas_tpay INSERT INTO MERCHANT_PUBLIC_KEY (
    merchant_code,
    partner_code,
    key_version,
    algorithm,
    key_type,
    key_size,
    public_key,
    status,
    effective_from,
    created_at,
    updated_at
)
SELECT
    merchant_code,
    'SMARTPOS' AS partner_code,
    'v1' AS key_version,
    'SHA256withRSA' AS algorithm,
    'RSA_PUBLIC' AS key_type,
    2048 AS key_size,
    public_key,
    'ACTIVE' AS status,
    CURRENT_TIMESTAMP AS effective_from,
    CURRENT_TIMESTAMP AS created_at,
    CURRENT_TIMESTAMP AS updated_at
FROM PARTNER
WHERE merchant_code IN ('BV198', 'BV198_NT');</t>
  </si>
  <si>
    <t>[OMC][PS2][Loyalty][loadtest] Giảm cấu hình DB loyalty môi trường loadtest + DROP các partition data history</t>
  </si>
  <si>
    <t>2026-06-18T18:29:19.992+0700</t>
  </si>
  <si>
    <t>2026-06-18T18:29:27.185+0700</t>
  </si>
  <si>
    <t>DBA thực hiện giảm cấu hình VM DB (giảm 50% cả CPU và RAM) https://console.cloud.google.com/compute/instancesDetail/zones/asia-east1-b/instances/oracle-loadtest?project=vinid-loyalty-nonprod 10.255.134.191 oracle-loadtest.asia-east1-b.c.vinid-loyalty-nonprod.internal oracle-loadtest Và thực hiện DROP bớt các data history của các pdb: PDBLOYALTYQC PDBLOYALTYUAT</t>
  </si>
  <si>
    <t>[OMC][PS2][Loyalty][nonPROD] Giảm cấu hình DB loyalty nonprod + drop bớt các partition data history</t>
  </si>
  <si>
    <t>2026-06-18T18:20:38.748+0700</t>
  </si>
  <si>
    <t>2026-06-18T18:20:55.902+0700</t>
  </si>
  <si>
    <t>DBA thực hiện giảm cấu hình VM DB (giảm RAM từ 24GB xuống 16GB)  10.255.128.90 	oracle.asia-east1-b.c.vinid-loyalty-nonprod.internal 	oracle https://console.cloud.google.com/compute/instancesDetail/zones/asia-east1-b/instances/oracle?project=vinid-loyalty-nonprod&amp;folder&amp;organizationId và thực hiện DROP bớt các data history của các pdb: PDBLOYALTYQC PDBLOYALTYUAT PDBLOYALTYSTG</t>
  </si>
  <si>
    <t>2026-06-18T15:45:17.354+0700</t>
  </si>
  <si>
    <t>2026-06-18T15:48:32.549+0700</t>
  </si>
  <si>
    <t>IP (Host):   ces-production.crcykac8kxtw.ap-southeast-1.rds.amazonaws.com Port:   3306 DB Name:   ces_mh_mpm Command:   update mtr_requests set current_process = 'khanhvq@kaigroup.vn' where id = '2cfa0e50-ea5c-44d3-b25d-31dfb2fc9859';
update mtr_requests set current_approval_step = 'Nhà thầu' where id = '2cfa0e50-ea5c-44d3-b25d-31dfb2fc9859';
update mtr_requests set approval_status = 'NEW' where id = '2cfa0e50-ea5c-44d3-b25d-31dfb2fc9859';
update mtr_requests set next_action = 'START' where id = '2cfa0e50-ea5c-44d3-b25d-31dfb2fc9859';
update mtr_requests set metadata = '{"assigneeList":"[]"}' where id = '2cfa0e50-ea5c-44d3-b25d-31dfb2fc9859';</t>
  </si>
  <si>
    <t>[DBA] Migrate Database service esb master platform từ dev lên production</t>
  </si>
  <si>
    <t>2026-06-17T18:11:38.829+0700</t>
  </si>
  <si>
    <t>2026-06-18T16:56:39.566+0700</t>
  </si>
  <si>
    <t>Nhu cầu dự án cần migrate database từ dev lên prod để chuẩn bị golive service esb - master platform. Nhờ anh  @Đoàn Việt Hưng  migrate DB giúp em theo thông tin sau: Source (DEV) Destination (Prod) Instance:  common-dev-postgres.cr62264i6qsz.ap-southeast-1.rds.amazonaws.com DB name: master_platform Instance:  esb-gateway-prod-postgres.crcykac8kxtw.ap-southeast-1.rds.amazonaws.com DB name: esb_gateway_prod</t>
  </si>
  <si>
    <t>2026-06-18T10:16:21.562+0700</t>
  </si>
  <si>
    <t>2026-06-18T10:16:40.823+0700</t>
  </si>
  <si>
    <t>Dear team, Hiện tại em đang cần tạo database với mục đích triển khai dự án qr global với thông tin sau: host/port: jdbc:mysql://tidb.int.onemount.dev:4000 Database name: upay_tcb_qr_global_qc Mong muốn tạo account: Purpose: dùng cho service/system kết nối DB Permission: full access trên database upay_tcb_qr_global_qc Anh/chị vui lòng cung cấp: Username/password cho account Nhờ anh/chị hỗ trợ em với nhé. Em cảm ơn.</t>
  </si>
  <si>
    <t>[OMD][Kafka][Prod] Tạo kafka topic cho bảng nguồn MHPos Fiscal (Mongo) phục vụ dự án MerchantHub</t>
  </si>
  <si>
    <t>2026-06-17T18:04:02.827+0700</t>
  </si>
  <si>
    <t>2026-06-22T14:56:54.873+0700</t>
  </si>
  <si>
    <t>Hiện tại OMD đang có nhu cầu kéo dữ liệu các bảng sau nhờ anh Linh tạo kafka topic ở môi trường PROD giúp team để kéo data về DP. PROD: IP host:  omd-mhpos-prod.8j11t.mongodb.net :27017 Schema: mhpos_fiscal_prod Table list: activity_logs</t>
  </si>
  <si>
    <t>[OMC][Kafka][PRD] Hỗ trợ tạo kafka topic DB gami_collection_prod</t>
  </si>
  <si>
    <t>2026-06-17T17:56:11.281+0700</t>
  </si>
  <si>
    <t>2026-06-17T18:02:29.346+0700</t>
  </si>
  <si>
    <t>Dear anh Linh, Phục vụ nhu cầu chạy campaign. Nhờ anh hỗ trợ tạo kafka topic cho các bảng sau: Host:  172.31.1.14 DB:  gami_collection_prod Table: user_points item_transactions  point_transactions Em cảm ơn ạ.</t>
  </si>
  <si>
    <t>[OMD][Kafka][Prod] Tạo kafka topic cho bảng nguồn MHPos Fiscal phục vụ dự án MerchantHub</t>
  </si>
  <si>
    <t>2026-06-17T16:02:16.905+0700</t>
  </si>
  <si>
    <t>2026-06-17T17:34:01.017+0700</t>
  </si>
  <si>
    <t>Hiện tại OMD đang có nhu cầu kéo dữ liệu các bảng sau nhờ anh Linh tạo kafka topic ở môi trường PROD giúp team để kéo data về DP. PROD: IP host: 172.31.4.36:5432 Schema: mhpos_fiscal Table list: TaxDeclarationConfig
BusinessLocation
TaxAreaTms
BusinessSector
TaxDeclaration
activity_logs 
financial_monthly_summaries
business_location
tax_declaration_config
business_sector
revenue_tier
ledger_transactions
ledger_download_histories</t>
  </si>
  <si>
    <t>[NonProd][OMC][LP][Core] Hỗ trợ alter table TRANSACTION_HISTORY</t>
  </si>
  <si>
    <t>2026-06-17T15:47:17.178+0700</t>
  </si>
  <si>
    <t>2026-06-17T15:59:07.038+0700</t>
  </si>
  <si>
    <t>Hi team, nhờ team DBA chạy script này trên môi trường pt (namespace oneloyalty-loadtest) của DB Loyalty Oracle giúp team Loyalty ạ. Database information IP:  10.255.134.191 Service name:  PDBLOYALTYUAT Port: 1521 Schema app: OLOYALTY Time Run ticket: 17/06/2026  Nội dung script ALTER  TABLE TRANSACTION_HISTORY ADD CORE_CANCELLATION_TIME TIMESTAMP(0);
COMMIT;</t>
  </si>
  <si>
    <t>[OMC][OneU] Hỗ trợ export collection ip-automation</t>
  </si>
  <si>
    <t>2026-06-17T15:13:47.504+0700</t>
  </si>
  <si>
    <t>2026-06-17T15:13:53.519+0700</t>
  </si>
  <si>
    <t>Dear anh Linh, Nhờ anh export giúp em toàn bộ collection mongoDB với các thông tin dưới đây ạ ip: 10.255.24.22
DB name: one-shield-v3
Collection name: ip-automation Em cảm ơn anh</t>
  </si>
  <si>
    <t>[PROD] [VCM] Update status order</t>
  </si>
  <si>
    <t>2026-06-17T10:18:42.159+0700</t>
  </si>
  <si>
    <t>2026-06-17T10:18:50.471+0700</t>
  </si>
  <si>
    <t>Dear DBA team, Nhờ các anh em support chạy script update trạng thái đơn hàng. Thời gian thực hiện: 10h 17/06/2026 Thông tin DB Mysql: Database name: vincart_mm_order 
IP: 172.31.1.41 -- Update order status
update orders a
set a.status = 'CANCELLED', a.payment_status='REFUNDED'
where a.code in ('MAY5ARDG',
'M77R3NBA',
'M2EG8VA6',
'MV36LLDL',
'MV36LG5B',
'MEDGEX7L',
'MR3Y8728',
'MGNV34B2',
'MGNV34V8',
'M99ADGDX',
'MQ3LA62Y',
'MR3Y86E4',
'MEDGE85X');
update orders a
set a.status = 'CANCELLED'
where a.code in ('MGA66YLV', 'M7R629B6');</t>
  </si>
  <si>
    <t>Xin quyền update bảng user_hit_rule và user_hit_rule_history trên DB: 172.31.1.195 cho acc: hoapd1</t>
  </si>
  <si>
    <t>2026-06-17T10:14:25.809+0700</t>
  </si>
  <si>
    <t>2026-06-17T10:14:42.094+0700</t>
  </si>
  <si>
    <t>omd_authom</t>
  </si>
  <si>
    <t>Liên  quan đến các Ticket Kh yêu cầu unlock device để đăng nhập. Một số thiết bị Kh không cho phép ứng dụng get thông tin device nên thông tin device không đúng, ko thể tìm được trên ops nên cần update trên db set count về 1 cho Kh sử dụng. VD:  Vậy nhờ team dba add quyền giúp nhé @Nguyễn Minh Ngọc  confirm giúp anh với nha</t>
  </si>
  <si>
    <t>[PROD] [VCM]6Release 10/06/2026</t>
  </si>
  <si>
    <t>2026-06-17T10:13:27.088+0700</t>
  </si>
  <si>
    <t>2026-06-17T10:13:44.901+0700</t>
  </si>
  <si>
    <t>Dear  @Đào Công Nghĩa   Nhờ em hộ trợ chạy migrate DB cho release vào tối 22h 10/06/2026 Thời gian chạy: Trước  22h  10/06/2026 Thông tin  database: Database name: vincart_mm_order 
IP: 172.31.1.41 Script migrate: ALTER TABLE fulfillment_items
    ADD original_price DECIMAL(18, 3) NULL;
update ignore fulfillment_items fi
set original_price = (select distinct original_price
                      from order_items oi
                               inner join fulfillments f on oi.order_id = f.order_id
                      where f.id = fi.fulfillment_id)
where fi.is_digital = 1;
CREATE UNIQUE INDEX serial_fulfillment_items_item_serial_uindex
    ON serial_fulfillment_items (fulfillment_item_id, serial_code);</t>
  </si>
  <si>
    <t>[OMC][ONEU][PROD] Update cột transaction_code bảng vneid_login_log</t>
  </si>
  <si>
    <t>2026-06-17T09:51:38.735+0700</t>
  </si>
  <si>
    <t>2026-06-17T09:51:51.498+0700</t>
  </si>
  <si>
    <t>Dear team DBA, Hiện tại luồng login bằng vneid đang bị lỗi do giá trị trường transaction_code có độ dài &gt;50 kí tự, nhờ team chạy câu lệnh sau để update lại kiểu dữ liệu transaction_code ạ. project:  omc-base-platform-prod db:  omc_bp_authentication ip:  172.31.3.40 instances:  omc-authentication alter table vneid_login_log
    alter column transaction_code type varchar(500) using transaction_code::varchar(500); Thank team.</t>
  </si>
  <si>
    <t>[MCM] Xin cấp thông network và cấp account về hệ thống MCM</t>
  </si>
  <si>
    <t>2026-06-17T09:40:15.627+0700</t>
  </si>
  <si>
    <t>Dear team DBA, Hiện team SCM (Mạnh Hà) cần lấy data từ hệ thống MCM về DWH bên em. Nhờ team hỗ trợ mở network và cấp account để sync dữ liệu từ MCM về data warehouse ạ. Xin phép được kết nối từ 2 IP sau: 10.10.110.16 10.10.12.198</t>
  </si>
  <si>
    <t>Hỗ trợ tạo dữ liệu mở mới kho PHO05 - Khánh An 03</t>
  </si>
  <si>
    <t>2026-06-17T07:22:00.482+0700</t>
  </si>
  <si>
    <t>2026-06-17T07:22:14.125+0700</t>
  </si>
  <si>
    <t>Hi DBA team, Hiện tại nghiệp vụ có nhu cầu mở mới kho PHO05 - Khánh An 03,  nhờ team DBA hỗ trợ cập nhật giá trị theo thông tin dưới đây.    Câu query đánh giá là có thể ảnh hưởng đến vận hành hệ thống nên mong muốn chạy vào thời gian vận hành thấp điểm (từ 22h-2h sáng). Cụm WMS Project : vinid-b2b-platform-prod Instance/IP : main (read-write): 172.31.4.59 Port : 3306 Database : omd_wms_core Script : file  omd_wms_core_pho05.sql  trong file đính kèm Cum WES Project : vinid-b2b-platform-prod Instance/IP : main (read-write): 172.31.1.143 Port : 3306 Database : wes_master Script : file  wes_master_pho05.sql  trong file đính kèm</t>
  </si>
  <si>
    <t>[OMC][GAMI][Prod] Hỗ trợ xuất data cho campaign World cup 2026</t>
  </si>
  <si>
    <t>2026-06-17T00:22:29.257+0700</t>
  </si>
  <si>
    <t>2026-06-17T00:22:38.917+0700</t>
  </si>
  <si>
    <t>Hỗ trợ xuất data cho campaign World cup 2026 trả thưởng. Thưởng theo tổng số dư xu của KH:  Căn cứ trên tổng số dư xu của KH tại thời điểm chốt dữ liệu. (từ 10/06 - 23:59 ngày 16/06/2026) Lưu ý cutoff đúng thời điểm lấy data Host: 172.31.1.14 DB: gami_collection_prod Query: SELECT * FROM user_points WHERE campaign_id = 830 ORDER BY amount DESC;</t>
  </si>
  <si>
    <t>2026-06-16T17:20:17.619+0700</t>
  </si>
  <si>
    <t>2026-06-16T17:20:28.599+0700</t>
  </si>
  <si>
    <t>[PROD][UPAY] [SMARPOS] Update config GGG</t>
  </si>
  <si>
    <t>2026-06-16T16:48:10.798+0700</t>
  </si>
  <si>
    <t>2026-06-16T16:48:20.786+0700</t>
  </si>
  <si>
    <t>Nhờ anh  @Nguyễn Văn Dũng  chạy giúp em script sau ạ: INSERT INTO MERCHANT_PUBLIC_KEY (
    merchant_code,
    partner_code,
    key_version,
    algorithm,
    key_type,
    key_size,
    public_key,
    status,
    effective_from,
    created_at,
    updated_at
)
SELECT
    'GOLDENGATE' AS merchant_code,
    'SMARTPOS' AS partner_code,
    'v1' AS key_version,
    'SHA256withRSA' AS algorithm,
    'RSA_PUBLIC' AS key_type,
    2048 AS key_size,
    public_key,
    'ACTIVE' AS status,
    CURRENT_TIMESTAMP AS effective_from,
    CURRENT_TIMESTAMP AS created_at,
    CURRENT_TIMESTAMP AS updated_at
FROM PARTNER
WHERE merchant_code = 'GOLDENGATE';
UPDATE SYSTEM_CONFIGURATION SET SYSTEM_PARAM_VALUE = 'NCCQSFYK,GOLDENGATE', IS_ACTIVE = 1 WHERE SYSTEM_PARAM_CODE = 'MERCHANT_GGG_CONFIG';
UPDATE SYSTEM_CONFIGURATION SET SYSTEM_PARAM_VALUE = 'NCCQSFYK,GOLDENGATE' WHERE SYSTEM_PARAM_CODE = 'MERCHANT_USE_DISCOUNT_SERVICE';
UPDATE SYSTEM_CONFIGURATION SET SYSTEM_PARAM_VALUE = '{"NCCQSFYK":"/api/v1/payment-gateway/techcombank/smart-pos/webhook"},{"GOLDENGATE":"/api/v1/payment-gateway/techcombank/smart-pos/webhook"}' WHERE SYSTEM_PARAM_CODE = 'CALLBACK_GGG_MERCHANT_CONFIG';</t>
  </si>
  <si>
    <t>2026-06-16T15:28:16.773+0700</t>
  </si>
  <si>
    <t>2026-06-16T18:05:30.866+0700</t>
  </si>
  <si>
    <t>Hi a  @Đào Công Nghĩa   Nhờ anh chạy  giúp bên em lệnh script clone attribute  voucher_accepted_merchants  từ channel TCBM → ONEU cho voucher  VD_VC_1781496021737 IP: 172.31.1.41 DBname: vincart_mm_product insert into vincart_mm_product.entity_attributes_values (attribute_id, value, name,
                                                             entity_id,
                                                             type, display_order, channel_code)
select attribute_id,
       value,
       name,
       entity_id,
       type,
       display_order,
       'ONEU'
from vincart_mm_product.entity_attributes_values
WHERE name = 'voucher_accepted_merchants' 
  and type = 'VARIANT'
  and entity_id = (select id from vincart_mm_product.variants where code = 'VD_VC_1781496021737');</t>
  </si>
  <si>
    <t>[PROD][Engineering Metrics] Hỗ trợ tạo schema/table cho Cloud SQL PostgreSQL production.</t>
  </si>
  <si>
    <t>2026-06-16T15:25:03.754+0700</t>
  </si>
  <si>
    <t>2026-06-16T15:25:25.885+0700</t>
  </si>
  <si>
    <t>dp</t>
  </si>
  <si>
    <t xml:space="preserve">1. Thông tin dự án  Project document:  GCP Project:  onemg-dp-prod Cloud SQL instance:  main-postgres Instance URL:  https://console.cloud.google.com/sql/instances/main-postgres/overview?project=onemg-dp-prod Private IP:  172.31.3.39 2. Thông tin schema cần tạo Các object cần tạo: Table  engineering_metrics.fact_code_health_quality_gate_condition Các constraint, index, trigger, function và comment đi kèm trong DDL DDL cho  engineering_metrics.fact_code_health_quality_gate_condition CREATE TABLE IF NOT EXISTS engineering_metrics.fact_code_health_quality_gate_condition (
    quality_gate_condition_id   BIGSERIAL   PRIMARY KEY,
    -- Link to fact_code_health_score
    fact_event_id               BIGINT      NOT NULL,
    -- SonarQube Quality Gate condition
    metric_key                  TEXT        NOT NULL,
    condition_status            TEXT        NOT NULL,
    comparator                  TEXT,
    error_threshold             TEXT,
    actual_value                TEXT,
    period_index                INTEGER,
    raw_condition               JSONB,
    -- System Metadata
    created_at                  TIMESTAMPTZ NOT NULL DEFAULT NOW(),
    updated_at                  TIMESTAMPTZ NOT NULL DEFAULT NOW(),
    CONSTRAINT fk_fact_chs_qg_condition_fact_chs
        FOREIGN KEY (fact_event_id)
        REFERENCES engineering_metrics.fact_code_health_score(fact_event_id)
        ON DELETE CASCADE,
    CONSTRAINT chk_fact_chs_qg_condition_status
        CHECK (condition_status IN ('OK', 'ERROR', 'WARN', 'NO_VALUE')),
    CONSTRAINT chk_fact_chs_qg_condition_not_blank
        CHECK (
            NULLIF(BTRIM(metric_key), '') IS NOT NULL
            AND NULLIF(BTRIM(condition_status), '') IS NOT NULL
        )
);
-- ============================================================
-- Triggers &amp; Indexes
-- ============================================================
-- Reuse the same updated_at trigger helper used by other engineering_metrics tables.
DROP TRIGGER IF EXISTS trg_fact_chs_qg_condition_set_updated_at
ON engineering_metrics.fact_code_health_quality_gate_condition;
CREATE TRIGGER trg_fact_chs_qg_condition_set_updated_at
BEFORE UPDATE ON engineering_metrics.fact_code_health_quality_gate_condition
FOR EACH ROW
EXECUTE FUNCTION engineering_metrics.set_updated_at();
-- Index: make condition upsert idempotent per fact row and Sonar metric.
CREATE UNIQUE INDEX IF NOT EXISTS uq_fact_chs_qg_condition_fact_metric_period
ON engineering_metrics.fact_code_health_quality_gate_condition (
    fact_event_id,
    metric_key,
    COALESCE(period_index, 0)
);
-- Index: support joins from fact_code_health_score to condition details.
CREATE INDEX IF NOT EXISTS idx_fact_chs_qg_condition_fact_event_id
ON engineering_metrics.fact_code_health_quality_gate_condition (fact_event_id);
-- Index: support reporting failed quality gate conditions by metric.
CREATE INDEX IF NOT EXISTS idx_fact_chs_qg_condition_status_metric
ON engineering_metrics.fact_code_health_quality_gate_condition (
    condition_status,
    metric_key
);
-- ============================================================
-- Table &amp; Column Comments
-- ============================================================
COMMENT ON TABLE engineering_metrics.fact_code_health_quality_gate_condition IS 'Store SonarQube Quality Gate condition details for each Code Health Score fact record.';
COMMENT ON COLUMN engineering_metrics.fact_code_health_quality_gate_condition.quality_gate_condition_id IS 'Surrogate key for a Quality Gate condition row.';
COMMENT ON COLUMN engineering_metrics.fact_code_health_quality_gate_condition.fact_event_id IS 'Foreign key referencing fact_code_health_score.fact_event_id.';
COMMENT ON COLUMN engineering_metrics.fact_code_health_quality_gate_condition.metric_key IS 'SonarQube metric key used by the Quality Gate condition, for example coverage, security_rating, or duplicated_lines_density.';
COMMENT ON COLUMN engineering_metrics.fact_code_health_quality_gate_condition.condition_status IS 'Condition status returned by SonarQube, for example OK or ERROR.';
COMMENT ON COLUMN engineering_metrics.fact_code_health_quality_gate_condition.comparator IS 'Comparator returned by SonarQube, for example GT or LT.';
COMMENT ON COLUMN engineering_metrics.fact_code_health_quality_gate_condition.error_threshold IS 'Configured Quality Gate threshold used for reporting. Rating metrics are converted from SonarQube numeric rating to A-E; original payload is preserved in raw_condition.';
COMMENT ON COLUMN engineering_metrics.fact_code_health_quality_gate_condition.actual_value IS 'Actual measured value used for reporting. Rating metrics are converted from SonarQube numeric rating to A-E; original payload is preserved in raw_condition.';
COMMENT ON COLUMN engineering_metrics.fact_code_health_quality_gate_condition.period_index IS 'SonarQube leak period index when the condition applies to a period metric.';
COMMENT ON COLUMN engineering_metrics.fact_code_health_quality_gate_condition.raw_condition IS 'Original Quality Gate condition payload from SonarQube for debugging and future extension.';
COMMENT ON COLUMN engineering_metrics.fact_code_health_quality_gate_condition.created_at IS 'Time when the condition record was first written to the system.';
COMMENT ON COLUMN engineering_metrics.fact_code_health_quality_gate_condition.updated_at IS 'Time when the condition record was last updated.'; cc anh  @Phạm Việt Hùng   @Đỗ Ngọc Hà   @Phùng Minh Ngân  </t>
  </si>
  <si>
    <t>[QR247][Prod] Cập nhật public key cho merchant ISIEE</t>
  </si>
  <si>
    <t>2026-06-16T15:23:15.600+0700</t>
  </si>
  <si>
    <t>2026-06-16T15:23:36.821+0700</t>
  </si>
  <si>
    <t>Dear team DBA, Nhờ anh em chạy script dưới đây để cập nhật public key cho merchant ISIEE Thông tin DB: saas_tpay: mysql://pay-tidb.int.onemount.com:4000/saas_tpay UPDATE PARTNER SET public_key='-----BEGIN PUBLIC KEY-----
MIIBIjANBgkqhkiG9w0BAQEFAAOCAQ8AMIIBCgKCAQEAohjawuwyLn9LT/DosDvM
VFJVleFWGqMFFbEnlTwMdL9kXfP9ZGKmIyPXSHP6InoLCVxaxqWZVQqBG4CTxFDl
QdjV7ajbrfv1q/I06I5UE0OBBC/LVHM1ZFi95RY1oonhLUFTkgB0noUfe8YNv2K3
IVJ4ZHTjhhFXl8MX37HcrOj6vt5sAU5WgNxtCycduUEYf6dfmY4dmxo8ONr/BeLL
+k4NCuxjs79fK7/Vm/res0QPVs+TcsgfrJuNKHGIB1a+5INrEt2MLc3Xhi6jiZYp
iDUjXvFYuCLMhQU5UoM9nAqgT3ZBetgyd93KV6Wh5Vw1zzGLTzCLKcjWOaqg8lx7
XwIDAQAB
-----END PUBLIC KEY-----
' WHERE merchant_code='VIEN_ISIEE';</t>
  </si>
  <si>
    <t>[OMC][TICKET[PROD] Chạy câu lệnh sql 16/06/2026</t>
  </si>
  <si>
    <t>2026-06-16T15:10:58.575+0700</t>
  </si>
  <si>
    <t>2026-06-16T15:13:27.496+0700</t>
  </si>
  <si>
    <t>Dear team DBA, Nhờ mọi người hỗ trợ chạy câu lệnh sau để gửi lại mail cho user ạ. IP: 172.31.1.3   Db name: vinticket UPDATE orders SET buyer_email = 'thoan1789@gmail.com' WHERE orders.code = 'IBISEQ7F';
UPDATE orders SET buyer_email = 'banghoan.txqc@gmail.com' WHERE orders.code = 'VPICGSHE';
UPDATE orders SET buyer_email = 'hai.viet.le@gmail.com' WHERE orders.code = '29N7BIIP';
UPDATE orders SET buyer_email = 'phamhuan2006@gmail.com' WHERE orders.code = 'P54YPIZ5';
UPDATE orders SET buyer_email = 'minhthanhthuy.nguyen@gmail.com' WHERE orders.code = 'M6I2WIET';
UPDATE orders SET buyer_email = 'hoangduchoa2003@gmail.com' WHERE orders.code = 'GLBMIAY3';
UPDATE orders SET buyer_email = 'kimvyhv247@gmail.com' WHERE orders.code = '4CN57IX4';
UPDATE orders SET buyer_email = 'hello.alexsgn@gmail.com' WHERE orders.code = '5ET9MVRJ';
UPDATE orders SET buyer_email = 'nhiiduong@gmail.com' WHERE orders.code = 'ALQ39Y8J';
UPDATE orders SET buyer_email = 'thienloc438@gmail.com' WHERE orders.code = 'VGEEL7C1';
UPDATE orders SET buyer_email = 'nguyen.pham020196@gmail.com' WHERE orders.code = 'RAUINWHD';
UPDATE orders SET buyer_email = 'nhoztrung123@gmail.com' WHERE orders.code = '2S7GU9XV';
UPDATE orders SET buyer_email = 'chautm1409@gmail.com' WHERE orders.code = '1YTS452K';
UPDATE orders SET buyer_email = 'ngan191103@gmail.com' WHERE orders.code = 'B1BNF982'; Thank team.</t>
  </si>
  <si>
    <t>2026-06-16T10:14:34.932+0700</t>
  </si>
  <si>
    <t>2026-06-18T22:28:32.543+0700</t>
  </si>
  <si>
    <t>Thực hiện xóa partition reconcile cũ theo định kỳ Host:  172.31.4.75 DB:  promo_rule_engine Table:  data_reconciliation Thực hiện xóa các partition cũ, chỉ giữ lại từ tháng 5/2026</t>
  </si>
  <si>
    <t xml:space="preserve">[OMD][TCB-MerchantHUB][PROD] Support update data </t>
  </si>
  <si>
    <t>2026-06-16T09:36:02.051+0700</t>
  </si>
  <si>
    <t>2026-06-16T09:39:47.848+0700</t>
  </si>
  <si>
    <t>Dear anh Linh, Team MHP cần hỗ trợ yêu cầu sau: Update data bảng transaction_categories như câu sql sau: update transaction_categories tc set parent_name = 'Hoạt động kinh doanh khác' where code = 'COMPENSATION_INCOME' and source='SYSTEM'; instance: mhpos-common-prod-postgres - 172.31.4.36 mhpos_fiscal Team MHP xin cám ơn.</t>
  </si>
  <si>
    <t>[onenexus][prod] Cấp database ClickHouse cho project onenexus-ai-agentic-prod</t>
  </si>
  <si>
    <t>2026-06-15T17:50:37.933+0700</t>
  </si>
  <si>
    <t>2026-06-19T12:06:50.368+0700</t>
  </si>
  <si>
    <t>OneNexus</t>
  </si>
  <si>
    <t>DBA cấp instance và database ClickHouse cho dự án trên aws</t>
  </si>
  <si>
    <t>[onenexus][prod] Cấp database Qdrant cho project onenexus-ai-agentic-prod</t>
  </si>
  <si>
    <t>2026-06-15T17:50:19.574+0700</t>
  </si>
  <si>
    <t>2026-06-19T12:05:42.695+0700</t>
  </si>
  <si>
    <t>DBA cấp instance và database Qdrant cho dự án trên aws</t>
  </si>
  <si>
    <t>[onenexus][prod] Cấp database PostgreSQL cho project onenexus-ai-agentic-prod</t>
  </si>
  <si>
    <t>2026-06-15T17:49:49.367+0700</t>
  </si>
  <si>
    <t>2026-06-19T12:08:22.015+0700</t>
  </si>
  <si>
    <t>DBA cấp instance và database PostgreSQL cho dự án trên aws</t>
  </si>
  <si>
    <t>[onenexus][prod] Cấp database Elasticache Redis Instance cho project onenexus-ai-agentic-prod</t>
  </si>
  <si>
    <t>2026-06-15T17:49:17.837+0700</t>
  </si>
  <si>
    <t>2026-06-19T12:04:33.011+0700</t>
  </si>
  <si>
    <t>DBA cấp instance và database Elasticache Redis cho dự án trên aws</t>
  </si>
  <si>
    <t>[onenexus][prod] Cấp database cho project onenexus-ai-agentic-prod</t>
  </si>
  <si>
    <t>2026-06-15T17:47:52.870+0700</t>
  </si>
  <si>
    <t>2026-06-19T12:08:28.463+0700</t>
  </si>
  <si>
    <t>DBA cấp RDS instance và tạo DB cho dự án: Elasticache Redis Instance — HA/Multi-AZ  (ref:  DBA-4936 ,  SRE-17240 ) Data Stores: PostgreSQL, Qdrant, ClickHouse  (ref:  DBA-4812 ,  SRE-17240 )</t>
  </si>
  <si>
    <t>2026-06-15T16:15:24.234+0700</t>
  </si>
  <si>
    <t>2026-06-15T16:57:09.283+0700</t>
  </si>
  <si>
    <t>Hi a  @Đào Công Nghĩa   Nhờ anh chạy  giúp bên em lệnh script clone attribute  voucher_accepted_merchants  từ channel TCBM → ONEU cho voucher  VD_VC_1781257245415 insert into vincart_mm_product.entity_attributes_values (attribute_id, "value", name,
                                                             entity_id,
                                                             type, display_order, channel_code)
select attribute_id,
       "value",
       name,
       entity_id,
       type,
       display_order,
       'ONEU'
from vincart_mm_product.entity_attributes_values
WHERE name = 'voucher_accepted_merchants' 
  and type = 'VARIANT'
  and entity_id = (select id from vincart_mm_product.variants where code = 'VD_VC_1781257245415');</t>
  </si>
  <si>
    <t>[PROD] Chạy câu lệnh SQL phục vụ golive ngày 15/06</t>
  </si>
  <si>
    <t>2026-06-15T15:53:36.713+0700</t>
  </si>
  <si>
    <t>2026-06-15T15:53:45.579+0700</t>
  </si>
  <si>
    <t>Dear anh Nghĩa, Nhờ anh hỗ trợ team chạy các câu lệnh SQL dưới đây để team thực hiện golive nhé ạ Em cảm ơn anh Ip: 172.31.1.41
DB name: oneu_merchant_rating
SQL:
ALTER TABLE `reviews` ADD COLUMN `source` VARCHAR(50) NULL AFTER `order_code`;
-- Bảng review_items
CREATE TABLE IF NOT EXISTS `review_items`
(
    `id`           BIGINT UNSIGNED  NOT NULL AUTO_INCREMENT,
    `created_at`   TIMESTAMP        NOT NULL DEFAULT CURRENT_TIMESTAMP,
    `updated_at`   TIMESTAMP        NOT NULL DEFAULT CURRENT_TIMESTAMP ON UPDATE CURRENT_TIMESTAMP,
    `review_id`    BIGINT UNSIGNED  NOT NULL,
    `order_id`     BIGINT UNSIGNED  NULL,
    `order_code`   VARCHAR(25)      NULL,
    `product_id`   BIGINT UNSIGNED  NULL,
    `variant_id`   BIGINT UNSIGNED  NULL,
    `product_name` VARCHAR(500)     NULL,
    `variant_name` VARCHAR(500)     NULL,
    `quantity`     DECIMAL(10, 3)   NULL,
    `price`        DECIMAL(15, 3)   NULL,
    `sku`          VARCHAR(255)     NULL,
    `source`       VARCHAR(50)      NULL,
    PRIMARY KEY (`id`)
);
CREATE INDEX idx_review_items_review_id ON review_items (review_id);
CREATE INDEX idx_review_items_product_id ON review_items (product_id);
CREATE INDEX idx_review_items_variant_id ON review_items (variant_id); Ip: 172.31.1.102
DB name: oneu_user_generated_content
SQL: 
ALTER TABLE `content_reviews` ADD COLUMN `source` VARCHAR(50) NULL; Ip: 172.31.1.3
DB name: vinticket
SQL:
CREATE TABLE IF NOT EXISTS `otp_email_logs`
(
    `id`         INT(10) UNSIGNED NOT NULL AUTO_INCREMENT,
    `user_id`    VARCHAR(191)     NOT NULL,
    `email`      VARCHAR(191)     NOT NULL,
    `request_id` VARCHAR(64)               DEFAULT NULL,
    `status`     VARCHAR(50)      NOT NULL DEFAULT 'PENDING',
    `expired_at` TIMESTAMP        NOT NULL,
    `created_at` TIMESTAMP                 DEFAULT CURRENT_TIMESTAMP,
    `updated_at` TIMESTAMP                 DEFAULT CURRENT_TIMESTAMP ON UPDATE CURRENT_TIMESTAMP,
    PRIMARY KEY (`id`),
    KEY `idx_otp_email_logs_user_email_status_expired` (`user_id`, `email`, `status`, `expired_at`),
    KEY `idx_otp_email_logs_email_status_expired` (`email`, `status`, `expired_at`),
    KEY `idx_otp_email_logs_user_status_updated` (`user_id`, `status`, `updated_at`)
) ENGINE = InnoDB
  DEFAULT CHARSET = utf8mb4; Ip: 172.31.7.11
DB name: sp_postgres_link_account
SQL: 
INSERT INTO PARTNERS (id, name, code, kong_id, public_key, status, created_at, updated_at)
values (3, 'TCBS', 'tcbs', 'loyalty_tcbs', 'tcbs-public-key', 'active', now(), now());</t>
  </si>
  <si>
    <t>[OMD][Kafka][NonProd] Tạo kafka topic cho bảng nguồn CLMS phục vụ dự án CLMS</t>
  </si>
  <si>
    <t>2026-06-15T12:04:49.847+0700</t>
  </si>
  <si>
    <t>2026-06-15T12:05:18.861+0700</t>
  </si>
  <si>
    <t>Hiện tại, OMD đang có nhu cầu kéo dữ liệu các bảng sau nhờ anh Linh tạo kafka topic ở môi trường NonProd giúp team để kéo data về DP. NonProd: IP host: 172.31.0.68:3306 Schema: clm_qc_mysql Table list: Contract
User
Department
Org
BusinessUnit
ContractPayment
ContractPaymentMileStone
DocTemplate
ContractLineItem
ContractParty
Category
DocApproval
ApprovalActor 
SignatureTransaction
DocumentHistoryActivity
BusinessType
Lookup</t>
  </si>
  <si>
    <t>[mag][iams][prod] Xin cấp Database cho iams hub production</t>
  </si>
  <si>
    <t>2026-06-15T11:26:26.720+0700</t>
  </si>
  <si>
    <t>2026-06-15T11:42:03.018+0700</t>
  </si>
  <si>
    <t>Hi Vượng Dự án iams hub cho mag chuẩn bị lên production Nhờ chú cấp giúp anh 1 DB mới cho dự án này nhé, thông tin cụ thể anh ghi bên dưới  Role: grant ALL và exclude DROP gcp project: onemg-integration-platform-prd Instance: main 172.31.1.118 Db name: omd_iamshub_prod</t>
  </si>
  <si>
    <t>[NDP] Mở kết nối tới SAP B1 HANA replica cho Nexus Data Platform</t>
  </si>
  <si>
    <t>2026-06-15T10:30:09.373+0700</t>
  </si>
  <si>
    <t>2026-06-25T11:15:06.239+0700</t>
  </si>
  <si>
    <t>Database information: SAP Business One trên SAP HANA 2.0 SP04 (version 2.00.044.00.1571081837), on-prem trên AWS, do MAG/CDT quản lý. Kết nối tới HANA replica, read-only. GCP project: N/A  Time Run ticket: 1 week Mô tả chi tiết yêu cầu:  Mục đích: NDP cần đọc read-only SAP B1 (HANA replica) để khảo sát và ingest data  Phạm vi: 4 schema MAS, MAG, MTR, MPM; tham chiếu OACT, OBPL.  Mở firewall/egress để Nexus (GCP) reach HANA replica endpoint</t>
  </si>
  <si>
    <t>Hỗ trợ migration database Production cho service Discount SmartPOS</t>
  </si>
  <si>
    <t>2026-06-15T09:51:03.310+0700</t>
  </si>
  <si>
    <t>2026-06-15T09:51:17.134+0700</t>
  </si>
  <si>
    <t>Discount-service-for-SmartPOS</t>
  </si>
  <si>
    <t>Nhờ DBA hỗ trợ migrate cho các DB sau, vì service này là service mới chưa pilot và chưa có end user sử dụng nên nhờ team DBA hỗ trợ migrate trong giờ hành chính luôn. Database cho Discount DB instance:  https://console.cloud.google.com/sql/instances/discount-smartpos/overview?project=vinid-loyalty-prod DB name: discount_smartpos SQL migration scripts: UPDATE condition_templates
SET statement = '{"Field":{"PosPromotion":{"ID":1,"Store":{"Code":"string","Name":"string"},"Amount":1.1,"Status":"string","UserID":"string","Merchant":{"Code":"string","Name":"string"},"Terminal":{"Code":"string","Name":"string"},"FeeAmount":1.1,"Description":"string","ServiceCode":"string","TotalAmount":1.1,"MoneySources":[{"ID":"string","Name":"string","Amount":1.1,"BankCode":"string","CardType":"string","PaidAmount":1.1,"PaymentChannel":"string","CardNumberPrefix":"string","PaymentMethodCode":"string"}],"OrderDetails":{"Code":"string","Items":[{"Sku":"string","Code":"string","Name":"string","Unit":"string","Price":1.1,"ImageURL":"string","Merchant":{"MID":"string","TID":"string","Code":"string","Name":"string"},"Quantity":1,"ExtraData":{"Barcode":"string"},"ProductID":"string","UnitPrice":1.1,"VariantID":"string","Description":"string","ProductCode":"string","VariantCode":"string","CategoryCode":"string","CategoryName":"string","DiscountPrice":1.1}],"Status":"string","UserID":"string","Loyalty":{"TotalRedeemPointAmount":1},"CreatedAt":1,"ExpiredAt":1,"FinishedAt":1,"TotalAmount":1.1,"ShippingFees":[{"ShippingFee":1.1,"MerchantCode":"string"}],"TotalDiscount":1.1,"ShippingMethod":{"Code":"string","Name":"string"},"ShoppingMethod":{"Code":"string","Name":"string"},"ShippingAddress":{"Ward":{"Code":"string","Name":"string"},"Address":"string","District":{"Code":"string","Name":"string"},"Receiver":{"Name":"string","PhoneNumber":"string"},"Province ":{"Code":"string","Name":"string"}},"TotalItemsAmount":1.1,"TotalShippingFee":1.1,"ApplyWithPartnerCampaign":0,"TotalAppliedPromotionAmount":1.1},"PaymentInstrument":"string","VerificationMethod":"string"}}}'
WHERE code = 'POS_PROMOTION';
ALTER TABLE  `items` ADD COLUMN `partner_campaign_code` VARCHAR(255);</t>
  </si>
  <si>
    <t>[OM][CMP][Non-prod]Tạo redis DB cho dự án consent management platform</t>
  </si>
  <si>
    <t>2026-06-15T09:50:49.183+0700</t>
  </si>
  <si>
    <t>2026-06-15T09:50:59.860+0700</t>
  </si>
  <si>
    <t>Consent</t>
  </si>
  <si>
    <t>Yêu cầu triển khai cụm  Redis Cluster (3 Master - 3 Slave)  phân bổ đều trên  3 AZs  đảm bảo HA: Auto-Failover:  Cấu hình  cluster-node-timeout 5000  để tự động bầu Master mới sau 5 giây. Tài nguyên:  Giới hạn  maxmemory  và cài  maxmemory-policy volatile-lru  để chống sập node do lỗi OOM (Out of Memory). Bền vững &amp; Bảo mật:  Bật đồng thời  RDB  +  AOF  ( everysec ) giúp phục hồi nhanh không nghẽn đĩa; kích hoạt  TLS/SSL  toàn phần cho cổng client và cluster bus nội bộ.</t>
  </si>
  <si>
    <t>[VinPay][MerchantHub][Prod] Bổ sung tnc cho merchant hub</t>
  </si>
  <si>
    <t>2026-06-15T09:03:11.499+0700</t>
  </si>
  <si>
    <t>2026-06-15T09:03:25.492+0700</t>
  </si>
  <si>
    <t>Dear DBA, nhờ team chạy giúp SQL bên dưới để insert thêm 2 bản ghi TNC phục vụ cho merchant hub Thông tin database saas_tpay:  pay-tidb.int.onemount.com:4000/saas_tpay SQL INSERT INTO SYSTEM_CONFIGURATION
(SYSTEM_PARAM_CODE, SYSTEM_PARAM_NAME, SYSTEM_PARAM_VALUE, IS_ACTIVE, IS_ENCRYPTED, CREATED_BY, UPDATED_BY, UPDATED_DATE, CREATED_DATE)
VALUES('merchantAppTaxDeclaration', 'merchantAppTaxDeclaration', 'TC-03062026-082894', 1, NULL, NULL, NULL, now(), now());
INSERT INTO SYSTEM_CONFIGURATION
(SYSTEM_PARAM_CODE, SYSTEM_PARAM_NAME, SYSTEM_PARAM_VALUE, IS_ACTIVE, IS_ENCRYPTED, CREATED_BY, UPDATED_BY, UPDATED_DATE, CREATED_DATE)
VALUES('merchantAppTnCQRCode', 'merchantAppTnCQRCode', 'TC-03062026-082793', 1, NULL, NULL, NULL, now(), now());</t>
  </si>
  <si>
    <t xml:space="preserve">[PROD][UPay] Cập nhật logic cấu hình ngân hàng phát hành thẻ, Refund giao dịch QR SmartPOS/SmartNet/SoftPOS/ SoundPOS trên Portal, Promotion campaign management via Smartpos - usecase GGG, Onboard Soundbox cho KHDN </t>
  </si>
  <si>
    <t>2026-06-14T17:51:26.018+0700</t>
  </si>
  <si>
    <t>2026-06-14T17:52:03.222+0700</t>
  </si>
  <si>
    <t>Hi các anh team DBA, Bên em có golive ngày 23h59 ngày 13/06/2026 ạ Nhờ team chạy giúp em script sau ạ Thông tin database saas_tpay:  pay-tidb.int.onemount.com:4000/saas_tpay Bên e có thêm cột ở các bảng  TRANSACTION_MASTER ,  CARD_PAYMENT_TRANSACTION_DETAIL ,  TRANSACTION_DETAIL đây là các bảng lớn có nhiều dữ liệu nhờ team chạy trước giúp e ạ, các câu còn lại có thể xử lý vào thời điểm golive ạ script thêm cột ở các bảng  TRANSACTION_MASTER ,  CARD_PAYMENT_TRANSACTION_DETAIL ,  TRANSACTION_DETAIL ALTER TABLE TRANSACTION_MASTER ADD COLUMN promotion_detail MEDIUMTEXT;
ALTER TABLE CARD_PAYMENT_TRANSACTION_DETAIL
    ADD COLUMN discount_code           VARCHAR(255),
    ADD COLUMN discount_transaction_id VARCHAR(255),
    ADD COLUMN discount_amount BIGINT,
    ADD COLUMN discount_user_id        VARCHAR(255);
ALTER TABLE TRANSACTION_DETAIL
    ADD COLUMN discount_code           VARCHAR(255),
    ADD COLUMN discount_transaction_id VARCHAR(255),
    ADD COLUMN discount_user_id        VARCHAR(255); các script còn lại INSERT IGNORE INTO INSTALLMENT_BANK_ACCEPTANCE_CONFIG (
    channel,
    provider_code,
    bank_code,
    scope_type,
    scope_code,
    is_active,
    note
)
SELECT DISTINCT
    card.channel,
    card.provider_code,
    card.bank_code,
    'TCB_ACCEPTED',
    'TCB',
    1,
    'Backfilled active for existing TCB provider banks'
FROM INSTALLMENT_CARD_ACCEPTANCE card
WHERE card.provider_code = 'TCB'
  AND card.bank_code IS NOT NULL;
INSERT IGNORE INTO INSTALLMENT_BANK_ACCEPTANCE_CONFIG (
    channel,
    provider_code,
    bank_code,
    scope_type,
    scope_code,
    is_active,
    note
)
SELECT DISTINCT
    card.channel,
    card.provider_code,
    card.bank_code,
    'TCB_ACCEPTED',
    'TCB',
    0,
    'Backfilled inactive for BK provider banks; enable manually when TCB accepts this bank'
FROM INSTALLMENT_CARD_ACCEPTANCE card
WHERE card.provider_code = 'BK'
  AND card.bank_code IS NOT NULL;
INSERT INTO vinidpay_tcb_payment_uat.SYSTEM_CONFIGURATION (SYSTEM_PARAM_CODE, SYSTEM_PARAM_NAME, SYSTEM_PARAM_VALUE, IS_ACTIVE)
VALUES ('MERCHANT_GGG_CONFIG', 'config merchant voucher ggg', 'NCCQSFYK', 1);
update SYSTEM_CONFIGURATION set SYSTEM_PARAM_VALUE = '{
    "disallowed_void_bins_tcb": [
        "401148",
        "402156",
        "422149",
        "422150",
        "457451",
        "478097",
        "489044",
        "970407"
    ],
    "void_config": {
        "international_card": {
            "allowed_transaction_type": [
                "PAYMENT",
                "CARD-VERIFY",
                "SALE-COMPLETION"
            ],
            "disallowed_void_bins": [],
            "void_cutoff_schedule": [
                {
                    "days": [
                        "MONDAY"
                    ],
                    "cutoff_time": "11:59:59"
                },
                {
                    "days": [
                        "TUESDAY",
                        "WEDNESDAY",
                        "THURSDAY",
                        "FRIDAY"
                    ],
                    "cutoff_time": "20:59:59"
                },
                {
                    "days": [
                        "SATURDAY",
                        "SUNDAY"
                    ],
                    "cutoff_time": "NOT_CHECK_CUT_OFF_TIME"
                }
            ]
        },
        "domestic_card": {
            "allowed_transaction_type": [
                "PAYMENT",
                "CARD-VERIFY",
                "SALE-COMPLETION"
            ],
            "disallowed_void_bins": [],
            "void_cutoff_schedule": [
                {
                    "days": [
                        "MONDAY",
                        "TUESDAY",
                        "WEDNESDAY",
                        "THURSDAY",
                        "FRIDAY",
                        "SATURDAY",
                        "SUNDAY"
                    ],
                    "cutoff_time": "23:59:59"
                }
            ]
        }
    },
    "refund_config": {
        "global_enable": false,
        "merchant_enable": {
            "OMG": true,
            "NCC450AX": true,
            "NCCQSFYK": true,
            "HKDTHUTHUY": true
        },
        "international_card": {
            "allowed_transaction_type": [
                "PAYMENT",
                "SALE-COMPLETION"
            ],
            "disallowed_refund_bins": [],
            "max_days_refund": "300",
            "minimum_amount_refund": "1"
        },
        "domestic_card": {
            "allowed_transaction_type": [
                "PAYMENT",
                "SALE-COMPLETION"
            ],
            "disallowed_refund_bins": [],
            "max_days_refund": "300",
            "minimum_amount_refund": "1"
        },
        "qr": {
              "allowed_transaction_type": ["PAYMENT"],
              "disallowed_refund_account_number": [],
              "max_days_refund": "60",
              "minimum_amount_refund": "2000"
        }
    }
}' where SYSTEM_PARAM_CODE = 'CONFIG_VOID_AND_REFUND_CHANNEL_SMARTPOS';
update SYSTEM_CONFIGURATION set SYSTEM_PARAM_VALUE = '{
    "disallowed_void_bins_tcb": [
        "401148",
        "402156",
        "422149",
        "422150",
        "457451",
        "478097",
        "489044",
        "970407"
    ],
    "void_config": {
        "international_card": {
            "allowed_transaction_type": [
                "PAYMENT"
            ],
            "disallowed_void_bins": [],
            "void_cutoff_schedule": [
                {
                    "days": [
                        "MONDAY"
                    ],
                    "cutoff_time": "11:59:59"
                },
                {
                    "days": [
                        "TUESDAY",
                        "WEDNESDAY",
                        "THURSDAY",
                        "FRIDAY"
                    ],
                    "cutoff_time": "20:59:59"
                },
                {
                    "days": [
                        "SATURDAY",
                        "SUNDAY"
                    ],
                    "cutoff_time": "NOT_CHECK_CUT_OFF_TIME"
                }
            ]
        },
        "domestic_card": {
            "allowed_transaction_type": [
                "PAYMENT"
            ],
            "disallowed_void_bins": [],
            "void_cutoff_schedule": [
                {
                    "days": [
                        "MONDAY",
                        "TUESDAY",
                        "WEDNESDAY",
                        "THURSDAY",
                        "FRIDAY",
                        "SATURDAY",
                        "SUNDAY"
                    ],
                    "cutoff_time": "23:59:59"
                }
            ]
        }
    },
    "refund_config": {
        "global_enable": false,
        "merchant_enable": {
            "OMG": true,
            "NCC450AX": true,
            "NCCQSFYK": true,
            "HKDTHUTHUY": true
        },
        "international_card": {
            "allowed_transaction_type": [
                "PAYMENT"
            ],
            "disallowed_refund_bins": [],
            "max_days_refund": "90",
            "minimum_amount_refund": "1"
        },
        "domestic_card": {
            "allowed_transaction_type": [
                "PAYMENT"
            ],
            "disallowed_refund_bins": [],
            "max_days_refund": "90",
            "minimum_amount_refund": "1"
        },
        "qr": {
              "allowed_transaction_type": ["PAYMENT"],
              "disallowed_refund_account_number": [],
              "max_days_refund": "60",
              "minimum_amount_refund": "2000"
        }
    }
}' where SYSTEM_PARAM_CODE = 'CONFIG_VOID_AND_REFUND_CHANNEL_SOFTPOS';
update SYSTEM_CONFIGURATION set SYSTEM_PARAM_VALUE = '{
    "disallowed_void_bins_tcb": [
        "401148",
        "402156",
        "422149",
        "422150",
        "457451",
        "478097",
        "489044",
        "970407"
    ],
    "void_config": {
        "international_card": {
            "allowed_transaction_type": [
                "PAYMENT"
            ],
            "disallowed_void_bins": [],
            "void_cutoff_schedule": [
                {
                    "days": [
                        "MONDAY"
                    ],
                    "cutoff_time": "11:59:59"
                },
                {
                    "days": [
                        "TUESDAY",
                        "WEDNESDAY",
                        "THURSDAY",
                        "FRIDAY"
                    ],
                    "cutoff_time": "20:59:59"
                },
                {
                    "days": [
                        "SATURDAY",
                        "SUNDAY"
                    ],
                    "cutoff_time": "NOT_CHECK_CUT_OFF_TIME"
                }
            ]
        },
        "domestic_card": {
            "allowed_transaction_type": [
                "PAYMENT"
            ],
            "disallowed_void_bins": [],
            "void_cutoff_schedule": [
                {
                    "days": [
                        "MONDAY",
                        "TUESDAY",
                        "WEDNESDAY",
                        "THURSDAY",
                        "FRIDAY",
                        "SATURDAY",
                        "SUNDAY"
                    ],
                    "cutoff_time": "23:59:59"
                }
            ]
        }
    },
    "refund_config": {
        "global_enable": false,
        "merchant_enable": {
            "NCCQSFYK": true
        },
        "international_card": {
            "allowed_transaction_type": [
                "PAYMENT"
            ],
            "disallowed_refund_bins": [],
            "max_days_refund": "300",
            "minimum_amount_refund": "1"
        },
        "domestic_card": {
            "allowed_transaction_type": [
                "PAYMENT"
            ],
            "disallowed_refund_bins": [],
            "max_days_refund": "300",
            "minimum_amount_refund": "1"
        },
        "qr": {
            "allowed_transaction_type": ["PAYMENT"],
            "disallowed_refund_account_number": [],
            "max_days_refund": "60",
            "minimum_amount_refund": "2000"
        }
    }
}' where SYSTEM_PARAM_CODE = 'CONFIG_VOID_AND_REFUND_CHANNEL_SOUNDPOS';
CREATE TABLE MERCHANT_THRESHOLDS_AMOUNT (
                                           id INT AUTO_INCREMENT PRIMARY KEY,
                                           merchant_code VARCHAR(128),
                                           threshold_amount BIGINT,
                                           period_type VARCHAR(20),
                                           channel varchar(128),
                                           created_date DATETIME DEFAULT CURRENT_TIMESTAMP,
                                           threshold_description varchar(500),
                                           status TINYINT(1) NOT NULL DEFAULT 0,
                                           created_by VARCHAR(100)
) AUTO_ID_CACHE=1 ENGINE=InnoDB DEFAULT CHARSET=utf8mb4 COLLATE=utf8mb4_unicode_ci
;
ALTER TABLE UNIFIED_STORE ADD COLUMN description VARCHAR(500),
ADD COLUMN area VARCHAR(255);
INSERT INTO SYSTEM_CONFIGURATION (
   SYSTEM_PARAM_CODE,
   SYSTEM_PARAM_NAME,
   SYSTEM_PARAM_VALUE,
   IS_ACTIVE,
   IS_ENCRYPTED
) VALUES (
            'MERCHANT_USE_DISCOUNT_SERVICE',
            'MERCHANT_USE_DISCOUNT_SERVICE',
            'NCCQSFYK',
            1,
            NULL
        );
INSERT INTO SYSTEM_CONFIGURATION (
   SYSTEM_PARAM_CODE,
   SYSTEM_PARAM_NAME,
   SYSTEM_PARAM_VALUE,
   IS_ACTIVE,
   IS_ENCRYPTED
) VALUES (
            'CALLBACK_GGG_MERCHANT_CONFIG',
            'Callback GGG merchant config',
            '{"NCCQSFYK":"/api/v1/payment-gateway/techcombank/smart-pos/webhook"}',
            1,
            NULL
        );</t>
  </si>
  <si>
    <t>[QR247] [PROD] Update giao dịch trùng lặp cho merchant Wincommerce</t>
  </si>
  <si>
    <t>2026-06-13T12:43:00.263+0700</t>
  </si>
  <si>
    <t>2026-06-13T12:43:07.416+0700</t>
  </si>
  <si>
    <t>Hi anh/em DBA, Nhờ anh/em chạy giúp em script bên dưới để cập nhật các giao dịch bị lỗi duplicate của merchant Wincommerce UPDATE TRANSACTION_DETAIL
SET 
    ft_id = 'FT26160280681244',
    tcb_transaction_id = 'MD09178097286429099',
    transaction_amount = 71700,
    transaction_time = '2026-06-09 09:41:04',
    value_date = '2026-06-09',
    notify_date = '2026-06-09 09:41:25',
    transaction_status = 'SUCCESS'
WHERE id = '3e43d13d25a14769aae567a0b615a5f0';
-----------------------------------------------
UPDATE TRANSACTION_DETAIL
SET 
    ft_id = 'FT26160370197691',
    tcb_transaction_id = 'MD091780972867044L6',
    transaction_amount = 535400,
    transaction_time = '2026-06-09 09:41:07',
    value_date = '2026-06-09',
    notify_date = '2026-06-09 09:42:07',
    transaction_status = 'SUCCESS'
WHERE id = '2fc092ab3a7143c79b07ddaf0d432339';
-----------------------------------------------
UPDATE TRANSACTION_DETAIL
SET
    transaction_id = '77866fd3f4164e3c9b679e9f4baa0f4b_BAK'
WHERE id = '2de3922ffbf847ed8a9b091ac5a88500';
-----------------------------------------------
UPDATE TRANSACTION_DETAIL
SET
    transaction_id = 'f41fabca8ee8419ba7ab8adcb7e0be4e_BAK'
WHERE id = 'ebe496777067451ab6e6ac0097ac0d41';</t>
  </si>
  <si>
    <t>[UPAY] Tác động database config cho BVMTW</t>
  </si>
  <si>
    <t>2026-06-13T12:40:47.806+0700</t>
  </si>
  <si>
    <t>2026-06-13T12:40:53.983+0700</t>
  </si>
  <si>
    <t>Dear team,  Nhờ team hỗ trợ chạy script sau để support config cho merchant  BVMTW Thời gian : Chạy ngay sau khi được approval  Thông tin db:    jdbc:mysql://pay-tidb.int.onemount.com:4000/saas_tpay   INSERT INTO `MERCHANT_PUBLIC_KEY` (
    `merchant_code`,
    `partner_code`,
    `key_version`,
    `algorithm`,
    `key_type`,
    `key_size`,
    `public_key`,
    `status`,
    `effective_from`,
    `created_at`,
    `updated_at`
)
SELECT 
    'BVMTW' AS merchant_code,
    'SMARTPOS' AS partner_code,
    'v1' AS key_version,
    'SHA256withRSA' AS algorithm,
    'RSA_PUBLIC' AS key_type,
    2048 AS key_size,
    `public_key`,
    'ACTIVE' AS status,
    CURRENT_TIMESTAMP AS effective_from,
    CURRENT_TIMESTAMP AS created_at,
    CURRENT_TIMESTAMP AS updated_at
FROM `PARTNER` 
WHERE `merchant_code` = 'BVMTW'
UNION ALL
SELECT 
    'BVMTW_KTYC' AS merchant_code,
    'SMARTPOS' AS partner_code,
    'v1' AS key_version,
    'SHA256withRSA' AS algorithm,
    'RSA_PUBLIC' AS key_type,
    2048 AS key_size,
    `public_key`,
    'ACTIVE' AS status,
    CURRENT_TIMESTAMP AS effective_from,
    CURRENT_TIMESTAMP AS created_at,
    CURRENT_TIMESTAMP AS updated_at
FROM `PARTNER` 
WHERE `merchant_code` = 'BVMTW';</t>
  </si>
  <si>
    <t>[Merchant-TCB] Thêm quyền module Quản lý ngân sách &amp; Quản lý chương trình khuyến mại</t>
  </si>
  <si>
    <t>2026-06-13T12:08:30.854+0700</t>
  </si>
  <si>
    <t>2026-06-13T12:08:42.754+0700</t>
  </si>
  <si>
    <t>Dear team, nhờ team chạy giúp câu lệnh bên dưới ạ. Thông tin database https://console.cloud.google.com/sql/instances/merchant-tcb/overview?inv=1&amp;invt=AbsndA&amp;project=vinid-merchant-prod DB_MYSQL_HOST=172.31.4.108 DB_MYSQL_DATABASE=merchant_service_tcb Câu lệnh INSERT INTO `tpay_staff_permission` (`created_at`, `updated_at`, `deleted_at`, `module`, `code`, `name`, `description`) VALUES
('2026-06-12 07:00:00', '2026-06-12 07:00:00', NULL, 'Quản lý ngân sách', 'view:budget_list', 'Xem danh sách ngân sách', 'Người dùng có quyền xem danh sách ngân sách'),
('2026-06-12 07:00:00', '2026-06-12 07:00:00', NULL, 'Quản lý ngân sách', 'create:budget', 'Tạo mới ngân sách', 'Người dùng có quyền tạo mới ngân sách'),
('2026-06-12 07:00:00', '2026-06-12 07:00:00', NULL, 'Quản lý ngân sách', 'view:budget_request_list', 'Xem danh sách yêu cầu tạo/chỉnh sửa ngân sách', 'Người dùng có quyền xem danh sách yêu cầu tạo/chỉnh sửa ngân sách'),
('2026-06-12 07:00:00', '2026-06-12 07:00:00', NULL, 'Quản lý ngân sách', 'approve:budget', 'Duyệt/Từ chối ngân sách', 'Người dùng có quyền duyệt/từ chối ngân sách'),
('2026-06-12 07:00:00', '2026-06-12 07:00:00', NULL, 'Quản lý ngân sách', 'edit:budget', 'Cập nhật ngân sách', 'Người dùng có quyền cập nhật ngân sách'),
('2026-06-12 07:00:00', '2026-06-12 07:00:00', NULL, 'Quản lý ngân sách', 'export:budget', 'Xuất danh sách/báo cáo ngân sách', 'Người dùng có quyền xuất danh sách/báo cáo ngân sách'),
('2026-06-12 07:00:00', '2026-06-12 07:00:00', NULL, 'Quản lý chương trình khuyến mại', 'view:promotion_list', 'Xem danh sách chương trình khuyến mại', 'Người dùng có quyền xem danh sách chương trình khuyến mại'),
('2026-06-12 07:00:00', '2026-06-12 07:00:00', NULL, 'Quản lý chương trình khuyến mại', 'create:promotion', 'Tạo mới chương trình khuyến mại', 'Người dùng có quyền tạo mới chương trình khuyến mại'),
('2026-06-12 07:00:00', '2026-06-12 07:00:00', NULL, 'Quản lý chương trình khuyến mại', 'view:promotion_request_list', 'Xem danh sách yêu cầu tạo/chỉnh sửa CTKM', 'Người dùng có quyền xem danh sách yêu cầu tạo/chỉnh sửa CTKM'),
('2026-06-12 07:00:00', '2026-06-12 07:00:00', NULL, 'Quản lý chương trình khuyến mại', 'approve:promotion', 'Duyệt/Từ chối CTKM', 'Người dùng có quyền duyệt/từ chối CTKM'),
('2026-06-12 07:00:00', '2026-06-12 07:00:00', NULL, 'Quản lý chương trình khuyến mại', 'edit:promotion', 'Cập nhật CTKM', 'Người dùng có quyền cập nhật CTKM'),
('2026-06-12 07:00:00', '2026-06-12 07:00:00', NULL, 'Quản lý chương trình khuyến mại', 'export:promotion', 'Xuất danh sách/báo cáo CTKM', 'Người dùng có quyền xuất danh sách/báo cáo CTKM');</t>
  </si>
  <si>
    <t>[CBP-Listing] Hỗ trợ backup MongoDB phục vụ migration dữ liệu Listing trong đợt Go-Live ngày 13/06/2026</t>
  </si>
  <si>
    <t>2026-06-13T10:27:19.890+0700</t>
  </si>
  <si>
    <t>2026-06-13T10:28:11.214+0700</t>
  </si>
  <si>
    <t>Product</t>
  </si>
  <si>
    <t>DB schema:  omre_cbp_listing Snapshot toàn bộ schema, thực hiện sau khi APP được publish ạ. Nhờ các anh/chị DBA hỗ trợ Team với ạ.</t>
  </si>
  <si>
    <t>[Merchant-TCB] Thêm index cho tpay_merchant_document_requests trên Production</t>
  </si>
  <si>
    <t>2026-06-12T18:12:35.791+0700</t>
  </si>
  <si>
    <t>2026-06-12T18:13:17.943+0700</t>
  </si>
  <si>
    <t>Merchant_Service</t>
  </si>
  <si>
    <t>Dear team, Trên Production, endpoint danh sách yêu cầu chứng từ TPay GET  /tcb-ops/api/tpay/merchant-document/request  lỗi MySQL 1038 "Out of sort memory" khi lọc chỉ theo status (status=WAITING, không có tcb_merchant_code).  Nguyên nhân: Query danh sách sort kèm cột data (JSON, có dòng ~424KB) vượt sort_buffer_size (256KB) → tràn filesort → lỗi 1038. Index hiện có chưa phủ trường hợp lọc theo  status  đơn lẻ. Nhờ team thêm index idx_tpay_mdr_status_id (status, id) (online DDL, không lock). Thông tin database https://console.cloud.google.com/sql/instances/merchant-tcb/overview?inv=1&amp;invt=AbsndA&amp;project=vinid-merchant-prod DB_MYSQL_HOST=172.31.4.108
DB_MYSQL_DATABASE=merchant_service_tcb Các bước: ALTER TABLE tpay_merchant_document_requests
  ADD INDEX idx_tpay_mdr_status_id (status, id), ALGORITHM=INPLACE, LOCK=NONE;</t>
  </si>
  <si>
    <t>[LP][Core][TCB] - Update data phục vụ campaign MKT 062026 (Tháng 06 lần 3)</t>
  </si>
  <si>
    <t>2026-06-12T16:21:38.491+0700</t>
  </si>
  <si>
    <t>2026-06-12T16:22:48.020+0700</t>
  </si>
  <si>
    <t>Dear DBA Team, Nhờ team thực hiện insert data phục vụ campaign MKT 062026 lần 03, theo các bước sau: Thông tin database: IP: 10.255.23.119 Service name: oneloyaltydb Port: 1521 schema app: OLOYALTY Bước 1: Tạo bảng tạm CREATE TABLE OLOYALTY.CST_TARGET_GROUP_062026_03
(
    "ID"             NUMBER(10,0) GENERATED BY DEFAULT ON NULL AS IDENTITY,
    "LOYALTY_ID"           VARCHAR2(32 BYTE) DEFAULT NULL,
    "CST_TARGET_GROUP"           VARCHAR2(256 BYTE) DEFAULT NULL,
    PRIMARY KEY ("ID")
); Bước 02: Load dữ liệu tất cả các files trong thư mục đính kèm vào bảng tạm Bước 03: Insert data vào bảng Member Attribute từ bảng bảng tạm 3.1. Kiểm số row bảng   CST_TARGET_GROUP_062026_03 SELECT /*+ parallel(16) */ count(*) FROM OLOYALTY.CST_TARGET_GROUP_062026_03; 3.2 Kiểm tra trùng ,  báo lại dự án nếu có SELECT /*+ parallel(16) */ LOYALTY_ID,count(*) FROM OLOYALTY.CST_TARGET_GROUP_062026_03 GROUP BY LOYALTY_ID HAVING count(*) &gt; 1; 3.3 Kiểm tra số dòng dự kiến update, báo lại dự án nếu số dòng khác với số dòng của bảng   CST_TARGET_GROUP_062026_03 .   Note: Có thể bỏ qua nếu câu lệnh chạy quá lâu SELECT /*+ parallel(16) */ count(*) 
	FROM OLOYALTY.MEMBER m 
	JOIN OLOYALTY.CST_TARGET_GROUP_062026_03 b ON m.PARTNER_CUSTOMER_ID = b.LOYALTY_ID 
	WHERE m.PROGRAM_ID = 426
		AND m.id = ma.MEMBER_ID 
        AND ma.VALUE = 'BASES0626_ETB_QR1';   3.4 Chạy lệnh update UPDATE /*+ parallel(ma, 16) */ OLOYALTY.MEMBER_ATTRIBUTE ma
SET STATUS = 'I', CREATED_BY = 'MKT_202606_03'
WHERE PROGRAM_ATTRIBUTE_ID = 423 
  AND EXISTS (
      SELECT /*+ parallel(m, 16) parallel(b, 16) */ 1
      FROM OLOYALTY.MEMBER m 
      JOIN OLOYALTY.CST_TARGET_GROUP_062026_03 b ON m.PARTNER_CUSTOMER_ID = b.LOYALTY_ID 
      WHERE m.PROGRAM_ID = 426
        AND m.id = ma.MEMBER_ID 
        AND ma.VALUE = REPLACE(b.CST_TARGET_GROUP, CHR(13), '')
  ); 3.5 Kiểm tra kết quả cuối cùng SELECT /*+ parallel(16) */ count(*) FROM OLOYALTY.MEMBER_ATTRIBUTE ma 
WHERE ma.PROGRAM_ATTRIBUTE_ID = 423 AND ma.CREATED_BY = 'MKT_202606_03';   Thanks!</t>
  </si>
  <si>
    <t>[PROD] Hỗ trợ chạy lệnh SQL phục vụ golive ngày 11/06</t>
  </si>
  <si>
    <t>2026-06-12T14:19:36.631+0700</t>
  </si>
  <si>
    <t>2026-06-12T14:19:50.713+0700</t>
  </si>
  <si>
    <t>Dear anh Nghĩa, Ngày 11/06 lúc 21h team AI có thực hiện golive tính năng context engine, nhờ anh hỗ trợ team chạy các câu lệnh SQL nhé ạ. Thông tin DB: IP: omc-tidb-mtp.int.onemount.com
Port: 4000
DB Name: omc_context_engine SQL:</t>
  </si>
  <si>
    <t>[OM][TCB Sales App][PROD] Bổ sung thêm index cho bảng Action DB TCB Sale App</t>
  </si>
  <si>
    <t>2026-06-12T14:03:43.577+0700</t>
  </si>
  <si>
    <t>2026-06-12T14:03:53.088+0700</t>
  </si>
  <si>
    <t>SalesApp, TSA</t>
  </si>
  <si>
    <t>Dear DBA team, hiện tại hệ thống TSA đang có 1 số query bị chậm do query đang chưa được index đúng nên em nhờ anh tạo thêm giúp em các index mới cho table Action trên production với ạ 1 số query bị chậm  select action0_.id as col_0_0_, action0_.createdAt as col_1_0_, action0_.completedTime as col_2_0_, action0_.createdBy as col_3_0_, action0_.description as col_4_0_, action0_.forceComplete as col_5_0_, action0_.lastModifiedAt as col_6_0_, action0_.lastModifiedBy as col_7_0_, action0_.latitude as col_8_0_, action0_.longitude as col_9_0_, action0_.name as col_10_0_, action0_.startedTime as col_11_0_, action0_.status as col_12_0_, action0_.task_id as col_13_0_, action0_.type as col_14_0_ from Action action0_ where (action0_.startedTime between ? and ?) and (action0_.createdBy in (? , ? , ? , ? , ? , ? , ? , ? , ? , ? , ?)) order by action0_.createdAt DESC limit ?
select action0_.id as col_0_0_, action0_.status as col_1_0_, action0_.completedTime as col_2_0_, action0_.forceComplete as col_3_0_, action0_.startedTime as col_4_0_, action0_.type as col_5_0_, action0_.task_id as col_6_0_, task1_.store_id as col_7_0_, task1_.sale_id as col_8_0_ from Action action0_ left outer join Task task1_ on action0_.task_id=task1_.id where (task1_.sale_id in (? , ? , ? , ? , ? , ? , ? , ? , ? , ? , ?)) and action0_.status=? and action0_.startedTime&gt;=? and action0_.startedTime&lt;=? and (action0_.startedTime is not ?) and (action0_.completedTime is not ?) Thông tin DB Project: omd-pos-prod Instance: main-pos-integration IP: 172.31.3.63 DB: omd_saleapp_tcb_prod Thời gian thực hiện:  sau  22h   Script ALTER TABLE Action
  ADD INDEX idx_createdby_started_type (createdBy, startedTime, type),
  ADD INDEX idx_task_status_started (task_id, status, startedTime, completedTime),
  ALGORITHM=INPLACE, LOCK=NONE; Em xin cám ơn</t>
  </si>
  <si>
    <t>[PROD][OMC][LP][Core] Hỗ trợ update data card_type_group</t>
  </si>
  <si>
    <t>2026-06-12T11:25:58.326+0700</t>
  </si>
  <si>
    <t>2026-06-12T11:30:45.420+0700</t>
  </si>
  <si>
    <t>Hi team, nhờ team DBA chạy script này trên môi trường PROD của DB Loyalty Oracle giúp team Loyalty ạ. Database information IP: 10.255.23.119 Service name: oneloyaltydb Port: 1521 Schema app: OLOYALTY Time Run ticket: 12/05/2026  Nội dung script UPDATE CARD_TYPE_GROUP
SET CARD_GROUP_ID = 'Card_04'
    WHERE CARD_GROUP_ID NOT IN ('Card_01', 'Card_02', 'Card_03', 'Card_04');
COMMIT;</t>
  </si>
  <si>
    <t>2026-06-12T11:04:01.333+0700</t>
  </si>
  <si>
    <t>2026-06-12T11:04:22.946+0700</t>
  </si>
  <si>
    <t>Dear  @Đào Công Nghĩa   Nhờ em chạy  luôn giúp bên anh lệnh script clone attribute  voucher_accepted_merchants  từ channel TCBM → ONEU cho voucher  VD_VC_1781085479821 insert into vincart_mm_product.entity_attributes_values (attribute_id, "value", name,
                                                             entity_id,
                                                             type, display_order, channel_code)
select attribute_id,
       "value",
       name,
       entity_id,
       type,
       display_order,
       'ONEU'
from vincart_mm_product.entity_attributes_values
WHERE name = 'voucher_accepted_merchants' 
  and type = 'VARIANT'
  and entity_id = (select id from vincart_mm_product.variants where code = 'VD_VC_1781085479821');</t>
  </si>
  <si>
    <t>Hỗ trợ Migate Database Mysql dự án MPM nonprod</t>
  </si>
  <si>
    <t>2026-06-12T10:53:18.940+0700</t>
  </si>
  <si>
    <t>2026-06-12T10:53:38.814+0700</t>
  </si>
  <si>
    <t>Dear team DBA, Nhờ các anh hỗ trợ e migrate database Mysql dự án MPM Nonprod từ account  Sandbox (051826720730)  sang account  MPM-Nonprod (041648228709)  với thông tin như sau: SSM:  i-0100fcfb8518fc62b DB instance:  mag-mpm-np-mysql.c1m4a0sge4ub.ap-southeast-1.rds.amazonaws.com Port:  3306 Em cảm ơn các anh đã hỗ trợ.</t>
  </si>
  <si>
    <t>[MAG][GBIA][NonProd] Request tạo database cho dự án GBIA Amanda trên môi trường non-prod</t>
  </si>
  <si>
    <t>2026-06-12T10:49:31.625+0700</t>
  </si>
  <si>
    <t>2026-06-15T10:26:12.009+0700</t>
  </si>
  <si>
    <t>Dear anh  @Nguyễn Văn Duy  và DBA team, Dự án GBIA  triển khai cho MAG cần tạo Postgress DB  trên hạ tầng AWS. Vì thế e tạo ticket nhờ anh support team khởi tạo db với ạ. Thông tin dự án :    Thông tin database: dev: gbia_amanda_core_dev dev: gbia_amanda_document_dev dev: gbia_amanda_data_transfer_dev Em xin cám ơn ạ</t>
  </si>
  <si>
    <t xml:space="preserve">[UPAY] Tác động database hỗ trợ refund </t>
  </si>
  <si>
    <t>2026-06-11T19:12:02.224+0700</t>
  </si>
  <si>
    <t>2026-06-11T19:12:08.697+0700</t>
  </si>
  <si>
    <t>Dear team,  Nhờ team hỗ trợ chạy script sau để merchant thực hiện refund lại giao dịch  Thời gian : Chạy ngay sau khi được approval  Thông tin db:    jdbc:mysql://pay-tidb.int.onemount.com:4000/saas_tpay UPDATE CARD_PAYMENT_TRANSACTION_DETAIL 
SET transaction_status = 'FAIL' 
WHERE transaction_id IN (
    '1841333067db4b91909927c0848b9eed',
    '1841333067db4b91909927c0848b9eed',
    '842026786e3e46949525f415f07212df',
    'b6d27c7beb4142ddaadb1132ed7cdb47',
    '155f4dc71bbf4f25b9766acb435e8e64',
    '84753d732f52443ea698ddc3de870293',
    '6316033123204f0b9ef88828524e11e6',
    'ed3d1d0ab519498d82afa94c563a44d7',
    '4e9cab1d94274f3496989d87746ce25a',
    '25df1e3f53404a6d8c6d9d65524e9a3c',
    'ef0aac2b334946fd845912c410324dd1',
    '40f2dcfcd13e453caa456debdc9d31cd',
    'e97fb2c7c96b48438569c2bf83c66dc6',
    '0653117d5ebe41e093dba74558c965e1'
) 
AND transaction_type = 'REFUND' 
AND transaction_status = 'INIT'; Thông tin db:  jdbc:mysql://vinpay-sql-saas-master.int.vinid.net:3306/saas_maker_checker UPDATE REQUEST_MASTER 
SET status = 'REJECTED' 
WHERE OBJECT_ID IN (
    64098,
    64097,
    64099,
    64100,
    64111,
    64407,
    64408,
    64406,
    64409,
    64411,
    64410,
    64413,
    64412,
    64415
) and STATUS = 'IN_REVIEW';</t>
  </si>
  <si>
    <t xml:space="preserve">[Non-PROD][UPay] Cập nhật logic cấu hình ngân hàng phát hành thẻ, Refund giao dịch QR SmartPOS/SmartNet/SoftPOS/ SoundPOS trên Portal, Promotion campaign management via Smartpos - usecase GGG, Onboard Soundbox cho KHDN </t>
  </si>
  <si>
    <t>2026-06-11T17:01:13.632+0700</t>
  </si>
  <si>
    <t>2026-06-11T17:01:24.261+0700</t>
  </si>
  <si>
    <t>Hi các anh team DBA, Thông tin database saas_tpay:  pay-tidb.int.onemount.com:4000/saas_tpay Nhờ team chạy giúp em script sau ạ: CREATE TABLE IF NOT EXISTS INSTALLMENT_BANK_ACCEPTANCE_CONFIG (
                                                                  id BIGINT AUTO_INCREMENT PRIMARY KEY,
                                                                  channel VARCHAR(50) NOT NULL,
                                                                  provider_code VARCHAR(50) NOT NULL,
                                                                  bank_code VARCHAR(50) NOT NULL,
                                                                  scope_type VARCHAR(30) NOT NULL,
                                                                  scope_code VARCHAR(100) NOT NULL,
                                                                  is_active TINYINT(1) NOT NULL DEFAULT 1,
                                                                  note VARCHAR(255) NULL,
                                                                  created_by VARCHAR(100) NULL,
                                                                  updated_by VARCHAR(100) NULL,
                                                                  created_at DATETIME NOT NULL DEFAULT CURRENT_TIMESTAMP,
                                                                  updated_at DATETIME NOT NULL DEFAULT CURRENT_TIMESTAMP ON UPDATE CURRENT_TIMESTAMP,
                                                                  UNIQUE KEY uk_installment_bank_acceptance_cfg (
                                                                                                                 channel,
                                                                                                                 provider_code,
                                                                                                                 bank_code,
                                                                                                                 scope_type,
                                                                                                                 scope_code
                                                                      ),
                                                                  KEY idx_installment_bank_acceptance_lookup (
                                                                                                              channel,
                                                                                                              provider_code,
                                                                                                              scope_type,
                                                                                                              scope_code,
                                                                                                              is_active,
                                                                                                              bank_code
                                                                      )
) AUTO_ID_CACHE=1 ENGINE=InnoDB DEFAULT CHARSET=utf8mb4 COLLATE=utf8mb4_unicode_ci;
INSERT IGNORE INTO INSTALLMENT_BANK_ACCEPTANCE_CONFIG (
    channel,
    provider_code,
    bank_code,
    scope_type,
    scope_code,
    is_active,
    note
)
SELECT DISTINCT
    card.channel,
    card.provider_code,
    card.bank_code,
    'TCB_ACCEPTED',
    'TCB',
    1,
    'Backfilled active for existing TCB provider banks'
FROM INSTALLMENT_CARD_ACCEPTANCE card
WHERE card.provider_code = 'TCB'
  AND card.bank_code IS NOT NULL;
INSERT IGNORE INTO INSTALLMENT_BANK_ACCEPTANCE_CONFIG (
    channel,
    provider_code,
    bank_code,
    scope_type,
    scope_code,
    is_active,
    note
)
SELECT DISTINCT
    card.channel,
    card.provider_code,
    card.bank_code,
    'TCB_ACCEPTED',
    'TCB',
    0,
    'Backfilled inactive for BK provider banks; enable manually when TCB accepts this bank'
FROM INSTALLMENT_CARD_ACCEPTANCE card
WHERE card.provider_code = 'BK'
  AND card.bank_code IS NOT NULL;
CREATE TABLE MERCHANT_THRESHOLDS_AMOUNT (
                                    id INT AUTO_INCREMENT PRIMARY KEY,
                                    merchant_code VARCHAR(128),
                                    threshold_amount BIGINT,
                                    period_type VARCHAR(20),
                                    channel varchar(128),
                                    created_date DATETIME DEFAULT CURRENT_TIMESTAMP,
                                    created_by VARCHAR(100)
) AUTO_ID_CACHE=1 ENGINE=InnoDB DEFAULT CHARSET=utf8mb4 COLLATE=utf8mb4_unicode_ci;
CREATE TABLE MERCHANT_THRESHOLDS_LIMIT_AMOUNT (
                                           id INT AUTO_INCREMENT PRIMARY KEY,
                                           merchant_code VARCHAR(128),
                                           max_threshold_amount BIGINT,
                                           period_type VARCHAR(20),
                                           channel varchar(128),
                                           status varchar(20),
                                           created_date DATETIME DEFAULT CURRENT_TIMESTAMP,
                                           created_by VARCHAR(100)
) AUTO_ID_CACHE=1 ENGINE=InnoDB DEFAULT CHARSET=utf8mb4 COLLATE=utf8mb4_unicode_ci;
ALTER TABLE TRANSACTION_MASTER ADD COLUMN promotion_detail MEDIUMTEXT;
ALTER TABLE CARD_PAYMENT_TRANSACTION_DETAIL
   ADD COLUMN discount_code           VARCHAR(255),
   ADD COLUMN discount_transaction_id VARCHAR(255),
   ADD COLUMN discount_user_id        VARCHAR(255);
ALTER TABLE TRANSACTION_DETAIL
   ADD COLUMN discount_code           VARCHAR(255),
   ADD COLUMN discount_transaction_id VARCHAR(255),
   ADD COLUMN discount_user_id        VARCHAR(255);
ALTER TABLE UNIFIED_STORE ADD COLUMN description VARCHAR(500),
  ADD COLUMN area VARCHAR(255);
INSERT INTO SYSTEM_CONFIGURATION (
   SYSTEM_CONFIGURATION_ID,
   SYSTEM_PARAM_CODE,
   SYSTEM_PARAM_NAME,
   SYSTEM_PARAM_VALUE,
   IS_ACTIVE,
   IS_ENCRYPTED
) VALUES (
            5551554,
            'MERCHANT_USE_DISCOUNT_SERVICE',
            'MERCHANT_USE_DISCOUNT_SERVICE',
            '60954784,NCCHGRWY',
            1,
            NULL
        );
INSERT INTO SYSTEM_CONFIGURATION (
   SYSTEM_PARAM_CODE,
   SYSTEM_PARAM_NAME,
   SYSTEM_PARAM_VALUE,
   IS_ACTIVE,
   IS_ENCRYPTED
) VALUES (
            'CALLBACK_GGG_MERCHANT_CONFIG',
            'Callback GGG merchant config',
            '{"60954784":"/api/v1/payment-gateway/techcombank/smart-pos/webhook","NCCHGRWY":"/api/v1/payment-gateway/techcombank/smart-pos/webhook"}
',
            1,
            NULL
        );</t>
  </si>
  <si>
    <t>2026-06-11T15:54:49.771+0700</t>
  </si>
  <si>
    <t>2026-06-11T15:54:59.553+0700</t>
  </si>
  <si>
    <t>Dear anh Nghĩa, Nhờ anh hỗ trợ chạy giúp team lệnh SQL này với ạ IP: 172.31.1.197
DB: topup
SQL:
INSERT INTO `notification_banner` (`id`, `title`, `priority`, `data`, `from_date`, `to_date`, `enable`, `attributes`, `service_code`) VALUES (NULL, 'Trả trước', '1', '{\"icon\": \"https://cdn-merchant.vinid.net/images/gallery/web_oneu_home/1781165226_icon-warning.png\", \"message\": \"Lưu ý: Không hỗ trợ Nạp trực tiếp/Top-up cho thuê bao TRẢ SAU\", \"background_color\": \"#FEF7F7\"}', '2020-08-03 00:00:00', '2030-12-26 23:59:59', '1', NULL, '\"MOBILE_TOPUP\"'); Em cảm ơn anh</t>
  </si>
  <si>
    <t>[LP][Core][TCB] - Insert data phục vụ campaign MKT 062026 (Tháng 06 lần 2)</t>
  </si>
  <si>
    <t>2026-06-11T15:03:16.635+0700</t>
  </si>
  <si>
    <t>2026-06-11T15:03:39.258+0700</t>
  </si>
  <si>
    <t>Dear DBA Team, Nhờ team thực hiện insert data phục vụ campaign MKT 062026 lần 02, theo các bước sau: Thông tin database: IP: 10.255.23.119 Service name: oneloyaltydb Port: 1521 schema app: OLOYALTY   Bước 1: Tạo bảng tạm CREATE TABLE OLOYALTY.CST_TARGET_GROUP_062026_02
(
    "ID"             NUMBER(10,0) GENERATED BY DEFAULT ON NULL AS IDENTITY,
    "LOYALTY_ID"           VARCHAR2(32 BYTE) DEFAULT NULL,
    "CST_TARGET_GROUP"           VARCHAR2(256 BYTE) DEFAULT NULL,
    PRIMARY KEY ("ID")
); Bước 02: Load dữ liệu tất cả các files trong thư mục  đính kèm vào bảng tạm Bước 03: Insert data vào bảng Member Attribute từ bảng bảng tạm 3.1. Kiểm số row bảng   CST_TARGET_GROUP_062026_02 SELECT /*+ parallel(16) */ count(*) FROM OLOYALTY.CST_TARGET_GROUP_062026_02; 3.2 Kiểm tra trùng ,  báo lại dự án nếu có SELECT /*+ parallel(16) */ LOYALTY_ID,count(*) FROM OLOYALTY.CST_TARGET_GROUP_062026_02 GROUP BY LOYALTY_ID HAVING count(*) &gt; 1; 3.3 Kiểm tra số dòng dự kiến insert, báo lại dự án nếu số dòng khác với số dòng của bảng   CST_TARGET_GROUP_062026_02 .   Note: Có thể bỏ qua nếu câu lệnh chạy quá lâu SELECT /*+ parallel(16) */ count(*) FROM OLOYALTY.MEMBER m JOIN OLOYALTY.CST_TARGET_GROUP_062026_02 b ON m.PARTNER_CUSTOMER_ID = b.LOYALTY_ID WHERE m.PROGRAM_ID = 426;   3.4 Chạy lệnh insert INSERT INTO OLOYALTY.MEMBER_ATTRIBUTE (PROGRAM_ID, MEMBER_ID, PROGRAM_ATTRIBUTE_ID, VALUE, STATUS,CREATED_BY)
SELECT 426,
    m.id AS MEMBER_ID,
    423 AS PROGRAM_ATTRIBUTE_ID,
    REPLACE(b.CST_TARGET_GROUP, CHR(13) ,'') AS VALUE,
    'A' AS STATUS,
    'MKT_202606_02'
FROM OLOYALTY.MEMBER m JOIN OLOYALTY.CST_TARGET_GROUP_062026_02 b ON m.PARTNER_CUSTOMER_ID = b.LOYALTY_ID WHERE m.PROGRAM_ID = 426
; 3.5 Kiểm tra kết quả cuối cùng SELECT /*+ parallel(16) */ count(*) FROM OLOYALTY.MEMBER_ATTRIBUTE ma 
WHERE ma.PROGRAM_ATTRIBUTE_ID = 423 AND ma.CREATED_BY = 'MKT_202606_02';   Thanks!</t>
  </si>
  <si>
    <t>Hỗ trợ cập nhật trạng thái đơn treo tồn tháng kho thuanphong2</t>
  </si>
  <si>
    <t>2026-06-11T14:56:07.759+0700</t>
  </si>
  <si>
    <t>2026-06-11T14:59:06.320+0700</t>
  </si>
  <si>
    <t>Hi DBA team, Hiện tại kho thuanphong2 cần fix lỗi dữ liệu bị lệch trạng thái đơn gây treo tồn, nhờ team DBA hỗ trợ cập nhật theo thông tin dưới đây: Project : vinid-b2b-platform-prod Instance/IP : main (read-write): 172.31.4.59 Port : 3306 Database : omd_wms_thuanphong2 Query update order_hdr oh 
join order_item oi on oi.order_hdr_id = oh.order_hdr_id
set oh.order_status = 'NEW',
    oi.item_status = 'NEW',
    oh.last_modified_date = UTC_TIMESTAMP,
    oi.last_modified_date = UTC_TIMESTAMP
where oh.order_hdr_id in (371278, 371274);</t>
  </si>
  <si>
    <t>2026-06-11T13:44:24.421+0700</t>
  </si>
  <si>
    <t>2026-06-11T14:56:29.678+0700</t>
  </si>
  <si>
    <t>Dear anh  @Nguyễn Văn Duy  và DBA team, Dự án GBIA  triển khai cho MAG cần tạo Postgress DB  trên hạ tầng AWS. Vì thế e tạo ticket nhờ anh support team khởi tạo db với ạ. Thông tin dự án :  Thông tin database: dev: gbia_staffapp_workflow_history_dev Em xin cám ơn ạ cc  @Hoàng Trọng Lộc</t>
  </si>
  <si>
    <t>[SoftPOS] [PROD] Hỗ trợ update thông tin merchant</t>
  </si>
  <si>
    <t>2026-06-11T12:12:57.780+0700</t>
  </si>
  <si>
    <t>2026-06-11T12:13:16.691+0700</t>
  </si>
  <si>
    <t>Dear team DBA. Team Pay có thực hiện update thông tin cho merchant. Nhờ team DBA hỗ trợ với thông tin cụ thể như sau Thông tin database jdbc:mysql://pay-tidb.int.onemount.com:4000/saas_tpay script UPDATE  SOFTPOS_MERCHANT_CONTRACT SET  contract_no = 'OM1780656271', status = 'WAITING_ACTIVE' WHERE merchant_code = 'NCCNY34M' ;</t>
  </si>
  <si>
    <t>[QR247] Hỗ trợ cấu hình thông tin merchant QR247 ISIEE và SAVILLS</t>
  </si>
  <si>
    <t>2026-06-11T12:01:24.003+0700</t>
  </si>
  <si>
    <t>2026-06-11T12:01:33.965+0700</t>
  </si>
  <si>
    <t>Hi anh/em DBA Nhờ anh/em chạy các script để cấu hình merchant ISIEE và SAVILLS tích hợp TPAY ạ. Thông tin database saas_tpay: mysql://pay-tidb.int.onemount.com:4000/saas_tpay INSERT INTO PARTNER (client_id, name, public_key, enable, merchant_code) VALUES ('eBhDwotBOshfeCnoapgpCyUQiHhTuMLw', 'VIEN ISIEE', '-----BEGIN PUBLIC KEY-----
MIIBIjANBgkqhkiG9w0BAQEFAAOCAQ8AMIIBCgKCAQEAkOhN07F2oawZuedknlQ4
aKob1TMO9QQxYdAZMPv8s61H3k3gPA9UbMr1VM2hGjlHGt2/RXLQNI7ZTYovfkX+
VL84rE8KNdOkQsI6DBZhwpVThrJaJ0NT/nA5oSrlzRVp1NaJwtTNCaRG5frJnK5k
6NHi9Uo9gBYFTOCyKxKAAiANF/4fL7w5jyAW5cTu7B+g1vI8nKtz/Jqzox1kyohg
SCYCOXLJsJPiNbmUOlc63Smr1nXidypz1AMtjLuLQP2HJFssOH+tPOJpNBMWHhBe
dGjKEICU1+40nwCWY39jNONqLW1x5hSMVNQ+RsjbAcb9EsBc800Qx0gUFe+zv6sZ
twIDAQAB
-----END PUBLIC KEY-----', 1, 'VIEN_ISIEE');
INSERT INTO MERCHANT_RECONCILE (merchant_code, tenant, enable, sftp_folder, pgp_public_key_base64, pgp_partner_id, days_to_subtract, max_records_per_file, priority) VALUES ('VIEN_ISIEE', 'OME', 1, '/isee', 'LS0tLS1CRUdJTiBQR1AgUFVCTElDIEtFWSBCTE9DSy0tLS0tCgptRE1FYWhmMUt4WUpLd1lCQkFIYVJ3OEJBUWRBTW95T0ZHbWErNVpHWHF6RHNSN0ZiVzIyR0RRVFhFN0thTkRZClUyaWZteSswSTBScFoybG1lWFJsWTJnZ1BITmxjblpwWTJWelFHUnBaMmxtZVhSbFkyZ3VkbTQraUxVRUV4WUsKQUYwV0lRUjB5KzhUb0FHRmlIUEZwclZGT0pCc3U4elRRd1VDYWhmMUt4c1VnQUFBQUFBRUFBNXRZVzUxTWl3eQpMalVyTVM0eE1pd3lMREVDR3dNRkNRV2t3cVVGQ3drSUJ3SUNJZ0lHRlFvSkNBc0NCQllDQXdFQ0hnY0NGNEFBCkNna1FSVGlRYkx2TTAwUHplZ0VBekZncmkzRS9QMnNSMkVTaG5IazROd2pTUXlXQjZSTjEwWk9MNDJsc05qOEEKL2kyMHVURkd3UHhMRG5YY3dFTUcwR2pBMWFGVDVlR1h6MERObVVkMk9Eb0h1RGdFYWhmMUt4SUtLd1lCQkFHWApWUUVGQVFFSFFEUWFTcHM2bE5nZjA4QWg1WW1yYVVhSmt5WUZFVUt2Q0VJUlVHdXc2K29jQXdFSUI0aWFCQmdXCkNnQkNGaUVFZE12dkU2QUJoWWh6eGFhMVJUaVFiTHZNMDBNRkFtb1g5U3NiRklBQUFBQUFCQUFPYldGdWRUSXMKTWk0MUt6RXVNVElzTWl3eEFoc01CUWtGcE1LbEFBb0pFRVU0a0d5N3pOTkRCZzhBL0E0Y0ZCOVNOaXZsdXlCcgplRTJYQzBvRmhRQnpoamFJMkl5VVdtVjhYOVIvQVB3T2x2MmxjaUwyM3ZlRk0vbUg5UVN6R0JCd0w1RlhiWjRLCm1UT3llMkpSQXc9PQo9QXZBUAotLS0tLUVORCBQR1AgUFVCTElDIEtFWSBCTE9DSy0tLS0tCg==', 'services@digifytech.vn', 1, 10000, 999);
----
INSERT INTO PARTNER (client_id, name, public_key, enable, merchant_code) VALUES ('GXmNxefWbZgbdnjiYcnZjTXPKMEfSite', 'SAVILLS', '-----BEGIN PUBLIC KEY-----
MIIBIjANBgkqhkiG9w0BAQEFAAOCAQ8AMIIBCgKCAQEA1A6fW2XzSLHuyHWHAgK9
oCynlNX9OMOBUz0kIv0Xt3h0dIwzYZ9vZGylDK7bVri1LV1wHLqBA4aZ4XBp39FM
6SCGmIZ/XU2Kgs+mKPHfaimHKzjEmSY0gsEoh/5LVKbsM7Kww2sXx5QmxUHs1JiC
3epcIN+e3WMc0a+/vRtDrTWeVh6IrWuzI+YP2CnU72OZ1Z8Qhf2jMkyrNQcc4RWz
nBdWT/UTkCk1lOqKLf6m06ZjGwuppCZ9t2/3Du8+n96msQdAT3LyrE7Vk4sBVQg9
bDHMI7O8xipeywI5Bb41Rx03NK1KYFRzJULvvofe+mdEuewiR3DQCv6lDgLu0GdB
WQIDAQAB
-----END PUBLIC KEY-----', 1, 'MASTERI');
INSERT INTO PARTNER (client_id, name, public_key, enable, merchant_code) VALUES ('GXmNxefWbZgbdnjiYcnZjTXPKMEfSite', 'SAVILLS', '-----BEGIN PUBLIC KEY-----
MIIBIjANBgkqhkiG9w0BAQEFAAOCAQ8AMIIBCgKCAQEA1A6fW2XzSLHuyHWHAgK9
oCynlNX9OMOBUz0kIv0Xt3h0dIwzYZ9vZGylDK7bVri1LV1wHLqBA4aZ4XBp39FM
6SCGmIZ/XU2Kgs+mKPHfaimHKzjEmSY0gsEoh/5LVKbsM7Kww2sXx5QmxUHs1JiC
3epcIN+e3WMc0a+/vRtDrTWeVh6IrWuzI+YP2CnU72OZ1Z8Qhf2jMkyrNQcc4RWz
nBdWT/UTkCk1lOqKLf6m06ZjGwuppCZ9t2/3Du8+n96msQdAT3LyrE7Vk4sBVQg9
bDHMI7O8xipeywI5Bb41Rx03NK1KYFRzJULvvofe+mdEuewiR3DQCv6lDgLu0GdB
WQIDAQAB
-----END PUBLIC KEY-----', 1, 'RIVERGARDEN');
INSERT INTO PARTNER (client_id, name, public_key, enable, merchant_code) VALUES ('GXmNxefWbZgbdnjiYcnZjTXPKMEfSite', 'SAVILLS', '-----BEGIN PUBLIC KEY-----
MIIBIjANBgkqhkiG9w0BAQEFAAOCAQ8AMIIBCgKCAQEA1A6fW2XzSLHuyHWHAgK9
oCynlNX9OMOBUz0kIv0Xt3h0dIwzYZ9vZGylDK7bVri1LV1wHLqBA4aZ4XBp39FM
6SCGmIZ/XU2Kgs+mKPHfaimHKzjEmSY0gsEoh/5LVKbsM7Kww2sXx5QmxUHs1JiC
3epcIN+e3WMc0a+/vRtDrTWeVh6IrWuzI+YP2CnU72OZ1Z8Qhf2jMkyrNQcc4RWz
nBdWT/UTkCk1lOqKLf6m06ZjGwuppCZ9t2/3Du8+n96msQdAT3LyrE7Vk4sBVQg9
bDHMI7O8xipeywI5Bb41Rx03NK1KYFRzJULvvofe+mdEuewiR3DQCv6lDgLu0GdB
WQIDAQAB
-----END PUBLIC KEY-----', 1, 'ONEVERANDAH');
INSERT INTO PARTNER (client_id, name, public_key, enable, merchant_code) VALUES ('GXmNxefWbZgbdnjiYcnZjTXPKMEfSite', 'SAVILLS', '-----BEGIN PUBLIC KEY-----
MIIBIjANBgkqhkiG9w0BAQEFAAOCAQ8AMIIBCgKCAQEA1A6fW2XzSLHuyHWHAgK9
oCynlNX9OMOBUz0kIv0Xt3h0dIwzYZ9vZGylDK7bVri1LV1wHLqBA4aZ4XBp39FM
6SCGmIZ/XU2Kgs+mKPHfaimHKzjEmSY0gsEoh/5LVKbsM7Kww2sXx5QmxUHs1JiC
3epcIN+e3WMc0a+/vRtDrTWeVh6IrWuzI+YP2CnU72OZ1Z8Qhf2jMkyrNQcc4RWz
nBdWT/UTkCk1lOqKLf6m06ZjGwuppCZ9t2/3Du8+n96msQdAT3LyrE7Vk4sBVQg9
bDHMI7O8xipeywI5Bb41Rx03NK1KYFRzJULvvofe+mdEuewiR3DQCv6lDgLu0GdB
WQIDAQAB
-----END PUBLIC KEY-----', 1, 'THAODIENGREEN');
INSERT INTO PARTNER (client_id, name, public_key, enable, merchant_code) VALUES ('GXmNxefWbZgbdnjiYcnZjTXPKMEfSite', 'SAVILLS', '-----BEGIN PUBLIC KEY-----
MIIBIjANBgkqhkiG9w0BAQEFAAOCAQ8AMIIBCgKCAQEA1A6fW2XzSLHuyHWHAgK9
oCynlNX9OMOBUz0kIv0Xt3h0dIwzYZ9vZGylDK7bVri1LV1wHLqBA4aZ4XBp39FM
6SCGmIZ/XU2Kgs+mKPHfaimHKzjEmSY0gsEoh/5LVKbsM7Kww2sXx5QmxUHs1JiC
3epcIN+e3WMc0a+/vRtDrTWeVh6IrWuzI+YP2CnU72OZ1Z8Qhf2jMkyrNQcc4RWz
nBdWT/UTkCk1lOqKLf6m06ZjGwuppCZ9t2/3Du8+n96msQdAT3LyrE7Vk4sBVQg9
bDHMI7O8xipeywI5Bb41Rx03NK1KYFRzJULvvofe+mdEuewiR3DQCv6lDgLu0GdB
WQIDAQAB
-----END PUBLIC KEY-----', 1, 'TROPICANAHOTRAM');
INSERT INTO PARTNER (client_id, name, public_key, enable, merchant_code) VALUES ('GXmNxefWbZgbdnjiYcnZjTXPKMEfSite', 'SAVILLS', '-----BEGIN PUBLIC KEY-----
MIIBIjANBgkqhkiG9w0BAQEFAAOCAQ8AMIIBCgKCAQEA1A6fW2XzSLHuyHWHAgK9
oCynlNX9OMOBUz0kIv0Xt3h0dIwzYZ9vZGylDK7bVri1LV1wHLqBA4aZ4XBp39FM
6SCGmIZ/XU2Kgs+mKPHfaimHKzjEmSY0gsEoh/5LVKbsM7Kww2sXx5QmxUHs1JiC
3epcIN+e3WMc0a+/vRtDrTWeVh6IrWuzI+YP2CnU72OZ1Z8Qhf2jMkyrNQcc4RWz
nBdWT/UTkCk1lOqKLf6m06ZjGwuppCZ9t2/3Du8+n96msQdAT3LyrE7Vk4sBVQg9
bDHMI7O8xipeywI5Bb41Rx03NK1KYFRzJULvvofe+mdEuewiR3DQCv6lDgLu0GdB
WQIDAQAB
-----END PUBLIC KEY-----', 1, 'MILLENNIUM');</t>
  </si>
  <si>
    <t>2026-06-11T11:21:43.057+0700</t>
  </si>
  <si>
    <t>2026-06-15T10:29:52.796+0700</t>
  </si>
  <si>
    <t>2026-06-11T11:19:37.689+0700</t>
  </si>
  <si>
    <t>2026-06-11T15:06:21.224+0700</t>
  </si>
  <si>
    <t>Dear Linh, Em tạo giúp anh topic cho bảng sau với nhé: {{Host: omc-oneu-vourcher.8j11t.mongodb.net }} {{DB name: omc_dynamic_content }} Collection name: ai_chat_logs</t>
  </si>
  <si>
    <t>[PROD][QR247] Cập nhật trạng thái 2 giao dịch của WCM</t>
  </si>
  <si>
    <t>2026-06-10T21:51:26.435+0700</t>
  </si>
  <si>
    <t>2026-06-10T21:51:45.737+0700</t>
  </si>
  <si>
    <t>Dear anh/em DBA, Nhờ anh em chạy giúp team script bên dưới để update trạng thái cho 2 giao dịch của WCM đang bị lệch sổ phụ Thông tin db: saas_tpay: mysql://pay-tidb.int.onemount.com:4000/saas_tpay UPDATE TRANSACTION_MASTER SET transaction_status='SUCCESS' where id in ('77866fd3f4164e3c9b679e9f4baa0f4b','f41fabca8ee8419ba7ab8adcb7e0be4e');</t>
  </si>
  <si>
    <t>[Merchant-TCB] Pre-check trên Production</t>
  </si>
  <si>
    <t>2026-06-10T15:33:52.709+0700</t>
  </si>
  <si>
    <t>2026-06-10T15:33:57.800+0700</t>
  </si>
  <si>
    <t>Dear team, để kiểm chứng nguyên nhân trên Production — trước khi fix, nhờ team chạy giúp câu lệnh bên dưới  Thông tin database https://console.cloud.google.com/sql/instances/merchant-tcb/overview?inv=1&amp;invt=AbsndA&amp;project=vinid-merchant-prod DB_MYSQL_HOST=172.31.4.108
DB_MYSQL_DATABASE=merchant_service_tcb Các bước kiểm tra: Xác nhận bảng chưa có index trên status/tcb_merchant_code (chỉ PRIMARY) SHOW INDEX FROM tpay_merchant_document_requests; Xác nhận truy vấn đang phải filesort (EXPLAIN không chạy query) EXPLAIN
SELECT mdr.*, m.*
FROM tpay_merchant_document_requests mdr
LEFT JOIN tpay_merchant m ON m.tcb_merchant_code = mdr.tcb_merchant_code
WHERE mdr.status = 'WAITING' AND mdr.tcb_merchant_code = 'GOLDENGATE'
ORDER BY mdr.id DESC
LIMIT 10;
-- Kỳ vọng: cột Extra chứa "Using filesort"; key = NULL hoặc PRIMARY Đo khối lượng &amp; dung lượng cột data của merchant bị lỗi SELECT COUNT(*) AS waiting_rows,
       ROUND(AVG(LENGTH(data))) AS avg_data_bytes,
       MAX(LENGTH(data))        AS max_data_bytes,
       ROUND(SUM(LENGTH(data))/1024) AS total_data_kb
FROM tpay_merchant_document_requests
WHERE status = 'WAITING' AND tcb_merchant_code = 'GOLDENGATE'; Ngưỡng sort buffer + version MySQL SHOW VARIABLES LIKE 'sort_buffer_size';
SHOW VARIABLES LIKE 'max_length_for_sort_data';
SELECT VERSION(); Bằng chứng A/B (chạy thật, read-only) — chứng minh việc nạp cột dữ liệu lớn vào sort là thủ phạm -- B1: đúng dạng truy vấn của ứng dụng → kỳ vọng LỖI 1038 "Out of sort memory"
SELECT mdr.*, m.* FROM tpay_merchant_document_requests mdr
  LEFT JOIN tpay_merchant m ON m.tcb_merchant_code = mdr.tcb_merchant_code
  WHERE mdr.status='WAITING' AND mdr.tcb_merchant_code='GOLDENGATE'
  ORDER BY mdr.id DESC LIMIT 10;
-- B2: y hệt nhưng chỉ lấy cột id → kỳ vọng THÀNH CÔNG
SELECT mdr.id FROM tpay_merchant_document_requests mdr
  LEFT JOIN tpay_merchant m ON m.tcb_merchant_code = mdr.tcb_merchant_code
  WHERE mdr.status='WAITING' AND mdr.tcb_merchant_code='GOLDENGATE'
  ORDER BY mdr.id DESC LIMIT 10;</t>
  </si>
  <si>
    <t>2026-06-10T15:29:52.459+0700</t>
  </si>
  <si>
    <t>2026-06-10T15:30:20.119+0700</t>
  </si>
  <si>
    <t xml:space="preserve">Em chào anh chị, Anh chị chạy giúp em lệnh SQL update DB với ạ. project: om-charity-prod Instance name: om-charity-fund-core IP: 172.31.4.7 DB name: fund-core user name: ? SQL:         </t>
  </si>
  <si>
    <t>[UPAY] [PS2] [GL] Update column từ not null sang default null</t>
  </si>
  <si>
    <t>2026-06-10T15:19:47.294+0700</t>
  </si>
  <si>
    <t>2026-06-10T15:19:50.773+0700</t>
  </si>
  <si>
    <t>Hi các anh DBA, Hiện tại dữ liệu từ đầu nguồn trường loyalty_id có thể null , do vậy e có tạo ticket modify column, nhờ các anh chạy giúp. alter table gl_burning_voucher_cost_summary modify loyalty_id varchar(100) null; Em gửi thông tin DB :  tidb.int.onemount.com:4000/vinpay_vinpay_prod_saas_ps2_general_ledger Thanks các anh,</t>
  </si>
  <si>
    <t>[PROD][QR247] Hỗ trợ cập nhật thông tin transaction_time và tcb_transaction_id cho các giao dịch của VNVC</t>
  </si>
  <si>
    <t>2026-06-10T11:15:57.143+0700</t>
  </si>
  <si>
    <t>2026-06-10T11:16:11.005+0700</t>
  </si>
  <si>
    <t>Hi team DBA, Nhờ các anh/em chạy giúp em script bên dưới để cập nhật trường transaction_time và tcb_transaction_id cho các giao dịch của VNVC bị lỗi ko nhận được callback trong khoảng thời gian 9h-10h ngày 9/6 Thông tin db: saas_tpay: mysql://pay-tidb.int.onemount.com:4000/saas_tpay Script: UPDATE TRANSACTION_DETAIL SET tcb_transaction_id='19eaa43668b1wZ8J', transaction_time='2026-06-09 09:43:27.000' where ft_id='FT26160153162489';
UPDATE TRANSACTION_DETAIL SET tcb_transaction_id='19eaa43933cPB0gB', transaction_time='2026-06-09 09:43:46.000' where ft_id='FT26160207326962';
UPDATE TRANSACTION_DETAIL SET tcb_transaction_id='19eaa419982uPxlj', transaction_time='2026-06-09 09:41:27.000' where ft_id='FT26160507093933';
UPDATE TRANSACTION_DETAIL SET tcb_transaction_id='19eaa43bd759XtgZ', transaction_time='2026-06-09 09:43:48.000' where ft_id='FT26160563722092';
UPDATE TRANSACTION_DETAIL SET tcb_transaction_id='19eaa453320QOL29', transaction_time='2026-06-09 09:45:23.000' where ft_id='FT26160688017690';
UPDATE TRANSACTION_DETAIL SET tcb_transaction_id='19eaa41a231HGmLf', transaction_time='2026-06-09 09:41:30.000' where ft_id='FT26160727790999';
UPDATE TRANSACTION_DETAIL SET tcb_transaction_id='19eaa417254qbwUS', transaction_time='2026-06-09 09:41:26.000' where ft_id='FT26160970670057';
UPDATE TRANSACTION_DETAIL SET tcb_transaction_id='19eaa43adeb3hXfx', transaction_time='2026-06-09 09:43:47.000' where ft_id='FT26160988008020';
UPDATE TRANSACTION_DETAIL SET tcb_transaction_id='19eaa43943bhD996', transaction_time='2026-06-09 09:43:39.000' where ft_id='FT26160418403155';</t>
  </si>
  <si>
    <t>[NON-PROD] [PMS] Drop constraint trên môi trường non-prod do không sử dụng nữa</t>
  </si>
  <si>
    <t>2026-06-10T09:17:02.071+0700</t>
  </si>
  <si>
    <t>2026-06-10T09:18:10.678+0700</t>
  </si>
  <si>
    <t>Hi DBA team, Hiện tại nghiệp vụ không có nhu cầu sử dụng unique : tenderCodeTenantIdx trên bảng  Tender , nhờ các anh drop giúp index này nhé ạ  Cụm PMS Project : vinid-app-common-dev Instance/IP : 172.31.0.68 Port : 3306 Database : omd_pms_qc Table: Tender Unique key:  tenderCodeTenantIdx</t>
  </si>
  <si>
    <t>[OMC][PS2][Loyalty][PROD] - archive dữ liệu history cho các bảng cần move data sang COLD - Tháng 6/2026</t>
  </si>
  <si>
    <t>2026-06-09T17:15:46.213+0700</t>
  </si>
  <si>
    <t>2026-06-09T17:17:17.653+0700</t>
  </si>
  <si>
    <t>Các bảng cần move data sang COLD, sau đó archive lên GCS: TRANSACTION_HISTORY_ATTRIBUTE TRANSACTION_HISTORY POINT_TRANSACTION COUNTER_TRANSACTION_HISTORY 3 bảng TRANSACTION_HISTORY, POINT_TRANSACTION, COUNTER_TRANSACTION_HISTORY :  Trên môi trường PROD (HOT), Giữ lại data đầy đủ của 6 tháng gần nhất. (tháng n-1, n-2, n-3, n-4, n-5, n-6). Trên môi trường COLD, sẽ có data lịch sử (history 6 tháng tiếp theo) n-7, n-8, n-9, n-10, n-11, n-12. Ví dụ, hiện tại là tháng 6/2026, thì data giữ lại ở db chính PROD là tháng 5/2026, 4/2026, 3/2026, 2/2026, 1/2026, 12/2025. Các tháng lịch sử khác (history 6 tháng tiếp theo) sẽ khai thác trên db COLD: tháng 11/2025, 10/2025, 9/2025, 8/2025, 7/2025, 6/2025 Bảng TRANSACTION_HISTORY_ATTRIBUTE  :  Tháng hiện tại là tháng n. Trên DB chính PROD (HOT), giữ lại data đầy đủ của 3 tháng gần nhất (tháng thứ n-1,n-2,n-3 sau tháng hiện tại). Các data tháng thứ n-4,n-5,n-6 sau tháng n hiện tại thì chuyển sang db COLD.) Ví dụ, hiện tại là tháng 6/2026, thì data giữ lại ở db chính PROD là tháng 5/2026, 4/2026, 3/2026. Các tháng 2/2026, 1/2026, 12/2025 sẽ khai thác trên db COLD.</t>
  </si>
  <si>
    <t>[OMC][PS2][Loyalty][PROD] - archive dữ liệu history cho các bảng PAY_WITH_POINT_TRANSACTION_HISTORY - Tháng 6/2026</t>
  </si>
  <si>
    <t>2026-06-09T17:15:33.259+0700</t>
  </si>
  <si>
    <t>2026-06-13T09:05:45.854+0700</t>
  </si>
  <si>
    <t>Hiện tại tháng 6/2026, thì sẽ thực hiện DELETE Xóa data có: status = 'F' and transaction_time &lt; to_date('01/05/2026','dd/MM/yyyy')</t>
  </si>
  <si>
    <t>[OMC][PS2][Loyalty][PROD] - archive dữ liệu history cho các bảng KAFKA_ , TIER_HISTORY - Tháng 6/2026</t>
  </si>
  <si>
    <t>2026-06-09T17:15:14.346+0700</t>
  </si>
  <si>
    <t>2026-06-13T09:04:37.901+0700</t>
  </si>
  <si>
    <t>archive dữ liệu history cho các bảng  KAFKA_ , TIER_HISTORY KAFKA_AUDIT_TRAIL_PRODUCT_INFO KAFKA_AUDIT_TRAIL_CARD_INFO KAFKA_AUDIT_TRAIL_CUSTOMER_PROFILE KAFKA_AUDIT_TRAIL_EARN_TRANSACTION KAFKA_AUDIT_TRAIL_EARN_EVENT TIER_HISTORY</t>
  </si>
  <si>
    <t>[OMC][PS2][Loyalty][PROD] - Thực hiện archive dữ liệu history cho DB Loyalty - Tháng 6/2026</t>
  </si>
  <si>
    <t>2026-06-09T17:11:24.184+0700</t>
  </si>
  <si>
    <t>2026-06-13T09:06:11.408+0700</t>
  </si>
  <si>
    <t>Team DBA cần thực hiện archive dữ liệu lịch sử của 1 số bảng lớn trong DB LOYALTY, để tối ưu dung lượng lưu trữ data , tránh để data lưu trữ quá lớn trong DB dẫn tới chi phí phần cứng tăng và giảm hiệu suất IO khi truy xuất data lớn. Quy định về thời gian lưu trữ data (dự án đã confirm với TCB qua email): Live data tier: không TTL expired bất kể dữ liệu nào Backup tier: Thực hiện backup full 2 lần/tuần và incremental các ngày còn lại Archiving tier:  Dữ liệu Archive được thực hiện 6 tháng/lần và store với retention là 365 days Kế hoạch thực hiện archive dữ liệu history của DB Loyalty , thực hiện trong  tháng 12 năm 2025 Các bảng cần lưu trữ data và thực hiện xóa data history:   Tables Partition column Life time Note KAFKA_AUDIT_TRAIL_PRODUCT_INFO CREATED_AT 1 month KAFKA_AUDIT_TRAIL_CARD_INFO CREATED_AT 1 month KAFKA_AUDIT_TRAIL_CUSTOMER_PROFILE CREATED_AT 1 month KAFKA_AUDIT_TRAIL_EARN_TRANSACTION CREATED_AT 1 month KAFKA_AUDIT_TRAIL_EARN_EVENT CREATED_AT 1 month TIER_HISTORY CREATED_AT 6 month POINT_TRANSACTION_ACCOUNT_BALANCE CREATED_AT 6 month Từ tháng 5/2025,  tạm dừng ko xóa data history bảng này nữa , để CNSP review lại xem có dùng dữ liệu quá 6 tháng ko? PAY_WITH_POINT_TRANSACTION_HISTORY TRANSACTION_TIME Giữ nguyên các partition,chỉ DELETE xóa data theo điều kiện where là:  status = 'F'  and transaction_time đủ full  1 tháng  gần nhất Ví dụ, hiện tại tháng 6/2026, thì sẽ thực hiện DELETE Xóa data có: status = 'F' and transaction_time &lt; to_date('01/05/2026','dd/MM/yyyy') TRANSACTION_HISTORY_ATTRIBUTE CREATED_AT 3 month Tháng hiện tại là tháng n. Trên DB chính PROD (HOT), giữ lại data đầy đủ của 3 tháng gần nhất (tháng thứ n-1,n-2,n-3 sau tháng hiện tại). Các data tháng thứ n-4,n-5,n-6 sau tháng n hiện tại thì chuyển sang db COLD.) Ví dụ, hiện tại là tháng 6/2026, thì data giữ lại ở db chính PROD là tháng 5/2026, 4/2026, 3/2026. Các tháng 2/2026, 1/2026, 12/2025 sẽ khai thác trên db COLD. TRANSACTION_HISTORY TRANSACTION_TIME 6 month Trên môi trường PROD (HOT), Giữ lại data đầy đủ của 6 tháng gần nhất. (tháng n-1, n-2, n-3, n-4, n-5, n-6). Trên môi trường COLD, sẽ có data lịch sử (history 6 tháng tiếp theo) n-7, n-8, n-9, n-10, n-11, n-12. Ví dụ, hiện tại là tháng 6/2026, thì data giữ lại ở db chính PROD là tháng 5/2026, 4/2026, 3/2026, 2/2026, 1/2026, 12/2025. Các tháng lịch sử khác (history 6 tháng tiếp theo) sẽ khai thác trên db COLD: tháng 11/2025, 10/2025, 9/2025, 8/2025, 7/2025, 6/2025 POINT_TRANSACTION TRANSACTION_TIME 6 month Trên môi trường PROD (HOT), Giữ lại data đầy đủ của 6 tháng gần nhất. (tháng n-1, n-2, n-3, n-4, n-5, n-6). Trên môi trường COLD, sẽ có data lịch sử (history 6 tháng tiếp theo) n-7, n-8, n-9, n-10, n-11, n-12. Ví dụ, hiện tại là tháng 6/2026, thì data giữ lại ở db chính PROD là tháng 5/2026, 4/2026, 3/2026, 2/2026, 1/2026, 12/2025. Các tháng lịch sử khác (history 6 tháng tiếp theo) sẽ khai thác trên db COLD: tháng 11/2025, 10/2025, 9/2025, 8/2025, 7/2025, 6/2025 COUNTER_TRANSACTION_HISTORY CREATED_AT 6 month Trên môi trường PROD (HOT), Giữ lại data đầy đủ của 6 tháng gần nhất. (tháng n-1, n-2, n-3, n-4, n-5, n-6). Trên môi trường COLD, sẽ có data lịch sử (history 6 tháng tiếp theo) n-7, n-8, n-9, n-10, n-11, n-12. Ví dụ, hiện tại là tháng 6/2026, thì data giữ lại ở db chính PROD là tháng 5/2026, 4/2026, 3/2026, 2/2026, 1/2026, 12/2025. Các tháng lịch sử khác (history 6 tháng tiếp theo) sẽ khai thác trên db COLD: tháng 11/2025, 10/2025, 9/2025, 8/2025, 7/2025, 6/2025 COUNTER_HISTORY CREATED_AT Không xóa data Các bảng theo dõi thông tin: MEMBER_ATTRIBUTE Không tạo partition có thể xoá các bảng ghi có status = 'I' POINT_TRANSACTION_BLOCKING EXPIRED_DATE Xoá các bản ghi trước năm 2024 Phương án làm archive data cho các bảng này: export các partition vi phạm thời gian lưu trữ data life time ONLINE Lưu trữ các partition đã export lên GCS (thời gian lưu trữ trên GCS là 1 năm). Các dữ liệu nào cần khai thác trên COLD, thì sẽ import sang db COLD. Drop các partition đã export + archived trên DB PROD Chạy lại gather statistic cho bảng vừa drop partition (có thể để DB auto chạy cũng được)</t>
  </si>
  <si>
    <t>2026-06-09T15:37:25.652+0700</t>
  </si>
  <si>
    <t>2026-06-09T15:37:34.669+0700</t>
  </si>
  <si>
    <t>[MAG][NSP][PROD] Nhờ hỗ trợ tạo DMS đồng bộ dữ liệu từ table invoice_transaction database CRM sang database của NSP</t>
  </si>
  <si>
    <t>2026-06-09T11:39:49.658+0700</t>
  </si>
  <si>
    <t>2026-06-18T12:02:40.152+0700</t>
  </si>
  <si>
    <t>Hi team DBA, Theo như trao đổi về giải pháp đồng bộ dữ liệu từ bảng invoice_transaction từ database của CRM qua cho NSP phục vụ luồng quyết toán giao dịch, nhờ team hỗ trợ để tạo DMS trên production, để CDC dữ liệu từ nguồn là bảng invoice_transaction, và đích là database NSP với các thông tin như sau: Dữ liệu nguồn: Nhờ  @Đoàn Việt Hưng  hỗ trợ để lấy thông tin của database CRM (production) Database đích Database của NSP được tạo bởi ticket    Instance  mag-nsp-common-prod-postgres.cpakmik6c8ax.ap-southeast-1.rds.amazonaws.com DB Name  mag_sales_platform Table  invoices_transaction Data condition Danh sách các invoice transaction, nhờ anh  @Phạm Minh Phương  cung cấp ạ. Em cám ơn ạ. Thông tin chung Thông tin SAD dự án:  Technical design cho luồng tích hợp với CRM    Ticket non-prod     </t>
  </si>
  <si>
    <t>[NON-PROD] [PMS] Drop table trên môi trường non-prod để tạo lại</t>
  </si>
  <si>
    <t>2026-06-09T11:17:59.398+0700</t>
  </si>
  <si>
    <t>2026-06-09T11:18:08.959+0700</t>
  </si>
  <si>
    <t>Dear  @Hà Văn Vượng   Hỗ trợ anh  DROP TABLE omd_pms_qc.CodeGenerationSequence   DROP TABLE omd_pms_qc.CodeGenerationConfig a cảm ơn!</t>
  </si>
  <si>
    <t>[UPAY][PROD] Golive 06/06/2026</t>
  </si>
  <si>
    <t>2026-06-08T17:13:52.397+0700</t>
  </si>
  <si>
    <t>2026-06-08T17:14:06.389+0700</t>
  </si>
  <si>
    <t>Hi a  @Nguyễn Văn Dũng  nhờ a chạy script theo mô tả  dưới đây ở môi trường PRODUCTION theo thông tin dưới đây ạ: Thời gian chạy script: Vào lúc  23h59 ngày 06/06/2026 Thông tin database:   mysql://pay-tidb.int.onemount.com:4000/saas_tpay CR Ticket:     Script: em sẽ bổ sung sau khi được PO confirm</t>
  </si>
  <si>
    <t>[VCM] Update thông tin voucher_fee_type của warehouse theo yêu cầu từ vận hành</t>
  </si>
  <si>
    <t>2026-06-08T17:09:17.481+0700</t>
  </si>
  <si>
    <t>2026-06-08T17:09:24.878+0700</t>
  </si>
  <si>
    <t>Thông tin database: IP:  172.31.4.126 Database:  onevc_vwm_prod Câu SQL cần thực hiện: UPDATE
	onevc_vwm_prod.warehouse w
SET
	w.voucher_fee_type = 'CASH'
WHERE
	w.voucher_fee_type IS NULL
	AND w.code IN (
    'CV_OLDNAVY02_22072023',
    'CV_SUNNIESTUDIOS02_22072023',
    'CV_37THSTREET03_22072023',
    'CV_XANHSM100K250224_250224',
    'CV_FRENCHCONNECT01_22072023',
    'CV_HOTTO75K250224_250224',
    'CV_SUMOYAKINIKU03_21112023',
    'CV_LEVIS01_22072023',
    'CV_TOMMYHILFIGER01_22072023',
    'CV_CALVINKLEIN02_22072023',
    'CV_TRAVERLOKA02_22072023',
    'CV_VIETSTREET75K250224_250224',
    'CV_OVS01_22072023',
    'CV_TYPO01_22072023',
    'CV_CALVINKLEIN01_22072023',
    'CV_TRAVERLOKA03_22072023',
    'CV_OVS02_22072023',
    'CV_VIETSTREET100K250224_250224',
    'CV_TYPO02_22072023',
    'CV_COTTONON02_22072023',
    'CV_HOTTO100K250224_250224',
    'CV_OLDNAVY01_22072023',
    'CV_TOMMYHILFIGER02_22072023',
    'CV_TRAVERLOKA01_22072023',
    'CV_SUNNIESTUDIOS01_22072023',
    'CV_37THSTREET01_22072023',
    'CV_FRENCHCONNECT02_22072023',
    'CV_COTTONON01_22072023'
); Cảm ơn team nhiều ạ.</t>
  </si>
  <si>
    <t>[PROD][QR247] Hỗ trợ cấu hình thông tin cụm merchant của Sài Gòn Coopmart_P2</t>
  </si>
  <si>
    <t>2026-06-08T17:04:12.642+0700</t>
  </si>
  <si>
    <t>2026-06-08T17:04:37.235+0700</t>
  </si>
  <si>
    <t>Hi team Nhờ anh/em chạy các script để cấu hình 28 merchant của Sài Gòn Coopmart tích hợp TPAY trên môi trường PROD. Thông tin database saas_tpay: mysql://pay-tidb.int.onemount.com:4000/saas_tpay Script: INSERT INTO PARTNER (client_id, name, public_key, enable, merchant_code)
VALUES ('GnwEbKzlfJvqSPpVcUqQbZdlHlUfeYff', 'SGC XLHN', '-----BEGIN PUBLIC KEY-----
MIIBIjANBgkqhkiG9w0BAQEFAAOCAQ8AMIIBCgKCAQEAijT0z6i+jN59g0lIaXwC
ooh14Mf8M2N5W/BMnWj/88iQakOy1atfoqewCx/5WHzgBER+PYIW+gwrBXJgtUjv
M/ZdqhOQvVWdRavhFVvVUL5KSncsEJ4X4kr0gf6faoiFEfkCS/aMh4WAeKvn1uYf
ASUPIhOj6qN/XBesqxZu5L5QhGWMkpYe+ixGjzAwH5e0rBvS755pOxH/nPQEgft8
s8OGfic6rJTW1zmUZLQRsQBw+zde4qrc3EW2+2nDHMD+W3aty0GSbFOkNZf6xCg3
Pz/62nRcTIvE3BsO+lr4rbJg+VaETKO3RbXSotoGJsIPBvqWpdvgiuoc40Q5Dovm
XQIDAQAB
-----END PUBLIC KEY-----', 1, 'SGC_CGI');
INSERT INTO PARTNER (client_id, name, public_key, enable, merchant_code)
VALUES ('GnwEbKzlfJvqSPpVcUqQbZdlHlUfeYff', 'SGC XLHN', '-----BEGIN PUBLIC KEY-----
MIIBIjANBgkqhkiG9w0BAQEFAAOCAQ8AMIIBCgKCAQEAijT0z6i+jN59g0lIaXwC
ooh14Mf8M2N5W/BMnWj/88iQakOy1atfoqewCx/5WHzgBER+PYIW+gwrBXJgtUjv
M/ZdqhOQvVWdRavhFVvVUL5KSncsEJ4X4kr0gf6faoiFEfkCS/aMh4WAeKvn1uYf
ASUPIhOj6qN/XBesqxZu5L5QhGWMkpYe+ixGjzAwH5e0rBvS755pOxH/nPQEgft8
s8OGfic6rJTW1zmUZLQRsQBw+zde4qrc3EW2+2nDHMD+W3aty0GSbFOkNZf6xCg3
Pz/62nRcTIvE3BsO+lr4rbJg+VaETKO3RbXSotoGJsIPBvqWpdvgiuoc40Q5Dovm
XQIDAQAB
-----END PUBLIC KEY-----', 1, 'SGC_CRA');
INSERT INTO PARTNER (client_id, name, public_key, enable, merchant_code)
VALUES ('GnwEbKzlfJvqSPpVcUqQbZdlHlUfeYff', 'SGC XLHN', '-----BEGIN PUBLIC KEY-----
MIIBIjANBgkqhkiG9w0BAQEFAAOCAQ8AMIIBCgKCAQEAijT0z6i+jN59g0lIaXwC
ooh14Mf8M2N5W/BMnWj/88iQakOy1atfoqewCx/5WHzgBER+PYIW+gwrBXJgtUjv
M/ZdqhOQvVWdRavhFVvVUL5KSncsEJ4X4kr0gf6faoiFEfkCS/aMh4WAeKvn1uYf
ASUPIhOj6qN/XBesqxZu5L5QhGWMkpYe+ixGjzAwH5e0rBvS755pOxH/nPQEgft8
s8OGfic6rJTW1zmUZLQRsQBw+zde4qrc3EW2+2nDHMD+W3aty0GSbFOkNZf6xCg3
Pz/62nRcTIvE3BsO+lr4rbJg+VaETKO3RbXSotoGJsIPBvqWpdvgiuoc40Q5Dovm
XQIDAQAB
-----END PUBLIC KEY-----', 1, 'SGC_QNG');
INSERT INTO PARTNER (client_id, name, public_key, enable, merchant_code)
VALUES ('GnwEbKzlfJvqSPpVcUqQbZdlHlUfeYff', 'SGC XLHN', '-----BEGIN PUBLIC KEY-----
MIIBIjANBgkqhkiG9w0BAQEFAAOCAQ8AMIIBCgKCAQEAijT0z6i+jN59g0lIaXwC
ooh14Mf8M2N5W/BMnWj/88iQakOy1atfoqewCx/5WHzgBER+PYIW+gwrBXJgtUjv
M/ZdqhOQvVWdRavhFVvVUL5KSncsEJ4X4kr0gf6faoiFEfkCS/aMh4WAeKvn1uYf
ASUPIhOj6qN/XBesqxZu5L5QhGWMkpYe+ixGjzAwH5e0rBvS755pOxH/nPQEgft8
s8OGfic6rJTW1zmUZLQRsQBw+zde4qrc3EW2+2nDHMD+W3aty0GSbFOkNZf6xCg3
Pz/62nRcTIvE3BsO+lr4rbJg+VaETKO3RbXSotoGJsIPBvqWpdvgiuoc40Q5Dovm
XQIDAQAB
-----END PUBLIC KEY-----', 1, 'SGC_CQY');
INSERT INTO PARTNER (client_id, name, public_key, enable, merchant_code)
VALUES ('GnwEbKzlfJvqSPpVcUqQbZdlHlUfeYff', 'SGC XLHN', '-----BEGIN PUBLIC KEY-----
MIIBIjANBgkqhkiG9w0BAQEFAAOCAQ8AMIIBCgKCAQEAijT0z6i+jN59g0lIaXwC
ooh14Mf8M2N5W/BMnWj/88iQakOy1atfoqewCx/5WHzgBER+PYIW+gwrBXJgtUjv
M/ZdqhOQvVWdRavhFVvVUL5KSncsEJ4X4kr0gf6faoiFEfkCS/aMh4WAeKvn1uYf
ASUPIhOj6qN/XBesqxZu5L5QhGWMkpYe+ixGjzAwH5e0rBvS755pOxH/nPQEgft8
s8OGfic6rJTW1zmUZLQRsQBw+zde4qrc3EW2+2nDHMD+W3aty0GSbFOkNZf6xCg3
Pz/62nRcTIvE3BsO+lr4rbJg+VaETKO3RbXSotoGJsIPBvqWpdvgiuoc40Q5Dovm
XQIDAQAB
-----END PUBLIC KEY-----', 1, 'SGC_CBE');
INSERT INTO PARTNER (client_id, name, public_key, enable, merchant_code)
VALUES ('GnwEbKzlfJvqSPpVcUqQbZdlHlUfeYff', 'SGC XLHN', '-----BEGIN PUBLIC KEY-----
MIIBIjANBgkqhkiG9w0BAQEFAAOCAQ8AMIIBCgKCAQEAijT0z6i+jN59g0lIaXwC
ooh14Mf8M2N5W/BMnWj/88iQakOy1atfoqewCx/5WHzgBER+PYIW+gwrBXJgtUjv
M/ZdqhOQvVWdRavhFVvVUL5KSncsEJ4X4kr0gf6faoiFEfkCS/aMh4WAeKvn1uYf
ASUPIhOj6qN/XBesqxZu5L5QhGWMkpYe+ixGjzAwH5e0rBvS755pOxH/nPQEgft8
s8OGfic6rJTW1zmUZLQRsQBw+zde4qrc3EW2+2nDHMD+W3aty0GSbFOkNZf6xCg3
Pz/62nRcTIvE3BsO+lr4rbJg+VaETKO3RbXSotoGJsIPBvqWpdvgiuoc40Q5Dovm
XQIDAQAB
-----END PUBLIC KEY-----', 1, 'SGC_TAN');
INSERT INTO PARTNER (client_id, name, public_key, enable, merchant_code)
VALUES ('GnwEbKzlfJvqSPpVcUqQbZdlHlUfeYff', 'SGC XLHN', '-----BEGIN PUBLIC KEY-----
MIIBIjANBgkqhkiG9w0BAQEFAAOCAQ8AMIIBCgKCAQEAijT0z6i+jN59g0lIaXwC
ooh14Mf8M2N5W/BMnWj/88iQakOy1atfoqewCx/5WHzgBER+PYIW+gwrBXJgtUjv
M/ZdqhOQvVWdRavhFVvVUL5KSncsEJ4X4kr0gf6faoiFEfkCS/aMh4WAeKvn1uYf
ASUPIhOj6qN/XBesqxZu5L5QhGWMkpYe+ixGjzAwH5e0rBvS755pOxH/nPQEgft8
s8OGfic6rJTW1zmUZLQRsQBw+zde4qrc3EW2+2nDHMD+W3aty0GSbFOkNZf6xCg3
Pz/62nRcTIvE3BsO+lr4rbJg+VaETKO3RbXSotoGJsIPBvqWpdvgiuoc40Q5Dovm
XQIDAQAB
-----END PUBLIC KEY-----', 1, 'SGC_BHO');
INSERT INTO PARTNER (client_id, name, public_key, enable, merchant_code)
VALUES ('GnwEbKzlfJvqSPpVcUqQbZdlHlUfeYff', 'SGC XLHN', '-----BEGIN PUBLIC KEY-----
MIIBIjANBgkqhkiG9w0BAQEFAAOCAQ8AMIIBCgKCAQEAijT0z6i+jN59g0lIaXwC
ooh14Mf8M2N5W/BMnWj/88iQakOy1atfoqewCx/5WHzgBER+PYIW+gwrBXJgtUjv
M/ZdqhOQvVWdRavhFVvVUL5KSncsEJ4X4kr0gf6faoiFEfkCS/aMh4WAeKvn1uYf
ASUPIhOj6qN/XBesqxZu5L5QhGWMkpYe+ixGjzAwH5e0rBvS755pOxH/nPQEgft8
s8OGfic6rJTW1zmUZLQRsQBw+zde4qrc3EW2+2nDHMD+W3aty0GSbFOkNZf6xCg3
Pz/62nRcTIvE3BsO+lr4rbJg+VaETKO3RbXSotoGJsIPBvqWpdvgiuoc40Q5Dovm
XQIDAQAB
-----END PUBLIC KEY-----', 1, 'SGC_CMO');
INSERT INTO PARTNER (client_id, name, public_key, enable, merchant_code)
VALUES ('GnwEbKzlfJvqSPpVcUqQbZdlHlUfeYff', 'SGC XLHN', '-----BEGIN PUBLIC KEY-----
MIIBIjANBgkqhkiG9w0BAQEFAAOCAQ8AMIIBCgKCAQEAijT0z6i+jN59g0lIaXwC
ooh14Mf8M2N5W/BMnWj/88iQakOy1atfoqewCx/5WHzgBER+PYIW+gwrBXJgtUjv
M/ZdqhOQvVWdRavhFVvVUL5KSncsEJ4X4kr0gf6faoiFEfkCS/aMh4WAeKvn1uYf
ASUPIhOj6qN/XBesqxZu5L5QhGWMkpYe+ixGjzAwH5e0rBvS755pOxH/nPQEgft8
s8OGfic6rJTW1zmUZLQRsQBw+zde4qrc3EW2+2nDHMD+W3aty0GSbFOkNZf6xCg3
Pz/62nRcTIvE3BsO+lr4rbJg+VaETKO3RbXSotoGJsIPBvqWpdvgiuoc40Q5Dovm
XQIDAQAB
-----END PUBLIC KEY-----', 1, 'SGC_BTA');
INSERT INTO PARTNER (client_id, name, public_key, enable, merchant_code)
VALUES ('GnwEbKzlfJvqSPpVcUqQbZdlHlUfeYff', 'SGC XLHN', '-----BEGIN PUBLIC KEY-----
MIIBIjANBgkqhkiG9w0BAQEFAAOCAQ8AMIIBCgKCAQEAijT0z6i+jN59g0lIaXwC
ooh14Mf8M2N5W/BMnWj/88iQakOy1atfoqewCx/5WHzgBER+PYIW+gwrBXJgtUjv
M/ZdqhOQvVWdRavhFVvVUL5KSncsEJ4X4kr0gf6faoiFEfkCS/aMh4WAeKvn1uYf
ASUPIhOj6qN/XBesqxZu5L5QhGWMkpYe+ixGjzAwH5e0rBvS755pOxH/nPQEgft8
s8OGfic6rJTW1zmUZLQRsQBw+zde4qrc3EW2+2nDHMD+W3aty0GSbFOkNZf6xCg3
Pz/62nRcTIvE3BsO+lr4rbJg+VaETKO3RbXSotoGJsIPBvqWpdvgiuoc40Q5Dovm
XQIDAQAB
-----END PUBLIC KEY-----', 1, 'SGC_BDO');
INSERT INTO PARTNER (client_id, name, public_key, enable, merchant_code)
VALUES ('GnwEbKzlfJvqSPpVcUqQbZdlHlUfeYff', 'SGC XLHN', '-----BEGIN PUBLIC KEY-----
MIIBIjANBgkqhkiG9w0BAQEFAAOCAQ8AMIIBCgKCAQEAijT0z6i+jN59g0lIaXwC
ooh14Mf8M2N5W/BMnWj/88iQakOy1atfoqewCx/5WHzgBER+PYIW+gwrBXJgtUjv
M/ZdqhOQvVWdRavhFVvVUL5KSncsEJ4X4kr0gf6faoiFEfkCS/aMh4WAeKvn1uYf
ASUPIhOj6qN/XBesqxZu5L5QhGWMkpYe+ixGjzAwH5e0rBvS755pOxH/nPQEgft8
s8OGfic6rJTW1zmUZLQRsQBw+zde4qrc3EW2+2nDHMD+W3aty0GSbFOkNZf6xCg3
Pz/62nRcTIvE3BsO+lr4rbJg+VaETKO3RbXSotoGJsIPBvqWpdvgiuoc40Q5Dovm
XQIDAQAB
-----END PUBLIC KEY-----', 1, 'SGC_PYE');
INSERT INTO PARTNER (client_id, name, public_key, enable, merchant_code)
VALUES ('GnwEbKzlfJvqSPpVcUqQbZdlHlUfeYff', 'SGC XLHN', '-----BEGIN PUBLIC KEY-----
MIIBIjANBgkqhkiG9w0BAQEFAAOCAQ8AMIIBCgKCAQEAijT0z6i+jN59g0lIaXwC
ooh14Mf8M2N5W/BMnWj/88iQakOy1atfoqewCx/5WHzgBER+PYIW+gwrBXJgtUjv
M/ZdqhOQvVWdRavhFVvVUL5KSncsEJ4X4kr0gf6faoiFEfkCS/aMh4WAeKvn1uYf
ASUPIhOj6qN/XBesqxZu5L5QhGWMkpYe+ixGjzAwH5e0rBvS755pOxH/nPQEgft8
s8OGfic6rJTW1zmUZLQRsQBw+zde4qrc3EW2+2nDHMD+W3aty0GSbFOkNZf6xCg3
Pz/62nRcTIvE3BsO+lr4rbJg+VaETKO3RbXSotoGJsIPBvqWpdvgiuoc40Q5Dovm
XQIDAQAB
-----END PUBLIC KEY-----', 1, 'SGC_TTH');</t>
  </si>
  <si>
    <t>2026-06-08T14:47:28.011+0700</t>
  </si>
  <si>
    <t>2026-06-08T14:52:56.996+0700</t>
  </si>
  <si>
    <t>IP (Host): ces-production.crcykac8kxtw.ap-southeast-1.rds.amazonaws.com
Port: 3306
DB Name: ces_data_transfer
Command: file đính kèm</t>
  </si>
  <si>
    <t xml:space="preserve">[OM][CMP][Non-prod] hỗ trợ tạo DB và phần quyền </t>
  </si>
  <si>
    <t>2026-06-08T14:40:17.770+0700</t>
  </si>
  <si>
    <t>2026-06-08T14:40:24.890+0700</t>
  </si>
  <si>
    <t>Hi DBA, nhờ hỗ trợ khởi tạo DB name là: cmp (PostgreSQL) trên non prod cho hệ thống Core CMP  với các yêu cầu sau: Thông tin DB yêu cầu Engine: PostgreSQL {{stable mới nhất. }} Database name:  cmp Schema:  public Application user:  cmp_app Encoding:  UTF8 Collation/ctype: theo default của server, ưu tiên  en_US.UTF-8  nếu có Timezone: ưu tiên  UTC  hoặc  Asia/Ho_Chi_Minh ; application xử lý timestamp dạng ISO/UTC App dùng Flyway migration tự động khi startup, hiện có migration từ  V1  đến  V29 Kích hoạt sẵn extension  pgcrypto  (hoặc  uuid-ossp ) để phục vụ sinh chuỗi định danh UUID v4 cho hệ thống. DB dùng nhiều cột  UUID ,  JSONB , index và foreign key link liên quan:  https://onemount.atlassian.net/browse/SRE-17283</t>
  </si>
  <si>
    <t>[UPAY][PROD] Nâng disk hệ thống TiDB Upay</t>
  </si>
  <si>
    <t>2026-06-08T13:33:37.690+0700</t>
  </si>
  <si>
    <t>2026-06-08T13:33:48.892+0700</t>
  </si>
  <si>
    <t>Hiện tại disk của hệ thống TiDB Upay đã chạm ngưỡng 90%: Team cần nâng disk như sau: node IP trước sau tikv-1 10.255.24.238 1200GB 1500GB tikv-2 10.255.24.241 1200GB 1500GB tikv-3 10.255.24.243 1200GB 1500GB tiflash-2 10.255.24.250 500GB 750GB tiflash-3 10.255.24.251 500GB 750GB</t>
  </si>
  <si>
    <t>[PROD] [VCM] Update voucher uo cate cho item đơn hàng</t>
  </si>
  <si>
    <t>2026-06-08T11:27:17.175+0700</t>
  </si>
  <si>
    <t>2026-06-08T11:27:47.537+0700</t>
  </si>
  <si>
    <t>Dear DBA team, Nhờ các anh em support chạy script update voucher uo cate cho item đơn hàng. Thông tin DB Mysql: Database name: vincart_mm_order 
IP: 172.31.1.41 Do script dài lên đẩy vào file attachment:</t>
  </si>
  <si>
    <t>[Production] Cấp quyền select cho user dataplatform_ingestion trên database 'outsystems_PROD_HR' - 172.31.1.45</t>
  </si>
  <si>
    <t>2026-06-08T11:24:57.035+0700</t>
  </si>
  <si>
    <t>2026-06-08T11:25:22.514+0700</t>
  </si>
  <si>
    <t>DataPlatform</t>
  </si>
  <si>
    <t>Dear team DBA, Nằm trong dự án MAG - HR, team DE đang trong quá trình golive và cần support quyền select cho user: dataplatform_ingestion để thực hiện migrate dữ liệu như sau: DB name: outsystems_PROD_HR IP: 172.31.1.45 Quyền select trên bảng:  OSUSR_OPR_ZKBIO_LOG Regards, Vĩnh</t>
  </si>
  <si>
    <t>[VCM] Cập nhật thông tin ticket</t>
  </si>
  <si>
    <t>2026-06-08T10:58:50.761+0700</t>
  </si>
  <si>
    <t>2026-06-08T10:59:00.999+0700</t>
  </si>
  <si>
    <t>Do một vài thông tin bị sai lịch trong flash sale nên nhờ team DBA update lại các data như sau: Thông tin database onevc_vsm_prod: IP:  172.31.4.126 Database:  onevc_vsm_prod Bước 1: Lấy thông tin chi tiết ticket ( TICKET_DETAIL ) SELECT
	t.id,
	t.code,
	t.serial_number,
	t.sale_code,
	t.business_code,
	t.program_code,
	t.user_id
FROM
	onevc_vsm_prod.ticket t
WHERE
	t.code = '65ae062cf47949f1b4b5ccd9d6d1bdd0'; Bước 2: Lấy thông tin ticket history SELECT
	*
FROM
	onevc_vsm_uat.ticket_history th
WHERE
	th.ticket_id = TICKET_DETAIL.id; Bước 3: Update thông tin ticket UPDATE
	onevc_vsm_uat.ticket t
SET
	t.ticket_status = 'USED',
	t.merchant_redeem_status = 'USED'
WHERE
	t.code = '65ae062cf47949f1b4b5ccd9d6d1bdd0';
SELECT t.merchant_redeem_status FROM ticket t; Bước 4: Update thông tin ticket history UPDATE onevc_vsm_uat.ticket_history th
SET th.is_latest = 0
WHERE th.ticket_id = TICKET_DETAIL.id; Bước 5: Thêm dữ liêu ticket history INSERT INTO onevc_vsm_uat.ticket_history
            (ticket_id,
             ticket_code,
             serial_number,
             sale_code,
             business_code,
             program_code,
             current_status,
             prev_status,
             history_type,
             is_latest,
             created_at,
             created_by,
             updated_at,
             updated_by,
             merchant_redeem_status,
             description,
             action_code,
             related_request_id)
VALUES     ('TICKET_DETAIL.id',
            'TICKET_DETAIL.code',
            'TICKET_DETAIL.serial_number',
            'TICKET_DETAIL.sale_code',
            'TICKET_DETAIL.business_code',
            'TICKET_DETAIL.program_code',
            'USED',
            'CLAIMED',
            'REDEEMED',
            1,
            '2026-05-24 19:06:32.479718',
            'oneu_nrs',
            '2026-05-24 19:06:32.479718',
            'oneu_nrs',
            'USED',
            NULL,
            NULL,
            NULL); Cảm ơn team nhiều ạ.</t>
  </si>
  <si>
    <t>V/v cập nhật các bảng trong db cp_scm</t>
  </si>
  <si>
    <t>2026-06-08T10:23:36.006+0700</t>
  </si>
  <si>
    <t>2026-06-08T10:23:46.570+0700</t>
  </si>
  <si>
    <t>GBIA, MAG, OMC</t>
  </si>
  <si>
    <t>Dear DBA, Tôi cần chạy sql này để thêm bảng mới trong db:  cp_scm  để phục vụ cho việc upload CV lên SharePoint cho website Gia Bình. SAD:    Thông tin db: Prod: Project vinid-app-common DB:  cp_scm IP:  172.31.1.222 Port:  3306 SQL: CREATE TABLE IF NOT EXISTS sharepoint_outbox (
  id            VARCHAR(40)  NOT NULL PRIMARY KEY,
  form_type     VARCHAR(30)  NOT NULL COMMENT 'candidate_application | referral_submission | partner_inquiry',
  external_id   VARCHAR(40)  NOT NULL COMMENT 'PK of source row in DB',
  status        VARCHAR(20)  NOT NULL DEFAULT 'pending' COMMENT 'pending | in_flight | success | failed',
  attempt_count INT          NOT NULL DEFAULT 0,
  last_error    TEXT,
  sp_item_id    VARCHAR(100) NULL COMMENT 'SharePoint list item ID after success',
  next_retry_at BIGINT       NULL,
  created_at    BIGINT       NOT NULL,
  updated_at    BIGINT       NOT NULL,
  INDEX idx_status_retry (status, next_retry_at),
  UNIQUE KEY uk_form_external (form_type, external_id)
);
-- Add sp_folder_drive_item_id to all 3 form tables.
-- This stores the SharePoint folder driveItem ID for the Folder-as-Application model.
ALTER TABLE candidate_applications
  ADD COLUMN sp_folder_drive_item_id VARCHAR(255) NOT NULL DEFAULT '';
ALTER TABLE referral_submissions
  ADD COLUMN sp_folder_drive_item_id VARCHAR(255) NOT NULL DEFAULT '';
ALTER TABLE partner_inquiries
  ADD COLUMN sp_folder_drive_item_id VARCHAR(255) NOT NULL DEFAULT '';</t>
  </si>
  <si>
    <t>[TCB][PGW] Hỗ trợ cập nhật Callback URL dịch vụ TCB ECom của merchant TCGINS</t>
  </si>
  <si>
    <t>2026-06-06T11:57:26.337+0700</t>
  </si>
  <si>
    <t>2026-06-06T11:57:33.254+0700</t>
  </si>
  <si>
    <t>Hi team, Nhờ các anh/em chạy giúp em câu script bên dưới để cập nhật trường IPN Callback URL của merchant TCGINS Thông tin DB: saas_tpay: mysql://pay-tidb.int.onemount.com:4000/saas_tpay UPDATE ECOM_MERCHANT_CONFIG SET IPN='https://partner-api.tcgi.com.vn/omg/v1/partners/transaction/callback-payment' where merchant_code='TCGINS';</t>
  </si>
  <si>
    <t>[GiaBinh][MSK][MAN-MAC][Prod] Chạy script database release 05/06/26</t>
  </si>
  <si>
    <t>2026-06-05T18:17:05.532+0700</t>
  </si>
  <si>
    <t>2026-06-05T18:17:16.882+0700</t>
  </si>
  <si>
    <t>Nhờ a  @Đào Công Nghĩa  chạy script migration phục vụ release 05/06/26 theo script đính kèm</t>
  </si>
  <si>
    <t xml:space="preserve">[OMRE][CBP][Kafka][PROD] Tạo topic kafka kéo các bảng CBP về DP PROD </t>
  </si>
  <si>
    <t>2026-06-05T17:45:54.574+0700</t>
  </si>
  <si>
    <t>2026-06-05T18:12:28.647+0700</t>
  </si>
  <si>
    <t>Dear team DBA, Team data đang có nhu cầu kéo thêm dữ liệu từ CBP PROD về DP PROD phục vụ việc build data model. Nhờ các anh hỗ trợ tạo topic cho bảng sau ạ: Host:  172.31.4.127 DB:  omre_cbp_customer_platform Table:  ekyc_informations ekyc_steps_details job_errors job_logs loan_consents otp_logs policy_consents slug_map upload_images user_profiles workflow_events Em cảm ơn các anh đã hỗ trợ ạ.</t>
  </si>
  <si>
    <t>[OMC][PS2][Prod] Phân quyền view vào DB Mongo Atlas</t>
  </si>
  <si>
    <t>2026-06-05T17:21:59.688+0700</t>
  </si>
  <si>
    <t>2026-06-05T17:28:55.502+0700</t>
  </si>
  <si>
    <t>Phân quyền view vào DB Mongo Atlas DB:  OMC-Loyalty-PS2 Account:  phongnt18@onemount.com ,  nguyet.phung@onemount.com ,  thu.nguyen15@onemount.com</t>
  </si>
  <si>
    <t>[OMRE] [PROD] Cập nhật ekyc cho agent</t>
  </si>
  <si>
    <t>2026-06-05T16:21:18.956+0700</t>
  </si>
  <si>
    <t>2026-06-11T11:20:26.294+0700</t>
  </si>
  <si>
    <t>Dear DBA team, Nhờ team thực hiện cập nhật thông tin Agent cho OMRE nhé UPDATE ekyc SET issue_date = '23/03/2024' WHERE agent_code = '1028164176'   Thông tin DB : HOST = " 172.31.4.83 " PORT = 3306 DATABASE = "agent-platform"</t>
  </si>
  <si>
    <t>[Bổ sung] Sửa datatype trên kho MAG để fix lỗi tràn số luồng nhập hàng</t>
  </si>
  <si>
    <t>2026-06-05T10:40:37.774+0700</t>
  </si>
  <si>
    <t>2026-06-05T10:46:59.569+0700</t>
  </si>
  <si>
    <t>Hi DBA team, Hiện tại các kho MAG cần fix lỗi dữ liệu, nhờ team DBA hỗ trợ cập nhật theo thông tin dưới đây Project : vinid-b2b-platform-prod Instance/IP : main (read-write): 172.31.4.59 Port : 3306 Database : omd_wms_mag alter table whse_stock_detail modify column avail_qty double;</t>
  </si>
  <si>
    <t>[MAG][NSP][PROD] Nhờ cấp tài khoản truy cập database postgresql phục vụ dự án Masterise Sales Platform</t>
  </si>
  <si>
    <t>2026-06-04T18:10:52.792+0700</t>
  </si>
  <si>
    <t>2026-06-04T18:11:24.477+0700</t>
  </si>
  <si>
    <t>Dear DBA team, Dự án NSP sau khi golive có nhu cầu về việc truy cập dữ liệu Production phục vụ việc debug, theo chủ trương trong ticket  https://onemount.atlassian.net/browse/SRE-16913  , nhờ anh/chị DBA hỗ trợ tạo tài khoản truy cập database Sales Platform theo thông tin dưới đây Họ và tên Email Vai trò Quyền truy cập database Phạm vi bảng @Nguyễn Đức Khôi khoi.nguyen3@onemount.com SA read only ALL @Nguyễn Văn Quang quang.nguyen9@onemount.com TO read only ALL @Doãn Thanh Đương duong.doan1@onemount.com TO read only ALL Thông tin database  mag_sales_platform  được tạo thông qua ticket    Cám ơn anh/chị đã hỗ trợ ạ.</t>
  </si>
  <si>
    <t xml:space="preserve">[PROD][Loyalty] Add thêm merchant TCBS phục vụ luồng topup </t>
  </si>
  <si>
    <t>2026-06-04T17:56:29.307+0700</t>
  </si>
  <si>
    <t>2026-06-04T17:56:37.859+0700</t>
  </si>
  <si>
    <t>Dear team, Nhờ team chạy giúp query để thêm merchant TCBS phục vụ cho việc topup.  CR:  https://onemount.atlassian.net/browse/SH-71508 Thông tin: Instance ID:  https://console.cloud.google.com/sql/instances/loyalty-main/overview?project=vinid-loyalty-prod Database name:  loyalty_oneu Câu query: INSERT INTO `merchant` (`id`, `name`, `code`, `status`, `metadata`, `created_at`, `updated_at`)
VALUES (4, 'TCBS', 'TCBS', 1, NULL, 1777971512, NULL);
INSERT INTO `merchant_topup_rate` (`id`, `rate_code`, `currency_code`, `merchant_currency_code`, `buy_rate`,
                                   `sell_rate`, `status`, `metadata`, `merchant_id`, `created_at`, `updated_at`,
                                   `display_order`)
VALUES (uuid(), 'OMC_UPOINT_TCBS_VND', 'Upoint', 'VND', '1:1', '1:1', 1,
        '{\"pos_code\": \"TCBSIXU\", \"store_id\": \"TCBSIXU\", \"terminal_id\": \"TCBSIXU\", \"program_name\": \"\", \"corporation_code\": \"\", \"merchant_logo_url\": \"\"}',
        4, NULL, NULL, 1); Em cảm ơn!</t>
  </si>
  <si>
    <t>Hỗ trợ các căn duyệt Clear bàn giao theo yêu cầu của Kế Toán bán hàng</t>
  </si>
  <si>
    <t>2026-06-04T17:33:53.295+0700</t>
  </si>
  <si>
    <t>2026-06-04T18:00:00.019+0700</t>
  </si>
  <si>
    <t>Xóa dữ liệu duyệt bàn giao theo yêu cầu . Host :  cs-prod-mariadb.crcykac8kxtw.ap-southeast-1.rds.amazonaws.com Query :  DELETE FROM handover_notice_approval
WHERE document_id IN (
    'handover-finance-TCOL1-TCOL1_TU-D12-21.12',
    'handover-finance-TCOL1-TCOL1_TU-D12-21.15A',
    'handover-finance-TCOL1-TCOL1_TU-D12-22.15A',
    'handover-finance-TCOL1-TCOL1_TU-D12-22.26',
    'handover-finance-TCOL1-TCOL1_TU-D12-24.02',
    'handover-finance-TCOL1-TCOL1_TU-D12-24.15',
    'handover-finance-TCOL1-TCOL1_TU-D12-26.08',
    'handover-finance-TCOL1-TCOL1_TU-D12-26.03',
    'handover-finance-TCOL1-TCOL1_TU-D12-26.10',
    'handover-finance-TCOL1-TCOL1_TU-D12-27.03',
    'handover-finance-TCOL1-TCOL1_TU-D12-27.23',
    'handover-finance-TCOL1-TCOL1_TU-D12-28.20',
    'handover-finance-TCOL1-TCOL1_TU-D12-29.09',
    'handover-finance-TCOL1-TCOL1_TU-D12-30.09',
    'handover-finance-TCOL1-TCOL1_TU-D12-30.12',
    'handover-finance-TCOL1-TCOL1_TU-D12-30.18',
    'handover-finance-TCOL1-TCOL1_TU-D12-30.19',
    'handover-finance-TCOL1-TCOL1_TU-D12-31.08A',
    'handover-finance-TCOL1-TCOL1_TU-D12-31.09',
    'handover-finance-TCOL1-TCOL1_TU-D12-32.10',
    'handover-finance-TCOL1-TCOL1_TU-D12-32.12',
    'handover-finance-TCOL1-TCOL1_TU-D12-32.18',
    'handover-finance-TCOL1-TCOL1_TU-D12-32.16',
    'handover-finance-TCOL1-TCOL1_TU-D12-32.26',
    'handover-finance-TCOL1-TCOL1_TU-D12-32.21',
    'handover-finance-TCOL1-TCOL1_TU-D12-33.21',
    'handover-finance-TCOL1-TCOL1_TU-D12-33.19',
    'handover-finance-TCOL1-TCOL1_TU-D12-33.23',
    'handover-finance-TCOL1-TCOL1_TU-D12-36.23',
    'handover-finance-TCOL1-TCOL1_TU-D12-38.23',
    'handover-finance-TCOL1-TCOL1_TU-D12-27.12'
);</t>
  </si>
  <si>
    <t>Sửa datatype trên kho MAG để fix lỗi tràn số luồng nhập hàng</t>
  </si>
  <si>
    <t>2026-06-04T17:27:28.042+0700</t>
  </si>
  <si>
    <t>2026-06-04T18:03:23.948+0700</t>
  </si>
  <si>
    <t>Hi DBA team, Hiện tại kho SCM_TEST cần fix lỗi dữ liệu, nhờ team DBA hỗ trợ cập nhật theo thông tin dưới đây Project : vinid-b2b-platform-prod Instance/IP : main (read-write): 172.31.4.59 Port : 3306 Database : omd_wms_mag alter table whse_stock_detail modify column pa_qty double, modify column picked_qty double;</t>
  </si>
  <si>
    <t>[OMC][MTP] Update thông tin cấu hình segment</t>
  </si>
  <si>
    <t>2026-06-04T17:10:47.465+0700</t>
  </si>
  <si>
    <t>2026-06-04T17:10:52.937+0700</t>
  </si>
  <si>
    <t>Dear anh  @Nguyễn Văn Dũng  , nhờ anh chạy giúp em query với ạ -- DB: 172.31.3.49
-- Schema: mtp_audience_management
update mtp_audience_management.public.segments
set segment_config = '{
  "AND": [
    {
      "label_code": "hv_tt_apps_txn",
      "operator": "&gt;=",
      "data_type": "DATE",
      "value_expr": "CURRENT_DATE - INTERVAL 30 DAY"
    }
  ]
}'
where id = 76;
update mtp_audience_management.public.segments
set segment_config = '{
  "AND": [
    {
      "label_code": "hv_tt_apps_txn",
      "operator": "&lt;",
      "data_type": "DATE",
      "value_expr": "CURRENT_DATE - INTERVAL 30 DAY"
    },
    {
      "label_code": "hv_tt_apps_txn",
      "operator": "&gt;=",
      "data_type": "DATE",
      "value_expr": "CURRENT_DATE - INTERVAL 90 DAY"
    }
  ]
}'
where id = 77;
update mtp_audience_management.public.segments
set segment_config = '{
  "AND": [
    {
      "label_code": "hv_tt_apps_txn",
      "operator": "&lt;",
      "data_type": "DATE",
      "value_expr": "CURRENT_DATE - INTERVAL 90 DAY"
    }
  ]
}'
where id = 78; Best regards Dinh Quang Nguyen</t>
  </si>
  <si>
    <t>[OMC][PROD] V/v tạo account ingest dữ liệu</t>
  </si>
  <si>
    <t>2026-06-04T12:05:32.815+0700</t>
  </si>
  <si>
    <t>2026-06-04T15:19:32.874+0700</t>
  </si>
  <si>
    <t>Dear Linh, Em tạo giúp anh account để anh kéo dữ liệu về DB với nhé: Host : 172.31.4.101 Database : oneloyalty_budget Account: dataplatform_ingestion</t>
  </si>
  <si>
    <t>Sửa datatype trên kho SCM_TEST để test lỗi tràn số luồng nhập hàng</t>
  </si>
  <si>
    <t>2026-06-04T12:01:21.499+0700</t>
  </si>
  <si>
    <t>2026-06-04T12:40:18.271+0700</t>
  </si>
  <si>
    <t>Hi DBA team, Hiện tại kho SCM_TEST cần fix lỗi dữ liệu, nhờ team DBA hỗ trợ cập nhật theo thông tin dưới đây Project : vinid-b2b-platform-prod Instance/IP : main (read-write): 172.31.4.59 Port : 3306 Database : omd_wms_t26 alter table whse_stock_detail modify column avail_qty double;</t>
  </si>
  <si>
    <t>[omd] Xin cấp tài khoản readonly PMS</t>
  </si>
  <si>
    <t>2026-06-04T11:58:04.066+0700</t>
  </si>
  <si>
    <t>2026-06-04T12:49:54.887+0700</t>
  </si>
  <si>
    <t>Hi Vượng Dự án cần vào check data môi trường non-prod Nhờ chú cấp giúp anh 1 account readonly cho dự án PMS nhé ticket trước:    tk readonly: omd_pms_readonly dùng chung cho 3 db(  omd_pms_dev ,  omd_pms_qc, omd_pms_uat)  - 3 môi trường cũng được nhé</t>
  </si>
  <si>
    <t>2026-06-04T11:54:40.856+0700</t>
  </si>
  <si>
    <t>2026-06-04T11:54:53.199+0700</t>
  </si>
  <si>
    <t>Nhờ DBA hỗ trợ migrate cho các DB sau, vì service này là service mới và hôm nay mới deploy production cho nên nhờ team DBA hỗ trợ migrate trong giờ hành chính luôn. Database cho Discount DB instance:  https://console.cloud.google.com/sql/instances/discount-smartpos/overview?project=vinid-loyalty-prod DB name: discount_smartpos Migrate SQL: CREATE TABLE `condition_templates` (
  `id` bigint NOT NULL AUTO_INCREMENT,
  `code` varchar(255) NOT NULL,
  `type` varchar(50) NOT NULL DEFAULT '',
  `name` varchar(50) NOT NULL DEFAULT '',
  `description` varchar(255) DEFAULT '',
  `status` enum('ACTIVE','INACTIVE') DEFAULT NULL,
  `statement` json NOT NULL,
  `pattern` varchar(255) NOT NULL,
  `created_at` timestamp NULL DEFAULT CURRENT_TIMESTAMP,
  `updated_at` timestamp NULL DEFAULT CURRENT_TIMESTAMP,
  `deleted_at` timestamp NULL DEFAULT NULL,
  PRIMARY KEY (`id`),
  UNIQUE KEY `code_UNIQUE` (`code` ASC)
) ENGINE=InnoDB DEFAULT CHARSET=utf8mb3;
INSERT INTO `condition_templates` (`code`, `type`, `name`, `description`, `status`, `statement`, `pattern`) VALUES ('POS_PROMOTION', 'template', 'pos promotion', 'pos promotion', 'ACTIVE', '{\"Field\":{\"PosPromotion\":{\"ID\":1,\"Amount\":1.1,\"Status\":\"string\",\"UserID\":\"string\",\"FeeAmount\":1.1,\"Description\":\"string\",\"ServiceCode\":\"string\",\"TotalAmount\":1.1,\"PaymentInstrument\":\"string\",\"VerificationMethod\":\"string\",\"Store\":{\"Code\":\"string\",\"Name\":\"string\"},\"Merchant\":{\"Code\":\"string\",\"Name\":\"string\"},\"MoneySources\":[{\"ID\":\"string\",\"Name\":\"string\",\"Amount\":1.1,\"PaidAmount\":1.1,\"PaymentMethodCode\":\"string\",\"BankCode\":\"string\",\"CardNumberPrefix\":\"string\",\"CardType\":\"string\"}],\"OrderDetails\":{\"PaymentChannel\":\"string\",\"Code\":\"string\",\"Items\":[{\"Sku\":\"string\",\"Code\":\"string\",\"Name\":\"string\",\"Unit\":\"string\",\"Price\":1.1,\"ImageURL\":\"string\",\"Merchant\":{\"MID\":\"string\",\"TID\":\"string\",\"Code\":\"string\",\"Name\":\"string\"},\"Quantity\":1,\"ExtraData\":{\"Barcode\":\"string\"},\"ProductID\":\"string\",\"UnitPrice\":1.1,\"VariantID\":\"string\",\"Description\":\"string\",\"ProductCode\":\"string\",\"VariantCode\":\"string\",\"CategoryCode\":\"string\",\"CategoryName\":\"string\",\"DiscountPrice\":1.1}],\"Status\":\"string\",\"UserID\":\"string\",\"Loyalty\":{\"TotalRedeemPointAmount\":1},\"CreatedAt\":1,\"ExpiredAt\":1,\"FinishedAt\":1,\"TotalAmount\":1.1,\"ShippingFees\":[{\"ShippingFee\":1.1,\"MerchantCode\":\"string\"}],\"TotalDiscount\":1.1,\"ShippingMethod\":{\"Code\":\"string\",\"Name\":\"string\"},\"ShoppingMethod\":{\"Code\":\"string\",\"Name\":\"string\"},\"ShippingAddress\":{\"Ward\":{\"Code\":\"string\",\"Name\":\"string\"},\"Address\":\"string\",\"District\":{\"Code\":\"string\",\"Name\":\"string\"},\"Receiver\":{\"Name\":\"string\",\"PhoneNumber\":\"string\"},\"Province \":{\"Code\":\"string\",\"Name\":\"string\"}},\"TotalItemsAmount\":1.1,\"TotalShippingFee\":1.1,\"TotalAppliedPromotionAmount\":1.1}}}}' , 'DiscountFact');
--
-- Table structure for table `conditions`
--
CREATE TABLE `conditions` (
  `id` bigint NOT NULL AUTO_INCREMENT,
  `statement` text NOT NULL,
  `version` bigint DEFAULT NULL,
  `meta` json DEFAULT NULL,
  `item_id` bigint NOT NULL,
  `created_at` timestamp NULL DEFAULT CURRENT_TIMESTAMP,
  `updated_at` timestamp NULL DEFAULT CURRENT_TIMESTAMP,
  `deleted_at` timestamp NULL DEFAULT NULL,
  PRIMARY KEY (`id`),
  KEY `item_id` (`item_id`)
) ENGINE=InnoDB DEFAULT CHARSET=utf8mb3;
--
-- Table structure for table `items`
--
CREATE TABLE `items` (
  `id` bigint NOT NULL AUTO_INCREMENT,
  `code` varchar(255) NOT NULL,
  `apply_type` varchar(50) NOT NULL,
  `apply_code` varchar(255) DEFAULT NULL,
  `budget_item_code` varchar(255) NOT NULL,
  `spend_budget` bigint DEFAULT '0',
  `name` varchar(255) DEFAULT '',
  `description` varchar(255) DEFAULT '',
  `status` enum('ACTIVE','INACTIVE') DEFAULT NULL,
  `auto_apply` tinyint(1) DEFAULT '0',
  `multi_promotion` tinyint(1) NOT NULL DEFAULT '0',
  `display_order` bigint NULL DEFAULT NULL,
  `deep_link` varchar(255) NOT NULL DEFAULT '""',
  `icon` varchar(255) NOT NULL,
  `effective_from` timestamp(3) NULL DEFAULT NULL,
  `effective_to` timestamp(3) NULL DEFAULT NULL,
  `created_at` timestamp NULL DEFAULT CURRENT_TIMESTAMP,
  `updated_at` timestamp NULL DEFAULT CURRENT_TIMESTAMP,
  `deleted_at` timestamp NULL DEFAULT NULL,
  `banner` varchar(255) DEFAULT NULL,
  `content` text,
  `domain_code` varchar(255) DEFAULT NULL,
  `tenant_id` VARCHAR(255) NOT NULL,
  `maker` varchar(50) DEFAULT NULL,
  `checker` varchar(50) DEFAULT NULL,
  PRIMARY KEY (`id`),
  UNIQUE KEY `code_unit` (`code`),
  KEY `index_effective_to` (`effective_to`),
  KEY `index_tenant_id` (`tenant_id`),
  KEY `item_apply_type` (`tenant_id`,`apply_type`,`apply_code`,`status`,`effective_to`)
) ENGINE=InnoDB DEFAULT CHARSET=utf8mb3;
--
-- Table structure for table `partner_templates`
--
CREATE TABLE `partner_templates` (
  `id` bigint unsigned NOT NULL AUTO_INCREMENT,
  `name` varchar(255) DEFAULT NULL,
  `code` varchar(255) NOT NULL,
  `template` mediumtext NOT NULL,
  `created_at` bigint unsigned NOT NULL DEFAULT (unix_timestamp()),
  `updated_at` bigint unsigned DEFAULT (unix_timestamp()),
  PRIMARY KEY (`id`),
  UNIQUE KEY `code_UNIQUE` (`code`)
) ENGINE=InnoDB DEFAULT CHARSET=utf8mb3;
--
-- Table structure for table `tags`
--
CREATE TABLE `tags` (
  `id` bigint NOT NULL AUTO_INCREMENT,
  `name` varchar(64) DEFAULT NULL,
  `code` varchar(25) DEFAULT NULL,
  `description` varchar(255) DEFAULT NULL,
  `created_at` datetime NOT NULL DEFAULT CURRENT_TIMESTAMP,
  `updated_at` datetime NOT NULL DEFAULT CURRENT_TIMESTAMP,
  `deleted_at` datetime DEFAULT NULL,
  PRIMARY KEY (`id`),
  UNIQUE KEY `code` (`code`)
) ENGINE=InnoDB DEFAULT CHARSET=utf8mb3;
--
-- Table structure for table `tags_items`
--
CREATE TABLE `tags_items` (
  `id` bigint NOT NULL AUTO_INCREMENT,
  `item_id` bigint NOT NULL,
  `tag_id` bigint NOT NULL,
  `created_at` datetime NOT NULL DEFAULT CURRENT_TIMESTAMP,
  PRIMARY KEY (`id`),
  UNIQUE KEY `item_id` (`item_id`,`tag_id`)
) ENGINE=InnoDB DEFAULT CHARSET=utf8mb3;
--
-- Table structure for table `transaction_details`
--
CREATE TABLE `transaction_details` (
  `transaction_id` varchar(50) NOT NULL,
  `amount` bigint NOT NULL,
  `item_id` bigint NOT NULL,
  `user_id` varchar(255) NOT NULL,
  `created_at` timestamp NULL DEFAULT CURRENT_TIMESTAMP,
  PRIMARY KEY (`transaction_id`, `item_id`),
  KEY `idx_user_item_created` (`item_id`,`user_id`,`created_at`)
) ENGINE=InnoDB DEFAULT CHARSET=utf8mb3;
--
-- Table structure for table `transaction_history`
--
CREATE TABLE `transaction_history` (
  `status` varchar(10) NOT NULL,
  `transaction_id` varchar(50) NOT NULL,
  `created_at` timestamp NULL DEFAULT CURRENT_TIMESTAMP,
  PRIMARY KEY (`transaction_id`,`status`)
) ENGINE=InnoDB DEFAULT CHARSET=utf8mb3;
--
-- Table structure for table `transactions`
--
CREATE TABLE `transactions` (
  `id` varchar(40) NOT NULL,
  `user_id` varchar(255) DEFAULT NULL,
  `ref_id` varchar(40) DEFAULT NULL,
  `amount` bigint DEFAULT NULL,
  `status` varchar(10) DEFAULT NULL,
  `item_ids` json DEFAULT NULL,
  `checkout_transaction_id` varchar(255) DEFAULT NULL,
  `merchant_code` varchar(255) DEFAULT NULL,
  `store_code` varchar(255) DEFAULT NULL,
  `pos_code` varchar(255) DEFAULT NULL,
  `extra_data` json DEFAULT NULL,
  `created_at` timestamp NULL DEFAULT CURRENT_TIMESTAMP,
  `updated_at` timestamp NULL DEFAULT CURRENT_TIMESTAMP,
  `service_code` varchar(50) DEFAULT NULL,
  `tenant_id` varchar(50) DEFAULT NULL,
  PRIMARY KEY (`id`),
  KEY `user_id` (`user_id`),
  UNIQUE KEY `tenant_ref_id_unique` (`tenant_id`,`ref_id`),
  KEY `idx_tenant_id` (`tenant_id`),
  KEY `idx_status_id` (`status`,`id`)
) ENGINE=InnoDB DEFAULT CHARSET=utf8mb3;
--
-- Table structure for table `version_controls`
--
CREATE TABLE `version_controls` (
  `id` bigint NOT NULL AUTO_INCREMENT,
  `version` bigint DEFAULT NULL,
  PRIMARY KEY (`id`)
) ENGINE=InnoDB DEFAULT CHARSET=utf8mb3; Database cho Budget DB instance:  https://console.cloud.google.com/sql/instances/discount-smartpos/overview?project=vinid-loyalty-prod DB name: budget_smartpos Migrate SQL: --
-- Table structure for table `budgets`
--
CREATE TABLE `budgets` (
  `id` bigint NOT NULL AUTO_INCREMENT,
  `campaign_id` bigint NOT NULL,
  `item_id` bigint DEFAULT NULL,
  `participant_id` bigint DEFAULT NULL,
  `budget_hold` bigint NOT NULL,
  `total` bigint NOT NULL DEFAULT '0',
  `created_at` timestamp NULL DEFAULT CURRENT_TIMESTAMP,
  `updated_at` timestamp NULL DEFAULT CURRENT_TIMESTAMP,
  `deleted_at` timestamp NULL DEFAULT NULL,
  PRIMARY KEY (`id`),
  UNIQUE KEY `budget_unique` (`campaign_id`,`item_id`,`participant_id`)
) ENGINE=InnoDB DEFAULT CHARSET=utf8mb3;
--
-- Table structure for table `campaigns`
--
CREATE TABLE `campaigns` (
  `id` bigint NOT NULL AUTO_INCREMENT,
  `code` varchar(60) NOT NULL,
  `tenant_id` varchar(60) NOT NULL,
  `status` varchar(10) NOT NULL,
  `name` varchar(60) NOT NULL,
  `description` varchar(255) NOT NULL,
  `cost_center` varchar(60) NOT NULL,
  `internal_order` varchar(60) NOT NULL,
  `mkt_campaign_code` varchar(60) NOT NULL,
  `mkt_campaign_name` varchar(60) NOT NULL,
  `program_id` bigint NOT NULL,
  `effective_from` datetime(3) NOT NULL DEFAULT CURRENT_TIMESTAMP(3),
  `effective_to` datetime(3) NOT NULL DEFAULT CURRENT_TIMESTAMP(3),
  `maker` varchar(50) DEFAULT NULL,
  `checker` varchar(50) DEFAULT NULL,
  `created_at` timestamp NULL DEFAULT CURRENT_TIMESTAMP,
  `updated_at` timestamp NULL DEFAULT CURRENT_TIMESTAMP,
  `deleted_at` timestamp NULL DEFAULT NULL,
  PRIMARY KEY (`id`),
  UNIQUE KEY `code` (`code`)
) ENGINE=InnoDB DEFAULT CHARSET=utf8mb3;
--
-- Table structure for table `campaign_participants`
--
CREATE TABLE `campaign_participants` (
  `id` bigint NOT NULL AUTO_INCREMENT,
  `campaign_id` bigint NOT NULL,
  `participant_id` bigint NOT NULL,
  `spend` bigint NOT NULL,
  `budget` bigint NOT NULL,
  `account_id` varchar(255) DEFAULT NULL,
  `account_type` varchar(255) DEFAULT NULL,
  `expense_method` varchar(255) DEFAULT NULL,
  `created_at` timestamp NULL DEFAULT CURRENT_TIMESTAMP,
  `updated_at` timestamp NULL DEFAULT CURRENT_TIMESTAMP,
  `deleted_at` timestamp NULL DEFAULT NULL,
  PRIMARY KEY (`id`),
  INDEX `idx_campaign_participant` (`campaign_id`, `participant_id`),
  CONSTRAINT chk_campaign_participant_spend_budget CHECK (spend &lt;= budget)
) ENGINE=InnoDB  DEFAULT CHARSET=utf8mb3;
--
-- Table structure for table `histories`
--
CREATE TABLE `histories` (
  `id` bigint NOT NULL AUTO_INCREMENT,
  `module` varchar(20) NOT NULL,
  `action` varchar(20) NOT NULL,
  `current` bigint NOT NULL,
  `change_value` bigint NOT NULL,
  `meta_data` json DEFAULT NULL,
  `maker` varchar(50) DEFAULT NULL,
  `checker` varchar(50) DEFAULT NULL,
  `created_at` timestamp NULL DEFAULT CURRENT_TIMESTAMP,
  `updated_at` timestamp NULL DEFAULT CURRENT_TIMESTAMP,
  `deleted_at` timestamp NULL DEFAULT NULL,
  PRIMARY KEY (`id`)
) ENGINE=InnoDB DEFAULT CHARSET=utf8mb3;
--
-- Table structure for table `items`
--
CREATE TABLE `items` (
  `id` bigint NOT NULL AUTO_INCREMENT,
  `code` varchar(60) NOT NULL,
  `tenant_id` varchar(60) NOT NULL,
  `status` varchar(10) NOT NULL,
  `promotion_type` varchar(20) NOT NULL,
  `name` varchar(60) NOT NULL,
  `description` varchar(255) NOT NULL,
  `sharing_method` varchar(20) NOT NULL,
  `campaign_id` bigint NOT NULL,
  `rounding_type` varchar(50) DEFAULT 'INTEGER_NEAR',
  `maker` varchar(50) DEFAULT NULL,
  `checker` varchar(50) DEFAULT NULL,
  `created_at` timestamp NULL DEFAULT CURRENT_TIMESTAMP,
  `updated_at` timestamp NULL DEFAULT CURRENT_TIMESTAMP,
  `deleted_at` timestamp NULL DEFAULT NULL,
  PRIMARY KEY (`id`),
  UNIQUE KEY `code` (`code`)
) ENGINE=InnoDB DEFAULT CHARSET=utf8mb3;
--
-- Table structure for table `item_participants`
--
CREATE TABLE `item_participants` (
  `id` bigint NOT NULL AUTO_INCREMENT,
  `item_id` bigint NOT NULL,
  `campaign_id` bigint NOT NULL,
  `participant_id` bigint NOT NULL,
  `sponsor_type` varchar(20) NOT NULL,
  `percent` int DEFAULT NULL,
  `unit` bigint DEFAULT NULL,
  `priority` int NOT NULL,
  `spend` bigint NOT NULL,
  `budget` bigint NOT NULL,
  `created_at` timestamp NULL DEFAULT CURRENT_TIMESTAMP,
  `updated_at` timestamp NULL DEFAULT CURRENT_TIMESTAMP,
  `deleted_at` timestamp NULL DEFAULT NULL,
  PRIMARY KEY (`id`),
  CONSTRAINT chk_item_participant_spend_budget CHECK (spend &lt;= budget),
  UNIQUE KEY `item_participant_unique` (`campaign_id`,`item_id`,`participant_id`),
  KEY `participant_index` (`participant_id`)
) ENGINE=InnoDB DEFAULT CHARSET=utf8mb3;
--
-- Table structure for table `participant`
--
CREATE TABLE `participant` (
  `id` bigint NOT NULL AUTO_INCREMENT,
  `tenant_id` varchar(60) NOT NULL,
  `type` varchar(50) NOT NULL,
  `merchant_code` varchar(50) NOT NULL,
  `sap_code` varchar(50) DEFAULT NULL,
  `created_at` timestamp NULL DEFAULT CURRENT_TIMESTAMP,
  `updated_at` timestamp NULL DEFAULT CURRENT_TIMESTAMP,
  `deleted_at` timestamp NULL DEFAULT NULL,
  PRIMARY KEY (`id`),
  UNIQUE KEY `merchant_code` (`merchant_code`,`tenant_id`)
) ENGINE=InnoDB DEFAULT CHARSET=utf8mb3;
--
-- Table structure for table `programs`
--
CREATE TABLE `programs` (
  `id` bigint NOT NULL AUTO_INCREMENT,
  `code` varchar(60) DEFAULT NULL,
  `status` varchar(10) NOT NULL,
  `name` varchar(100) NOT NULL,
  `description` varchar(255) DEFAULT NULL,
  `maker` varchar(50) DEFAULT NULL,
  `checker` varchar(50) DEFAULT NULL,
  `created_at` timestamp NULL DEFAULT CURRENT_TIMESTAMP,
  `updated_at` timestamp NULL DEFAULT CURRENT_TIMESTAMP,
  `deleted_at` timestamp NULL DEFAULT NULL,
  PRIMARY KEY (`id`),
  UNIQUE KEY `code` (`code`)
) ENGINE=InnoDB DEFAULT CHARSET=utf8mb3;
INSERT INTO `programs` (`code`, `status`, `name`, `description`)
VALUES ('GGG_SMARTPOS', 'ACTIVE', 'GGG_SMARTPOS', 'GGG_SMARTPOS');
--
-- Table structure for table `transaction_details`
--
CREATE TABLE `transaction_details` (
  `campaign_id` bigint NOT NULL,
  `item_id` bigint NOT NULL,
  `item_participant_id` bigint NOT NULL,
  `amount` bigint NOT NULL,
  `transaction_ref` varchar(50) NOT NULL,
  `status` varchar(10) NOT NULL DEFAULT '',
  `created_at` timestamp NULL DEFAULT CURRENT_TIMESTAMP,
  `updated_at` timestamp NULL DEFAULT CURRENT_TIMESTAMP,
  `deleted_at` timestamp NULL DEFAULT NULL,
  PRIMARY KEY (`transaction_ref`,`status`,`item_participant_id`)
) ENGINE=InnoDB DEFAULT CHARSET=utf8mb3;
--
-- Table structure for table `transactions`
--
CREATE TABLE `transactions` (
  `id` varchar(50) NOT NULL,
  `tenant_id` varchar(60) NOT NULL,
  `campaign_id` bigint NOT NULL,
  `item_id` bigint NOT NULL,
  `amount` bigint NOT NULL,
  `status` varchar(20) NOT NULL,
  `meta_data` json DEFAULT NULL,
  `created_at` timestamp NULL DEFAULT CURRENT_TIMESTAMP,
  `updated_at` timestamp NULL DEFAULT CURRENT_TIMESTAMP,
  `deleted_at` timestamp NULL DEFAULT NULL,
  PRIMARY KEY (`id`)
) ENGINE=InnoDB DEFAULT CHARSET=utf8mb3;</t>
  </si>
  <si>
    <t>[PROD] [VCM] clone attribute voucher accepted store</t>
  </si>
  <si>
    <t>2026-06-03T17:31:10.647+0700</t>
  </si>
  <si>
    <t>2026-06-03T17:31:18.726+0700</t>
  </si>
  <si>
    <t>Dear Nghĩa, Nhờ em hỗ trợ chạy lệnh clone từ TCBM → OneU cho attribute   voucher_accepted_merchants   voucher:  VD_VC_1780051943954 insert into vincart_mm_product.entity_attributes_values (attribute_id, "value", name,
                                                             entity_id,
                                                             type, display_order, channel_code)
select attribute_id,
       "value",
       name,
       entity_id,
       type,
       display_order,
       'ONEU'
from vincart_mm_product.entity_attributes_values 
WHERE id = (select id from vincart_mm_product.variants where code = 'VD_VC_1780051943954');</t>
  </si>
  <si>
    <t>[Tpay] [PROD] Hỗ trợ update thông tin merchant</t>
  </si>
  <si>
    <t>2026-06-03T16:30:53.378+0700</t>
  </si>
  <si>
    <t>2026-06-03T16:32:16.408+0700</t>
  </si>
  <si>
    <t>Dear team DBA. Team Pay có thực hiện update thông tin cho merchant. Nhờ team DAB hỗ trợ với thông tin cụ thể như sau Thông tin database jdbc:mysql://pay-tidb.int.onemount.com:4000/saas_tpay script UPDATE UNIFIED_MERCHANT SET cif = '40196477_2' WHERE merchant_code = 'BV198';
UPDATE MERCHANT SET TCB_CIF = '40196477_2' WHERE merchant_code = 'BV198';</t>
  </si>
  <si>
    <t>[QR247][WCM] Hỗ trợ update dữ liệu giao dịch Callback manual của merchant WINCOMMERCE</t>
  </si>
  <si>
    <t>2026-06-03T15:42:21.905+0700</t>
  </si>
  <si>
    <t>2026-06-03T15:42:35.397+0700</t>
  </si>
  <si>
    <t>Hi team, Nhờ các anh/em chạy giúp em script bên dưới để update lại các thông tin bị lệch cho 01 giao dịch của merchant WINCOMMERCE.  Thông tin DB: saas_tpay: mysql://pay-tidb.int.onemount.com:4000/saas_tpay UPDATE TRANSACTION_MASTER SET transaction_status='SUCCESS' and accounted_amount='74600' where id='f878815b538a45d08f5a7a5e04a4b535';
UPDATE TRANSACTION_DETAIL set transaction_amount='74600' where id='d3dd35efc214450ca57a0bb36a046cc3';</t>
  </si>
  <si>
    <t>V/v cập nhật các bảng trong db cp_scm_uat</t>
  </si>
  <si>
    <t>2026-06-03T15:19:31.488+0700</t>
  </si>
  <si>
    <t>2026-06-03T15:21:36.498+0700</t>
  </si>
  <si>
    <t>Dear DBA, Hiện tại, Website Gia Bình cần update việc upload CV từ GCS sang SharePoint của MAG nên cần update lại cấu trúc của DB. DBA chạy SQL này với DB: Nonprod: Project vinid-app-common-dev DB:  cp_scm_uat/qc IP:  172.31.0.16 Port:  3306 SQL:  CREATE TABLE IF NOT EXISTS sharepoint_outbox (
  id            VARCHAR(40)  NOT NULL PRIMARY KEY,
  form_type     VARCHAR(30)  NOT NULL COMMENT 'candidate_application | referral_submission | partner_inquiry',
  external_id   VARCHAR(40)  NOT NULL COMMENT 'PK of source row in DB',
  status        VARCHAR(20)  NOT NULL DEFAULT 'pending' COMMENT 'pending | in_flight | success | failed',
  attempt_count INT          NOT NULL DEFAULT 0,
  last_error    TEXT,
  sp_item_id    VARCHAR(100) NULL COMMENT 'SharePoint list item ID after success',
  next_retry_at BIGINT       NULL,
  created_at    BIGINT       NOT NULL,
  updated_at    BIGINT       NOT NULL,
  INDEX idx_status_retry (status, next_retry_at),
  UNIQUE KEY uk_form_external (form_type, external_id)
);
-- Add sp_folder_drive_item_id to all 3 form tables.
-- This stores the SharePoint folder driveItem ID for the Folder-as-Application model.
ALTER TABLE candidate_applications
  ADD COLUMN sp_folder_drive_item_id VARCHAR(255) NOT NULL DEFAULT '';
ALTER TABLE referral_submissions
  ADD COLUMN sp_folder_drive_item_id VARCHAR(255) NOT NULL DEFAULT '';
ALTER TABLE partner_inquiries
  ADD COLUMN sp_folder_drive_item_id VARCHAR(255) NOT NULL DEFAULT '';</t>
  </si>
  <si>
    <t>[OMC][ONEU] [Prod] Phân quyền function user_profile</t>
  </si>
  <si>
    <t>2026-06-03T10:33:15.816+0700</t>
  </si>
  <si>
    <t>2026-06-03T10:33:24.141+0700</t>
  </si>
  <si>
    <t>Dear team DBA Nhờ team phân quyền cho acccount chạy các funtion sau để hỗ trợ điều tra lỗi dữ liệu trên prod ạ ip: 172.31.1.12 db: account_profile_service   mail:  kien.tran4@onemount.com  ,  cong.dao@onemount.com   funtion hash_by_sha256 encrypt_data_aes_cbc_mode_fn decrypt_data_aes_cbc_mode_fn Thank team</t>
  </si>
  <si>
    <t xml:space="preserve">[PROD]  Update lại thông tin maker checker trên OPS </t>
  </si>
  <si>
    <t>2026-06-02T21:08:02.453+0700</t>
  </si>
  <si>
    <t>2026-06-02T21:08:22.279+0700</t>
  </si>
  <si>
    <t>OPS</t>
  </si>
  <si>
    <t>Dear team,  để verify issue trên production, nhờ team chạy giúp câu lệnh bên dưới. Thông tin database MYSQL_DBNAME: maker_checker_service
MYSQL_HOST: 172.31.1.102
MYSQL_PORT: "3306"
MYSQL_USER: maker_checker_service Câu lệnh -- Verify trước khi update
SHOW CREATE TABLE change_requests;
-- hoặc focus 2 cột (kèm charset/collation để ALTER không vô tình đổi):
SELECT COLUMN_NAME, COLUMN_TYPE, IS_NULLABLE, COLUMN_DEFAULT,
       CHARACTER_OCTET_LENGTH, CHARACTER_SET_NAME, COLLATION_NAME
FROM information_schema.COLUMNS
WHERE TABLE_SCHEMA = DATABASE()
  AND TABLE_NAME = 'change_requests'
  AND COLUMN_NAME IN ('payload','signed_payload');</t>
  </si>
  <si>
    <t>2026-06-02T15:02:29.389+0700</t>
  </si>
  <si>
    <t>2026-06-02T15:02:36.794+0700</t>
  </si>
  <si>
    <t>Dear anh  @Đào Công Nghĩa , Team em có nhu cầu cập nhật các DB sau, nhờ team DBA hỗ trợ. Thời gian chạy:  Team chạy ngay giúp em ạ. Thông tin DB:  omc-mtp-tidb.int.onemount.com:4000 / omc_merchant_loyalty update omc_merchant_loyalty.campaign set start_date = '2026-06-03 00:00:00.000' where id = 'd01ac08e-d496-44b2-bfe5-1c58cd07080f';
update omc_merchant_loyalty.request set store_apply = '[13253]', process_status=null where id = '08cba68f-e2d5-44c4-b6ea-15d544dc8e4d';
update omc_merchant_loyalty.campaign set start_date = '2026-06-03 00:00:00.000' where id = '2e19c3b3-1941-4bdb-b084-78e6658c79d2'; Ref:  https://chat.google.com/room/AAQAtRBds7U/OFPvF6-ehjc/5NewF2ZeW-g?cls=10 Thanks team, Thành An.</t>
  </si>
  <si>
    <t>[PROD] [VCM] Xóa duplicate serial fulfillment item</t>
  </si>
  <si>
    <t>2026-06-02T14:44:03.865+0700</t>
  </si>
  <si>
    <t>2026-06-02T14:44:15.854+0700</t>
  </si>
  <si>
    <t>Dear DBA Team, Nhờ team chạy lệnh xóa các  bản ghi bị duplicate. Thông tin DB: IP: 172.31.1.41
Bảng: vincart_mm_order.serial_fulfillment_items DELETE  t1.*
FROM vincart_mm_order.serial_fulfillment_items t1
JOIN vincart_mm_order.serial_fulfillment_items t2 
  ON t1.fulfillment_id = t2.fulfillment_id 
  AND t1.fulfillment_item_id = t2.fulfillment_item_id 
  AND t1.serial_code = t2.serial_code
WHERE t1.id &lt; t2.id;</t>
  </si>
  <si>
    <t>2026-06-02T14:33:09.986+0700</t>
  </si>
  <si>
    <t>2026-06-02T14:33:17.838+0700</t>
  </si>
  <si>
    <t>[GBIA][SiteGate][Prod] Chạy script migration Database - Release 1.6.26</t>
  </si>
  <si>
    <t>2026-06-01T16:40:53.938+0700</t>
  </si>
  <si>
    <t>2026-06-01T16:41:03.218+0700</t>
  </si>
  <si>
    <t>Nhờ a  @Đào Công Nghĩa  chạy script DB đính kèm. Mục đích: Phục vụ release ngày 1.6.26</t>
  </si>
  <si>
    <t>[OM][CSS] Cài đặt hệ thống database redis cho dự án CCS</t>
  </si>
  <si>
    <t>2026-06-01T16:37:33.543+0700</t>
  </si>
  <si>
    <t>2026-06-01T16:37:47.813+0700</t>
  </si>
  <si>
    <t>Cài đặt hệ thống database Redis cho dự án CCS :  IP:  10.137.64.75</t>
  </si>
  <si>
    <t xml:space="preserve">[OM][CSS] Cài đặt hệ thống database postgresql master slave cho dự án CCS </t>
  </si>
  <si>
    <t>2026-06-01T16:37:09.476+0700</t>
  </si>
  <si>
    <t>2026-06-01T16:37:21.343+0700</t>
  </si>
  <si>
    <t>Cài đặt hệ thống database postgresql master slave cho dự án CCS :  Master: 10.137.64.81 Slave: 10.137.64.82</t>
  </si>
  <si>
    <t>[PROD] Hỗ trợ update thông tin VMM tiêu điểm và callback authOM</t>
  </si>
  <si>
    <t>2026-06-01T14:08:36.590+0700</t>
  </si>
  <si>
    <t>2026-06-01T14:08:50.457+0700</t>
  </si>
  <si>
    <t xml:space="preserve"> update thông tin VMM tiêu điểm: DB: Thông tin database:  172.31.1.133:3306/bo UPDATE TRANS_BUSINESS SET ACCT_MAP_ACCOUNTING_LINE_ID = 'GL015'  WHERE SERVICE_ID = 'VN0010010' AND TRANSACTION_ID = 'P120' AND TRANSACTION_INDICATOR = 'CR'; Update url callback AAM: (Lát có thông tin từ AAM em comment lại sau ạ)</t>
  </si>
  <si>
    <t>[OMC][MTP] Clear dữ liệu tracking tháng 04/2026</t>
  </si>
  <si>
    <t>2026-06-01T13:17:56.723+0700</t>
  </si>
  <si>
    <t>2026-06-01T13:18:31.472+0700</t>
  </si>
  <si>
    <t>Dear anh  @Nguyễn Văn Dũng  , nhờ anh chạy giúp em query sau với ạ. -- OMC
use omc_mtp_tracking_events;
ALTER TABLE omc_mtp_tracking_events.mtp_tracking_events_omc  DROP INDEX idx_u_message_id;
-- ALTER TABLE omc_mtp_tracking_events.mtp_tracking_events_omc DROP PARTITION p20260401;
ALTER TABLE omc_mtp_tracking_events.mtp_tracking_events_omc DROP PARTITION p20260402;
-- ALTER TABLE omc_mtp_tracking_events.mtp_tracking_events_context_omc DROP PARTITION p20260401;
ALTER TABLE omc_mtp_tracking_events.mtp_tracking_events_context_omc DROP PARTITION p20260402;
ALTER TABLE omc_mtp_tracking_events.mtp_tracking_event_sessions DROP PARTITION p2026_04;
use omc_mtp_martech_activation;
ALTER TABLE omc_mtp_martech_activation.mtp_ads_events DROP PARTITION p2026_04;
ALTER TABLE omc_mtp_martech_activation.mtp_push_events DROP PARTITION p2026_04;
ALTER TABLE omc_mtp_martech_activation.mtp_tracking_email_events DROP PARTITION p2026_04;
ALTER TABLE omc_mtp_martech_activation.mtp_tracking_email_notifications DROP PARTITION p2026_04;
ALTER TABLE omc_mtp_martech_activation.mtp_tracking_fcm_messages DROP PARTITION p2026_04;
ALTER TABLE omc_mtp_martech_activation.mtp_tracking_push_notifications DROP PARTITION p2026_04;
--- Partition Dec. ---
ALTER TABLE omc_mtp_martech_activation.mtp_ads_events DROP PARTITION p2025_12;
ALTER TABLE omc_mtp_martech_activation.mtp_push_events DROP PARTITION p2025_12;
ALTER TABLE omc_mtp_martech_activation.mtp_tracking_email_events DROP PARTITION p2025_12;
ALTER TABLE omc_mtp_martech_activation.mtp_tracking_email_notifications DROP PARTITION p2025_12;
ALTER TABLE omc_mtp_martech_activation.mtp_tracking_fcm_messages DROP PARTITION p2025_12;
ALTER TABLE omc_mtp_martech_activation.mtp_tracking_push_notifications DROP PARTITION p2025_12;
---
-- OMRE
use omre_mtp_tracking_events;
ALTER TABLE omre_mtp_tracking_events.mtp_tracking_events_omre  DROP INDEX idx_u_message_id;
-- ALTER TABLE omre_mtp_tracking_events.mtp_tracking_events_omre drop partition p20260401;
ALTER TABLE omre_mtp_tracking_events.mtp_tracking_events_omre drop partition p20260402;
-- ALTER TABLE omre_mtp_tracking_events.mtp_tracking_events_context_omre DROP PARTITION p20260401;
ALTER TABLE omre_mtp_tracking_events.mtp_tracking_events_context_omre DROP PARTITION p20260402;
-- create global index
use omc_mtp_tracking_events;
ALTER TABLE omc_mtp_tracking_events.mtp_tracking_events_omc ADD UNIQUE INDEX idx_u_message_id (message_id) GLOBAL;
use omre_mtp_tracking_events;
ALTER TABLE omre_mtp_tracking_events.mtp_tracking_events_omre ADD UNIQUE INDEX idx_u_message_id (message_id) GLOBAL; Best regards Dinh Quang Nguyen</t>
  </si>
  <si>
    <t>[UPAY][PROD] Golive 30/05/2026</t>
  </si>
  <si>
    <t>2026-06-01T09:53:02.239+0700</t>
  </si>
  <si>
    <t>2026-06-01T09:53:10.071+0700</t>
  </si>
  <si>
    <t>Hi a  @Nguyễn Văn Dũng  nhờ a chạy script theo mô tả  dưới đây ở môi trường PRODUCTION theo thông tin dưới đây ạ: Thời gian chạy script: Vào lúc  23h59 ngày 30/05/2026 Thông tin database:   mysql://pay-tidb.int.onemount.com:4000/saas_tpay CR Ticket:   https://onemount.atlassian.net/servicedesk/customer/portal/15/SH-71109?created=true Script: alter table TRANSACTION_MASTER
  add merchant_extra_data text null;
alter table TRANSACTION_DETAIL
  add qr_payment_method varchar(50) null;</t>
  </si>
  <si>
    <t>[PROD][VCM] Golive 30/05/2026</t>
  </si>
  <si>
    <t>2026-05-31T10:22:45.718+0700</t>
  </si>
  <si>
    <t>2026-06-01T10:05:25.775+0700</t>
  </si>
  <si>
    <t>Để phục vụ golive đêm  30/05/2026 , nhờ team DBA support migrate data như sau. CR:     Thông tin database Voucher Distribution: IP:  172.31.4.82 Database:  b2b_voucher_distribution Thông tin database VCM: IP:  172.31.1.41 Database:  vincart_mm_product Các bước thực hiện: Bước 1: Export danh sách voucher code   và gửi lại team để tạo câu SQL insert vào bảng tạm ở bước 2 SELECT DISTINCT
	v.code
FROM
	b2b_voucher_distribution.voucher v
WHERE
	v.channel = 'ONLINE' 
	AND v.is_nation_search_enabled = true; Bước 2: Tạo bảng tạm lưu danh sách voucher code CREATE TABLE vincart_mm_product.`voucher_migrate_30052026` (
  `id` bigint NOT NULL AUTO_INCREMENT,
  `code` longtext COLLATE utf8mb4_unicode_ci NOT NULL,
  PRIMARY KEY (`id`)
) ENGINE = InnoDB DEFAULT CHARSET = utf8mb4 COLLATE = utf8mb4_unicode_ci; Bước 3: Thực hiện insert dữ liệu vào bảng tạm bằng câu SQL tạo ra sau  bước 1 . Bước 4: Select dữ liệu ra để kiểm tra lại trước khi thực hiện SELECT DISTINCT
	v.variant_id
FROM
	vincart_mm_product.variant_apply_store_mapping v
WHERE
	v.variant_id IN (
	SELECT
		e.entity_id
	FROM
		vincart_mm_product.entity_attributes_values e
	INNER JOIN vincart_mm_product.voucher_migrate_30052026 v ON
		e.value = v.code
		AND e.`type` = 'VARIANT'
		AND e.name = 'reference_code'); Bước 5: Thực hiện chạy lệnh delete dữ liệu DELETE
FROM
	vincart_mm_product.variant_apply_store_mapping sm
WHERE
	sm.variant_id IN (
	SELECT DISTINCT
		e.entity_id
	FROM
		vincart_mm_product.entity_attributes_values e
	INNER JOIN vincart_mm_product.voucher_migrate_30052026 v ON
		e.value = v.code
		AND e.`type` = 'VARIANT'
		AND e.name = 'reference_code'); Bước 6: Xóa bảng tạm DROP TABLE IF EXISTS vincart_mm_product.voucher_migrate_30052026; Cảm ơn team nhiều.</t>
  </si>
  <si>
    <t>[OMD][TCB-MerchantHUB][PROD]  Support Golive ngày 30/05/2026</t>
  </si>
  <si>
    <t>2026-05-30T17:08:59.525+0700</t>
  </si>
  <si>
    <t>2026-06-01T14:22:39.581+0700</t>
  </si>
  <si>
    <t>Dear anh Linh, Team MHP nhờ anh hỗ trợ query dữ liệu của 2 bảng  databasechangelog  và  job  để chuẩn bị cho việc deploy ạ. Bảng   databasechangelog :  Dùng để check các file SQL đã chạy, tránh lỗi khi deploy. Bảng   job :  Dùng để lấy thông tin phục vụ việc update job sau deploy. Note:  Các bảng này chỉ chứa data của hệ thống/ứng dụng, không có thông tin của khách hàng nên anh yên tâm dữ liệu được bảo mật ạ. Team cảm ơn anh!</t>
  </si>
  <si>
    <t>[LP][Core][TCB] - Insert data phục vụ campaign MKT 062026 (Tháng 06)</t>
  </si>
  <si>
    <t>2026-05-30T12:40:47.378+0700</t>
  </si>
  <si>
    <t>2026-05-30T12:41:32.556+0700</t>
  </si>
  <si>
    <t>Dear DBA Team, Nhờ team thực hiện insert data phục vụ campaign MKT 062026 lần 01, theo các bước sau: Thông tin database: IP: 10.255.23.119 Service name: oneloyaltydb Port: 1521 schema app: OLOYALTY   Bước 1: Tạo bảng tạm CREATE TABLE OLOYALTY.CST_TARGET_GROUP_062026_01
(
    "ID"             NUMBER(10,0) GENERATED BY DEFAULT ON NULL AS IDENTITY,
    "LOYALTY_ID"           VARCHAR2(32 BYTE) DEFAULT NULL,
    "CST_TARGET_GROUP"           VARCHAR2(256 BYTE) DEFAULT NULL,
    PRIMARY KEY ("ID")
); Bước 02: Load dữ liệu tất cả các files trong thư mục  đính kèm vào bảng tạm Bước 03: Insert data vào bảng Member Attribute từ bảng bảng tạm 3.1. Kiểm số row bảng   CST_TARGET_GROUP_062026_01 SELECT /*+ parallel(16) */ count(*) FROM OLOYALTY.CST_TARGET_GROUP_062026_01; 3.2 Kiểm tra trùng ,  báo lại dự án nếu có SELECT /*+ parallel(16) */ LOYALTY_ID,count(*) FROM OLOYALTY.CST_TARGET_GROUP_062026_01 GROUP BY LOYALTY_ID HAVING count(*) &gt; 1; 3.3 Kiểm tra số dòng dự kiến insert, báo lại dự án nếu số dòng khác với số dòng của bảng   CST_TARGET_GROUP_062026_01 .   Note: Có thể bỏ qua nếu câu lệnh chạy quá lâu SELECT /*+ parallel(16) */ count(*) FROM OLOYALTY.MEMBER m JOIN OLOYALTY.CST_TARGET_GROUP_062026_01 b ON m.PARTNER_CUSTOMER_ID = b.LOYALTY_ID WHERE m.PROGRAM_ID = 426;   3.4 Chạy lệnh insert INSERT INTO OLOYALTY.MEMBER_ATTRIBUTE (PROGRAM_ID, MEMBER_ID, PROGRAM_ATTRIBUTE_ID, VALUE, STATUS,CREATED_BY)
SELECT 426,
    m.id AS MEMBER_ID,
    423 AS PROGRAM_ATTRIBUTE_ID,
    REPLACE(b.CST_TARGET_GROUP, CHR(13) ,'') AS VALUE,
    'A' AS STATUS,
    'MKT_202606_01'
FROM OLOYALTY.MEMBER m JOIN OLOYALTY.CST_TARGET_GROUP_062026_01 b ON m.PARTNER_CUSTOMER_ID = b.LOYALTY_ID WHERE m.PROGRAM_ID = 426
; 3.5 Kiểm tra kết quả cuối cùng SELECT /*+ parallel(16) */ count(*) FROM OLOYALTY.MEMBER_ATTRIBUTE ma 
WHERE ma.PROGRAM_ATTRIBUTE_ID = 423 AND ma.CREATED_BY = 'MKT_202606_01';   Thanks!</t>
  </si>
  <si>
    <t>2026-05-30T09:48:53.431+0700</t>
  </si>
  <si>
    <t>2026-06-01T17:50:31.344+0700</t>
  </si>
  <si>
    <t>Dear Linh, Em tạo giúp anh topic cho các bảng sau với nhé: Host : 172.31.4.101 Database : oneloyalty_budget Table : budget_master, scheme_budget, budget_consumption</t>
  </si>
  <si>
    <t>[MAG][GBIA][NonProd] Nhờ tạo database cho dự án GBIA trên môi trường non-prod</t>
  </si>
  <si>
    <t>2026-05-30T09:29:05.796+0700</t>
  </si>
  <si>
    <t>2026-05-30T10:18:52.814+0700</t>
  </si>
  <si>
    <t xml:space="preserve">Dear anh  @Nguyễn Văn Duy  và DBA team, Dự án GBIA  triển khai cho MAG cần tạo Postgress DB  trên hạ tầng AWS. Vì thế e tạo ticket nhờ anh support team khởi tạo db với ạ. Thông tin dự án :  Thông tin database: dev: gbia_staffapp_master_data_dev dev: gbia_staffapp_audit_log_dev dev: gbia_staffapp_principle_dev dev: gbia_staffapp_schedule_dev dev: gbia_staffapp_workflow_dev dev: gbia_staffapp_integration-adapter_dev Em xin cám ơn ạ cc  @Hoàng Trọng Lộc  </t>
  </si>
  <si>
    <t>[HRM MAG] Thêm Field cho table</t>
  </si>
  <si>
    <t>2026-05-29T22:10:53.252+0700</t>
  </si>
  <si>
    <t>2026-05-29T22:11:29.912+0700</t>
  </si>
  <si>
    <t>HRM</t>
  </si>
  <si>
    <t>Dear DBA Team, Nhờ team cập nhật thêm field cho: IP: 172.31.1.222 DB: idstaff ALTER TABLE attendance_logs ADD COLUMN APP_LOG VARCHAR(32) NULL; ALTER TABLE ttendance_daily  ADD COLUMN check_in_date varchar(8) CHARACTER SET utf8mb3 COLLATE utf8mb3_general_ci DEFAULT NULL COMMENT 'format: yyyyMMdd'; ALTER TABLE attendance_daily  ADD COLUMN check_out_date varchar(8) CHARACTER SET utf8mb3 COLLATE utf8mb3_general_ci DEFAULT NULL COMMENT 'format: yyyyMMdd'; IP: 10.255.15.32 DB: time_keeping ALTER TABLE attendance_centralized  ADD is_previous_date BIT NOT NULL DEFAULT 0;</t>
  </si>
  <si>
    <t>Hỗ trợ migration database production cho discount_service</t>
  </si>
  <si>
    <t>2026-05-29T18:06:48.208+0700</t>
  </si>
  <si>
    <t>2026-05-29T18:07:23.924+0700</t>
  </si>
  <si>
    <t>Discount</t>
  </si>
  <si>
    <t>Để đáp ứng các yêu cầu từ team sản phẩm, team phát triển cần thực hiện migration dữ liệu của các table sau: DB instance production:  https://console.cloud.google.com/sql/instances/discount/databases?project=vinid-loyalty-prod DB name:  discount_service Migration SQL: UPDATE `condition_templates` SET `statement` = '{"Field":{"NewCheckOut":{"ID":1,"Store":{"Code":"string","Name":"string"},"Amount":1.1,"Status":"string","UserID":"string","Merchant":{"Code":"string","Name":"string"},"FeeAmount":1.1,"Description":"string","ServiceCode":"string","TotalAmount":1.1,"MoneySources":[{"ID":"string","Name":"string","Amount":1.1,"ImageUrl":"string","CardType":"string","ExtraData":{"BankCode":"string","CardBrand":"string","ProviderCode":"string"},"PaidAmount":1.1,"CardNumberPrefix":"string","PaymentMethodCode":"string"}],"OrderDetails":{"Code":"string","Items":[{"Sku":"string","Code":"string","Name":"string","Unit":"string","Price":1.1,"ImageURL":"string","Merchant":{"MID":"string","TID":"string","Code":"string","Name":"string"},"Quantity":1,"ExtraData":{"Barcode":"string"},"ProductID":"string","UnitPrice":1.1,"VariantID":"string","Description":"string","ProductCode":"string","VariantCode":"string","CategoryCode":"string","CategoryName":"string","DiscountPrice":1.1}],"Status":"string","UserID":"string","Loyalty":{"TotalRedeemPointAmount":1},"CreatedAt":1,"ExpiredAt":1,"FinishedAt":1,"TotalAmount":1.1,"ShippingFees":[{"ShippingFee":1.1,"MerchantCode":"string"}],"TotalDiscount":1.1,"ShippingMethod":{"Code":"string","Name":"string"},"ShoppingMethod":{"Code":"string","Name":"string"},"ShippingAddress":{"Ward":{"Code":"string","Name":"string"},"Address":"string","District":{"Code":"string","Name":"string"},"Receiver":{"Name":"string","PhoneNumber":"string"},"Province ":{"Code":"string","Name":"string"}},"TotalItemsAmount":1.1,"TotalShippingFee":1.1,"TotalAppliedPromotionAmount":1.1,"SubUseCase":"string"},"PaymentInstrument":"string","VerificationMethod":"string"}},"Function":[{"Code":"IsInTimeRangePerDate","Params":[{"Name":"FromTime","Type":"time","Value":"00:00:00","IsManual":true},{"Name":"ToTime","Type":"time","Value":"23:59:59","IsManual":true}],"Return":[{"Name":"IsValid","Type":"bool","Value":"true","IsManual":true}],"Description":"IsInTimeRangePerDate"}]}', `updated_at` = now() WHERE `code` = 'NEW_CHECKOUT_001';
ALTER TABLE  `items` ADD COLUMN `partner_campaign_code` VARCHAR(255); Nhờ DBA hỗ trợ giúp. Em cám ơn</t>
  </si>
  <si>
    <t>[TCB][QR247][ECom] Script cấu hình merchant dịch vụ QR247 và ECom môi trường PROD</t>
  </si>
  <si>
    <t>2026-05-29T17:56:19.202+0700</t>
  </si>
  <si>
    <t>2026-05-29T17:56:30.004+0700</t>
  </si>
  <si>
    <t>Dear team DBA, Nhờ anh/em chạy giúp em script bên dưới để cấu hình cho các merchant tích hợp dịch vụ Thông tin DB saas_tpay: mysql://pay-tidb.int.onemount.com:4000/saas_tpay INSERT INTO PARTNER (client_id, name, public_key, enable, merchant_code)
VALUES ('tfPsnIKeEMQsOnPPJbzuCJOmqyjWjTWd', 'METRO HCM', '-----BEGIN PUBLIC KEY-----
MIIBIjANBgkqhkiG9w0BAQEFAAOCAQ8AMIIBCgKCAQEArqpb6QybkrUetOWG7/wg
SIZRuELHBeP2oMdwpmoqgqYZ7nsXKFM91bktuSZsaZuhkj1/cr1L5nz1OGIu3Cyz
rxrZK9LcN0BaGapwj9bNk/+cYQss6vA44V8Bc0bS84OWmLXCO1y0uSRU+P+SgirV
htjNKq2bvmnJOqyipRA2Ts+YWYrQi35apQoQWRqz98Ne/6ZztXfSRq/ofOPePKL3
GMxT4dE2r+hIgDkNBssbpkEiS0LLbRS4JvFb/8rx0E1lR+wfbs7zl0KJQNYMIQB7
wapxHIVVsU3jaGExvXKxA/HeIo/ngu7+txt/PPeNQJFPVzQunVIG93ATFumv+RYY
DwIDAQAB
-----END PUBLIC KEY-----', 1, 'METROHCM'); UPDATE ECOM_MERCHANT_CONFIG SET 
client_id = 'GIkMssWcjyVWltIXvUtSLjKmgrCFzJEZ', enable=1, merchant_rsa_public_key = '-----BEGIN PUBLIC KEY-----
MIIBIjANBgkqhkiG9w0BAQEFAAOCAQ8AMIIBCgKCAQEAyvMv4bw6AP7LAWGsSRck
tXI997Zb23JNkOiJBcTzk0UhZrW89nwJZf408vtRjOC+mj+9xFLwjjkoiYjWtSLx
19u7XdkWHprgzMzGJi0h1UQS7VRHTFhxyqDNfyUYN0x8voSz5ryukV6LPL8CDSfl
ra7w1RRroHm9kM0OyukauGtecVZF6Xp/WGvK529TD59HymSfv4bABRjDxaptk15Y
L1yhK3z5A+wwZxyI/jsYPetWaJElJQB92YmPJAAdqiergltdIBsIvPIvr498DPMx
HrhBj1i8zMy5aJnuCAyQCWWy37zz0UHnMDZxA9Dsq69eryPmqO5qGCA3UlKtfMsL
IQIDAQAB
-----END PUBLIC KEY-----', 
ipn = 'https://partner-api.tcgi.com.vn/omg/v1/partners/transaction/callback-payment', is_advance_authen = 'true', authen_url='https://partner-api.tcgi.com.vn/oauth2/token' 
where merchant_code = 'TCGINS';</t>
  </si>
  <si>
    <t>[PROD] Hỗ trợ Hủy thông tin loa sau trên hệ thống OM</t>
  </si>
  <si>
    <t>2026-05-29T12:17:46.726+0700</t>
  </si>
  <si>
    <t>2026-05-29T12:17:59.351+0700</t>
  </si>
  <si>
    <t>Hi a   @Đào Công Nghĩa  , nhờ a chạy giúp e script bên dưới với ạ Thông tin database:  mysql://pay-tidb.int.onemount.com:4000/saas_tpay UPDATE TCB_DEVICE 
SET USAGE_STATUS = 'NOT_CONNECTED'
WHERE device_serial_number = 'Y66W08082501042';
UPDATE SOUNDBOX_DEVICE_MAPPING
    SET MERCHANT_CODE = NULL,
        TCB_MERCHANT_ID = NULL,
        TCB_STORE_ID = NULL,
        TCB_TERMINAL_ID = NULL, 
        MC_VA_ACCOUNT = NULL,
        LINK_DEVICE_AT = NULL
WHERE DEVICE_ID = 'SB_RLINK_Y66W_Y66W08082501042' AND STATUS = 'ACTIVE';
UPDATE SOUNDBOX_MERCHANT SET STATUS = 'DISCONNECTED' WHERE MERCHANT_CODE = 'MA_25f153f224cc468ea';</t>
  </si>
  <si>
    <t>[OMRE][CBP][CDP][Kafka][PROD] Tạo topic kafka kéo các bảng CBP về DP PROD</t>
  </si>
  <si>
    <t>2026-05-29T10:29:23.703+0700</t>
  </si>
  <si>
    <t>2026-05-29T10:30:02.411+0700</t>
  </si>
  <si>
    <t>Dear team DBA, Team data đang có nhu cầu kéo thêm dữ liệu từ CBP PROD về DP PROD phục vụ việc build data model. Nhờ các anh hỗ trợ tạo topic cho bảng sau ạ: Host:  172.31.4.127 DB:  omre_cbp_collab Table:  cont_loan_profiles Em cảm ơn các anh đã hỗ trợ ạ.</t>
  </si>
  <si>
    <t>2026-05-28T22:13:51.288+0700</t>
  </si>
  <si>
    <t>2026-05-28T22:52:26.294+0700</t>
  </si>
  <si>
    <t>Dear anh  @Nguyễn Văn Dũng  anh  @Đào Công Nghĩa , Team em có nhu cầu cập nhật các DB sau, nhờ team DBA hỗ trợ. Thời gian chạy:  10h tối ngày 28/05/2026. Script 1: Thông tin DB:  omc-mtp-tidb.int.onemount.com:4000 / omc_merchant_loyalty ALTER TABLE omc_merchant_loyalty.request
    ADD COLUMN voucher_start_date TIMESTAMP NULL AFTER voucher_code;
CREATE TABLE omc_merchant_loyalty.campaign_invitation_merchant
(
    `id`            bigint                                 NOT NULL AUTO_INCREMENT,
    `campaign_id`   varchar(36) COLLATE utf8mb4_unicode_ci NOT NULL,
    `merchant_code` varchar(36) COLLATE utf8mb4_unicode_ci NOT NULL,
    `merchant_id`   bigint                                          DEFAULT NULL,
    `status`        varchar(20) COLLATE utf8mb4_unicode_ci NOT NULL DEFAULT 'VALID',
    `error_message` text COLLATE utf8mb4_unicode_ci                 DEFAULT NULL,
    `created_at`    timestamp                              NOT NULL DEFAULT CURRENT_TIMESTAMP,
    PRIMARY KEY (`id`) /*T![clustered_index] CLUSTERED */,
    KEY `idx_cim_campaign_id` (`campaign_id`),
    KEY `idx_cim_merchant_code` (`merchant_code`),
    KEY `idx_cim_status` (`status`)
) ENGINE = InnoDB
  DEFAULT CHARSET = utf8mb4
  COLLATE = utf8mb4_unicode_ci
  AUTO_INCREMENT = 1 /*T![auto_id_cache] AUTO_ID_CACHE=1 */;
CREATE TABLE omc_merchant_loyalty.onboarding_flow_mapping
(
    `id`                      bigint                                 NOT NULL AUTO_INCREMENT,
    `campaign_id`             varchar(36) COLLATE utf8mb4_unicode_ci NOT NULL,
    `status`                  varchar(20) COLLATE utf8mb4_unicode_ci NOT NULL DEFAULT 'ACTIVE',
    `linked_at`               timestamp                              NOT NULL DEFAULT CURRENT_TIMESTAMP,
    `replaced_at`             timestamp                              NULL     DEFAULT NULL,
    `replaced_by_campaign_id` varchar(36) COLLATE utf8mb4_unicode_ci          DEFAULT NULL,
    `active_guard`            varchar(20) COLLATE utf8mb4_unicode_ci         DEFAULT NULL,
    PRIMARY KEY (`id`) /*T![clustered_index] CLUSTERED */,
    KEY `idx_ofm_campaign_id` (`campaign_id`),
    KEY `idx_ofm_status` (`status`),
    UNIQUE KEY `uniq_onboarding_flow_active_guard` (`active_guard`)
) ENGINE = InnoDB
  DEFAULT CHARSET = utf8mb4
  COLLATE = utf8mb4_unicode_ci
  AUTO_INCREMENT = 1 /*T![auto_id_cache] AUTO_ID_CACHE=1 */; Script 2: Thông tin DB:  omc-mtp-tidb.int.onemount.com:4000 / omc_mtp_tracking_events ALTER TABLE omc_mtp_tracking_events.`mtp_tracking_events_context_omc`
  ADD INDEX `idx_did_ns_ca` (`device_id`, `namespace`, `created_at`); Thanks team, Thành An.</t>
  </si>
  <si>
    <t>[OneNexus][FDP][Non-Prod] Hỗ trợ valkey</t>
  </si>
  <si>
    <t>2026-05-28T14:44:03.618+0700</t>
  </si>
  <si>
    <t>2026-05-28T14:44:16.777+0700</t>
  </si>
  <si>
    <t>FDP_Federated_Data_Platform</t>
  </si>
  <si>
    <t>Hi team, Hiện tại bên mình cần connect đến valkey để làm caching cho hệ thống. Nhờ team bạn support mình tạo user và cấp quyền nhé. Thanks team</t>
  </si>
  <si>
    <t>[PROD] Chạy câu lệnh SQL ngày 28/05</t>
  </si>
  <si>
    <t>2026-05-28T11:16:48.142+0700</t>
  </si>
  <si>
    <t>2026-05-28T11:16:56.927+0700</t>
  </si>
  <si>
    <t>Dear anh Nghĩa, Nhờ anh hỗ trợ team chạy câu lệnh SQL dưới đây ạ IP: 172.31.1.102
DB name: oneu_e_invoice SQL: ALTER TABLE EInvoiceQueue ADD COLUMN retryCount INT DEFAULT 0;</t>
  </si>
  <si>
    <t>2026-05-28T10:53:59.715+0700</t>
  </si>
  <si>
    <t>2026-05-28T10:54:09.458+0700</t>
  </si>
  <si>
    <t>IP (Host):   ces-production.crcykac8kxtw.ap-southeast-1.rds.amazonaws.com Port:   3306 DB Name:   ces_mh_mpm Command:   Update mtr_requests set current_process = 'anhlt05@coteccons.vn' where id = '62c4c671-8444-4e4c-bd46-28c88c74c892'</t>
  </si>
  <si>
    <t>[OneNexus][Meeting Note] Xin khởi tạo Thêm database cho dự án, môi trường non-prod.</t>
  </si>
  <si>
    <t>2026-05-27T16:33:40.474+0700</t>
  </si>
  <si>
    <t>2026-05-27T16:33:50.803+0700</t>
  </si>
  <si>
    <t>Context: Hiện tại trên môi trường nonprod, dự án meeting note cần setup thêm UAT &amp; DEV. Dụ thể request:  Cloud SQL xin thêm database (acc pass khác), các schema cần tạo vẫn giữ nguyên.  instance: onenexus-meeting-note-np-postgres - 172.31.0.202 ai_assistant_dev ai_knowledge_dev ai_voice_engine_dev backend_dev ai_assistant_uat ai_knowledge_uat ai_voice_engine_uat backend_uat Ngoài ra, Qdrant team dev có thể tự tạo thêm collection không ạ. Redis thì team tự thêm prefix cho từng service. Best regards,</t>
  </si>
  <si>
    <t>[VCM] Cập nhật thông tin usage của voucher</t>
  </si>
  <si>
    <t>2026-05-27T15:44:49.395+0700</t>
  </si>
  <si>
    <t>2026-05-27T15:45:02.505+0700</t>
  </si>
  <si>
    <t>Theo yêu cầu  https://onemount.atlassian.net/browse/SH-71291  từ vận hành, nhờ team DBA hỗ trợ update dữ liệu của voucher theo thông tin dưới đây. Thông tin database: IP:  172.31.4.126 Database:  onevc_vsm_prod Script cần thực hiện: UPDATE
	onevc_vsm_prod.sale_history sh
SET
	sh.`usage` = 'Soạn tin nhắn: MTC_[Mã voucher 10 số]_VT gửi 8069 hoặc 8079. Phí 1,000đ/tin nhắn.',
	sh.usage_eng = 'Compose a text message: MTC_[Serial Voucher Code]_VT and send it to 8069 or 8079. Fee of text message: VND 1,000.',
	sh.usage_oneu = 'Soạn tin nhắn: MTC_[Mã voucher 10 số]_VT gửi 8069 hoặc 8079. Phí 1,000đ/tin nhắn.',
	sh.usage_oneu_eng = 'Compose a text message: MTC_[Serial Voucher Code]_VT and send it to 8069 or 8079. Fee of text message: VND 1,000.'
WHERE
	sh.code = 'VD_VC_1779685434816'
	and sh.business_code = 'OMC';
UPDATE
	onevc_vsm_prod.sale_history sh
SET
	sh.`usage` = 'Soạn tin nhắn: MTC_[Mã voucher 10 số]_VN gửi 8069 hoặc 8079. Phí 1,000đ/tin nhắn.',
	sh.usage_eng = 'Compose a text message: MTC_[Serial Voucher Code]_VN and send it to 8069 or 8079. Fee of text message: VND 1,000.',
	sh.usage_oneu = 'Soạn tin nhắn: MTC_[Mã voucher 10 số]_VN gửi 8069 hoặc 8079. Phí 1,000đ/tin nhắn.',
	sh.usage_oneu_eng = 'Compose a text message: MTC_[Serial Voucher Code]_VN and send it to 8069 or 8079. Fee of text message: VND 1,000.'
WHERE
	sh.code = 'VD_VC_1779685435115'
	and sh.business_code = 'OMC';
UPDATE
	onevc_vsm_prod.sale_history sh
SET
	sh.`usage` = 'Soạn tin nhắn: MTC_[Mã voucher 10 số]_MB gửi 8069 hoặc 8079. Phí 1,000đ/tin nhắn.',
	sh.usage_eng = 'Compose a text message: MTC_[Serial Voucher Code]_MB and send it to 8069 or 8079. Fee of text message: VND 1,000.',
	sh.usage_oneu = 'Soạn tin nhắn: MTC_[Mã voucher 10 số]_MB gửi 8069 hoặc 8079. Phí 1,000đ/tin nhắn.',
	sh.usage_oneu_eng = 'Compose a text message: MTC_[Serial Voucher Code]_MB and send it to 8069 or 8079. Fee of text message: VND 1,000.'
WHERE
	sh.code = 'VD_VC_1779685435424'
	and sh.business_code = 'OMC';
UPDATE
	onevc_vsm_prod.sale_history sh
SET
	sh.`usage` = 'Soạn tin nhắn: MTC_[Mã voucher 10 số]_VT gửi 8069 hoặc 8079. Phí 1,000đ/tin nhắn.',
	sh.usage_eng = 'Compose a text message: MTC_[Serial Voucher Code]_VT and send it to 8069 or 8079. Fee of text message: VND 1,000.',
	sh.usage_oneu = 'Soạn tin nhắn: MTC_[Mã voucher 10 số]_VT gửi 8069 hoặc 8079. Phí 1,000đ/tin nhắn.',
	sh.usage_oneu_eng = 'Compose a text message: MTC_[Serial Voucher Code]_VT and send it to 8069 or 8079. Fee of text message: VND 1,000.'
WHERE
	sh.code = 'VD_VC_1779685434961'
	and sh.business_code = 'OMC';
UPDATE
	onevc_vsm_prod.sale_history sh
SET
	sh.`usage` = 'Soạn tin nhắn: MTC_[Mã voucher 10 số]_VN gửi 8069 hoặc 8079. Phí 1,000đ/tin nhắn.',
	sh.usage_eng = 'Compose a text message: MTC_[Serial Voucher Code]_VN and send it to 8069 or 8079. Fee of text message: VND 1,000.',
	sh.usage_oneu = 'Soạn tin nhắn: MTC_[Mã voucher 10 số]_VN gửi 8069 hoặc 8079. Phí 1,000đ/tin nhắn.',
	sh.usage_oneu_eng = 'Compose a text message: MTC_[Serial Voucher Code]_VN and send it to 8069 or 8079. Fee of text message: VND 1,000.'
WHERE
	sh.code = 'VD_VC_1779685435275'
	and sh.business_code = 'OMC';
UPDATE
	onevc_vsm_prod.sale_history sh
SET
	sh.`usage` = 'Soạn tin nhắn: MTC_[Mã voucher 10 số]_MB gửi 8069 hoặc 8079. Phí 1,000đ/tin nhắn.',
	sh.usage_eng = 'Compose a text message: MTC_[Serial Voucher Code]_MB and send it to 8069 or 8079. Fee of text message: VND 1,000.',
	sh.usage_oneu = 'Soạn tin nhắn: MTC_[Mã voucher 10 số]_MB gửi 8069 hoặc 8079. Phí 1,000đ/tin nhắn.',
	sh.usage_oneu_eng = 'Compose a text message: MTC_[Serial Voucher Code]_MB and send it to 8069 or 8079. Fee of text message: VND 1,000.'
WHERE
	sh.code = 'VD_VC_1779685435963'
	and sh.business_code = 'OMC'; Cảm ơn team nhiều.</t>
  </si>
  <si>
    <t>[CBP] Xin quyền read db CBP</t>
  </si>
  <si>
    <t>2026-05-27T10:43:27.319+0700</t>
  </si>
  <si>
    <t>2026-05-30T10:40:37.772+0700</t>
  </si>
  <si>
    <t>Dear team, Hiện CBP đang trong quá trình launch feature để ra mắt thị trường, trong quá trình ra mắt cần triển khai nhiều đối tượng và test tích hợp nhiều. Nhờ team hỗ trợ 1 acc có thể read only data dự án để đáp ứng nhanh được quá trình triển khai dịch vụ và hỗ trợ khách hàng cùng user được nhanh nhất.  DB CBP: 172.31.4.127  Schema: omre_cbp_*</t>
  </si>
  <si>
    <t>[Merchant-TCB] Update thông tin merchant</t>
  </si>
  <si>
    <t>2026-05-27T10:11:25.208+0700</t>
  </si>
  <si>
    <t>2026-05-27T10:11:28.762+0700</t>
  </si>
  <si>
    <t>Dear team, nhờ team chạy giúp câu lệnh bên dưới ạ. Thông tin database https://console.cloud.google.com/sql/instances/merchant-tcb/overview?inv=1&amp;invt=AbsndA&amp;project=vinid-merchant-prod DB_MYSQL_HOST=172.31.4.108
DB_MYSQL_DATABASE=merchant_service_tcb Câu lệnh -- Verify trước khi update
SELECT id, code, merchant_code, tcb_merchant_code, tcb_customer_t24, status
FROM tpay_request_merchant
WHERE merchant_code IN ('NCC35Q29', 'NCCYU9QC')
   OR tcb_merchant_code IN ('40194849', '22372329');
SELECT id, code, tcb_merchant_code
FROM tpay_merchant
WHERE code IN ('NCC35Q29', 'NCCYU9QC');
SELECT id, tcb_merchant_code, account_number, deleted_at
FROM tpay_request_merchant_bank
WHERE tcb_merchant_code IN ('40194849', '22372329');</t>
  </si>
  <si>
    <t>2026-05-26T17:11:55.415+0700</t>
  </si>
  <si>
    <t>2026-05-27T10:33:01.216+0700</t>
  </si>
  <si>
    <t>Hiện tại OMD đang có nhu cầu kéo dữ liệu các bảng sau nhờ anh Linh tạo kafka topic ở môi trường PROD giúp team để kéo data về DP. PROD: IP host: 172.31.4.36:5432 Schema: mhpos_fiscal Table list: transactions
transaction_categories
cash_accounts</t>
  </si>
  <si>
    <t>Tạo account SAP HANA USER và SAP B1 USER cho môi trường dev</t>
  </si>
  <si>
    <t>2026-05-26T17:00:40.459+0700</t>
  </si>
  <si>
    <t>SAP-integration</t>
  </si>
  <si>
    <t>Dear anh/chị em cần user truy cập HANA DB cho hệ dev  cho SCHEMA MDMSTG và MDMTEST.</t>
  </si>
  <si>
    <t>[PROD] Cập nhật TCB merchant code &amp; CIF do TCB onboard sai</t>
  </si>
  <si>
    <t>2026-05-26T15:45:40.104+0700</t>
  </si>
  <si>
    <t>2026-05-26T15:45:50.464+0700</t>
  </si>
  <si>
    <t>Hi a   @Đào Công Nghĩa  , nhờ a chạy giúp e script bên dưới với ạ Thông tin database:  mysql://pay-tidb.int.onemount.com:4000/saas_tpay update UNIFIED_MERCHANT set merchant_code = 'SGC_BT2', cif = '40194849' where merchant_code = '40194849';
update MERCHANT set merchant_code = 'SGC_BT2' where merchant_code = '40194849';
update ACCOUNT set merchant_code = 'SGC_BT2' where merchant_code = '40194849';
update SERVICE set merchant_code = 'SGC_BT2' where merchant_code = '40194849';
update UNIFIED_MERCHANT set merchant_code = 'SGC_DNG', cif = '22372329' where merchant_code = '22372329';
update MERCHANT set merchant_code = 'SGC_DNG' where merchant_code = '22372329';
update ACCOUNT set merchant_code = 'SGC_DNG' where merchant_code = '22372329';
update SERVICE set merchant_code = 'SGC_DNG' where merchant_code = '22372329';</t>
  </si>
  <si>
    <t>2026-05-26T15:08:51.090+0700</t>
  </si>
  <si>
    <t>2026-05-26T15:08:58.745+0700</t>
  </si>
  <si>
    <t>2026-05-26T15:05:43.241+0700</t>
  </si>
  <si>
    <t>2026-05-26T15:05:52.928+0700</t>
  </si>
  <si>
    <t xml:space="preserve">1. Thông tin dự án   Project document:  GCP Project:  onemg-dp-prod Cloud SQL instance:  main-postgres Instance URL:  https://console.cloud.google.com/sql/instances/main-postgres/overview?project=onemg-dp-prod Private IP:  172.31.3.39 2. Thông tin schema cần tạo Các object cần tạo: Table  engineering_metrics.raw_sonarqube Table  engineering_metrics.fact_code_health_score Các constraint, index, trigger, function và comment đi kèm trong DDL Note: Tạo và cấp quyền đọc/ghi cho user DB user  tech_metrics  trên schema  engineering_metrics 2.1. DDL cho  engineering_metrics.raw_sonarqube CREATE SCHEMA IF NOT EXISTS engineering_metrics;
CREATE EXTENSION IF NOT EXISTS pgcrypto;
CREATE TABLE IF NOT EXISTS engineering_metrics.raw_sonarqube (
    raw_event_id                BIGSERIAL PRIMARY KEY,
    -- Common service identity from Service Registry.
    service_id                  UUID        NOT NULL,
    service_name                TEXT        NOT NULL,
    score_profile               TEXT        NOT NULL,
    -- SonarQube project identity.
    sonarqube_project_key           TEXT        NOT NULL,
    sonarqube_branch                TEXT        NOT NULL,
    -- Release metadata.
    release_commit_sha          TEXT,
    prod_release_tag            TEXT,
    -- Snapshot details from SonarQube API.
    sonar_analysis_date         TIMESTAMPTZ,
    sonar_analysis_key          TEXT        NOT NULL,
    snapshot_collected_at       TIMESTAMPTZ,
    -- Full measures payload from SonarQube API (for traceability).
    measures                    JSONB       NOT NULL,
    -- Flattened measure fields.
    bugs                        INTEGER,
    vulnerabilities             INTEGER,
    code_smells                 INTEGER,
    coverage                    NUMERIC(5, 1),   -- percentage 0.0–100.0
    duplicated_lines_density    NUMERIC(5, 1),   -- percentage 0.0–100.0
    ncloc                       BIGINT,
    lines                       BIGINT,
    reliability_rating          NUMERIC(2, 1),   -- 1.0–5.0 (SonarQube numeric, not letter grade)
    security_rating             NUMERIC(2, 1),   -- 1.0–5.0
    sqale_rating                NUMERIC(2, 1),   -- 1.0–5.0
    alert_status                TEXT,
    -- Collector / source metadata.
    source                      TEXT        NOT NULL DEFAULT 'sonarqube',
    -- DB metadata.
    ingested_at                 TIMESTAMPTZ NOT NULL DEFAULT NOW(),
    updated_at                  TIMESTAMPTZ NOT NULL DEFAULT NOW(),
    CONSTRAINT fk_raw_sonarqube_service_registry    -- service_id need to existed in service_registry
        FOREIGN KEY (service_id)
        REFERENCES engineering_metrics.service_registry(service_id),
    CONSTRAINT chk_raw_sonarqube_source -- source column only contain sonarqube
        CHECK (source = 'sonarqube'),
    CONSTRAINT chk_raw_sonarqube_score_profile -- score_profile column only contain BE or FE_MB
        CHECK (score_profile IN ('BE', 'FE_MB')),
    CONSTRAINT chk_raw_sonarqube_not_blank -- service_name, sonarqube_project_key, sonar_analysis_key column cannot be null
        CHECK (
            NULLIF(BTRIM(service_name),      '') IS NOT NULL
            AND NULLIF(BTRIM(sonarqube_project_key), '') IS NOT NULL
            AND NULLIF(BTRIM(sonar_analysis_key),      '') IS NOT NULL
        ),
    CONSTRAINT uq_raw_sonarqube -- unique constrain for service_id, sonarqube_project_key, sonar_analysis_key
        UNIQUE ( -- Do not insert if all of the following columns are the same
            service_id, 
            sonarqube_project_key,
            sonar_analysis_key
        )
);
-- Reuse the same updated_at trigger helper used by Service Registry when available.
CREATE OR REPLACE FUNCTION engineering_metrics.set_updated_at() -- trigger function for updated_at
RETURNS TRIGGER AS $$
BEGIN
    NEW.updated_at = NOW();    -- set updated_at to current time
    RETURN NEW;
END;
$$ LANGUAGE plpgsql;
DROP TRIGGER IF EXISTS trg_raw_sonarqube_set_updated_at -- drop trigger if exists
ON engineering_metrics.raw_sonarqube;
CREATE TRIGGER trg_raw_sonarqube_set_updated_at -- trigger for updated_at
BEFORE UPDATE ON engineering_metrics.raw_sonarqube -- trigger will be triggered before update
FOR EACH ROW -- trigger will be triggered for each row
EXECUTE FUNCTION engineering_metrics.set_updated_at();
-- Index: support time-series queries per service.
CREATE INDEX IF NOT EXISTS idx_raw_sonarqube_service_collected_at -- index for service_id and snapshot_collected_at
ON engineering_metrics.raw_sonarqube (
    service_id,
    snapshot_collected_at DESC
);
-- Index: support queries per project key + branch.
CREATE INDEX IF NOT EXISTS idx_raw_sonarqube_project_branch 
ON engineering_metrics.raw_sonarqube (
    sonarqube_project_key,
    sonarqube_branch
);
-- Index: support ordering by ingestion time.
CREATE INDEX IF NOT EXISTS idx_raw_sonarqube_ingested_at
ON engineering_metrics.raw_sonarqube (ingested_at DESC);
-- ============================================================
-- Table &amp; column comments
-- ============================================================
COMMENT ON TABLE engineering_metrics.raw_sonarqube IS
'Raw SonarQube analysis snapshots (one row per service/branch) used as input for Code Health Score fact processing.';
COMMENT ON COLUMN engineering_metrics.raw_sonarqube.raw_event_id IS
'Surrogate raw row key used for lineage from fact tables.';
COMMENT ON COLUMN engineering_metrics.raw_sonarqube.service_id IS
'Service UUID from engineering_metrics.service_registry. Used as the stable join key.';
COMMENT ON COLUMN engineering_metrics.raw_sonarqube.service_name IS
'Service display name captured at collection time from service_registry.';
COMMENT ON COLUMN engineering_metrics.raw_sonarqube.score_profile IS
'Scoring profile of the service: BE (backend) or FE_MB (frontend / mobile).';
COMMENT ON COLUMN engineering_metrics.raw_sonarqube.sonarqube_project_key IS
'SonarQube project key. Part of the raw upsert key.';
COMMENT ON COLUMN engineering_metrics.raw_sonarqube.sonarqube_branch IS
'SonarQube branch analysed. Part of the raw upsert key.';
COMMENT ON COLUMN engineering_metrics.raw_sonarqube.release_commit_sha IS
'Commit SHA of the service at collection time (captured from GitLab tag/production).';
COMMENT ON COLUMN engineering_metrics.raw_sonarqube.prod_release_tag IS
'Production release tag of the service at collection time (captured from ArgoCD images).';
COMMENT ON COLUMN engineering_metrics.raw_sonarqube.sonar_analysis_date IS
'Actual timestamp of the analysis event in SonarQube.';
COMMENT ON COLUMN engineering_metrics.raw_sonarqube.sonar_analysis_key IS
'Unique identifier of the specific analysis in SonarQube (Analysis Key).';
COMMENT ON COLUMN engineering_metrics.raw_sonarqube.snapshot_collected_at IS
'Timestamp of the SonarQube analysis snapshot returned by the API.';
COMMENT ON COLUMN engineering_metrics.raw_sonarqube.measures IS
'Full measures array payload from SonarQube API, preserved for traceability.';
COMMENT ON COLUMN engineering_metrics.raw_sonarqube.bugs IS
'Number of bugs reported by SonarQube.';
COMMENT ON COLUMN engineering_metrics.raw_sonarqube.vulnerabilities IS
'Number of vulnerabilities reported by SonarQube.';
COMMENT ON COLUMN engineering_metrics.raw_sonarqube.code_smells IS
'Number of code smells reported by SonarQube.';
COMMENT ON COLUMN engineering_metrics.raw_sonarqube.coverage IS
'Code coverage percentage (0.0-100.0) as returned by SonarQube API (1 decimal place).';
COMMENT ON COLUMN engineering_metrics.raw_sonarqube.duplicated_lines_density IS
'Code duplication density percentage (0.0-100.0) as returned by SonarQube API (1 decimal place).';
COMMENT ON COLUMN engineering_metrics.raw_sonarqube.ncloc IS
'Number of non-comment lines of code (ncloc) reported by SonarQube.';
COMMENT ON COLUMN engineering_metrics.raw_sonarqube.lines IS
'Total number of lines of code reported by SonarQube.';
COMMENT ON COLUMN engineering_metrics.raw_sonarqube.reliability_rating IS
'SonarQube reliability rating as numeric (1.0=A, 2.0=B, 3.0=C, 4.0=D, 5.0=E). SonarQube API returns numeric string, not letter grade.';
COMMENT ON COLUMN engineering_metrics.raw_sonarqube.security_rating IS
'SonarQube security rating as numeric (1.0=A, 2.0=B, 3.0=C, 4.0=D, 5.0=E). SonarQube API returns numeric string, not letter grade.';
COMMENT ON COLUMN engineering_metrics.raw_sonarqube.sqale_rating IS
'SonarQube maintainability (SQALE) rating as numeric (1.0=A, 2.0=B, 3.0=C, 4.0=D, 5.0=E). SonarQube API returns numeric string, not letter grade.';
COMMENT ON COLUMN engineering_metrics.raw_sonarqube.alert_status IS
'Quality gate alert status (OK/WARN/ERROR) reported by SonarQube.';
COMMENT ON COLUMN engineering_metrics.raw_sonarqube.source IS
'Data source identifier, always ''sonarqube''.';
COMMENT ON COLUMN engineering_metrics.raw_sonarqube.ingested_at IS
'Timestamp when the record was first inserted into the raw table.';
COMMENT ON COLUMN engineering_metrics.raw_sonarqube.updated_at IS
'Timestamp of the most recent upsert/update for this record.'; 2.2 DDL cho  engineering_metrics.fact_code_health_score CREATE TABLE IF NOT EXISTS engineering_metrics.fact_code_health_score (
    fact_event_id               BIGSERIAL   PRIMARY KEY,
    -- Identification &amp; Metadata
    raw_event_id                BIGINT      NOT NULL,
    service_id                  UUID        NOT NULL,
    es_name                     TEXT        NOT NULL,
    team_name                   TEXT        NOT NULL,
    product_name                TEXT        NOT NULL,
    service_name                TEXT        NOT NULL,
    score_profile               TEXT        NOT NULL,
    sonarqube_project_key       TEXT        NOT NULL,
    sonarqube_branch            TEXT        NOT NULL,
    -- Release &amp; Deployment Information
    prod_release_tag            TEXT,
    release_commit_sha          TEXT        NOT NULL,
    sonar_analysis_date         TIMESTAMPTZ,
    sonar_analysis_key          TEXT,
    prod_deployed_at            TIMESTAMPTZ NOT NULL,
    snapshot_collected_at       TIMESTAMPTZ,
    -- SonarQube Raw Measures
    bugs                        INTEGER,
    vulnerabilities             INTEGER,
    code_smells                 INTEGER,
    coverage                    NUMERIC(5, 2),
    duplicated_lines_density    NUMERIC(5, 2),
    ncloc                       BIGINT,
    lines                       BIGINT,
    reliability_rating          NUMERIC(3, 2),
    reliability_grade           CHAR(1),
    security_rating             NUMERIC(3, 2),
    security_grade              CHAR(1),
    sqale_rating                NUMERIC(3, 2),
    sqale_grade                 CHAR(1),
    alert_status                TEXT,
    -- Code Health Score Components
    bug_vulnerability_score     NUMERIC(5, 2),
    coverage_score              NUMERIC(5, 2),
    duplication_score           NUMERIC(5, 2),
    technical_debt_score        NUMERIC(5, 2),
    code_health_score           NUMERIC(5, 2),
    -- System Metadata
    created_at                  TIMESTAMPTZ NOT NULL DEFAULT NOW(),
    updated_at                  TIMESTAMPTZ NOT NULL DEFAULT NOW(),
    source                      TEXT        NOT NULL DEFAULT 'sonar_scan',
    UNIQUE (service_id, release_commit_sha, prod_deployed_at),
    CONSTRAINT fk_fact_chs_service_registry
        FOREIGN KEY (service_id)
        REFERENCES engineering_metrics.service_registry(service_id),
    CONSTRAINT fk_fact_chs_raw_sonarqube
        FOREIGN KEY (raw_event_id)
        REFERENCES engineering_metrics.raw_sonarqube(raw_event_id),
    CONSTRAINT chk_fact_chs_source
        CHECK (source = 'sonar_scan'),
    CONSTRAINT chk_fact_chs_score_profile
        CHECK (score_profile IN ('BE', 'FE_MB')),
    CONSTRAINT chk_fact_chs_not_blank
        CHECK (
            NULLIF(BTRIM(service_name), '') IS NOT NULL
            AND NULLIF(BTRIM(sonarqube_project_key), '') IS NOT NULL
            AND NULLIF(BTRIM(sonarqube_branch), '') IS NOT NULL
        )
);
-- ============================================================
-- Triggers &amp; Indexes
-- ============================================================
-- Reuse the same updated_at trigger helper used by Service Registry / Raw table
DROP TRIGGER IF EXISTS trg_fact_chs_set_updated_at 
ON engineering_metrics.fact_code_health_score;
CREATE TRIGGER trg_fact_chs_set_updated_at 
BEFORE UPDATE ON engineering_metrics.fact_code_health_score 
FOR EACH ROW 
EXECUTE FUNCTION engineering_metrics.set_updated_at();
-- Index: support time-series queries per service.
CREATE INDEX IF NOT EXISTS idx_fact_chs_service_deployed_at 
ON engineering_metrics.fact_code_health_score (
    service_id,
    prod_deployed_at DESC
);
-- Index: support queries per project key + branch.
CREATE INDEX IF NOT EXISTS idx_fact_chs_project_branch 
ON engineering_metrics.fact_code_health_score (
    sonarqube_project_key,
    sonarqube_branch
);
-- Index: support incremental queries or ordering by updated time.
CREATE INDEX IF NOT EXISTS idx_fact_chs_updated_at
ON engineering_metrics.fact_code_health_score (updated_at DESC);
-- ============================================================
-- Table &amp; Column Comments
-- ============================================================
COMMENT ON TABLE engineering_metrics.fact_code_health_score IS 'Store Code Health Score fact records for reporting.';
COMMENT ON COLUMN engineering_metrics.fact_code_health_score.fact_event_id IS 'Surrogate fact row key used for identification.';
COMMENT ON COLUMN engineering_metrics.fact_code_health_score.raw_event_id IS 'Foreign key referencing the original raw_sonarqube record.';
COMMENT ON COLUMN engineering_metrics.fact_code_health_score.service_id IS 'Stable identifier of the service (from raw_sonarqube.service_id)';
COMMENT ON COLUMN engineering_metrics.fact_code_health_score.es_name IS 'ES Name (from service_registry.es_name)';
COMMENT ON COLUMN engineering_metrics.fact_code_health_score.team_name IS 'Team Name (from service_registry.team_name)';
COMMENT ON COLUMN engineering_metrics.fact_code_health_score.product_name IS 'Product Name (from service_registry.product_name)';
COMMENT ON COLUMN engineering_metrics.fact_code_health_score.service_name IS 'Standardized service name (from raw_sonarqube.service_name)';
COMMENT ON COLUMN engineering_metrics.fact_code_health_score.score_profile IS 'Scoring profile of the service: BE or FE_MB (from raw_sonarqube.score_profile)';
COMMENT ON COLUMN engineering_metrics.fact_code_health_score.sonarqube_project_key IS 'SonarQube project key (from raw_sonarqube.sonarqube_project_key)';
COMMENT ON COLUMN engineering_metrics.fact_code_health_score.sonarqube_branch IS 'Branch used for the snapshot (from raw_sonarqube.sonarqube_branch)';
COMMENT ON COLUMN engineering_metrics.fact_code_health_score.prod_release_tag IS 'Production release tag (from raw_sonarqube.prod_release_tag)';
COMMENT ON COLUMN engineering_metrics.fact_code_health_score.release_commit_sha IS 'Commit SHA associated with the production release (from raw_sonarqube.release_commit_sha)';
COMMENT ON COLUMN engineering_metrics.fact_code_health_score.sonar_analysis_date IS 'Actual time SonarQube performed the scan (from raw_sonarqube.sonar_analysis_date)';
COMMENT ON COLUMN engineering_metrics.fact_code_health_score.sonar_analysis_key IS 'Unique identifier of the scan from SonarQube (from raw_sonarqube.sonar_analysis_key)';
COMMENT ON COLUMN engineering_metrics.fact_code_health_score.prod_deployed_at IS 'Time when the release was deployed to Production (from raw_argocd metadata)';
COMMENT ON COLUMN engineering_metrics.fact_code_health_score.snapshot_collected_at IS 'Time when the collector fetched the snapshot from SonarQube (from raw_sonarqube.snapshot_collected_at)';
COMMENT ON COLUMN engineering_metrics.fact_code_health_score.bugs IS 'Number of bugs (from raw_sonarqube.bugs)';
COMMENT ON COLUMN engineering_metrics.fact_code_health_score.vulnerabilities IS 'Number of vulnerabilities (from raw_sonarqube.vulnerabilities)';
COMMENT ON COLUMN engineering_metrics.fact_code_health_score.code_smells IS 'Number of code smells, stored to explain metrics (from raw_sonarqube.code_smells)';
COMMENT ON COLUMN engineering_metrics.fact_code_health_score.coverage IS 'Coverage % (from raw_sonarqube.coverage)';
COMMENT ON COLUMN engineering_metrics.fact_code_health_score.duplicated_lines_density IS 'Duplication % (from raw_sonarqube.duplicated_lines_density)';
COMMENT ON COLUMN engineering_metrics.fact_code_health_score.ncloc IS 'Non-comment lines of code (from raw_sonarqube.ncloc)';
COMMENT ON COLUMN engineering_metrics.fact_code_health_score.lines IS 'Total lines of code (from raw_sonarqube.lines)';
COMMENT ON COLUMN engineering_metrics.fact_code_health_score.reliability_rating IS 'Sonar reliability rating (from raw_sonarqube.reliability_rating)';
COMMENT ON COLUMN engineering_metrics.fact_code_health_score.reliability_grade IS 'Reliability letter grade (A=1, B=2, C=3, D=4, E=5)';
COMMENT ON COLUMN engineering_metrics.fact_code_health_score.security_rating IS 'Sonar security rating (from raw_sonarqube.security_rating)';
COMMENT ON COLUMN engineering_metrics.fact_code_health_score.security_grade IS 'Security letter grade (A=1, B=2, C=3, D=4, E=5)';
COMMENT ON COLUMN engineering_metrics.fact_code_health_score.sqale_rating IS 'Sonar maintainability rating (from raw_sonarqube.sqale_rating)';
COMMENT ON COLUMN engineering_metrics.fact_code_health_score.sqale_grade IS 'Maintainability letter grade (A=1, B=2, C=3, D=4, E=5)';
COMMENT ON COLUMN engineering_metrics.fact_code_health_score.alert_status IS 'Quality gate status (from raw_sonarqube.alert_status)';
COMMENT ON COLUMN engineering_metrics.fact_code_health_score.bug_vulnerability_score IS 'Component score for Bugs / Vulnerabilities';
COMMENT ON COLUMN engineering_metrics.fact_code_health_score.coverage_score IS 'Component score for Coverage';
COMMENT ON COLUMN engineering_metrics.fact_code_health_score.duplication_score IS 'Component score for Duplication';
COMMENT ON COLUMN engineering_metrics.fact_code_health_score.technical_debt_score IS 'Component score for Technical Debt (from raw_sonarqube.sqale_rating)';
COMMENT ON COLUMN engineering_metrics.fact_code_health_score.code_health_score IS 'Overall Code Health Score (0-100)';
COMMENT ON COLUMN engineering_metrics.fact_code_health_score.created_at IS 'Time when the record was first written to the system';
COMMENT ON COLUMN engineering_metrics.fact_code_health_score.updated_at IS 'Time when the record was last updated (from raw_sonarqube.updated_at)';
COMMENT ON COLUMN engineering_metrics.fact_code_health_score.source IS 'Data source of the record (fixed as ''sonar_scan'')'; cc anh  @Phạm Việt Hùng   @Former user   @Đỗ Ngọc Hà   @Phùng Minh Ngân  </t>
  </si>
  <si>
    <t>Hỗ trợ tạo schema/table PostgreSQL cho dự án Engineering Service Metrics trên Cloud SQL PostgreSQL production - Error rate metric</t>
  </si>
  <si>
    <t>2026-05-26T14:59:48.963+0700</t>
  </si>
  <si>
    <t>2026-05-26T14:59:57.271+0700</t>
  </si>
  <si>
    <t>1. Thông tin dự án   Project document:  GCP Project:  onemg-dp-prod Cloud SQL instance:  main-postgres Instance URL:  https://console.cloud.google.com/sql/instances/main-postgres/overview?project=onemg-dp-prod Private IP:  172.31.3.39 Database schema cần tạo:  engineering_metrics 2. Thông tin schema cần tạo Các object cần tạo: Schema  engineering_metrics Table  engineering_metrics.fact_error_rate_hourly Các constraint, index, trigger, function và comment đi kèm trong DDL Note: Tạo và cấp quyền đọc/ghi cho user DB user  tech_metrics  trên schema  engineering_metrics 2.1. DDL cho  engineering_metrics.fact_error_rate_hourly -- ============================================================================
-- PostgreSQL Schema for Error Rate per Service
-- Table: engineering_metrics.fact_error_rate_hourly
-- 
-- Description: Fact table storing hourly error rate metrics per service 
--              from New Relic APM
-- Grain: 1 record = 1 service + 1 hourly bucket
-- Dedupe Key: service_id + begin_time_seconds + end_time_seconds
-- ============================================================================
-- Create schema if not exists
CREATE SCHEMA IF NOT EXISTS engineering_metrics;
-- Main fact table
CREATE TABLE IF NOT EXISTS engineering_metrics.fact_error_rate_hourly (
    -- Primary key (surrogate)
    id BIGSERIAL,
    -- Service identification
    service_id VARCHAR(255) NOT NULL,
    service_name VARCHAR(255) NOT NULL,
    -- New Relic source mapping
    newrelic_account_id BIGINT NOT NULL,
    newrelic_app_name VARCHAR(255) NOT NULL,
    -- Time bucket (dedupe key components)
    begin_time_seconds BIGINT NOT NULL,
    end_time_seconds BIGINT NOT NULL,
    hour_bucket_utc TIMESTAMPTZ NOT NULL,
    -- Metrics
    total_request_count BIGINT NOT NULL DEFAULT 0,
    error_5xx_request_count BIGINT NOT NULL DEFAULT 0,
    error_rate_pct NUMERIC(5,2),  -- Allows 0.00 to 100.00
    -- Audit fields
    ingested_at TIMESTAMPTZ NOT NULL DEFAULT NOW(),
    updated_at TIMESTAMPTZ NOT NULL DEFAULT NOW(),
    source VARCHAR(50) DEFAULT 'newrelic',
    -- Constraints
    CONSTRAINT pk_fact_error_rate_hourly PRIMARY KEY (id),
    CONSTRAINT uq_dedupe_key UNIQUE (service_id, begin_time_seconds, end_time_seconds),
    CONSTRAINT chk_error_rate_range CHECK (error_rate_pct IS NULL OR (error_rate_pct &gt;= 0 AND error_rate_pct &lt;= 100)),
    CONSTRAINT chk_time_bucket CHECK (end_time_seconds &gt; begin_time_seconds),
    CONSTRAINT chk_request_counts CHECK (error_5xx_request_count &lt;= total_request_count)
);
-- ============================================================================
-- Indexes for query optimization
-- ============================================================================
-- Index for time-based queries (daily/weekly aggregation)
CREATE INDEX IF NOT EXISTS idx_fact_error_rate_hour_bucket 
    ON engineering_metrics.fact_error_rate_hourly (hour_bucket_utc);
-- Index for service-based queries
CREATE INDEX IF NOT EXISTS idx_fact_error_rate_service_id 
    ON engineering_metrics.fact_error_rate_hourly (service_id);
-- Composite index for service + time queries (most common pattern)
CREATE INDEX IF NOT EXISTS idx_fact_error_rate_service_time 
    ON engineering_metrics.fact_error_rate_hourly (service_id, hour_bucket_utc);
-- Index for New Relic app name queries
CREATE INDEX IF NOT EXISTS idx_fact_error_rate_app_name 
    ON engineering_metrics.fact_error_rate_hourly (newrelic_app_name);
-- ============================================================================
-- Trigger for auto-updating updated_at timestamp
-- ============================================================================
CREATE OR REPLACE FUNCTION engineering_metrics.update_fact_error_rate_updated_at()
RETURNS TRIGGER AS $$
BEGIN
    NEW.updated_at = NOW();
    RETURN NEW;
END;
$$ LANGUAGE plpgsql;
DROP TRIGGER IF EXISTS trg_fact_error_rate_updated_at 
    ON engineering_metrics.fact_error_rate_hourly;
CREATE TRIGGER trg_fact_error_rate_updated_at
    BEFORE UPDATE ON engineering_metrics.fact_error_rate_hourly
    FOR EACH ROW
    EXECUTE FUNCTION engineering_metrics.update_fact_error_rate_updated_at();
-- ============================================================================
-- Table and Column Comments
-- ============================================================================
COMMENT ON TABLE engineering_metrics.fact_error_rate_hourly IS 
    'Fact table storing hourly error rate metrics per service from New Relic APM. Grain: 1 service + 1 hourly bucket';
COMMENT ON COLUMN engineering_metrics.fact_error_rate_hourly.id IS 
    'Surrogate primary key';
COMMENT ON COLUMN engineering_metrics.fact_error_rate_hourly.service_id IS 
    'Stable identifier of the service from service registry';
COMMENT ON COLUMN engineering_metrics.fact_error_rate_hourly.service_name IS 
    'Human-readable service name';
COMMENT ON COLUMN engineering_metrics.fact_error_rate_hourly.newrelic_account_id IS 
    'New Relic account ID where the application is registered';
COMMENT ON COLUMN engineering_metrics.fact_error_rate_hourly.newrelic_app_name IS 
    'Application name in New Relic APM';
COMMENT ON COLUMN engineering_metrics.fact_error_rate_hourly.begin_time_seconds IS 
    'Start of hourly bucket in Unix epoch seconds';
COMMENT ON COLUMN engineering_metrics.fact_error_rate_hourly.end_time_seconds IS 
    'End of hourly bucket in Unix epoch seconds';
COMMENT ON COLUMN engineering_metrics.fact_error_rate_hourly.hour_bucket_utc IS 
    'Start of hourly bucket as UTC timestamp';
COMMENT ON COLUMN engineering_metrics.fact_error_rate_hourly.total_request_count IS 
    'Total requests excluding health-check endpoints';
COMMENT ON COLUMN engineering_metrics.fact_error_rate_hourly.error_5xx_request_count IS 
    'Requests with HTTP 5xx status excluding health-check endpoints';
COMMENT ON COLUMN engineering_metrics.fact_error_rate_hourly.error_rate_pct IS 
    'Error rate percentage (NULL if total_request_count = 0)';
COMMENT ON COLUMN engineering_metrics.fact_error_rate_hourly.ingested_at IS 
    'Timestamp when record was first inserted';
COMMENT ON COLUMN engineering_metrics.fact_error_rate_hourly.updated_at IS 
    'Timestamp when record was last updated';
COMMENT ON COLUMN engineering_metrics.fact_error_rate_hourly.source IS 
    'Data source identifier (default: newrelic)'; cc  @Phạm Việt Hùng    @Former user   @Nguyễn Văn Khải   @Lưu Văn Hiếu   @Phùng Minh Ngân</t>
  </si>
  <si>
    <t>[OMRE][OneHS][PROD] Nhờ hỗ trợ update dữ liệu BĐS</t>
  </si>
  <si>
    <t>2026-05-26T10:41:51.587+0700</t>
  </si>
  <si>
    <t>2026-05-27T09:20:10.047+0700</t>
  </si>
  <si>
    <t>Listing</t>
  </si>
  <si>
    <t>Môi trường:  PRODUCTION Database:  onehs_housing_dictionary Host:   omre-onehs-mysql-main.int.onemount.com:3306 Username:  onehs_housing_dictionary Mục đích: Cập nhật trường project_code = project_name cho 1 bản ghi trong bảng PROJECTS bị thiếu/sai project_code trên PROD. Script verify trước khi chạy (SELECT): SELECT id, project_code, project_name
FROM PROJECTS
WHERE id = '50590578-83ba-d199-a380-b18058ccb822'; Script DML cần thực thi: UPDATE PROJECTS
SET project_code = project_name
WHERE id = '50590578-83ba-d199-a380-b18058ccb822';</t>
  </si>
  <si>
    <t>[PROD][Mongo] Hỗ trợ export db</t>
  </si>
  <si>
    <t>2026-05-26T09:59:09.281+0700</t>
  </si>
  <si>
    <t>2026-05-26T10:09:15.970+0700</t>
  </si>
  <si>
    <t>Dear anh Linh, Do có nhu cầu phân tích nhu cầu người dùng cho luồng AI chat nên team request nhờ anh hỗ trợ export DB với các thông tin dưới đây Host: omc-oneu-vourcher.8j11t.mongodb.net
Port: 27017
DB name: omc_dynamic_content
Collection name: ai_chat_logs Cần thêm thôn tin nào nhờ anh comment giúp team ạ</t>
  </si>
  <si>
    <t>[OMD][Kafka][Prod] Tạo kafka topic cho bảng nguồn MerchantServiceTCB phục vụ dự án MerchantHub</t>
  </si>
  <si>
    <t>2026-05-26T09:56:49.223+0700</t>
  </si>
  <si>
    <t>2026-05-26T10:37:08.350+0700</t>
  </si>
  <si>
    <t>Hiện tại OMD đang có nhu cầu kéo dữ liệu các bảng sau nhờ anh Linh tạo kafka topic ở môi trường PROD giúp team để kéo data về DP. PROD: IP host: 172.31.4.108:3306 Schema: merchant_service_tcb Table list: tpay_business_line</t>
  </si>
  <si>
    <t>[OMD][TCB-MerchantHUB][PROD] Xóa record thừa do consume kafka sai Merchant Hub Fiscal PROD</t>
  </si>
  <si>
    <t>2026-05-25T18:07:18.652+0700</t>
  </si>
  <si>
    <t>2026-05-25T18:27:19.478+0700</t>
  </si>
  <si>
    <t>Nhờ các anh thực hiện xóa các bản ghi thừa để tránh sai dữ liệu theo thông tin sau ạ Database: 172.31.4.36 instance: mhpos-common-prod-postgres - DB name:  mhpos_fiscal Câu lệnh check select count(*) from transactions WHERE nane = 'Thu tiền đơn hàng null'; =&gt; 4537 record Cậu lệnh xóa DELETE FROM transactions
WHERE name = 'Thu tiền đơn hàng null'; E cảm ơn</t>
  </si>
  <si>
    <t>Xóa key redis</t>
  </si>
  <si>
    <t>2026-05-25T17:05:11.821+0700</t>
  </si>
  <si>
    <t>2026-05-25T17:11:18.173+0700</t>
  </si>
  <si>
    <t>Dear dba Team, Nhờ a/e hỗ trợ xóa giúp key: "vincart:ratelimit:items:total:331872:ONEU:CV_7ELEVEN01_21112023:VOUCHER:USER:7447092" Thông tin redis: master:
    host: vincart-prod--onevoucher.memstore.int(172.31.0.196)
    port: 6379
    database: 3
  replicas:
    - host: vincart-prod--onevoucher-replica.memstore.int(172.31.0.196)
      port: 6379
      database: 3</t>
  </si>
  <si>
    <t>[OMRE][CBP] Export dữ liệu xác thực niêm yết</t>
  </si>
  <si>
    <t>2026-05-25T16:53:01.476+0700</t>
  </si>
  <si>
    <t>2026-05-25T17:53:20.078+0700</t>
  </si>
  <si>
    <t>CBP_Listing</t>
  </si>
  <si>
    <t>Dear team, anh  @Former user  cần review lại các niêm yết trước đây được duyệt với tiêu chuẩn lỏng. Nhờ team support thực hiện export database omre_cbp_listing với query như sau: db.approval_requests.aggregate([
    {
        $match: {
            approval_status: "APPROVED",
            resource_type: "LISTING",
            $or: [
                {approved_by: "auto-approval"},
                {
                    approved_by: {$ne: "auto-approval"},
                    approved_date: {$lt: ISODate("2026-02-09T00:00:00Z")}
                }
            ]
        }
    },
    {$sort: {created_date: -1}},
    {
        $group: {
            _id: "$data.listing_id",
            approvalRequest: {$first: "$$ROOT"}
        }
    },
    {
        $lookup: {
            from: "listings",
            let: {listingKey: "$approvalRequest.data.listing_key"},
            pipeline: [
                {
                    $match: {
                        $expr: {$eq: ["$_id", "$$listingKey"]}
                    }
                },
                {$match: {mls_status: "ACTIVE"}},
                {$limit: 1}
            ],
            as: "listing"
        }
    },
    {$match: {$expr: {$gt: [{$size: "$listing"}, 0]}}},
    {
        $lookup: {
            from: "verification_results",
            let: {approvalRequestId: "$approvalRequest._id"},
            pipeline: [
                {
                    $match: {
                        $expr: {
                            $and: [
                                {$eq: ["$approval_request_id", {$toString: "$$approvalRequestId"}]},
                                {$eq: ["$verification_type", "FOUR_TRUTHS_OVERALL"]}
                            ]
                        }
                    }
                },
                {$sort: {created_date: -1}},
                {$limit: 1}
            ],
            as: "verification_result"
        }
    },
    {
        $project: {
            _id: 0,
            listing_id: "$approvalRequest.data.listing_id",
            requester: "$approvalRequest.requested_by",
            approver: "$approvalRequest.approved_by",
            approved_date: "$approvalRequest.approved_date",
            overall_status: {$arrayElemAt: ["$verification_result.result.overall_status", 0]},
            real_price: {$arrayElemAt: ["$verification_result.result.real_price.status", 0]},
            real_photo: {$arrayElemAt: ["$verification_result.result.real_photo.status", 0]},
            real_property: {$arrayElemAt: ["$verification_result.result.real_property.status", 0]},
            real_person: {$arrayElemAt: ["$verification_result.result.real_person.status", 0]},
            approved_date: "$approvalRequest.approved_date"
        }
    }
])</t>
  </si>
  <si>
    <t>[MSSQL][outsystems][PROD]Hộ trợ kill spid gây lock DB</t>
  </si>
  <si>
    <t>2026-05-25T15:12:52.953+0700</t>
  </si>
  <si>
    <t>2026-05-25T15:25:53.350+0700</t>
  </si>
  <si>
    <t>Hi team, Nhờ team hỗ trợ kill spid đang gây lock table làm gián đoạn hệ thống Thông tin IP (host) của DB : 172.31.1.45</t>
  </si>
  <si>
    <t>[OMD][TCB-MerchantHUB][PROD] Xin cấp quyền view all, bỏ qua RLS trên database Merchant Hub PROD</t>
  </si>
  <si>
    <t>2026-05-25T15:12:18.961+0700</t>
  </si>
  <si>
    <t>2026-05-25T16:16:50.929+0700</t>
  </si>
  <si>
    <t>Để phục vụ cho mục đích maintain, xử lý sự vụ kịp thời tiện lợi hơn, nhờ các sếp update quyền cho các account sau  có thể bỏ qua rule RLS để có thể query được all không cần merchant_id nữa ạ. Thông tin account (chỉ có thanhbc3 và anh hunglh sử dụng) mhpos_catalog_readonly
mhpos_oms_readonly
mhpos_customer_readonly
mhpos_payment_readonly
mhpos_fiscal_readonly Thông tin Database 172.31.4.29 instance: mhpos-catalog-prod-postgres - DB name:  mhpos_catalog
172.31.4.37 instance: mhpos-order-prod-postgres - DB name: mhpos_oms
172.31.4.36
instance: mhpos-common-prod-postgres - DB name: mhpos_customer
instance: mhpos-common-prod-postgres - DB name: mhpos_payment
instance: mhpos-common-prod-postgres - DB name:  mhpos_fiscal Em cảm ơn</t>
  </si>
  <si>
    <t>[Merchant-TCB] Hỗ trợ cập nhật dữ liệu 2026051225</t>
  </si>
  <si>
    <t>2026-05-25T14:25:39.952+0700</t>
  </si>
  <si>
    <t>2026-05-25T14:40:48.885+0700</t>
  </si>
  <si>
    <t>Dear team, Nhờ team chạy giúp câu lệnh bên dưới ạ. Thông tin database https://console.cloud.google.com/sql/instances/merchant-tcb/overview?inv=1&amp;invt=AbsndA&amp;project=vinid-merchant-prod DB_MYSQL_HOST=172.31.4.108
DB_MYSQL_DATABASE=merchant_service_tcb Câu lệnh UPDATE tpay_store 
SET	status = 'WAITING_FOR_ACTIVATION'
WHERE id = 1528291;
UPDATE tpay_store_service
SET status = 'WAITING_FOR_ACTIVATION'
WHERE id IN (3027894, 3027895);
UPDATE tpay_terminal
SET status = 'WAITING_FOR_ACTIVATION'
WHERE id = 958913;
UPDATE tpay_terminal_service
SET status = 'WAITING_FOR_ACTIVATION'
WHERE id IN (1891021, 1891022);</t>
  </si>
  <si>
    <t>2026-05-25T11:18:03.538+0700</t>
  </si>
  <si>
    <t>2026-05-25T11:19:43.038+0700</t>
  </si>
  <si>
    <t>Dear Linh, Em tạo giúp anh topic cho bảng này với nhé: Project: vinid-service-platform-prod IP: 172.31.1.12 DB name: oneu_user_onboarding Tables:  reward_logs</t>
  </si>
  <si>
    <t>[UPAY][PROD] Golive 23/05/2026</t>
  </si>
  <si>
    <t>2026-05-25T10:39:06.385+0700</t>
  </si>
  <si>
    <t>2026-05-25T10:39:15.431+0700</t>
  </si>
  <si>
    <t>Hi a  @Nguyễn Văn Dũng  nhờ a chạy script theo mô tả  dưới đây ở môi trường PRODUCTION theo thông tin dưới đây ạ: Thời gian chạy script: Vào lúc  23h59 ngày 23/05/2026 Thông tin database:   mysql://pay-tidb.int.onemount.com:4000/saas_tpay CR Ticket:   https://onemount.atlassian.net/servicedesk/customer/portal/15/SH-71109?created=true Script: alter table TRANSACTION_MASTER
  add merchant_extra_data text null;
alter table TRANSACTION_DETAIL
  add qr_payment_method varchar(50) null;</t>
  </si>
  <si>
    <t>[OMD][TCB-MerchantHUB][PROD]  Support Golive ngày 23/05/2026</t>
  </si>
  <si>
    <t>2026-05-23T23:30:00.824+0700</t>
  </si>
  <si>
    <t>2026-05-24T22:47:29.214+0700</t>
  </si>
  <si>
    <t>Dear anh Linh, Team MHP cần hỗ trợ các yêu cầu sau ạ: Lấy data bảng: databasechangelog Check cấu trúc các bảng: transaction_categories, transactions instance: mhpos-common-prod-postgres - 172.31.4.36 mhpos_fiscal</t>
  </si>
  <si>
    <t xml:space="preserve">[UPAY] Update DB hỗ trợ xử lý case duyệt callback từ TCB </t>
  </si>
  <si>
    <t>2026-05-23T13:11:57.697+0700</t>
  </si>
  <si>
    <t>2026-05-23T13:12:02.873+0700</t>
  </si>
  <si>
    <t>Hi team Nhờ anh/em chạy các  script sau để Xử lý case duyệt callback từ TCB  Tối ưu querry của soundbox   Thông tin database  saas_tpay: mysql://pay-tidb.int.onemount.com:4000/saas_tpay Lưu ý:  Thời gian thực thi ứng với  các script là khác nhau   Script 1 : Thực hiện  ngay sau khi được approval   update UNIFIED_MERCHANT set status = 'WAITING_ACTIVE' where merchant_code = 'NCCH39S9';
update UNIFIED_MERCHANT_SERVICE set status = 'WAITING_ACTIVE' where merchant_code = 'NCCH39S9';
update UNIFIED_STORE set status = 'WAITING_ACTIVE' where merchant_code = 'NCCH39S9';
update UNIFIED_TERMINAL set status = 'WAITING_ACTIVE' where merchant_code = 'NCCH39S9';
update SMARTPOS_MERCHANT_CONTRACT set status = 'WAITING_ACTIVE' where merchant_code = 'NCCH39S9'; Script 2:   Thực hiện   vào thời điểm thấp điểm  ( 23h59 24-05-2026  ) CREATE INDEX idx_status ON SOUNDBOX_NOTIFICATION (STATUS);</t>
  </si>
  <si>
    <t>[Merchant-TCB] Hỗ trợ cập nhật dữ liệu 20260523</t>
  </si>
  <si>
    <t>2026-05-23T12:16:33.914+0700</t>
  </si>
  <si>
    <t>2026-05-23T12:50:02.989+0700</t>
  </si>
  <si>
    <t>Dear team, Nhờ team chạy giúp câu lệnh bên dưới ạ. Thông tin database https://console.cloud.google.com/sql/instances/merchant-tcb/overview?inv=1&amp;invt=AbsndA&amp;project=vinid-merchant-prod DB_MYSQL_HOST=172.31.4.108
DB_MYSQL_DATABASE=merchant_service_tcb Câu lệnh INSERT INTO `tpay_staff_permission` (`created_at`, `updated_at`, `deleted_at`, `module`, `code`, `name`, `description`) VALUES
('2026-05-23 17:00:00', '2026-05-23 17:00:00', NULL, 'PMBH_Quản lý thu chi', 'view:ie_report', 'Xem báo cáo thu chi', 'Người dùng có thể xem báo cáo thu chi theo cả 2 level: Hạng mục và Lĩnh vực; Filter theo cửa hàng được phân quyền; Filter theo thời gian'),
('2026-05-23 17:00:00', '2026-05-23 17:00:00', NULL, 'PMBH_Quản lý thu chi', 'view:ie_history', 'Quản lý thu chi', 'Người dùng có thể xem được lịch sử thu chi; Lọc dữ liệu lịch sử thu chi; Xem chi tiết bản ghi thu chi'),
('2026-05-23 17:00:00', '2026-05-23 17:00:00', NULL, 'PMBH_Quản lý thu chi', 'edit:ie_income_expense', 'Quản lý thu chi', 'Người dùng có thể sửa thông tin thu chi; Lưu thông tin đã sửa'),
('2026-05-23 17:00:00', '2026-05-23 17:00:00', NULL, 'PMBH_Quản lý thu chi', 'cancel:ie_income_expense', 'Quản lý thu chi', 'Người dùng có thể xóa và xác nhận xóa bản ghi thu chi'),
('2026-05-23 17:00:00', '2026-05-23 17:00:00', NULL, 'PMBH_Quản lý thu chi', 'create:ie_income_expense', 'Quản lý thu chi', 'Người dùng có thể tạo mới thu chi: Xem danh sách và chọn hạng mục; Xem danh sách và chọn phương thức/tài khoản thu chi; Xem danh sách và chọn loại hình kinh doanh; Xem danh sách và chọn cửa hàng thu chi theo phân quyền; Lưu bản ghi thu chi'),
('2026-05-23 17:00:00', '2026-05-23 17:00:00', NULL, 'PMBH_Quản lý thu chi', 'view:ie_category', 'Quản lý hạng mục', 'Người dùng có thể xem được danh sách hạng mục; Xem chi tiết hạng mục'),
('2026-05-23 17:00:00', '2026-05-23 17:00:00', NULL, 'PMBH_Quản lý thu chi', 'create:ie_category', 'Quản lý hạng mục', 'Người dùng có thể tạo mới hạng mục thu chi: Nhấn nút tạo hạng mục; Xem danh sách và chọn Ngành nghề/Lĩnh vực; Lưu hạng mục'),
('2026-05-23 17:00:00', '2026-05-23 17:00:00', NULL, 'PMBH_Quản lý thu chi', 'edit:ie_category', 'Quản lý hạng mục', 'Người dùng có thể sửa thông tin hạng mục; Lưu thông tin đã sửa; Active/Inactive hạng mục'),
('2026-05-23 17:00:00', '2026-05-23 17:00:00', NULL, 'PMBH_Kê khai thuế', 'create:tax_declaration', 'Kê khai thuế', 'Người dùng có thể xem danh sách tờ khai thuế; Tạo tờ khai thuế; Chỉnh sửa tờ khai thuế; Xóa tờ khai thuế; Lưu và hoàn thành tờ khai thuế; Tải xuống và chia sẻ tờ khai thuế'),
('2026-05-23 17:00:00', '2026-05-23 17:00:00', NULL, 'PMBH_Cài đặt thuế', 'create:tax_configuration', 'Cài đặt thông tin thuế', 'Người dùng có thể nhìn thấy entry point vào luồng và cài đặt thông tin thuế: Thông tin hộ kinh doanh; Thêm/sửa/on/off địa điểm kinh doanh; Thông tin kinh doanh');
('2026-05-23 17:00:00', '2026-05-23 17:00:00', NULL, 'PMBH_Cài đặt bán hàng', 'edit:use_qr_table', 'QR gọi món', 'Cập nhật on/off Toggle Sử dụng QR gọi món'),</t>
  </si>
  <si>
    <t>2026-05-22T15:53:01.163+0700</t>
  </si>
  <si>
    <t>2026-05-22T15:53:06.261+0700</t>
  </si>
  <si>
    <t>Dear team, Nhờ team chạy giúp câu lệnh bên dưới ạ. Thông tin database https://console.cloud.google.com/sql/instances/merchant-tcb/overview?inv=1&amp;invt=AbsndA&amp;project=vinid-merchant-prod DB_MYSQL_HOST=172.31.4.108
DB_MYSQL_DATABASE=merchant_service_tcb Câu lệnh SELECT b.id, b.account_number, b.account_by_purpose, b.tcb_merchant_code,
       b.request_merchant_id, b.deleted_at, m.status
FROM tpay_request_merchant_bank b
LEFT JOIN tpay_request_merchant m ON b.request_merchant_id = m.id
WHERE b.account_number = '10801080'
  AND b.deleted_at IS NULL
  AND b.tcb_merchant_code &lt;&gt; 'GOLDENGATE';</t>
  </si>
  <si>
    <t>[PROD][QR247] Hỗ trợ cấu hình thông tin cụm merchant của Sài Gòn Coopmart</t>
  </si>
  <si>
    <t>2026-05-22T15:17:27.910+0700</t>
  </si>
  <si>
    <t>2026-05-22T15:17:51.172+0700</t>
  </si>
  <si>
    <t>QR247, TPAY</t>
  </si>
  <si>
    <t>Hi team Nhờ anh/em chạy các script để cấu hình 28 merchant của Sài Gòn Coopmart tích hợp TPAY trên môi trường PROD. Thông tin database saas_tpay: mysql://pay-tidb.int.onemount.com:4000/saas_tpay Script: INSERT INTO PARTNER (client_id, name, public_key, enable, merchant_code)
VALUES ('GnwEbKzlfJvqSPpVcUqQbZdlHlUfeYff', 'SGC XLHN', '-----BEGIN PUBLIC KEY-----
MIIBIjANBgkqhkiG9w0BAQEFAAOCAQ8AMIIBCgKCAQEAijT0z6i+jN59g0lIaXwC
ooh14Mf8M2N5W/BMnWj/88iQakOy1atfoqewCx/5WHzgBER+PYIW+gwrBXJgtUjv
M/ZdqhOQvVWdRavhFVvVUL5KSncsEJ4X4kr0gf6faoiFEfkCS/aMh4WAeKvn1uYf
ASUPIhOj6qN/XBesqxZu5L5QhGWMkpYe+ixGjzAwH5e0rBvS755pOxH/nPQEgft8
s8OGfic6rJTW1zmUZLQRsQBw+zde4qrc3EW2+2nDHMD+W3aty0GSbFOkNZf6xCg3
Pz/62nRcTIvE3BsO+lr4rbJg+VaETKO3RbXSotoGJsIPBvqWpdvgiuoc40Q5Dovm
XQIDAQAB
-----END PUBLIC KEY-----', 1, 'SGC_GVP');
INSERT INTO PARTNER (client_id, name, public_key, enable, merchant_code)
VALUES ('GnwEbKzlfJvqSPpVcUqQbZdlHlUfeYff', 'SGC XLHN', '-----BEGIN PUBLIC KEY-----
MIIBIjANBgkqhkiG9w0BAQEFAAOCAQ8AMIIBCgKCAQEAijT0z6i+jN59g0lIaXwC
ooh14Mf8M2N5W/BMnWj/88iQakOy1atfoqewCx/5WHzgBER+PYIW+gwrBXJgtUjv
M/ZdqhOQvVWdRavhFVvVUL5KSncsEJ4X4kr0gf6faoiFEfkCS/aMh4WAeKvn1uYf
ASUPIhOj6qN/XBesqxZu5L5QhGWMkpYe+ixGjzAwH5e0rBvS755pOxH/nPQEgft8
s8OGfic6rJTW1zmUZLQRsQBw+zde4qrc3EW2+2nDHMD+W3aty0GSbFOkNZf6xCg3
Pz/62nRcTIvE3BsO+lr4rbJg+VaETKO3RbXSotoGJsIPBvqWpdvgiuoc40Q5Dovm
XQIDAQAB
-----END PUBLIC KEY-----', 1, 'SGC_TLO1');
INSERT INTO PARTNER (client_id, name, public_key, enable, merchant_code)
VALUES ('GnwEbKzlfJvqSPpVcUqQbZdlHlUfeYff', 'SGC XLHN', '-----BEGIN PUBLIC KEY-----
MIIBIjANBgkqhkiG9w0BAQEFAAOCAQ8AMIIBCgKCAQEAijT0z6i+jN59g0lIaXwC
ooh14Mf8M2N5W/BMnWj/88iQakOy1atfoqewCx/5WHzgBER+PYIW+gwrBXJgtUjv
M/ZdqhOQvVWdRavhFVvVUL5KSncsEJ4X4kr0gf6faoiFEfkCS/aMh4WAeKvn1uYf
ASUPIhOj6qN/XBesqxZu5L5QhGWMkpYe+ixGjzAwH5e0rBvS755pOxH/nPQEgft8
s8OGfic6rJTW1zmUZLQRsQBw+zde4qrc3EW2+2nDHMD+W3aty0GSbFOkNZf6xCg3
Pz/62nRcTIvE3BsO+lr4rbJg+VaETKO3RbXSotoGJsIPBvqWpdvgiuoc40Q5Dovm
XQIDAQAB
-----END PUBLIC KEY-----', 1, 'SGC_TLO2');
INSERT INTO PARTNER (client_id, name, public_key, enable, merchant_code)
VALUES ('GnwEbKzlfJvqSPpVcUqQbZdlHlUfeYff', 'SGC XLHN', '-----BEGIN PUBLIC KEY-----
MIIBIjANBgkqhkiG9w0BAQEFAAOCAQ8AMIIBCgKCAQEAijT0z6i+jN59g0lIaXwC
ooh14Mf8M2N5W/BMnWj/88iQakOy1atfoqewCx/5WHzgBER+PYIW+gwrBXJgtUjv
M/ZdqhOQvVWdRavhFVvVUL5KSncsEJ4X4kr0gf6faoiFEfkCS/aMh4WAeKvn1uYf
ASUPIhOj6qN/XBesqxZu5L5QhGWMkpYe+ixGjzAwH5e0rBvS755pOxH/nPQEgft8
s8OGfic6rJTW1zmUZLQRsQBw+zde4qrc3EW2+2nDHMD+W3aty0GSbFOkNZf6xCg3
Pz/62nRcTIvE3BsO+lr4rbJg+VaETKO3RbXSotoGJsIPBvqWpdvgiuoc40Q5Dovm
XQIDAQAB
-----END PUBLIC KEY-----', 1, 'SGC_ADG');
INSERT INTO PARTNER (client_id, name, public_key, enable, merchant_code)
VALUES ('GnwEbKzlfJvqSPpVcUqQbZdlHlUfeYff', 'SGC XLHN', '-----BEGIN PUBLIC KEY-----
MIIBIjANBgkqhkiG9w0BAQEFAAOCAQ8AMIIBCgKCAQEAijT0z6i+jN59g0lIaXwC
ooh14Mf8M2N5W/BMnWj/88iQakOy1atfoqewCx/5WHzgBER+PYIW+gwrBXJgtUjv
M/ZdqhOQvVWdRavhFVvVUL5KSncsEJ4X4kr0gf6faoiFEfkCS/aMh4WAeKvn1uYf
ASUPIhOj6qN/XBesqxZu5L5QhGWMkpYe+ixGjzAwH5e0rBvS755pOxH/nPQEgft8
s8OGfic6rJTW1zmUZLQRsQBw+zde4qrc3EW2+2nDHMD+W3aty0GSbFOkNZf6xCg3
Pz/62nRcTIvE3BsO+lr4rbJg+VaETKO3RbXSotoGJsIPBvqWpdvgiuoc40Q5Dovm
XQIDAQAB
-----END PUBLIC KEY-----', 1, 'SGC_TTM');
INSERT INTO PARTNER (client_id, name, public_key, enable, merchant_code)
VALUES ('GnwEbKzlfJvqSPpVcUqQbZdlHlUfeYff', 'SGC XLHN', '-----BEGIN PUBLIC KEY-----
MIIBIjANBgkqhkiG9w0BAQEFAAOCAQ8AMIIBCgKCAQEAijT0z6i+jN59g0lIaXwC
ooh14Mf8M2N5W/BMnWj/88iQakOy1atfoqewCx/5WHzgBER+PYIW+gwrBXJgtUjv
M/ZdqhOQvVWdRavhFVvVUL5KSncsEJ4X4kr0gf6faoiFEfkCS/aMh4WAeKvn1uYf
ASUPIhOj6qN/XBesqxZu5L5QhGWMkpYe+ixGjzAwH5e0rBvS755pOxH/nPQEgft8
s8OGfic6rJTW1zmUZLQRsQBw+zde4qrc3EW2+2nDHMD+W3aty0GSbFOkNZf6xCg3
Pz/62nRcTIvE3BsO+lr4rbJg+VaETKO3RbXSotoGJsIPBvqWpdvgiuoc40Q5Dovm
XQIDAQAB
-----END PUBLIC KEY-----', 1, 'SGC_HGI');
INSERT INTO PARTNER (client_id, name, public_key, enable, merchant_code)
VALUES ('GnwEbKzlfJvqSPpVcUqQbZdlHlUfeYff', 'SGC XLHN', '-----BEGIN PUBLIC KEY-----
MIIBIjANBgkqhkiG9w0BAQEFAAOCAQ8AMIIBCgKCAQEAijT0z6i+jN59g0lIaXwC
ooh14Mf8M2N5W/BMnWj/88iQakOy1atfoqewCx/5WHzgBER+PYIW+gwrBXJgtUjv
M/ZdqhOQvVWdRavhFVvVUL5KSncsEJ4X4kr0gf6faoiFEfkCS/aMh4WAeKvn1uYf
ASUPIhOj6qN/XBesqxZu5L5QhGWMkpYe+ixGjzAwH5e0rBvS755pOxH/nPQEgft8
s8OGfic6rJTW1zmUZLQRsQBw+zde4qrc3EW2+2nDHMD+W3aty0GSbFOkNZf6xCg3
Pz/62nRcTIvE3BsO+lr4rbJg+VaETKO3RbXSotoGJsIPBvqWpdvgiuoc40Q5Dovm
XQIDAQAB
-----END PUBLIC KEY-----', 1, 'SGC_STG');
INSERT INTO PARTNER (client_id, name, public_key, enable, merchant_code)
VALUES ('GnwEbKzlfJvqSPpVcUqQbZdlHlUfeYff', 'SGC XLHN', '-----BEGIN PUBLIC KEY-----
MIIBIjANBgkqhkiG9w0BAQEFAAOCAQ8AMIIBCgKCAQEAijT0z6i+jN59g0lIaXwC
ooh14Mf8M2N5W/BMnWj/88iQakOy1atfoqewCx/5WHzgBER+PYIW+gwrBXJgtUjv
M/ZdqhOQvVWdRavhFVvVUL5KSncsEJ4X4kr0gf6faoiFEfkCS/aMh4WAeKvn1uYf
ASUPIhOj6qN/XBesqxZu5L5QhGWMkpYe+ixGjzAwH5e0rBvS755pOxH/nPQEgft8
s8OGfic6rJTW1zmUZLQRsQBw+zde4qrc3EW2+2nDHMD+W3aty0GSbFOkNZf6xCg3
Pz/62nRcTIvE3BsO+lr4rbJg+VaETKO3RbXSotoGJsIPBvqWpdvgiuoc40Q5Dovm
XQIDAQAB
-----END PUBLIC KEY-----', 1, 'SGC_NSG');
INSERT INTO PARTNER (client_id, name, public_key, enable, merchant_code)
VALUES ('GnwEbKzlfJvqSPpVcUqQbZdlHlUfeYff', 'SGC XLHN', '-----BEGIN PUBLIC KEY-----
MIIBIjANBgkqhkiG9w0BAQEFAAOCAQ8AMIIBCgKCAQEAijT0z6i+jN59g0lIaXwC
ooh14Mf8M2N5W/BMnWj/88iQakOy1atfoqewCx/5WHzgBER+PYIW+gwrBXJgtUjv
M/ZdqhOQvVWdRavhFVvVUL5KSncsEJ4X4kr0gf6faoiFEfkCS/aMh4WAeKvn1uYf
ASUPIhOj6qN/XBesqxZu5L5QhGWMkpYe+ixGjzAwH5e0rBvS755pOxH/nPQEgft8
s8OGfic6rJTW1zmUZLQRsQBw+zde4qrc3EW2+2nDHMD+W3aty0GSbFOkNZf6xCg3
Pz/62nRcTIvE3BsO+lr4rbJg+VaETKO3RbXSotoGJsIPBvqWpdvgiuoc40Q5Dovm
XQIDAQAB
-----END PUBLIC KEY-----', 1, 'SGC_HPH');
INSERT INTO PARTNER (client_id, name, public_key, enable, merchant_code)
VALUES ('GnwEbKzlfJvqSPpVcUqQbZdlHlUfeYff', 'SGC XLHN', '-----BEGIN PUBLIC KEY-----
MIIBIjANBgkqhkiG9w0BAQEFAAOCAQ8AMIIBCgKCAQEAijT0z6i+jN59g0lIaXwC
ooh14Mf8M2N5W/BMnWj/88iQakOy1atfoqewCx/5WHzgBER+PYIW+gwrBXJgtUjv
M/ZdqhOQvVWdRavhFVvVUL5KSncsEJ4X4kr0gf6faoiFEfkCS/aMh4WAeKvn1uYf
ASUPIhOj6qN/XBesqxZu5L5QhGWMkpYe+ixGjzAwH5e0rBvS755pOxH/nPQEgft8
s8OGfic6rJTW1zmUZLQRsQBw+zde4qrc3EW2+2nDHMD+W3aty0GSbFOkNZf6xCg3
Pz/62nRcTIvE3BsO+lr4rbJg+VaETKO3RbXSotoGJsIPBvqWpdvgiuoc40Q5Dovm
XQIDAQAB
-----END PUBLIC KEY-----', 1, 'SGC_TBN');
INSERT INTO PARTNER (client_id, name, public_key, enable, merchant_code)
VALUES ('GnwEbKzlfJvqSPpVcUqQbZdlHlUfeYff', 'SGC XLHN', '-----BEGIN PUBLIC KEY-----
MIIBIjANBgkqhkiG9w0BAQEFAAOCAQ8AMIIBCgKCAQEAijT0z6i+jN59g0lIaXwC
ooh14Mf8M2N5W/BMnWj/88iQakOy1atfoqewCx/5WHzgBER+PYIW+gwrBXJgtUjv
M/ZdqhOQvVWdRavhFVvVUL5KSncsEJ4X4kr0gf6faoiFEfkCS/aMh4WAeKvn1uYf
ASUPIhOj6qN/XBesqxZu5L5QhGWMkpYe+ixGjzAwH5e0rBvS755pOxH/nPQEgft8
s8OGfic6rJTW1zmUZLQRsQBw+zde4qrc3EW2+2nDHMD+W3aty0GSbFOkNZf6xCg3
Pz/62nRcTIvE3BsO+lr4rbJg+VaETKO3RbXSotoGJsIPBvqWpdvgiuoc40Q5Dovm
XQIDAQAB
-----END PUBLIC KEY-----', 1, 'SGC_CTN');
INSERT INTO PARTNER (client_id, name, public_key, enable, merchant_code)
VALUES ('GnwEbKzlfJvqSPpVcUqQbZdlHlUfeYff', 'SGC XLHN', '-----BEGIN PUBLIC KEY-----
MIIBIjANBgkqhkiG9w0BAQEFAAOCAQ8AMIIBCgKCAQEAijT0z6i+jN59g0lIaXwC
ooh14Mf8M2N5W/BMnWj/88iQakOy1atfoqewCx/5WHzgBER+PYIW+gwrBXJgtUjv
M/ZdqhOQvVWdRavhFVvVUL5KSncsEJ4X4kr0gf6faoiFEfkCS/aMh4WAeKvn1uYf
ASUPIhOj6qN/XBesqxZu5L5QhGWMkpYe+ixGjzAwH5e0rBvS755pOxH/nPQEgft8
s8OGfic6rJTW1zmUZLQRsQBw+zde4qrc3EW2+2nDHMD+W3aty0GSbFOkNZf6xCg3
Pz/62nRcTIvE3BsO+lr4rbJg+VaETKO3RbXSotoGJsIPBvqWpdvgiuoc40Q5Dovm
XQIDAQAB
-----END PUBLIC KEY-----', 1, 'SGC_PLM');
INSERT INTO PARTNER (client_id, name, public_key, enable, merchant_code)
VALUES ('GnwEbKzlfJvqSPpVcUqQbZdlHlUfeYff', 'SGC XLHN', '-----BEGIN PUBLIC KEY-----
MIIBIjANBgkqhkiG9w0BAQEFAAOCAQ8AMIIBCgKCAQEAijT0z6i+jN59g0lIaXwC
ooh14Mf8M2N5W/BMnWj/88iQakOy1atfoqewCx/5WHzgBER+PYIW+gwrBXJgtUjv
M/ZdqhOQvVWdRavhFVvVUL5KSncsEJ4X4kr0gf6faoiFEfkCS/aMh4WAeKvn1uYf
ASUPIhOj6qN/XBesqxZu5L5QhGWMkpYe+ixGjzAwH5e0rBvS755pOxH/nPQEgft8
s8OGfic6rJTW1zmUZLQRsQBw+zde4qrc3EW2+2nDHMD+W3aty0GSbFOkNZf6xCg3
Pz/62nRcTIvE3BsO+lr4rbJg+VaETKO3RbXSotoGJsIPBvqWpdvgiuoc40Q5Dovm
XQIDAQAB
-----END PUBLIC KEY-----', 1, 'SGC_THH');
INSERT INTO PARTNER (client_id, name, public_key, enable, merchant_code)
VALUES ('GnwEbKzlfJvqSPpVcUqQbZdlHlUfeYff', 'SGC XLHN', '-----BEGIN PUBLIC KEY-----
MIIBIjANBgkqhkiG9w0BAQEFAAOCAQ8AMIIBCgKCAQEAijT0z6i+jN59g0lIaXwC
ooh14Mf8M2N5W/BMnWj/88iQakOy1atfoqewCx/5WHzgBER+PYIW+gwrBXJgtUjv
M/ZdqhOQvVWdRavhFVvVUL5KSncsEJ4X4kr0gf6faoiFEfkCS/aMh4WAeKvn1uYf
ASUPIhOj6qN/XBesqxZu5L5QhGWMkpYe+ixGjzAwH5e0rBvS755pOxH/nPQEgft8
s8OGfic6rJTW1zmUZLQRsQBw+zde4qrc3EW2+2nDHMD+W3aty0GSbFOkNZf6xCg3
Pz/62nRcTIvE3BsO+lr4rbJg+VaETKO3RbXSotoGJsIPBvqWpdvgiuoc40Q5Dovm
XQIDAQAB
-----END PUBLIC KEY-----', 1, 'SGC_VTU');
INSERT INTO PARTNER (client_id, name, public_key, enable, merchant_code)
VALUES ('GnwEbKzlfJvqSPpVcUqQbZdlHlUfeYff', 'SGC XLHN', '-----BEGIN PUBLIC KEY-----
MIIBIjANBgkqhkiG9w0BAQEFAAOCAQ8AMIIBCgKCAQEAijT0z6i+jN59g0lIaXwC
ooh14Mf8M2N5W/BMnWj/88iQakOy1atfoqewCx/5WHzgBER+PYIW+gwrBXJgtUjv
M/ZdqhOQvVWdRavhFVvVUL5KSncsEJ4X4kr0gf6faoiFEfkCS/aMh4WAeKvn1uYf
ASUPIhOj6qN/XBesqxZu5L5QhGWMkpYe+ixGjzAwH5e0rBvS755pOxH/nPQEgft8
s8OGfic6rJTW1zmUZLQRsQBw+zde4qrc3EW2+2nDHMD+W3aty0GSbFOkNZf6xCg3
Pz/62nRcTIvE3BsO+lr4rbJg+VaETKO3RbXSotoGJsIPBvqWpdvgiuoc40Q5Dovm
XQIDAQAB
-----END PUBLIC KEY-----', 1, 'SGC_VPH');
INSERT INTO PARTNER (client_id, name, public_key, enable, merchant_code)
VALUES ('GnwEbKzlfJvqSPpVcUqQbZdlHlUfeYff', 'SGC XLHN', '-----BEGIN PUBLIC KEY-----
MIIBIjANBgkqhkiG9w0BAQEFAAOCAQ8AMIIBCgKCAQEAijT0z6i+jN59g0lIaXwC
ooh14Mf8M2N5W/BMnWj/88iQakOy1atfoqewCx/5WHzgBER+PYIW+gwrBXJgtUjv
M/ZdqhOQvVWdRavhFVvVUL5KSncsEJ4X4kr0gf6faoiFEfkCS/aMh4WAeKvn1uYf
ASUPIhOj6qN/XBesqxZu5L5QhGWMkpYe+ixGjzAwH5e0rBvS755pOxH/nPQEgft8
s8OGfic6rJTW1zmUZLQRsQBw+zde4qrc3EW2+2nDHMD+W3aty0GSbFOkNZf6xCg3
Pz/62nRcTIvE3BsO+lr4rbJg+VaETKO3RbXSotoGJsIPBvqWpdvgiuoc40Q5Dovm
XQIDAQAB
-----END PUBLIC KEY-----', 1, 'SGC_KTU');
INSERT INTO PARTNER (client_id, name, public_key, enable, merchant_code)
VALUES ('GnwEbKzlfJvqSPpVcUqQbZdlHlUfeYff', 'SGC XLHN', '-----BEGIN PUBLIC KEY-----
MIIBIjANBgkqhkiG9w0BAQEFAAOCAQ8AMIIBCgKCAQEAijT0z6i+jN59g0lIaXwC
ooh14Mf8M2N5W/BMnWj/88iQakOy1atfoqewCx/5WHzgBER+PYIW+gwrBXJgtUjv
M/ZdqhOQvVWdRavhFVvVUL5KSncsEJ4X4kr0gf6faoiFEfkCS/aMh4WAeKvn1uYf
ASUPIhOj6qN/XBesqxZu5L5QhGWMkpYe+ixGjzAwH5e0rBvS755pOxH/nPQEgft8
s8OGfic6rJTW1zmUZLQRsQBw+zde4qrc3EW2+2nDHMD+W3aty0GSbFOkNZf6xCg3
Pz/62nRcTIvE3BsO+lr4rbJg+VaETKO3RbXSotoGJsIPBvqWpdvgiuoc40Q5Dovm
XQIDAQAB
-----END PUBLIC KEY-----', 1, 'SGC_PDG');
INSERT INTO PARTNER (client_id, name, public_key, enable, merchant_code)
VALUES ('GnwEbKzlfJvqSPpVcUqQbZdlHlUfeYff', 'SGC XLHN', '-----BEGIN PUBLIC KEY-----
MIIBIjANBgkqhkiG9w0BAQEFAAOCAQ8AMIIBCgKCAQEAijT0z6i+jN59g0lIaXwC
ooh14Mf8M2N5W/BMnWj/88iQakOy1atfoqewCx/5WHzgBER+PYIW+gwrBXJgtUjv
M/ZdqhOQvVWdRavhFVvVUL5KSncsEJ4X4kr0gf6faoiFEfkCS/aMh4WAeKvn1uYf
ASUPIhOj6qN/XBesqxZu5L5QhGWMkpYe+ixGjzAwH5e0rBvS755pOxH/nPQEgft8
s8OGfic6rJTW1zmUZLQRsQBw+zde4qrc3EW2+2nDHMD+W3aty0GSbFOkNZf6xCg3
Pz/62nRcTIvE3BsO+lr4rbJg+VaETKO3RbXSotoGJsIPBvqWpdvgiuoc40Q5Dovm
XQIDAQAB
-----END PUBLIC KEY-----', 1, 'SGC_TKY');
INSERT INTO PARTNER (client_id, name, public_key, enable, merchant_code)
VALUES ('GnwEbKzlfJvqSPpVcUqQbZdlHlUfeYff', 'SGC XLHN', '-----BEGIN PUBLIC KEY-----
MIIBIjANBgkqhkiG9w0BAQEFAAOCAQ8AMIIBCgKCAQEAijT0z6i+jN59g0lIaXwC
ooh14Mf8M2N5W/BMnWj/88iQakOy1atfoqewCx/5WHzgBER+PYIW+gwrBXJgtUjv
M/ZdqhOQvVWdRavhFVvVUL5KSncsEJ4X4kr0gf6faoiFEfkCS/aMh4WAeKvn1uYf
ASUPIhOj6qN/XBesqxZu5L5QhGWMkpYe+ixGjzAwH5e0rBvS755pOxH/nPQEgft8
s8OGfic6rJTW1zmUZLQRsQBw+zde4qrc3EW2+2nDHMD+W3aty0GSbFOkNZf6xCg3
Pz/62nRcTIvE3BsO+lr4rbJg+VaETKO3RbXSotoGJsIPBvqWpdvgiuoc40Q5Dovm
XQIDAQAB
-----END PUBLIC KEY-----', 1, 'SGC_BT2');
INSERT INTO PARTNER (client_id, name, public_key, enable, merchant_code)
VALUES ('GnwEbKzlfJvqSPpVcUqQbZdlHlUfeYff', 'SGC XLHN', '-----BEGIN PUBLIC KEY-----
MIIBIjANBgkqhkiG9w0BAQEFAAOCAQ8AMIIBCgKCAQEAijT0z6i+jN59g0lIaXwC
ooh14Mf8M2N5W/BMnWj/88iQakOy1atfoqewCx/5WHzgBER+PYIW+gwrBXJgtUjv
M/ZdqhOQvVWdRavhFVvVUL5KSncsEJ4X4kr0gf6faoiFEfkCS/aMh4WAeKvn1uYf
ASUPIhOj6qN/XBesqxZu5L5QhGWMkpYe+ixGjzAwH5e0rBvS755pOxH/nPQEgft8
s8OGfic6rJTW1zmUZLQRsQBw+zde4qrc3EW2+2nDHMD+W3aty0GSbFOkNZf6xCg3
Pz/62nRcTIvE3BsO+lr4rbJg+VaETKO3RbXSotoGJsIPBvqWpdvgiuoc40Q5Dovm
XQIDAQAB
-----END PUBLIC KEY-----', 1, 'SGC_DNG');
INSERT INTO PARTNER (client_id, name, public_key, enable, merchant_code)
VALUES ('GnwEbKzlfJvqSPpVcUqQbZdlHlUfeYff', 'SGC XLHN', '-----BEGIN PUBLIC KEY-----
MIIBIjANBgkqhkiG9w0BAQEFAAOCAQ8AMIIBCgKCAQEAijT0z6i+jN59g0lIaXwC
ooh14Mf8M2N5W/BMnWj/88iQakOy1atfoqewCx/5WHzgBER+PYIW+gwrBXJgtUjv
M/ZdqhOQvVWdRavhFVvVUL5KSncsEJ4X4kr0gf6faoiFEfkCS/aMh4WAeKvn1uYf
ASUPIhOj6qN/XBesqxZu5L5QhGWMkpYe+ixGjzAwH5e0rBvS755pOxH/nPQEgft8
s8OGfic6rJTW1zmUZLQRsQBw+zde4qrc3EW2+2nDHMD+W3aty0GSbFOkNZf6xCg3
Pz/62nRcTIvE3BsO+lr4rbJg+VaETKO3RbXSotoGJsIPBvqWpdvgiuoc40Q5Dovm
XQIDAQAB
-----END PUBLIC KEY-----', 1, 'SGC_DCU');
INSERT INTO PARTNER (client_id, name, public_key, enable, merchant_code)
VALUES ('GnwEbKzlfJvqSPpVcUqQbZdlHlUfeYff', 'SGC XLHN', '-----BEGIN PUBLIC KEY-----
MIIBIjANBgkqhkiG9w0BAQEFAAOCAQ8AMIIBCgKCAQEAijT0z6i+jN59g0lIaXwC
ooh14Mf8M2N5W/BMnWj/88iQakOy1atfoqewCx/5WHzgBER+PYIW+gwrBXJgtUjv
M/ZdqhOQvVWdRavhFVvVUL5KSncsEJ4X4kr0gf6faoiFEfkCS/aMh4WAeKvn1uYf
ASUPIhOj6qN/XBesqxZu5L5QhGWMkpYe+ixGjzAwH5e0rBvS755pOxH/nPQEgft8
s8OGfic6rJTW1zmUZLQRsQBw+zde4qrc3EW2+2nDHMD+W3aty0GSbFOkNZf6xCg3
Pz/62nRcTIvE3BsO+lr4rbJg+VaETKO3RbXSotoGJsIPBvqWpdvgiuoc40Q5Dovm
XQIDAQAB
-----END PUBLIC KEY-----', 1, 'SGC_VTR');
INSERT INTO PARTNER (client_id, name, public_key, enable, merchant_code)
VALUES ('GnwEbKzlfJvqSPpVcUqQbZdlHlUfeYff', 'SGC XLHN', '-----BEGIN PUBLIC KEY-----
MIIBIjANBgkqhkiG9w0BAQEFAAOCAQ8AMIIBCgKCAQEAijT0z6i+jN59g0lIaXwC
ooh14Mf8M2N5W/BMnWj/88iQakOy1atfoqewCx/5WHzgBER+PYIW+gwrBXJgtUjv
M/ZdqhOQvVWdRavhFVvVUL5KSncsEJ4X4kr0gf6faoiFEfkCS/aMh4WAeKvn1uYf
ASUPIhOj6qN/XBesqxZu5L5QhGWMkpYe+ixGjzAwH5e0rBvS755pOxH/nPQEgft8
s8OGfic6rJTW1zmUZLQRsQBw+zde4qrc3EW2+2nDHMD+W3aty0GSbFOkNZf6xCg3
Pz/62nRcTIvE3BsO+lr4rbJg+VaETKO3RbXSotoGJsIPBvqWpdvgiuoc40Q5Dovm
XQIDAQAB
-----END PUBLIC KEY-----', 1, 'SGC_TNN');
INSERT INTO PARTNER (client_id, name, public_key, enable, merchant_code)
VALUES ('GnwEbKzlfJvqSPpVcUqQbZdlHlUfeYff', 'SGC XLHN', '-----BEGIN PUBLIC KEY-----
MIIBIjANBgkqhkiG9w0BAQEFAAOCAQ8AMIIBCgKCAQEAijT0z6i+jN59g0lIaXwC
ooh14Mf8M2N5W/BMnWj/88iQakOy1atfoqewCx/5WHzgBER+PYIW+gwrBXJgtUjv
M/ZdqhOQvVWdRavhFVvVUL5KSncsEJ4X4kr0gf6faoiFEfkCS/aMh4WAeKvn1uYf
ASUPIhOj6qN/XBesqxZu5L5QhGWMkpYe+ixGjzAwH5e0rBvS755pOxH/nPQEgft8
s8OGfic6rJTW1zmUZLQRsQBw+zde4qrc3EW2+2nDHMD+W3aty0GSbFOkNZf6xCg3
Pz/62nRcTIvE3BsO+lr4rbJg+VaETKO3RbXSotoGJsIPBvqWpdvgiuoc40Q5Dovm
XQIDAQAB
-----END PUBLIC KEY-----', 1, 'SGC_CVA');
INSERT INTO PARTNER (client_id, name, public_key, enable, merchant_code)
VALUES ('GnwEbKzlfJvqSPpVcUqQbZdlHlUfeYff', 'SGC XLHN', '-----BEGIN PUBLIC KEY-----
MIIBIjANBgkqhkiG9w0BAQEFAAOCAQ8AMIIBCgKCAQEAijT0z6i+jN59g0lIaXwC
ooh14Mf8M2N5W/BMnWj/88iQakOy1atfoqewCx/5WHzgBER+PYIW+gwrBXJgtUjv
M/ZdqhOQvVWdRavhFVvVUL5KSncsEJ4X4kr0gf6faoiFEfkCS/aMh4WAeKvn1uYf
ASUPIhOj6qN/XBesqxZu5L5QhGWMkpYe+ixGjzAwH5e0rBvS755pOxH/nPQEgft8
s8OGfic6rJTW1zmUZLQRsQBw+zde4qrc3EW2+2nDHMD+W3aty0GSbFOkNZf6xCg3
Pz/62nRcTIvE3BsO+lr4rbJg+VaETKO3RbXSotoGJsIPBvqWpdvgiuoc40Q5Dovm
XQIDAQAB
-----END PUBLIC KEY-----', 1, 'SGC_BDI');
INSERT INTO PARTNER (client_id, name, public_key, enable, merchant_code)
VALUES ('GnwEbKzlfJvqSPpVcUqQbZdlHlUfeYff', 'SGC XLHN', '-----BEGIN PUBLIC KEY-----
MIIBIjANBgkqhkiG9w0BAQEFAAOCAQ8AMIIBCgKCAQEAijT0z6i+jN59g0lIaXwC
ooh14Mf8M2N5W/BMnWj/88iQakOy1atfoqewCx/5WHzgBER+PYIW+gwrBXJgtUjv
M/ZdqhOQvVWdRavhFVvVUL5KSncsEJ4X4kr0gf6faoiFEfkCS/aMh4WAeKvn1uYf
ASUPIhOj6qN/XBesqxZu5L5QhGWMkpYe+ixGjzAwH5e0rBvS755pOxH/nPQEgft8
s8OGfic6rJTW1zmUZLQRsQBw+zde4qrc3EW2+2nDHMD+W3aty0GSbFOkNZf6xCg3
Pz/62nRcTIvE3BsO+lr4rbJg+VaETKO3RbXSotoGJsIPBvqWpdvgiuoc40Q5Dovm
XQIDAQAB
-----END PUBLIC KEY-----', 1, 'SGC_HUE');
INSERT INTO PARTNER (client_id, name, public_key, enable, merchant_code)
VALUES ('GnwEbKzlfJvqSPpVcUqQbZdlHlUfeYff', 'SGC XLHN', '-----BEGIN PUBLIC KEY-----
MIIBIjANBgkqhkiG9w0BAQEFAAOCAQ8AMIIBCgKCAQEAijT0z6i+jN59g0lIaXwC
ooh14Mf8M2N5W/BMnWj/88iQakOy1atfoqewCx/5WHzgBER+PYIW+gwrBXJgtUjv
M/ZdqhOQvVWdRavhFVvVUL5KSncsEJ4X4kr0gf6faoiFEfkCS/aMh4WAeKvn1uYf
ASUPIhOj6qN/XBesqxZu5L5QhGWMkpYe+ixGjzAwH5e0rBvS755pOxH/nPQEgft8
s8OGfic6rJTW1zmUZLQRsQBw+zde4qrc3EW2+2nDHMD+W3aty0GSbFOkNZf6xCg3
Pz/62nRcTIvE3BsO+lr4rbJg+VaETKO3RbXSotoGJsIPBvqWpdvgiuoc40Q5Dovm
XQIDAQAB
-----END PUBLIC KEY-----', 1, 'SGC_HG2');
INSERT INTO PARTNER (client_id, name, public_key, enable, merchant_code)
VALUES ('GnwEbKzlfJvqSPpVcUqQbZdlHlUfeYff', 'SGC XLHN', '-----BEGIN PUBLIC KEY-----
MIIBIjANBgkqhkiG9w0BAQEFAAOCAQ8AMIIBCgKCAQEAijT0z6i+jN59g0lIaXwC
ooh14Mf8M2N5W/BMnWj/88iQakOy1atfoqewCx/5WHzgBER+PYIW+gwrBXJgtUjv
M/ZdqhOQvVWdRavhFVvVUL5KSncsEJ4X4kr0gf6faoiFEfkCS/aMh4WAeKvn1uYf
ASUPIhOj6qN/XBesqxZu5L5QhGWMkpYe+ixGjzAwH5e0rBvS755pOxH/nPQEgft8
s8OGfic6rJTW1zmUZLQRsQBw+zde4qrc3EW2+2nDHMD+W3aty0GSbFOkNZf6xCg3
Pz/62nRcTIvE3BsO+lr4rbJg+VaETKO3RbXSotoGJsIPBvqWpdvgiuoc40Q5Dovm
XQIDAQAB
-----END PUBLIC KEY-----', 1, 'SGC_DMC'); Bổ sung 1 config cho merchant CIBG-VUS INSERT INTO PARTNER (client_id, name, public_key, enable, merchant_code)
VALUES ('kvfVIFmBsHFQsTpybJEaScMEdQiKpTDJ', 'CIBG VUS', '-----BEGIN PUBLIC KEY-----
MIIBIjANBgkqhkiG9w0BAQEFAAOCAQ8AMIIBCgKCAQEAxA6Sghuj22m0xuFmmJbS
MaaRLTDQ4C1FZ+yrVYejcB04otIq3XDPn6RXdjkqtjcEK7Nn8mYkahWT8EtTXNcL
zOMr25Fqr3crSza+9qxIwAtjwfv2kL9qoXIn9Uh+wp80mPrm2eex8vI1iZCFRRGs
OVcGzkR0fRy72spX0ActK1BCNjFtxWcPDOXNZtzBmXzXfzXo7TN7orSM9fuQWs8C
8KetV9N0c4XQYgT1ITJS595unxQ+eofGB8QXA7SS5owlSSpPE6Ukp+hx5Ss5jxWA
SRsPDVzmdfcdfuf78poIta/z7rIL5h43NkcFojRfcHO5JMvA8PM0wCgRMOb4CirF
RwIDAQAB
-----END PUBLIC KEY-----', 1, '40222364');</t>
  </si>
  <si>
    <t>[PROD][UPAY][BO] Update đơn OMD lệnh kỳ báo cáo đối soát cho nhà phân phối</t>
  </si>
  <si>
    <t>2026-05-22T14:11:09.629+0700</t>
  </si>
  <si>
    <t>2026-05-22T14:11:20.181+0700</t>
  </si>
  <si>
    <t>Hi a   @Đào Công Nghĩa  , nhờ a chạy giúp e script bên dưới với ạ Thông tin database:  172.31.1.133:3306/bo UPDATE RECONCILE_EXECUTION
SET
  SUM_ID = '2740601410111715850',
  RECONCILE_FROM_DATE = '2026-05-08 00:00:00',
  RECONCILE_TO_DATE   = '2026-05-10 23:59:59',
  RECONCILE_DUE_DATE  = '2026-05-11 00:00:00',
  PAYMENT_DUE_DATE    = '2026-05-11 00:00:00'
WHERE SHIPMENT_ID = '348656096801';</t>
  </si>
  <si>
    <t>[OMC][MCL][PROD] Hỗ trợ cập nhật database - Tagging Systems</t>
  </si>
  <si>
    <t>2026-05-22T10:56:39.981+0700</t>
  </si>
  <si>
    <t>2026-05-22T10:56:46.723+0700</t>
  </si>
  <si>
    <t>Dear anh  @Nguyễn Văn Dũng  ,  Team em có nhu cầu đánh thêm index cho bảng sau, nhờ team hỗ trợ ạ. DB:  omc-mtp-tidb.int.onemount.com:4000  -  omc_mtp_llm_taxonomy Script:  alter table omc_mtp_llm_taxonomy.llm_taxonomy_voucher_tags add index idx_voucher_code (voucher_code); Thanks team,  An.</t>
  </si>
  <si>
    <t>[CLM][MAG][SPRINT 9] Migrate data tenant script for Data Contract Lifecycle Management</t>
  </si>
  <si>
    <t>2026-05-22T10:07:42.069+0700</t>
  </si>
  <si>
    <t>2026-05-22T10:30:05.420+0700</t>
  </si>
  <si>
    <t>Dear Team @Nguyễn Văn Dũng   @Phạm Hồng Quang CLM - Contract Lifecycle Management cần migrate data để chạy theo tenant MAG.  Sau khi  @Phạm Hồng Quang   deploy xong báo DBA chạy giúp nhé.</t>
  </si>
  <si>
    <t>Chạy câu lệnh SQL ticket ngày 22/05</t>
  </si>
  <si>
    <t>2026-05-22T10:04:16.808+0700</t>
  </si>
  <si>
    <t>2026-05-22T10:04:26.391+0700</t>
  </si>
  <si>
    <t xml:space="preserve">Dear anh Nghĩa, Nhờ anh hỗ trợ team chạy các câu lệnh SQL dưới đây ạ IP: 172.31.1.3
Db name: vinticket SQL: UPDATE `orders` SET `buyer_email` = 'khanhmy1128@yahoo.com' WHERE `orders`.`code` = 'NP63AMSU';
UPDATE `orders` SET `buyer_email` = 'tienht1508@gmail.com' WHERE `orders`.`code` = 'IAXKNC5L';
UPDATE `orders` SET `buyer_email` = 'tcqt48.neu@gmail.com' WHERE `orders`.`code` = 'I7BN2WP7';
UPDATE `orders` SET `buyer_email` = 'hangkt151@gmail.com' WHERE `orders`.`code` = '4WNMP9YD';
UPDATE `orders` SET `buyer_email` = 'dieubanguyen@gmail.com' WHERE `orders`.`code` = 'S2SWFK1G';
UPDATE `orders` SET `buyer_email` = 'bcrang83@gmail.com' WHERE `orders`.`code` = 'B6C4APRP';
UPDATE `orders` SET `buyer_email` = 'tcqt48.neu@gmail.com' WHERE `orders`.`code` = 'TCTVIBI2';
UPDATE `orders` SET `buyer_email` = 'duonghaile@gmail.com' WHERE `orders`.`code` = 'UGB3RAN1';
UPDATE `orders` SET `buyer_email` = 'voaivan13@gmail.com' WHERE `orders`.`code` = '3ZTTUMNP';
UPDATE `orders` SET `buyer_email` = 'nguyenhahuongxuan@gmail.com' WHERE `orders`.`code` = 'IU9B3GDV';
UPDATE `orders` SET `buyer_email` = 'linh.vboice94@gmail.com' WHERE `orders`.`code` = '2LBFR4BM';
UPDATE `orders` SET `buyer_email` = 'dangan287@gmail.com' WHERE `orders`.`code` = 'WV6KM1XE'; Em cảm ơn anh </t>
  </si>
  <si>
    <t>[OMC][PROD] Tăng dung lượng ổ C server oe-ms-sql (10.255.23.242)</t>
  </si>
  <si>
    <t>2026-05-21T22:09:08.802+0700</t>
  </si>
  <si>
    <t>2026-05-21T22:11:06.051+0700</t>
  </si>
  <si>
    <t>Disk C trên server( 10.255.23.242  oe-ms-sql ) hiện còn free 4.9GB tống dung lượng là 50 GB SRE đã cấp thêm disk, DBA tiến hành extend ổ đĩa C thêm 50GB  Thông tin server: Project: oneid-loyalty-core-prod Server: 10.255.23.242  oe-ms-sql</t>
  </si>
  <si>
    <t>[LP][Core][TCB] - Insert data phục vụ campaign MKT 052026 (Bỗ sung tháng 05)</t>
  </si>
  <si>
    <t>2026-05-21T18:17:05.531+0700</t>
  </si>
  <si>
    <t>2026-05-21T18:17:32.975+0700</t>
  </si>
  <si>
    <t>Dear DBA Team, Nhờ team thực hiện insert data phục vụ campaign MKT 052026 lần 02, theo các bước sau: Thông tin database: IP: 10.255.23.119 Service name: oneloyaltydb Port: 1521 schema app: OLOYALTY   Bước 1: Tạo bảng tạm CREATE TABLE OLOYALTY.CST_TARGET_GROUP_052026_02
(
    "ID"             NUMBER(10,0) GENERATED BY DEFAULT ON NULL AS IDENTITY,
    "LOYALTY_ID"           VARCHAR2(32 BYTE) DEFAULT NULL,
    "CST_TARGET_GROUP"           VARCHAR2(256 BYTE) DEFAULT NULL,
    PRIMARY KEY ("ID")
); Bước 02: Load dữ liệu tất cả các files trong thư mục  đính kèm vào bảng tạm Bước 03: Insert data vào bảng Member Attribute từ bảng bảng tạm 3.1. Kiểm số row bảng   CST_TARGET_GROUP_052026_02 SELECT /*+ parallel(16) */ count(*) FROM OLOYALTY.CST_TARGET_GROUP_052026_02; 3.2 Kiểm tra trùng ,  báo lại dự án nếu có SELECT /*+ parallel(16) */ LOYALTY_ID,count(*) FROM OLOYALTY.CST_TARGET_GROUP_052026_02 GROUP BY LOYALTY_ID HAVING count(*) &gt; 1; 3.3 Kiểm tra số dòng dự kiến insert, báo lại dự án nếu số dòng khác với số dòng của bảng   CST_TARGET_GROUP_052026_02 .   Note: Có thể bỏ qua nếu câu lệnh chạy quá lâu SELECT /*+ parallel(16) */ count(*) FROM OLOYALTY.MEMBER m JOIN OLOYALTY.CST_TARGET_GROUP_052026_02 b ON m.PARTNER_CUSTOMER_ID = b.LOYALTY_ID WHERE m.PROGRAM_ID = 426;   3.4 Chạy lệnh insert INSERT INTO OLOYALTY.MEMBER_ATTRIBUTE (PROGRAM_ID, MEMBER_ID, PROGRAM_ATTRIBUTE_ID, VALUE, STATUS,CREATED_BY)
SELECT 426,
    m.id AS MEMBER_ID,
    423 AS PROGRAM_ATTRIBUTE_ID,
    REPLACE(b.CST_TARGET_GROUP, CHR(13) ,'') AS VALUE,
    'A' AS STATUS,
    'MKT_052026_02'
FROM OLOYALTY.MEMBER m JOIN OLOYALTY.CST_TARGET_GROUP_052026_02 b ON m.PARTNER_CUSTOMER_ID = b.LOYALTY_ID WHERE m.PROGRAM_ID = 426
; 3.5 Kiểm tra kết quả cuối cùng SELECT /*+ parallel(16) */ count(*) FROM OLOYALTY.MEMBER_ATTRIBUTE ma 
WHERE ma.PROGRAM_ATTRIBUTE_ID = 423 AND ma.CREATED_BY = 'MKT_052026_02';   Thanks!</t>
  </si>
  <si>
    <t>[ManMac][Prod] Chạy script Database Golive ngày 21/05/26</t>
  </si>
  <si>
    <t>2026-05-21T18:09:24.592+0700</t>
  </si>
  <si>
    <t>2026-05-21T18:09:45.011+0700</t>
  </si>
  <si>
    <t xml:space="preserve">Nhờ anh  @Đào Công Nghĩa   hỗ trợ chạy script database theo tệp đính kèm Mục đích: hỗ trợ golive ngày 21/05/26 Release Note:   </t>
  </si>
  <si>
    <t>[DBA-SAPBASIS] Cấu hình New Relic Dashboard cho cụm hệ thống OM SAP PROD</t>
  </si>
  <si>
    <t>2026-05-21T18:09:11.116+0700</t>
  </si>
  <si>
    <t>2026-08-07T16:23:02.664+0700</t>
  </si>
  <si>
    <t>Cấu hình New Relic Dashboard cho cụm hệ thống OM SAP PROD Install agent service để monitoring infratructure Instal SAP Add-on để monitoring service database &amp; application SAP</t>
  </si>
  <si>
    <t>Xin cấp quyền truy vấn dữ liệu của B2B Voucher Distribution</t>
  </si>
  <si>
    <t>2026-05-21T16:49:01.126+0700</t>
  </si>
  <si>
    <t>2026-05-21T16:49:12.799+0700</t>
  </si>
  <si>
    <t>Voucher_Distribution</t>
  </si>
  <si>
    <t xml:space="preserve">Team IT247 cần cấp quyền truy vấn DB của VD theo thông tin sau: Thông tin database IP:  172.31.4.82 Database:  b2b_voucher_distribution Cần quyền SELECT, cho các thành viên của team 247: nhatntt thanhdv19 huong.le3 tung.hoang2 kien.nguyen12 cuong.nguyen8 hoang.phan dungnt96 hoapd1 Ticket cần hỗ trợ:   </t>
  </si>
  <si>
    <t>[DBA-SAPBASIS] Cài đặt SAP HANA Cockpit 2.0 (Central Monitoring tool)</t>
  </si>
  <si>
    <t>2026-05-21T16:25:10.208+0700</t>
  </si>
  <si>
    <t>2026-08-07T16:22:55.496+0700</t>
  </si>
  <si>
    <t>Cài đặt tool SAP HANA Cockpit trên VM sap-hdb-pr2 để monitoring central resource cho cụm OM SAP PROD để test tính năng trong thời gian config và test dashboard của New Relic pending do cấu hình Add-on vướng Maintenance license SAP.</t>
  </si>
  <si>
    <t>[DBA-SAPBASIS] Nâng cấp machine &amp; memory OM SAP PROD DB Primary</t>
  </si>
  <si>
    <t>2026-05-21T16:01:55.979+0700</t>
  </si>
  <si>
    <t>2026-05-21T16:02:09.315+0700</t>
  </si>
  <si>
    <t>Triển khai CR nâng cấp machine và memory cho hệ thống OM SAP PROD DB Primary. Confluence:    Kế hoạch thực hiện: 22h00 17/05/2026 - 00h 18/05/2026</t>
  </si>
  <si>
    <t>[omd][merchant-hub-pos][prod] Xin cấp mongodb cho merchant hub pos môi trường production</t>
  </si>
  <si>
    <t>2026-05-20T17:19:59.099+0700</t>
  </si>
  <si>
    <t>2026-05-21T16:59:25.728+0700</t>
  </si>
  <si>
    <t>Hi anh  @Phạm Tuấn Linh   cc  @Nguyễn Đức Anh   Nhờ anh cấp giúp em cho dự án merchant-hub các DB mongo bên dứoi trên mongo atlas môi trường production với nhé: mhpos_catalog_prod mhpos_oms_prod mhpos_fiscal_prod mhpos_payment_prod</t>
  </si>
  <si>
    <t>2026-05-20T17:18:29.541+0700</t>
  </si>
  <si>
    <t>2026-05-20T17:19:28.617+0700</t>
  </si>
  <si>
    <t>Hi team, nhờ team DBA chạy script này trên môi trường PROD của DB Loyalty Oracle giúp team Loyalty ạ.   Database information IP: 10.255.23.119 Service name: oneloyaltydb Port: 1521 Schema app: OLOYALTY Time Run ticket: 20/05/2026  Nội dung script UPDATE OLOYALTY.CARD_TYPE_GROUP SET CARD_TYPE_CODE = 'VRMC' WHERE ID = 56;
UPDATE OLOYALTY.CARD_TYPE_GROUP SET CARD_TYPE_CODE = 'VRMC' WHERE ID = 112;
COMMIT;</t>
  </si>
  <si>
    <t>[MAG][IOTek][MCM][PROD] cập nhật lại lower cho email</t>
  </si>
  <si>
    <t>2026-05-20T15:49:31.870+0700</t>
  </si>
  <si>
    <t>2026-05-20T15:50:20.539+0700</t>
  </si>
  <si>
    <t>Trường thông tin Nội dung mẫu IP (Host) ces-production.crcykac8kxtw.ap-southeast-1.rds.amazonaws.com Port 3306 DB Name ces_mh_mpm UPDATE ces_mh_mpm.hrm_employee
SET email = LOWER(email)
WHERE REGEXP_LIKE(email, '[A-Z]', 'c');</t>
  </si>
  <si>
    <t>[UPAY][NON-PROD] Chuẩn bị golive 23/05/2026</t>
  </si>
  <si>
    <t>2026-05-20T15:46:54.907+0700</t>
  </si>
  <si>
    <t>2026-05-20T15:47:07.939+0700</t>
  </si>
  <si>
    <t>Hi a  @Nguyễn Văn Dũng  nhờ a chạy script theo mô tả  dưới đây ở môi trường NON-PRODUCTION theo thông tin dưới đây ạ: Thời gian chạy script: Vào lúc  Ngay sau khi approve Thông tin database:  mysql://tidb.int.onemount.dev:4000/vinpay_saas_tpay_staging CR Ticket:   https://onemount.atlassian.net/servicedesk/customer/portal/15/SH-71109?created=true Script: alter table TRANSACTION_MASTER
  add merchant_extra_data text null;
alter table TRANSACTION_DETAIL
  add qr_payment_method varchar(50) null;</t>
  </si>
  <si>
    <t>[PROD] [VCM] Xóa dupicate attribute</t>
  </si>
  <si>
    <t>2026-05-20T14:19:01.761+0700</t>
  </si>
  <si>
    <t>2026-05-20T14:19:28.151+0700</t>
  </si>
  <si>
    <t>Dear DBA Team, Nhờ team chạy lệnh xóa các key bị duplicate attribute. Do import đang có issues  rate_limit_config_id Thông tin DB: IP: 172.31.1.41
Bảng: vincart_mm_product.entity_attributes_values Lệnh chạy: -- Kênh ONEU
DELETE  t1.*
FROM entity_attributes_values t1
JOIN entity_attributes_values t2 
  ON  t1.name = t2.name 
  AND t1.entity_id = t2.entity_id 
  AND t1.channel_code = t2.channel_code
  AND t1.type = t2.type
WHERE t1.channel_code = 'ONEU' AND t1.type = 'VARIANT
  AND t1.id &lt; t2.id;
-- Kênh TCBM
DELETE  t1.*
FROM entity_attributes_values t1
JOIN entity_attributes_values t2 
  ON  t1.name = t2.name 
  AND t1.entity_id = t2.entity_id 
  AND t1.channel_code = t2.channel_code
  AND t1.type = t2.type
WHERE t1.channel_code = 'TCBM' AND t1.type = 'VARIANT
  AND t1.id &lt; t2.id;</t>
  </si>
  <si>
    <t>Hỗ trợ tạo table fact_ltfc_changes cho dự án Engineering Service Metrics trên Cloud SQL PostgreSQL production.</t>
  </si>
  <si>
    <t>2026-05-20T12:03:53.870+0700</t>
  </si>
  <si>
    <t>2026-05-20T12:04:00.879+0700</t>
  </si>
  <si>
    <t>Như ticket đính kèm    Team cần hỗ trợ tạo thêm table với thông tin chi tiết sau: Schema  engineering_metrics Các table: raw_gitlab_tag raw_gitlab_tag_commit raw_gitlab_merge_request fact_ltfc_changes Các view: vw_prod_tag vw_mr_first_deploy_tag Tạo và cấp quyền đọc/ghi cho user DB user  tech_metrics  trên các table vừa tạo grant delete, insert, references, select, trigger, truncate, update on vw_prod_tag to tech_metrics;
grant delete, insert, references, select, trigger, truncate, update on vw_mr_first_deploy_tag to tech_metrics; DDL: create table engineering_metrics.raw_gitlab_merge_request
(
    merge_request_iid bigint                                 not null,
    project_id        bigint                                 not null,
    first_commit_sha  text,
    first_commit_at   timestamp with time zone,
    merged_commit_sha text,
    opened_at         timestamp with time zone               not null,
    merged_at         timestamp with time zone,
    source_branch     text                                   not null,
    target_branch     text                                   not null,
    author_email      text,
    ingested_at       timestamp with time zone default now() not null,
    primary key (project_id, merge_request_iid)
);
comment on table engineering_metrics.raw_gitlab_merge_request is 'Raw GitLab merged MR rows; transformed into fact_lead_time downstream.';
create index idx_raw_mr_ingested_at
    on engineering_metrics.raw_gitlab_merge_request (ingested_at desc);
create index idx_raw_mr_merged_at
    on engineering_metrics.raw_gitlab_merge_request (project_id asc, merged_at desc);
grant delete, insert, references, select, trigger, truncate, update on engineering_metrics.raw_gitlab_merge_request to tech_metrics;
create table engineering_metrics.raw_gitlab_tag
(
    project_id     bigint                                 not null,
    tag_name       text                                   not null,
    commit_sha     text                                   not null,
    created_at_src timestamp with time zone               not null,
    message        text,
    ingested_at    timestamp with time zone default now() not null,
    primary key (project_id, tag_name)
);
comment on table engineering_metrics.raw_gitlab_tag is 'Raw GitLab tag rows; used as deploy proxy for LTFC computation.';
create index idx_raw_tag_created_at_src
    on engineering_metrics.raw_gitlab_tag (project_id asc, created_at_src desc);
grant delete, insert, references, select, trigger, truncate, update on engineering_metrics.raw_gitlab_tag to tech_metrics;
create table engineering_metrics.raw_gitlab_tag_commit
(
    project_id   bigint                                 not null,
    tag_name     text                                   not null,
    commit_sha   text                                   not null,
    ingested_at  timestamp with time zone default now() not null,
    committed_at timestamp with time zone,
    primary key (project_id, tag_name, commit_sha)
);
comment on table engineering_metrics.raw_gitlab_tag_commit is 'Tag→Commit ancestry snapshot via compare API; enables flat JOIN MR.merged_commit_sha → tag for LTFC.';
create index idx_raw_tag_commit_sha
    on engineering_metrics.raw_gitlab_tag_commit (project_id, commit_sha);
create index idx_raw_tag_commit_committed_at
    on engineering_metrics.raw_gitlab_tag_commit (project_id, committed_at);
grant delete, insert, references, select, trigger, truncate, update on engineering_metrics.raw_gitlab_tag_commit to tech_metrics;
create table engineering_metrics.fact_ltfc_changes
(
    fact_id             bigserial
        primary key,
    service_id          uuid                                            not null
        references engineering_metrics.service_registry,
    service_name        text                                            not null,
    code_project_id     bigint                                          not null,
    release_from_tag    text,
    release_to_tag      text                                            not null,
    prod_deployed_at    timestamp with time zone                        not null,
    deploy_source       text                     default 'argocd'::text not null,
    argocd_raw_event_id bigint
        references engineering_metrics.raw_argocd_release_events,
    deploy_date_vn      date,
    week_start_vn       date,
    ingested_at         timestamp with time zone default now()          not null,
    updated_at          timestamp with time zone default now()          not null,
    commit_sha          text                                            not null,
    committed_at        timestamp with time zone                        not null,
    ltfc_hours          double precision                                not null
        constraint chk_fact_ltfc_ltfc_hours_non_negative
            check (ltfc_hours &gt;= (0)::double precision),
    constraint uq_fact_ltfc_commit
        unique (service_id, release_to_tag, commit_sha)
);
grant select, usage on sequence engineering_metrics.fact_ltfc_changes_fact_id_seq to tech_metrics;
create index idx_fact_ltfc_service_week
    on engineering_metrics.fact_ltfc_changes (service_id, week_start_vn);
create index idx_fact_ltfc_prod_deployed_at
    on engineering_metrics.fact_ltfc_changes (prod_deployed_at desc);
create index idx_fact_ltfc_project_deployed_at
    on engineering_metrics.fact_ltfc_changes (code_project_id asc, prod_deployed_at desc);
create index idx_fact_ltfc_commit_sha
    on engineering_metrics.fact_ltfc_changes (code_project_id, commit_sha);
grant delete, insert, select, update on engineering_metrics.fact_ltfc_changes to tech_metrics;
create view engineering_metrics.vw_prod_tag (project_id, tag_name, commit_sha, created_at_src, message, ingested_at) as
SELECT project_id,
       tag_name,
       commit_sha,
       created_at_src,
       message,
       ingested_at
FROM engineering_metrics.raw_gitlab_tag
WHERE tag_name ~ '^v\d+\.\d+\.\d+$'::text
   OR tag_name ~ '-prod$'::text;
comment on view engineering_metrics.vw_prod_tag is 'PROD deploy tags only (OneMount convention: semver vN.N.N or *-prod suffix).';
create view engineering_metrics.vw_mr_first_deploy_tag
            (project_id, merge_request_iid, first_commit_at, merged_at, merged_commit_sha, deploy_tag, deploy_at,
             ltfc_hours) as
SELECT DISTINCT ON (mr.project_id, mr.merge_request_iid) mr.project_id,
                                                         mr.merge_request_iid,
                                                         mr.first_commit_at,
                                                         mr.merged_at,
                                                         mr.merged_commit_sha,
                                                         t.tag_name                                                         AS deploy_tag,
                                                         t.created_at_src                                                   AS deploy_at,
                                                         EXTRACT(epoch FROM t.created_at_src - mr.first_commit_at) / 3600.0 AS ltfc_hours
FROM engineering_metrics.raw_gitlab_merge_request mr
         JOIN engineering_metrics.raw_gitlab_tag_commit tc
              ON tc.project_id = mr.project_id AND tc.commit_sha = mr.merged_commit_sha
         JOIN engineering_metrics.raw_gitlab_tag t ON t.project_id = tc.project_id AND t.tag_name = tc.tag_name
WHERE mr.merged_at IS NOT NULL
ORDER BY mr.project_id, mr.merge_request_iid, t.created_at_src;
comment on view engineering_metrics.vw_mr_first_deploy_tag is 'MR → first tag containing merged_commit_sha; LTFC = deploy_at - first_commit_at.';
grant delete, insert, references, select, trigger, truncate, update on engineering_metrics.vw_mr_first_deploy_tag to tech_metrics;</t>
  </si>
  <si>
    <t>[PROD][QR247] Hỗ trợ cấu hình thông tin merchant CIBGVUS</t>
  </si>
  <si>
    <t>2026-05-20T11:20:26.239+0700</t>
  </si>
  <si>
    <t>2026-05-20T11:20:37.667+0700</t>
  </si>
  <si>
    <t xml:space="preserve">Hi anh em DBA, Khách hàng CIBG VUS muốn cập nhật lại mã merchant_code thành  CIBGVUS  thay vì  CIBG-VUS1  như ở ticket reference. Anh chạy câu lệnh này cập nhật giúp em nhé ạ, thanks anh. UPDATE PARTNER SET merchant_code='CIBGVUS' WHERE client_id='kvfVIFmBsHFQsTpybJEaScMEdQiKpTDJ'; Reference:   </t>
  </si>
  <si>
    <t>Hỗ trợ tạo schema/table PostgreSQL cho dự án Engineering Service Metrics trên Cloud SQL PostgreSQL production.</t>
  </si>
  <si>
    <t>2026-05-20T10:44:31.542+0700</t>
  </si>
  <si>
    <t>2026-05-20T10:45:57.218+0700</t>
  </si>
  <si>
    <t xml:space="preserve">1. Thông tin dự án Project document:    GCP Project:  onemg-dp-prod Cloud SQL instance:  main-postgres Instance URL:  https://console.cloud.google.com/sql/instances/main-postgres/overview?project=onemg-dp-prod Private IP:  172.31.3.39 Database schema cần tạo:  engineering_metrics 2. Thông tin schema cần tạo Các object cần tạo: Schema  engineering_metrics Table  engineering_metrics.service_registry Table  engineering_metrics.raw_argocd_release_events Table  engineering_metrics.fact_df_release_events Các constraint, index, trigger, function và comment đi kèm trong DDL Note: Tạo và cấp quyền đọc/ghi cho user DB user  tech_metrics  trên schema  engineering_metrics   2.1. DDL cho  engineering_metrics.service_registry -- Engineering Metrics - Service Registry PostgreSQL schema
-- Version: 2026-05-02
--
-- Design principles:
--   1. Google Sheet is the manual input source.
--   2. PostgreSQL is the source used by automation collectors.
--   3. service_id is a technical UUID generated by PostgreSQL.
--   4. Sync/upsert uses the business identity:
--      es_name + team_name + product_name + service_name.
--   5. GitLab project ID, Argo CD app name, New Relic app name, and SonarQube key
--      are source mappings, not service primary keys.
CREATE EXTENSION IF NOT EXISTS pgcrypto;
CREATE SCHEMA IF NOT EXISTS engineering_metrics;
CREATE TABLE IF NOT EXISTS engineering_metrics.service_registry (
    service_id               UUID PRIMARY KEY DEFAULT gen_random_uuid(),
    es_name                  TEXT NOT NULL,
    team_name                TEXT NOT NULL,
    product_name             TEXT NOT NULL,
    owner_email              TEXT,
    service_name             TEXT NOT NULL,
    is_active                BOOLEAN NOT NULL DEFAULT TRUE,
    df_enabled               BOOLEAN NOT NULL DEFAULT TRUE,
    ltfc_enabled             BOOLEAN NOT NULL DEFAULT TRUE,
    error_rate_enabled       BOOLEAN NOT NULL DEFAULT TRUE,
    code_health_enabled      BOOLEAN NOT NULL DEFAULT TRUE,
    argocd_app_name          TEXT,
    code_gitlab_project_id   BIGINT,
    code_gitlab_project_path TEXT,
    newrelic_account_id      BIGINT,
    newrelic_app_name        TEXT,
    sonarqube_project_key    TEXT,
    score_profile            TEXT,
    created_at               TIMESTAMPTZ NOT NULL DEFAULT NOW(),
    updated_at               TIMESTAMPTZ NOT NULL DEFAULT NOW(),
    CONSTRAINT chk_sr_identity_not_blank
        CHECK (
            NULLIF(BTRIM(es_name), '') IS NOT NULL
            AND NULLIF(BTRIM(team_name), '') IS NOT NULL
            AND NULLIF(BTRIM(product_name), '') IS NOT NULL
            AND NULLIF(BTRIM(service_name), '') IS NOT NULL
        ),
    CONSTRAINT chk_sr_owner_email
        CHECK (
            owner_email IS NULL
            OR NULLIF(BTRIM(owner_email), '') IS NULL
            OR owner_email ~* '^[A-Z0-9._%+-]+@onemount\.com$'
        ),
    CONSTRAINT chk_sr_score_profile
        CHECK (
            score_profile IS NULL
            OR score_profile IN ('BE', 'FE_MB')
        ),
    CONSTRAINT chk_sr_argocd_app_name_required
        CHECK (
            NOT (df_enabled OR ltfc_enabled OR code_health_enabled)
            OR NULLIF(BTRIM(argocd_app_name), '') IS NOT NULL
        ),
    CONSTRAINT chk_sr_code_gitlab_project_id_required
        CHECK (
            NOT (df_enabled OR ltfc_enabled OR code_health_enabled)
            OR code_gitlab_project_id IS NOT NULL
        ),
    CONSTRAINT chk_sr_newrelic_account_id_required
        CHECK (
            NOT error_rate_enabled
            OR newrelic_account_id IS NOT NULL
        ),
    CONSTRAINT chk_sr_newrelic_app_name_required
        CHECK (
            NOT error_rate_enabled
            OR NULLIF(BTRIM(newrelic_app_name), '') IS NOT NULL
        ),
    CONSTRAINT chk_sr_sonarqube_project_key_required
        CHECK (
            NOT code_health_enabled
            OR NULLIF(BTRIM(sonarqube_project_key), '') IS NOT NULL
        ),
    CONSTRAINT chk_sr_score_profile_required
        CHECK (
            NOT code_health_enabled
            OR score_profile IS NOT NULL
        ),
    CONSTRAINT chk_sr_positive_code_gitlab_project_id
        CHECK (
            code_gitlab_project_id IS NULL
            OR code_gitlab_project_id &gt; 0
        ),
    CONSTRAINT chk_sr_positive_newrelic_account_id
        CHECK (
            newrelic_account_id IS NULL
            OR newrelic_account_id &gt; 0
        ),
    CONSTRAINT chk_sr_code_gitlab_project_path_not_blank
        CHECK (
            code_gitlab_project_path IS NULL
            OR NULLIF(BTRIM(code_gitlab_project_path), '') IS NOT NULL
        )
);
-- Natural identity used by the Google Sheet sync job.
-- This prevents duplicate service definitions under the same ES/team/product.
CREATE UNIQUE INDEX IF NOT EXISTS uq_sr_business_identity
ON engineering_metrics.service_registry (
    LOWER(BTRIM(es_name)),
    LOWER(BTRIM(team_name)),
    LOWER(BTRIM(product_name)),
    LOWER(BTRIM(service_name))
);
-- A production Argo CD application should map to only one active registry service
-- within DF/LTFC/CHS scope to avoid double-counting deployment/release events.
CREATE UNIQUE INDEX IF NOT EXISTS uq_sr_argocd_app_name_active
ON engineering_metrics.service_registry (LOWER(BTRIM(argocd_app_name)))
WHERE argocd_app_name IS NOT NULL
  AND is_active = TRUE
  AND (df_enabled = TRUE OR ltfc_enabled = TRUE OR code_health_enabled = TRUE);
-- A New Relic application should map to only one active Error Rate service
-- to avoid double-counting request/error telemetry.
CREATE UNIQUE INDEX IF NOT EXISTS uq_sr_newrelic_app_active
ON engineering_metrics.service_registry (
    newrelic_account_id,
    LOWER(BTRIM(newrelic_app_name))
)
WHERE newrelic_account_id IS NOT NULL
  AND newrelic_app_name IS NOT NULL
  AND is_active = TRUE
  AND error_rate_enabled = TRUE;
-- GitLab project ID is intentionally non-unique.
-- One repository can back multiple runtime services.
CREATE INDEX IF NOT EXISTS idx_sr_code_gitlab_project_id
ON engineering_metrics.service_registry (code_gitlab_project_id)
WHERE code_gitlab_project_id IS NOT NULL;
-- SonarQube project key is intentionally non-unique.
-- Code Health fact records are identified by service_id and production release context.
CREATE INDEX IF NOT EXISTS idx_sr_sonarqube_project_key
ON engineering_metrics.service_registry (sonarqube_project_key)
WHERE sonarqube_project_key IS NOT NULL;
-- Collector-oriented partial indexes.
CREATE INDEX IF NOT EXISTS idx_sr_collect_df
ON engineering_metrics.service_registry (
    argocd_app_name,
    code_gitlab_project_id
)
INCLUDE (
    service_id,
    service_name,
    es_name,
    team_name,
    product_name
)
WHERE is_active = TRUE
  AND df_enabled = TRUE;
CREATE INDEX IF NOT EXISTS idx_sr_collect_ltfc
ON engineering_metrics.service_registry (
    code_gitlab_project_id,
    argocd_app_name
)
INCLUDE (
    service_id,
    service_name,
    es_name,
    team_name,
    product_name,
    code_gitlab_project_path
)
WHERE is_active = TRUE
  AND ltfc_enabled = TRUE;
CREATE INDEX IF NOT EXISTS idx_sr_collect_er
ON engineering_metrics.service_registry (
    newrelic_account_id,
    newrelic_app_name
)
INCLUDE (
    service_id,
    service_name,
    es_name,
    team_name,
    product_name
)
WHERE is_active = TRUE
  AND error_rate_enabled = TRUE;
CREATE INDEX IF NOT EXISTS idx_sr_collect_chs
ON engineering_metrics.service_registry (
    sonarqube_project_key,
    code_gitlab_project_id,
    argocd_app_name
)
INCLUDE (
    service_id,
    service_name,
    es_name,
    team_name,
    product_name
)
WHERE is_active = TRUE
  AND code_health_enabled = TRUE;
CREATE INDEX IF NOT EXISTS idx_sr_rollup_active
ON engineering_metrics.service_registry (
    es_name,
    team_name,
    product_name,
    service_name
)
WHERE is_active = TRUE;
-- updated_at maintenance.
CREATE OR REPLACE FUNCTION engineering_metrics.set_updated_at()
RETURNS TRIGGER AS $$
BEGIN
    NEW.updated_at = NOW();
    RETURN NEW;
END;
$$ LANGUAGE plpgsql;
DROP TRIGGER IF EXISTS trg_sr_set_updated_at
ON engineering_metrics.service_registry;
CREATE TRIGGER trg_sr_set_updated_at
BEFORE UPDATE ON engineering_metrics.service_registry
FOR EACH ROW
EXECUTE FUNCTION engineering_metrics.set_updated_at();
COMMENT ON TABLE engineering_metrics.service_registry IS
'Master service mapping for Engineering Metrics collectors. PostgreSQL is the automation source; Google Sheet is the manual input source.';
COMMENT ON COLUMN engineering_metrics.service_registry.service_id IS
'Technical service identifier generated by PostgreSQL. Used by fact tables. Not entered in Google Sheet.';
COMMENT ON COLUMN engineering_metrics.service_registry.es_name IS
'ES name.';
COMMENT ON COLUMN engineering_metrics.service_registry.team_name IS
'Owning team name.';
COMMENT ON COLUMN engineering_metrics.service_registry.product_name IS
'Product/domain name.';
COMMENT ON COLUMN engineering_metrics.service_registry.owner_email IS
'Optional owner email. If provided, it must use the @onemount.com domain.';
COMMENT ON COLUMN engineering_metrics.service_registry.service_name IS
'Service display name used for reporting.';
COMMENT ON COLUMN engineering_metrics.service_registry.is_active IS
'Whether the service is active for metrics collection.';
COMMENT ON COLUMN engineering_metrics.service_registry.df_enabled IS
'Enable Deployment Frequency collection for this service.';
COMMENT ON COLUMN engineering_metrics.service_registry.ltfc_enabled IS
'Enable Lead Time for Changes collection for this service.';
COMMENT ON COLUMN engineering_metrics.service_registry.error_rate_enabled IS
'Enable Error Rate collection for this service.';
COMMENT ON COLUMN engineering_metrics.service_registry.code_health_enabled IS
'Enable Code Health Score collection for this service.';
COMMENT ON COLUMN engineering_metrics.service_registry.argocd_app_name IS
'Argo CD production application name used to collect deployment/release events. Required when DF, LTFC, or CHS is enabled.';
COMMENT ON COLUMN engineering_metrics.service_registry.code_gitlab_project_id IS
'GitLab project ID used by GitLab-based collectors. Required when DF, LTFC, or CHS is enabled.';
COMMENT ON COLUMN engineering_metrics.service_registry.newrelic_account_id IS
'New Relic account ID. Required when Error Rate is enabled.';
COMMENT ON COLUMN engineering_metrics.service_registry.newrelic_app_name IS
'New Relic application name. Required when Error Rate is enabled.';
COMMENT ON COLUMN engineering_metrics.service_registry.sonarqube_project_key IS
'SonarQube project key used for Code Health Score. Required when CHS is enabled.';
COMMENT ON COLUMN engineering_metrics.service_registry.score_profile IS
'Code Health scoring profile. Allowed values: BE = Backend, FE_MB = Frontend / Mobile.';
COMMENT ON COLUMN engineering_metrics.service_registry.code_gitlab_project_path IS
'GitLab project path resolved from code_gitlab_project_id. Optional derived/enriched metadata; not entered from Google Sheet and not used as service identity.'; 2.2. DDL cho  engineering_metrics.raw_argocd_release_events -- Engineering Metrics - Argo CD Raw Release Events schema
-- Version: 2026-05-15
--
-- Purpose:
--   Store flattened Argo CD status.history[] release events for Deployment Frequency.
--
-- Design notes:
--   1. Service Registry is the source for eligible service/app mapping.
--   2. service_id is UUID and references engineering_metrics.service_registry(service_id).
--   3. Raw grain: 1 row = 1 status.history[] release event for 1 service / 1 Argo CD application.
--   4. Raw upsert key: service_id + argocd_app_name + release_event_revision + deployed_finished_at.
--   5. release_event_revision is the Argo CD history revision, normally the GitOps repo revision.
--   6. release_image_tag is an extracted/enriched image tag for the release event, resolved by collector from GitOps values files at release_event_revision.
--   7. Full application_payload and history_event_payload are preserved for traceability.
CREATE SCHEMA IF NOT EXISTS engineering_metrics;
CREATE EXTENSION IF NOT EXISTS pgcrypto;
CREATE TABLE IF NOT EXISTS engineering_metrics.raw_argocd_release_events (
    raw_event_id                   BIGSERIAL PRIMARY KEY,
    -- Common service identity from Service Registry.
    service_id                     UUID NOT NULL,
    service_name                   TEXT NOT NULL,
    -- Argo CD application identity.
    argocd_app_name                TEXT NOT NULL,
    argocd_namespace               TEXT,
    argocd_uid                     TEXT,
    resource_version               TEXT,
    generation                     BIGINT,
    app_created_at                 TIMESTAMPTZ,
    app_labels                     JSONB,
    -- Current application spec at collection time.
    argocd_project                 TEXT,
    source_repo_url                TEXT,
    source_path                    TEXT,
    source_target_revision         TEXT,
    source_helm                    JSONB,
    destination_name               TEXT,
    destination_namespace          TEXT,
    -- Current application status context at collection time.
    current_sync_status            TEXT,
    current_sync_revision          TEXT,
    current_health_status          TEXT,
    reconciled_at                  TIMESTAMPTZ,
    operation_phase                TEXT,
    operation_started_at           TIMESTAMPTZ,
    operation_finished_at          TIMESTAMPTZ,
    operation_message              TEXT,
    operation_sync_revision        TEXT,
    summary_images                 JSONB,
    summary_external_urls          JSONB,
    -- Flattened release event from status.history[].
    release_event_revision         TEXT NOT NULL,
    deployed_started_at            TIMESTAMPTZ,
    deployed_finished_at           TIMESTAMPTZ NOT NULL,
    argocd_history_id_observed     BIGINT,
    release_source_repo_url        TEXT,
    release_source_path            TEXT,
    release_source_target_revision TEXT,
    release_source_helm            JSONB,
    release_image_tag              TEXT,
    release_initiated_by_username  TEXT,
    release_initiated_by_json      JSONB,
    -- Raw payloads.
    history_event_payload          JSONB NOT NULL,
    application_payload            JSONB NOT NULL,
    -- Collector / source metadata.
    argocd_server                  TEXT NOT NULL,
    collector_run_id               UUID NOT NULL,
    collected_at                   TIMESTAMPTZ NOT NULL,
    source                         TEXT NOT NULL DEFAULT 'argocd',
    payload_checksum               TEXT,
    -- DB metadata.
    created_at                     TIMESTAMPTZ NOT NULL DEFAULT NOW(),
    updated_at                     TIMESTAMPTZ NOT NULL DEFAULT NOW(),
    CONSTRAINT fk_raw_argocd_release_events_service_registry
        FOREIGN KEY (service_id)
        REFERENCES engineering_metrics.service_registry(service_id),
    CONSTRAINT chk_raw_argocd_release_events_source
        CHECK (source = 'argocd'),
    CONSTRAINT chk_raw_argocd_release_events_not_blank
        CHECK (
            NULLIF(BTRIM(service_name), '') IS NOT NULL
            AND NULLIF(BTRIM(argocd_app_name), '') IS NOT NULL
            AND NULLIF(BTRIM(release_event_revision), '') IS NOT NULL
        ),
    CONSTRAINT chk_raw_argocd_release_events_image_tag_not_blank
        CHECK (
            release_image_tag IS NULL
            OR NULLIF(BTRIM(release_image_tag), '') IS NOT NULL
        ),
    CONSTRAINT uq_raw_argocd_release_event
        UNIQUE (
            service_id,
            argocd_app_name,
            release_event_revision,
            deployed_finished_at
        )
);
-- Reuse the same updated_at trigger helper used by Service Registry when available.
CREATE OR REPLACE FUNCTION engineering_metrics.set_updated_at()
RETURNS TRIGGER AS $$
BEGIN
    NEW.updated_at = NOW();
    RETURN NEW;
END;
$$ LANGUAGE plpgsql;
DROP TRIGGER IF EXISTS trg_raw_argocd_release_events_set_updated_at
ON engineering_metrics.raw_argocd_release_events;
CREATE TRIGGER trg_raw_argocd_release_events_set_updated_at
BEFORE UPDATE ON engineering_metrics.raw_argocd_release_events
FOR EACH ROW
EXECUTE FUNCTION engineering_metrics.set_updated_at();
-- Timeline query by service.
CREATE INDEX IF NOT EXISTS idx_raw_argocd_release_events_service_finished_at
ON engineering_metrics.raw_argocd_release_events (
    service_id,
    deployed_finished_at DESC
);
-- Timeline / troubleshooting query by Argo CD application.
-- Keep release_image_tag out of this index so app-only timeline queries still use deployed_finished_at ordering efficiently.
CREATE INDEX IF NOT EXISTS idx_raw_argocd_release_events_app_finished_at
ON engineering_metrics.raw_argocd_release_events (
    argocd_app_name,
    deployed_finished_at DESC
);
-- Main lookup for answering:
-- "When was this service/image tag deployed?"
-- Expected query shape:
--   WHERE service_id = ?
--     AND release_image_tag = ?
--   ORDER BY deployed_finished_at DESC
CREATE INDEX IF NOT EXISTS idx_raw_argocd_release_events_service_image_tag_finished_at
ON engineering_metrics.raw_argocd_release_events (
    service_id,
    release_image_tag,
    deployed_finished_at DESC
)
WHERE release_image_tag IS NOT NULL;
CREATE INDEX IF NOT EXISTS idx_raw_argocd_release_events_collected_at
ON engineering_metrics.raw_argocd_release_events (collected_at DESC);
CREATE INDEX IF NOT EXISTS idx_raw_argocd_release_events_collector_run_id
ON engineering_metrics.raw_argocd_release_events (collector_run_id);
COMMENT ON TABLE engineering_metrics.raw_argocd_release_events IS
'Raw Argo CD release events flattened from status.history[] for Deployment Frequency and downstream fact processing.';
COMMENT ON COLUMN engineering_metrics.raw_argocd_release_events.raw_event_id IS
'Surrogate raw row key used for lineage from fact tables.';
COMMENT ON COLUMN engineering_metrics.raw_argocd_release_events.service_id IS
'Service UUID from engineering_metrics.service_registry. Used as the stable join key.';
COMMENT ON COLUMN engineering_metrics.raw_argocd_release_events.service_name IS
'Service display name copied from Service Registry at collection time.';
COMMENT ON COLUMN engineering_metrics.raw_argocd_release_events.argocd_app_name IS
'Argo CD application name mapped from Service Registry.';
COMMENT ON COLUMN engineering_metrics.raw_argocd_release_events.release_event_revision IS
'Revision from status.history[].revision. In the current GitOps flow, this is normally the GitOps repository revision and is part of the raw upsert key.';
COMMENT ON COLUMN engineering_metrics.raw_argocd_release_events.deployed_finished_at IS
'Deployment completion timestamp from status.history[].deployedAt. Part of the raw upsert key.';
COMMENT ON COLUMN engineering_metrics.raw_argocd_release_events.argocd_history_id_observed IS
'Argo CD status.history[].id observed during collection. Trace/debug only; not a business key.';
COMMENT ON COLUMN engineering_metrics.raw_argocd_release_events.release_source_repo_url IS
'Repository URL from status.history[].source.repoURL for the release event.';
COMMENT ON COLUMN engineering_metrics.raw_argocd_release_events.release_source_path IS
'Source path from status.history[].source.path for the release event.';
COMMENT ON COLUMN engineering_metrics.raw_argocd_release_events.release_source_target_revision IS
'Target revision from status.history[].source.targetRevision for the release event.';
COMMENT ON COLUMN engineering_metrics.raw_argocd_release_events.release_source_helm IS
'Helm source object from status.history[].source.helm for the release event.';
COMMENT ON COLUMN engineering_metrics.raw_argocd_release_events.release_image_tag IS
'Image tag resolved for the release event from GitOps values files at release_event_revision. Nullable when the tag cannot be resolved.';
COMMENT ON COLUMN engineering_metrics.raw_argocd_release_events.history_event_payload IS
'Raw JSON payload of the flattened status.history[] item.';
COMMENT ON COLUMN engineering_metrics.raw_argocd_release_events.application_payload IS
'Full Argo CD Application document returned by the API at collection time.';
COMMENT ON COLUMN engineering_metrics.raw_argocd_release_events.payload_checksum IS
'SHA-256 checksum of normalized raw payload/context used to detect changed source data for the same release event.'; 2.3.  DDL cho  engineering_metrics.fact_df_release_events CREATE TABLE IF NOT EXISTS engineering_metrics.fact_df_release_events (
    service_id UUID NOT NULL,
    service_name TEXT NOT NULL,
    es_name TEXT NOT NULL,
    team_name TEXT NOT NULL,
    product_name TEXT NOT NULL,
    argocd_app_name TEXT NOT NULL,
    release_event_revision TEXT NOT NULL,
    release_image_tag TEXT,
    deployed_started_at TIMESTAMPTZ,
    deployed_finished_at TIMESTAMPTZ NOT NULL,
    raw_event_id BIGINT NOT NULL,
    source TEXT NOT NULL DEFAULT 'argocd_release_history',
    created_at TIMESTAMPTZ NOT NULL DEFAULT NOW(),
    updated_at TIMESTAMPTZ NOT NULL DEFAULT NOW(),
    CONSTRAINT pk_fact_df_release_events
        PRIMARY KEY (
            service_id,
            argocd_app_name,
            release_event_revision,
            deployed_finished_at
        ),
    CONSTRAINT uq_fact_df_raw_event_id
        UNIQUE (raw_event_id),
    CONSTRAINT fk_fact_df_service_registry
        FOREIGN KEY (service_id)
        REFERENCES engineering_metrics.service_registry(service_id),
    CONSTRAINT fk_fact_df_raw_event
        FOREIGN KEY (raw_event_id)
        REFERENCES engineering_metrics.raw_argocd_release_events(raw_event_id),
    CONSTRAINT chk_fact_df_source
        CHECK (source = 'argocd_release_history'),
    CONSTRAINT chk_fact_df_not_blank
        CHECK (
            NULLIF(BTRIM(service_name), '') IS NOT NULL
            AND NULLIF(BTRIM(es_name), '') IS NOT NULL
            AND NULLIF(BTRIM(team_name), '') IS NOT NULL
            AND NULLIF(BTRIM(product_name), '') IS NOT NULL
            AND NULLIF(BTRIM(argocd_app_name), '') IS NOT NULL
            AND NULLIF(BTRIM(release_event_revision), '') IS NOT NULL
        ),
    CONSTRAINT chk_fact_df_release_image_tag_not_blank
        CHECK (
            release_image_tag IS NULL
            OR NULLIF(BTRIM(release_image_tag), '') IS NOT NULL
        )
);
CREATE INDEX IF NOT EXISTS idx_fact_df_service_finished_at
ON engineering_metrics.fact_df_release_events (
    service_id,
    deployed_finished_at DESC
);
CREATE INDEX IF NOT EXISTS idx_fact_df_team_finished_at
ON engineering_metrics.fact_df_release_events (
    team_name,
    deployed_finished_at DESC
);
CREATE INDEX IF NOT EXISTS idx_fact_df_es_finished_at
ON engineering_metrics.fact_df_release_events (
    es_name,
    deployed_finished_at DESC
);
CREATE INDEX IF NOT EXISTS idx_fact_df_product_finished_at
ON engineering_metrics.fact_df_release_events (
    product_name,
    deployed_finished_at DESC
);
CREATE INDEX IF NOT EXISTS idx_fact_df_service_image_tag_finished_at
ON engineering_metrics.fact_df_release_events (
    service_id,
    release_image_tag,
    deployed_finished_at DESC
)
WHERE release_image_tag IS NOT NULL; cc anh  @Former user   @Đỗ Ngọc Hà   @Nguyễn Văn Khải   @Lưu Văn Hiếu   @Phùng Minh Ngân  </t>
  </si>
  <si>
    <t>[OMD][Kafka][Prod] Tạo kafka topic cho bảng nguồn MHPos OMS phục vụ dự án MerchantHub</t>
  </si>
  <si>
    <t>2026-05-20T10:43:58.321+0700</t>
  </si>
  <si>
    <t>2026-05-20T17:16:08.974+0700</t>
  </si>
  <si>
    <t>Hiện tại OMD đang có nhu cầu kéo dữ liệu các bảng sau nhờ anh Linh tạo kafka topic ở môi trường PROD giúp team để kéo data về DP. PROD: IP host: 172.31.4.37:5432 Schema: mhpos_oms Table list: store_sales_setting</t>
  </si>
  <si>
    <t>[Saitama] [QR247] [Ecom] [NonProd] Hỗ trợ tạo bảng môi trường staging nghiệp vụ deeplink onboard</t>
  </si>
  <si>
    <t>2026-05-20T10:17:57.953+0700</t>
  </si>
  <si>
    <t>2026-05-20T10:18:02.329+0700</t>
  </si>
  <si>
    <t>Dear anh Dũng, Nhờ anh support chạy giúp em script dưới đây nhằm tạo bảng nghiệp vụ deeplink onboard, môi trường  STAGING  theo thông tin cụ thể dưới đây ạ: Thông tin database:  jdbc:mysql://tidb.int.onemount.dev:4000/vinpay_saas_tpay_staging Script: CREATE TABLE PAYMENT_METHOD_CONFIG
(
    id            bigint      NOT NULL AUTO_INCREMENT,
    merchant_code varchar(64) NOT NULL,
    service_code  varchar(64) NOT NULL,
    method_code   varchar(64) NOT NULL,
    status        varchar(32) NOT NULL,
    created_at    timestamp   NOT NULL DEFAULT CURRENT_TIMESTAMP,
    updated_at    timestamp            DEFAULT NULL,
    PRIMARY KEY (id)
) AUTO_ID_CACHE=1 ENGINE=InnoDB DEFAULT CHARSET=utf8mb4 COLLATE=utf8mb4_unicode_ci;</t>
  </si>
  <si>
    <t>2026-05-20T09:48:32.308+0700</t>
  </si>
  <si>
    <t>2026-05-20T09:48:40.308+0700</t>
  </si>
  <si>
    <t>[OM][OneNexus][NP] Cấp database Elasticache for Redis - Instance #2 (Langfuse)</t>
  </si>
  <si>
    <t>2026-05-19T18:04:53.924+0700</t>
  </si>
  <si>
    <t>2026-05-21T12:16:34.018+0700</t>
  </si>
  <si>
    <t>NON-PROD</t>
  </si>
  <si>
    <t>Hi team, Nhờ ae provision thêm 1 instance  Elasticache for Redis thứ 2  (tách riêng) dành cho  Langfuse  trong dự án OneNexus AI Platform (NonProd). Lý do cần instance riêng Langfuse yêu cầu một số cấu hình Redis đặc biệt không tương thích với instance hiện tại ( keystone-onenexus-ai-agentic-np-redis ). Để tránh ảnh hưởng các service khác, cần tách thành instance độc lập. Thông tin instance yêu cầu Tham số Giá trị Tên instance (đề xuất) keystone-onenexus-ai-agentic-np-redis-langfuse Engine Elasticache for Redis 7.4.x Eviction Policy noeviction Persistence AOF (Append Only File) enabled Cấu hình bắt buộc maxmemory-policy noeviction  — Langfuse sử dụng Redis làm queue/worker state, KHÔNG được evict data AOF Persistence enabled  — đảm bảo data không bị mất khi instance restart Ref. ticket gốc:  DBA-4814  (instance Redis đầu tiên:  keystone-onenexus-ai-agentic-np-redis )</t>
  </si>
  <si>
    <t>Tạo DB mới trong instance của dự án Keystone</t>
  </si>
  <si>
    <t>2026-05-19T16:31:10.302+0700</t>
  </si>
  <si>
    <t>2026-05-19T16:31:18.327+0700</t>
  </si>
  <si>
    <t>Instance :  keystone-onenexus-ai-agentic-np-postgres.c5qc84040jv4.ap-southeast-1.rds.amazonaws.com DB:  keystone Role: platform_service_role   NOLOGIN Role: platform_app            LOGIN   GRANT CONNECT ON DATABASE keystone TO platform_app;   GRANT platform_service_role TO platform_app; Role: platform_migrator       LOGIN   GRANT CONNECT, CREATE ON DATABASE keystone TO platform_migrator; Cần thêm quyền CREATE EXTENSION pgcrypto hoặc DBA pre-install pgcrypto</t>
  </si>
  <si>
    <t xml:space="preserve">[MAG][IOTek][MCM][PROD] Xóa dữ liệu rác </t>
  </si>
  <si>
    <t>2026-05-19T15:48:08.193+0700</t>
  </si>
  <si>
    <t>2026-05-19T15:54:21.081+0700</t>
  </si>
  <si>
    <t>Trường thông tin Nội dung mẫu IP (Host) ces-production.crcykac8kxtw.ap-southeast-1.rds.amazonaws.com Port 3306 DB Name mcm_storage BEGIN TRANSACTION; 
DELETE FROM ces_mcm_storage.dc_documents
WHERE name = 'template.txt' AND file_size = '0';
COMMIT;</t>
  </si>
  <si>
    <t>BA - Clone database NEWMAS server Dev lên server Production MTR</t>
  </si>
  <si>
    <t>2026-05-19T15:25:25.145+0700</t>
  </si>
  <si>
    <t>2026-05-22T10:29:52.987+0700</t>
  </si>
  <si>
    <t>Dear Mr. Hưng, Nhờ anh clone giúp em database NEWMAS trên server DEV, đưa lên server production MTR, đặt tên database là BAM giúp em. Cảm ơn anh.</t>
  </si>
  <si>
    <t>[Saitama] [SmartPOS] [PROD] Hỗ trợ update status dịch vụ SmartPOS cho merchant NCCAT564</t>
  </si>
  <si>
    <t>2026-05-19T15:24:10.191+0700</t>
  </si>
  <si>
    <t>2026-05-25T09:56:55.310+0700</t>
  </si>
  <si>
    <t>Dear anh Bách, anh Dũng, Nhờ các anh review/approve và chạy giúp em script dưới đây nhằm update trạng thái dịch vụ SmartPOS, môi trường  PRODUCTION  đối với merchant  NCCAT564  theo thông tin cụ thể dưới đây ạ: Thông tin database:  jdbc:mysql://pay-tidb.int.onemount.com:4000/saas_tpay Script: -- unified tables:
UPDATE UNIFIED_MERCHANT SET status = 'ACTIVE_FAIL' WHERE merchant_code = 'NCCAT564';
UPDATE UNIFIED_MERCHANT_SERVICE SET status = 'ACTIVE_FAIL' WHERE merchant_code = 'NCCAT564' AND service_code in ('SMARTPOS_CARD', 'SMARTPOS_QR');
UPDATE UNIFIED_STORE SET status = 'ACTIVE_FAIL' WHERE merchant_code = 'NCCAT564' AND service_code in ('SMARTPOS_CARD', 'SMARTPOS_QR');
UPDATE UNIFIED_TERMINAL SET status = 'ACTIVE_FAIL' WHERE merchant_code = 'NCCAT564' AND service_code in ('SMARTPOS_CARD', 'SMARTPOS_QR');
-- contract:
UPDATE SMARTPOS_MERCHANT_CONTRACT SET status = 'REJECTED' WHERE merchant_code = 'NCCAT564';</t>
  </si>
  <si>
    <t>[Nexa][PSS][V2][BAU][OPZ] Nhờ hỗ trợ tạo account quyền view truy nhập DB Oracle cho cụm OPZ Hệ thống PSS v2 môi trường PROD hạ tầng FTEL on-prem</t>
  </si>
  <si>
    <t>2026-05-19T14:12:07.001+0700</t>
  </si>
  <si>
    <t>2026-05-19T14:17:26.875+0700</t>
  </si>
  <si>
    <t>Em xin nhờ anh/chị tạo account quyền view truy nhập  DB Oracle   cụm OPZ   môi trường PROD  của hệ thống  Payment Switching Service (PSS) version 2  thuộc dự án Nexa  hạ tầng FTEL on-prem Thông tin chung SAD: [ [PSS] Multi Availability Zone SAD | https://onemount.atlassian.net/wiki/spaces/nexa/pages/3389554689/PSS+Multi+Availability+Zone+SAD ] Bảng mapping các service của hệ thống PSS v2 sử dụng Infra service nào, sheet  TPZ   Infra, OPZ Infra  : [ [Nexa] PSS v2 Overview | https://docs.google.com/spreadsheets/d/1Z82dbJEmWAfWYNDKOYp1y5p26EntPxVcMd2H7AiW1H4/edit?pli=1&amp;gid=1627553322#gid=1627553322 ] Bảng thông tin các service của hệ thống PSS v2 chạy trên môi trường GCP, sheet  CICD Request : [ [Nexa] PSS v2 Overview | https://docs.google.com/spreadsheets/d/1Z82dbJEmWAfWYNDKOYp1y5p26EntPxVcMd2H7AiW1H4/edit?pli=1&amp;gid=1627553322#gid=1627553322 ] Quyền: Read only Thông tin kết nối gửi mail cho: hiep.nguyen13@onemount.com thieu.le@onemount.com tiep.nguyen@onemount.com hung.sai@onemount.com tung.nguyen4@onemount.com tan.hoang@onemount.com</t>
  </si>
  <si>
    <t>[Nexa][PSS][V2][BAU][OPZ] Nhờ hỗ trợ tạo account truy cập server jump và kết nối từ máy cá nhân mạng văn phòng Hệ thống PSS v2 môi trường PROD hạ tầng FTEL on-prem</t>
  </si>
  <si>
    <t>2026-05-19T12:34:37.297+0700</t>
  </si>
  <si>
    <t>2026-05-19T12:34:53.352+0700</t>
  </si>
  <si>
    <t>Em xin nhờ anh/chị tạo account truy cập server jump và mở kết nối từ máy cá nhân mạng văn phòng OM Thông tin chung SAD: [ [PSS] Multi Availability Zone SAD | https://onemount.atlassian.net/wiki/spaces/nexa/pages/3389554689/PSS+Multi+Availability+Zone+SAD ] Bảng mapping các service của hệ thống PSS v2 sử dụng Infra service nào, sheet  TPZ   Infra, OPZ Infra  : [ [Nexa] PSS v2 Overview | https://docs.google.com/spreadsheets/d/1Z82dbJEmWAfWYNDKOYp1y5p26EntPxVcMd2H7AiW1H4/edit?pli=1&amp;gid=1627553322#gid=1627553322 ] Bảng thông tin các service của hệ thống PSS v2 chạy trên môi trường GCP, sheet  CICD Request : [ [Nexa] PSS v2 Overview | https://docs.google.com/spreadsheets/d/1Z82dbJEmWAfWYNDKOYp1y5p26EntPxVcMd2H7AiW1H4/edit?pli=1&amp;gid=1627553322#gid=1627553322 ] Lý do: Kiểm tra set up DB, hỗ trợ check data trong quá trình test PT Yêu cầu:  Tạo 6 account, mở truy cập từ mạng văn phòng đến jump host server của team DBA ở OPZ PRODv2 (10.248.50.130 port 33890) Mở truy nhập từ jump host server của team DBA ở OPZ PRODv2 (10.248.50.130 port 33890) tới DB Oracle TPZ PRODv2 (10.248.16.62) và DB Oracle OPZ PRODv2 (10.248.40.62) Thông tin account gửi mail cho: hiep.nguyen13@onemount.com thieu.le@onemount.com tiep.nguyen@onemount.com hung.sai@onemount.com tung.nguyen4@onemount.com tan.hoang@onemount.com</t>
  </si>
  <si>
    <t xml:space="preserve">Tạo postgres trên mt dev mpm để demo dự án staffapp </t>
  </si>
  <si>
    <t>2026-05-19T11:24:44.841+0700</t>
  </si>
  <si>
    <t>2026-05-19T11:25:05.316+0700</t>
  </si>
  <si>
    <t>MPM_NEW</t>
  </si>
  <si>
    <t xml:space="preserve">Tạo 1 instance postgres với các tham số default, kích thước nhỏ nhất để demo dự án staffapp </t>
  </si>
  <si>
    <t>[OMC][GAMI][PS2][Prod] Hỗ trợ lấy danh sách accept challenge cho campaign</t>
  </si>
  <si>
    <t>2026-05-19T10:42:03.992+0700</t>
  </si>
  <si>
    <t>2026-05-19T10:42:09.729+0700</t>
  </si>
  <si>
    <t>2026-05-19T09:26:06.784+0700</t>
  </si>
  <si>
    <t>2026-05-19T10:04:17.586+0700</t>
  </si>
  <si>
    <t>Dear Linh, Em tạo giúp anh topic cho bảng sau với nhé: Host:  172.31.4.75 DB:  promo_gamezone Tables:  accept_challenge</t>
  </si>
  <si>
    <t>[OMC][[ONEU] Thêm cột mới cho bảng vneid_login_log</t>
  </si>
  <si>
    <t>2026-05-18T23:17:36.894+0700</t>
  </si>
  <si>
    <t>2026-05-18T23:17:52.364+0700</t>
  </si>
  <si>
    <t>Nhờ team chạy giúp em ticket này để phục vụ golive ạ CR:    project:  omc-base-platform-prod db:  omc_bp_authentication ip:  172.31.3.40 instances:  omc-authentication ALTER TABLE vneid_login_log
    ADD COLUMN meta_data json default null;</t>
  </si>
  <si>
    <t>[Merchant-TCB] Hỗ trợ cập nhật dữ liệu 20260515</t>
  </si>
  <si>
    <t>2026-05-18T11:44:04.552+0700</t>
  </si>
  <si>
    <t>2026-05-18T11:51:02.599+0700</t>
  </si>
  <si>
    <t>Dear team, Nhờ team chạy giúp câu lệnh bên dưới ạ. Thông tin database https://console.cloud.google.com/sql/instances/merchant-tcb/overview?inv=1&amp;invt=AbsndA&amp;project=vinid-merchant-prod DB_MYSQL_HOST=172.31.4.108
DB_MYSQL_DATABASE=merchant_service_tcb Câu lệnh ALTER TABLE tpay_request_physical_store MODIFY COLUMN street VARCHAR(500);</t>
  </si>
  <si>
    <t>[PROD][QR247] Hỗ trợ cấu hình thông tin merchant SGC_XLHN</t>
  </si>
  <si>
    <t>2026-05-18T11:39:30.143+0700</t>
  </si>
  <si>
    <t>2026-05-18T11:39:37.417+0700</t>
  </si>
  <si>
    <t>QR247, UPP</t>
  </si>
  <si>
    <t>Hi team Nhờ anh/em chạy các script để cấu hình merchant SGC_XLHN tích hợp TPAY trên môi trường PROD. Thông tin database saas_tpay: mysql://pay-tidb.int.onemount.com:4000/saas_tpay Script: INSERT INTO PARTNER (client_id, name, public_key, enable, merchant_code)
VALUES ('GnwEbKzlfJvqSPpVcUqQbZdlHlUfeYff', 'SGC XLHN', '-----BEGIN PUBLIC KEY-----
MIIBIjANBgkqhkiG9w0BAQEFAAOCAQ8AMIIBCgKCAQEAijT0z6i+jN59g0lIaXwC
ooh14Mf8M2N5W/BMnWj/88iQakOy1atfoqewCx/5WHzgBER+PYIW+gwrBXJgtUjv
M/ZdqhOQvVWdRavhFVvVUL5KSncsEJ4X4kr0gf6faoiFEfkCS/aMh4WAeKvn1uYf
ASUPIhOj6qN/XBesqxZu5L5QhGWMkpYe+ixGjzAwH5e0rBvS755pOxH/nPQEgft8
s8OGfic6rJTW1zmUZLQRsQBw+zde4qrc3EW2+2nDHMD+W3aty0GSbFOkNZf6xCg3
Pz/62nRcTIvE3BsO+lr4rbJg+VaETKO3RbXSotoGJsIPBvqWpdvgiuoc40Q5Dovm
XQIDAQAB
-----END PUBLIC KEY-----', 1, 'SGC_XLHN');  </t>
  </si>
  <si>
    <t>Export data ODS của dự án LLM user profile</t>
  </si>
  <si>
    <t>2026-05-18T11:11:09.430+0700</t>
  </si>
  <si>
    <t>2026-05-18T11:11:20.361+0700</t>
  </si>
  <si>
    <t>Để phân cụm user để khai thác data user profile phục vụ personalization trên app OneU. Nhờ anh em export giúp data trên ODS như sau: select * from "tidb_omc"."omc_mtp_llm_taxonomy"."llm_taxonomy_profile" DB: TiDB-OMC
Schema: omc_mtp_llm_taxonomy
Table: llm_taxonomy_profile</t>
  </si>
  <si>
    <t>[UPAY][PROD] Script release ngày 15/05/2026</t>
  </si>
  <si>
    <t>2026-05-18T09:47:00.200+0700</t>
  </si>
  <si>
    <t>2026-05-18T09:47:08.042+0700</t>
  </si>
  <si>
    <t>Hi a  @Nguyễn Văn Dũng  nhờ a chạy script theo mô tả  dưới đây ở môi trường PRODUCTION theo thông tin dưới đây ạ: Thời gian chạy script: Vào lúc  23h00 ngày 15/05/2026 Thông tin database:  mysql://vinpay-sql-onehub-master.int.vinid.net:3306/pay_payment_gateway CR Ticket:     Script: trong file đính kèm ạ</t>
  </si>
  <si>
    <t>2026-05-16T15:44:22.586+0700</t>
  </si>
  <si>
    <t>2026-05-16T15:45:01.602+0700</t>
  </si>
  <si>
    <t>Dear anh  @Đào Công Nghĩa  , Team em có nhu cầu cập nhật các bản ghi trên TiDB, nhờ anh hỗ trợ chạy luôn giúp em ạ. UPDATE contract set attributes = '{"address_district_name":{"value":"Dĩ An"},"address_province_name":{"value":"Hồ Chí Minh"},"address_street":{"value":"93 Phạm Ngũ Lão"},"address_ward_name":{"value":"Dĩ An"},"bank_account_holder":{"value":"PHAN VAN HAI"},"bank_account_number":{"value":"2912198386"},"bank_id":{"value":"9978104081378306479"},"bank_name":{"value":"Ngân hàng TMCP Kỹ Thương Việt Nam"},"business_license_issue_agency":{"value":"UỶ BAN NHÂN DÂN THỊ XÃ DĨ AN"},"business_license_issue_date":{"value":"2013-10-07"},"business_license_license_number":{"review_comment":"Cần cập nhật thông tin MST/ĐKKD mới do ĐKKD cũ đã hết hạn","value":"46G8020313"},"business_license_tax_code":{"review_comment":"Cần cập nhật thông tin MST/ĐKKD mới do ĐKKD cũ đã hết hạn","value":"8028154621"},"contract_ref_no":{},"district_code":{"value":"25942"},"effective_date":{},"hotline":{"value":"0365310567"},"legal_name":{"value":"HỘ KINH DOANH PHAN VĂN HẢI"},"legal_representative_email":{"value":"phanvanhai19832912@gmail.com"},"legal_representative_full_name":{"value":"PHAN VAN HAI"},"legal_representative_id":{"value":"13840193949730462341"},"legal_representative_identity_number":{"value":"034083025187"},"legal_representative_identity_number_issue_agency":{"value":"CTCCSQLHCVTTXH"},"legal_representative_identity_number_issue_date":{"value":"2022-12-18"},"legal_representative_phone":{"value":"0365310567"},"province_code":{"value":"79"},"short_name":{"value":"CAFE NAM HAI"},"trade_name":{"value":"HỘ KINH DOANH PHAN VĂN HẢI"},"ward_code":{"value":"25942"}}', documents = '{"back_identity_card":{"value":"https://cdn-mobile-next.vinid.net/r5pkvhd8szvcaaaa/sensitive_documents/cHJvZC41MTBkYzhkOTIxMTg0NjBiOGJjODZiNjZlYWY4YTcyZg==.png"},"business_license":{"review_comment":"Cần cập nhật ĐKKD mới do ĐKKD cũ đã hết hạn","value":"https://cdn-mobile-next.vinid.net/r5pkvhd8szvcaaaa/sensitive_documents/cHJvZC5lNmE2MTBkZGU5Mzk0MmQ0YmU4NjU1NjE5MjIyNmFkYw==.jpeg"},"front_identity_card":{"value":"https://cdn-mobile-next.vinid.net/r5pkvhd8szvcaaaa/sensitive_documents/cHJvZC5mNzk2MjA2MGMzNGQ0NmU3ODgwOTY0Y2EyYzEyMDE3MQ==.png"},"merchant_logo":{"value":"https://cdn-crm.vinid.net/merchant-loyalty/assets/ic_24color_store.png"}}', create_source = 'MINI_APP', comment = NULL where id = 60615;
UPDATE contract set attributes = '{"address_district_name":{"value":"Dĩ An"},"address_province_name":{"value":"Hồ Chí Minh"},"address_street":{"value":"93 Phạm Ngũ Lão"},"address_ward_name":{"value":"Dĩ An"},"bank_account_holder":{"value":"PHAN VAN HAI"},"bank_account_number":{"value":"2912198386"},"bank_id":{"value":"9978104081378306479"},"bank_name":{"value":"Ngân hàng TMCP Kỹ Thương Việt Nam"},"business_license_issue_agency":{"value":"UỶ BAN NHÂN DÂN THỊ XÃ DĨ AN"},"business_license_issue_date":{"value":"2013-10-07"},"business_license_license_number":{"review_comment":"Cần cập nhật thông tin MST/ĐKKD mới do ĐKKD cũ đã hết hạn","value":"46G8020313"},"business_license_tax_code":{"review_comment":"Cần cập nhật thông tin MST/ĐKKD mới do ĐKKD cũ đã hết hạn","value":"8028154621"},"contract_ref_no":{},"district_code":{"value":"25942"},"effective_date":{},"hotline":{"value":"0365310567"},"legal_name":{"value":"PHAN VAN HAI"},"legal_representative_email":{"value":"phanvanhai19832912@gmail.com"},"legal_representative_full_name":{"value":"PHAN VAN HAI"},"legal_representative_id":{"value":"13840193949730462341"},"legal_representative_identity_number":{"value":"034083025187"},"legal_representative_identity_number_issue_agency":{"value":"CTCCSQLHCVTTXH"},"legal_representative_identity_number_issue_date":{"value":"2022-12-18"},"legal_representative_phone":{"value":"0365310567"},"province_code":{"value":"79"},"short_name":{"value":"CAFE NAM HAI"},"trade_name":{"value":"HKD PHAN VAN HAI"},"ward_code":{"value":"25942"}}', documents = '{"back_identity_card":{"value":"https://cdn-mobile-next.vinid.net/r5pkvhd8szvcaaaa/sensitive_documents/cHJvZC41MTBkYzhkOTIxMTg0NjBiOGJjODZiNjZlYWY4YTcyZg==.png"},"business_license":{"review_comment":"Cần cập nhật ĐKKD mới do ĐKKD cũ đã hết hạn","value":"https://cdn-mobile-next.vinid.net/r5pkvhd8szvcaaaa/sensitive_documents/cHJvZC5lNmE2MTBkZGU5Mzk0MmQ0YmU4NjU1NjE5MjIyNmFkYw==.jpeg"},"front_identity_card":{"value":"https://cdn-mobile-next.vinid.net/r5pkvhd8szvcaaaa/sensitive_documents/cHJvZC5mNzk2MjA2MGMzNGQ0NmU3ODgwOTY0Y2EyYzEyMDE3MQ==.png"},"merchant_logo":{"value":"https://cdn-crm.vinid.net/merchant-loyalty/assets/ic_24color_store.png"}}' where id = 56855; Thanks anh,  Thành An.</t>
  </si>
  <si>
    <t>[GiaBinh][MAN-MAC][Prod] Remove data tạo thừa sau khi Golive</t>
  </si>
  <si>
    <t>2026-05-16T11:28:54.127+0700</t>
  </si>
  <si>
    <t>2026-05-16T12:44:44.660+0700</t>
  </si>
  <si>
    <t>Nhờ anh  @Đào Công Nghĩa  chạy script xoá data trên production giúp em theo script dưới đây ạ. Mục đích: dự án yêu cầu xoá bớt data thừa trong quá trình smoke test.</t>
  </si>
  <si>
    <t xml:space="preserve">[OMRE-PROD] Tăng độ dài của column </t>
  </si>
  <si>
    <t>2026-05-16T11:16:54.584+0700</t>
  </si>
  <si>
    <t>2026-05-16T12:30:08.173+0700</t>
  </si>
  <si>
    <t>Dear team DBA, Hiện tại dữ liệu Rims từ TCB đẩy về DB rimsprod đã tăng độ dài trường nên nhờ team update lại giúp em độ dài các trường sau ạ Host: 172.31.4.18
DB: rimsprod
Table: F09_HINHTHUCSUDUNGDAT
Column: 
TENHINHTHUCSUDUNGDAT -&gt; NVARCHAR(500)
MOTACHITIET -&gt; NVARCHAR(500) Cảm ơn team đã hỗ trợ ạ.</t>
  </si>
  <si>
    <t>[VCM] Update lại trạng thái SO và distribute request</t>
  </si>
  <si>
    <t>2026-05-15T23:01:36.294+0700</t>
  </si>
  <si>
    <t>2026-05-15T23:01:47.922+0700</t>
  </si>
  <si>
    <t>Do một vài thông tin bị sai lịch trong flash sale nên nhờ team DBA update lại các data như sau: Thông tin database onevc_vsm_prod: IP:  172.31.4.126 Database:  onevc_vsm_prod Thông tin database b2b_voucher_distribution:   IP:  172.31.4.82 Database:  b2b_voucher_distribution Nội dung migrate: Bước 1: Cập nhật lại trạng thái distribute request UPDATE
	onevc_vsm_prod.distribute_request dr
SET
	dr.status = 'STOCK_UPDATE'
WHERE
	dr.distribute_ref IN (
'MEKXD8L8',
'MA3EYEE8',
'MNL2DV9D',
'MNL2D2AR'
); Bước 2: Cập nhật lại thông tin SO: UPDATE
	b2b_voucher_distribution.sale_order_request sor
JOIN b2b_voucher_distribution.sale_order so ON
	sor.id = so.request_id
SET
	so.process_status = 'FAILED'
WHERE
	sor.order_ref_client IN (
'MEKXD8L8',
'MA3EYEE8',
'MNL2DV9D',
'MNL2D2AR'); Bước 3: Cập nhật thông tin SO Item: UPDATE
	b2b_voucher_distribution.sale_order_request sor
JOIN b2b_voucher_distribution.sale_order so 
ON
	sor.id = so.request_id
JOIN b2b_voucher_distribution.sale_order_item soi
	ON
	so.id = soi.sale_order_id
SET
	soi.status = 'FAILED'
WHERE
	sor.order_ref_client IN (
'MEKXD8L8',
'MA3EYEE8',
'MNL2DV9D',
'MNL2D2AR'); Bước 4: Cập nhật thông tin SO Request: UPDATE
	b2b_voucher_distribution.sale_order_request sor
SET
    sor.status = 'FAILED',
	sor.error_code = 50400001,
	sor.error_message = 'Read timeout'
WHERE
	sor.order_ref_client IN (
'MEKXD8L8',
'MA3EYEE8',
'MNL2DV9D',
'MNL2D2AR'); Cảm ơn team nhiều ạ.</t>
  </si>
  <si>
    <t>[DBA-SAPBASIS] Test &amp; đánh giá change machine type chip m1 trên SAP NONPROD</t>
  </si>
  <si>
    <t>2026-05-15T18:10:30.479+0700</t>
  </si>
  <si>
    <t>2026-05-15T18:10:31.252+0700</t>
  </si>
  <si>
    <t>Test chuyển machine type trên SAP NONPROD instance sap-hdb-dev để đánh giá các bước sẽ thực hiện trên môi trường SAP PROD: Chuyển machine type có thay đổi hardware key, có ảnh hưởng license hana database làm lock database không? Change machine type có thay đổi config network không? Backup backint database sử dụng GCS có lỗi sau khi change machine type không?</t>
  </si>
  <si>
    <t>[DBA-SAPBASIS] Xử lý sự cố lỗi backup hệ thống OM SAP ERP 10/05/2026 &amp; Incident report</t>
  </si>
  <si>
    <t>2026-05-15T18:04:31.011+0700</t>
  </si>
  <si>
    <t>2026-05-15T18:04:39.751+0700</t>
  </si>
  <si>
    <t xml:space="preserve">Xử lý sự cố lỗi hệ thống OM SAP ERP và HCM ngày 07/05/2026 và Incident Report:   </t>
  </si>
  <si>
    <t>[Nexa][PSS][V2][BAU][OPZ] Nhờ hỗ trợ tạo bảng, stored procedure và init data DB Oracle cho cụm OPZ Hệ thống PSS v2 môi trường PROD hạ tầng FTEL on-prem</t>
  </si>
  <si>
    <t>2026-05-15T17:54:35.812+0700</t>
  </si>
  <si>
    <t>2026-05-18T18:59:45.162+0700</t>
  </si>
  <si>
    <t>Em xin nhờ anh/chị tạo bảng, stored procedure và init data DB Oracle cho  cụm OPZ   môi trường PROD  của hệ thống  Payment Switching Service (PSS) version 2  thuộc dự án Nexa  hạ tầng FTEL on-prem Thông tin chung SAD: [ [PSS] Multi Availability Zone SAD | https://onemount.atlassian.net/wiki/spaces/nexa/pages/3389554689/PSS+Multi+Availability+Zone+SAD ] Bảng mapping các service của hệ thống PSS v2 sử dụng Infra service nào, sheet  TPZ   Infra, OPZ Infra  : [ [Nexa] PSS v2 Overview | https://docs.google.com/spreadsheets/d/1Z82dbJEmWAfWYNDKOYp1y5p26EntPxVcMd2H7AiW1H4/edit?pli=1&amp;gid=1627553322#gid=1627553322 ] Bảng thông tin các service của hệ thống PSS v2 chạy trên môi trường GCP, sheet  CICD Request : [ [Nexa] PSS v2 Overview | https://docs.google.com/spreadsheets/d/1Z82dbJEmWAfWYNDKOYp1y5p26EntPxVcMd2H7AiW1H4/edit?pli=1&amp;gid=1627553322#gid=1627553322 ] Thông tin create table: Oracle  - Schema  PSS_APRV:     Oracle  - Schema  PSS_MST:     Oracle  - Schema  PSS_STLMT:     Oracle  - Schema  PSS_LOG:     Thông tin script tạo Stored Procedure: Oracle  - Schema  PSS_MST:     Oracle  - Schema  PSS_STLMT:     Oracle  - Schema  PSS_LOG:     Thông tin init data: Oracle  - Schema  PSS_MST :  Lấy data các bảng sau từ môi trường v2UAT, lưu ý  KHÔNG migrate ID PSS_MST_V2UAT.MST_MEMBER PSS_MST_V2UAT.MST_MEMBER_KEY_PAIR PSS_MST_V2UAT.MST_SERVICE PSS_MST_V2UAT.MST_MEMBER_SERVICE_CODE PSS_MST_V2UAT.MST_CURRENCY PSS_MST_V2UAT.MST_TRANSACTION_TYPE PSS_MST_V2UAT.MST_BUSINESS_HOURS_CODE PSS_MST_V2UAT.MST_WEEKDAY_OPENING_DAY PSS_MST_V2UAT.MST_HOLIDAY_DAY PSS_MST_V2UAT.MST_MESSAGE_TEMPLATE PSS_MST_V2UAT.CFG_SYSTEM PSS_MST_V2UAT.CFG_ERROR PSS_MST_V2UAT.CFG_APP_PARAM PSS_MST_V2UAT.CFG_INVESTIGATION PSS_MST_V2UAT.CFG_INTEGRATION PSS_MST_V2UAT.CFG_REASON PSS_MST_V2UAT.CFG_CIRCUIT_BREAKER PSS_MST_V2UAT.CFG_IDENTIFIER PSS_MST_V2UAT.CFG_FEATURE_VERSION PSS_MST_V2UAT.MST_SETTLEMENT_SESSION PSS_MST_V2UAT.MST_PAYMENT_SESSION PSS_MST_V2UAT.MST_CLEARING_SESSION PSS_APRV_V2UAT.APRV_RULE_ASSIGNMENT</t>
  </si>
  <si>
    <t>[MAG][AAM][NonProd] Nhờ tạo khởi tạo lại database MySQL trên môi trường non-prod cho dự án AAM</t>
  </si>
  <si>
    <t>2026-05-15T16:12:32.762+0700</t>
  </si>
  <si>
    <t>2026-05-15T16:13:05.095+0700</t>
  </si>
  <si>
    <t xml:space="preserve">Dear  @Đào Công Nghĩa  team AAM cần init lại database  aam-dev  cho môi trường dev, nhờ b drop và tạo lại db giúp m ạ. m xin cám ơn Thông tin: database:  aam-dev SAD dựa án:   </t>
  </si>
  <si>
    <t>[VCM] Thêm index cho table sale_order_extra_data</t>
  </si>
  <si>
    <t>2026-05-15T15:47:06.867+0700</t>
  </si>
  <si>
    <t>2026-05-15T15:47:19.461+0700</t>
  </si>
  <si>
    <t>Hiện tại table  sale_order_extra_data  chưa có index theo  sale_order_id . Nhờ team DBA support thêm index cho table  sale_order_extra_data  theo thông tin sau: Thông tin database IP:  172.31.4.82 Database:  b2b_voucher_distribution Script thêm index: ALTER TABLE b2b_voucher_distribution.sale_order_extra_data 
ADD INDEX idx_sale_order_id (sale_order_id),
ALGORITHM = INPLACE, 
LOCK = NONE; Cảm ơn team nhiều ạ.</t>
  </si>
  <si>
    <t>[PROD][OMC][LP][Core] Hỗ trợ thêm attribute và master data</t>
  </si>
  <si>
    <t>2026-05-15T15:46:33.419+0700</t>
  </si>
  <si>
    <t>2026-05-15T15:46:46.674+0700</t>
  </si>
  <si>
    <t>Hi team, nhờ team DBA chạy script này trên môi trường PROD của DB Loyalty Oracle giúp team Loyalty ạ.   Database information IP: 10.255.23.119 Service name: oneloyaltydb Port: 1521 Schema app: OLOYALTY Time Run ticket: 15/05/2026 (Có thể chạy giờ hành chính) Nội dung script INSERT INTO OLOYALTY.REASON_CODE (CODE, NAME, BUSINESS_ID, PROGRAM_ID, FUNCTION_CODE_ID, DESCRIPTION, STATUS, CREATED_BY, CREATED_AT, UPDATED_BY, UPDATED_AT, APPROVED_BY, APPROVED_AT, CREATED_YMD, EN_NAME, DISPLAY_NAME, EN_DISPLAY_NAME) VALUES ('ADJ_115', 'Tặng điểm khi tham gia chương trình Techcombank', 346, 426, 103, 'Tặng điểm khi tham gia chương trình Techcombank', 'A', 'SYSTEM', TIMESTAMP '2026-05-13 00:00:00.000000', 'SYSTEM', TIMESTAMP '2026-05-13 00:00:00.000000', 'SYSTEM', TIMESTAMP '2026-05-13 00:00:00.000000', 20260513, 'Reward points for Techombank promotion program', 'Tặng điểm khách hàng tham gia chương trình “The Inner - Song hành độc bản 2026” từ MH X TCB', 'Loyalty points awarded for participating in “The Inner - Song hanh doc ban 2026” by MH X TCB');
INSERT INTO OLOYALTY.ATTRIBUTE_MASTER_DATA (PROGRAM_ID, ATTRIBUTE_CODE, ATTRIBUTE_TYPE, VALUE, STATUS, DESCRIPTION, CREATED_BY, CREATED_AT, UPDATED_BY, UPDATED_AT, APPROVED_BY, APPROVED_AT, CREATED_YMD) VALUES (426, 'TXN_ADJ_REASON', '1', 'ADJ_115', 'A', 'Tặng điểm khi tham gia chương trình Techcombank', 'SYSTEM', TIMESTAMP '2026-05-13 00:00:00.000000', 'SYSTEM', TIMESTAMP '2026-05-13 00:00:00.000000', 'SYSTEM', TIMESTAMP '2026-05-13 00:00:00.000000', 20260513);
COMMIT;  </t>
  </si>
  <si>
    <t>[PROD][UPay] Support vận hành import thiết bị soundbox mới và Update thông tin GD sync từ lake do sai key k mapping</t>
  </si>
  <si>
    <t>2026-05-15T15:41:33.014+0700</t>
  </si>
  <si>
    <t>2026-05-15T15:41:44.200+0700</t>
  </si>
  <si>
    <t>Hi các anh team DBA, Thông tin database saas_tpay:  pay-tidb.int.onemount.com:4000/saas_tpay Nhờ anh  @Nguyễn Văn Dũng chạy giúp em script sau ạ: UPDATE TCB_DEVICE SET PHYSICAL_STATUS = 'RETURNED' WHERE device_serial_number IN ('38250330317108','38250330301988');
UPDATE CARD_PAYMENT_TRANSACTION_DETAIL SET settlement_id  = 'VS26093335981841' ,
settlement_date = '2026-04-03 00:00:00.000', value_date = '2026-04-03 00:00:00.000',
extan_code = '613597', tax = '1691.00', fee = '16909.00', sync_data_order_description = 'TT THE VISANN SO TIEN:492980VND NGAY:02/04/2026 SO THE:414003XXXXXX0924 APP CODE 251713 POS 60002541'
WHERE transaction_id = '6ce9d2af15fe4c2fbfce4c9c9fbe9068';
UPDATE CARD_PAYMENT_TRANSACTION_DETAIL SET settlement_id  = 'VS26093187138019' ,
settlement_date = '2026-04-03 00:00:00.000', value_date = '2026-04-03 00:00:00.000',
extan_code = '625772', tax = '4390.00', fee = '43905.00', sync_data_order_description = 'TT THE VISA SO TIEN:1995680VND NGAY:02/04/2026 SO THE:445094XXXXXX9170 APP CODE 008274 POS 60002541'
WHERE transaction_id = '23faa9d9a92c454b8f4eabbf459c3d21';
UPDATE CARD_PAYMENT_TRANSACTION_DETAIL SET settlement_id  = 'VS26093334782174' ,
settlement_date = '2026-04-03 00:00:00.000', value_date = '2026-04-03 00:00:00.000',
extan_code = '555026', tax = '7606.00', fee = '76056.00', sync_data_order_description = 'TT THE VISA SO TIEN:1995680VND NGAY:02/04/2026 SO THE:445094XXXXXX9170 APP CODE 008274 POS 60002541'
WHERE transaction_id = '1add573f516846f28acf941ccb220809';
UPDATE CARD_PAYMENT_TRANSACTION_DETAIL SET settlement_id  = 'VS26093334777980' ,
settlement_date = '2026-04-03 00:00:00.000', value_date = '2026-04-03 00:00:00.000',
extan_code = '540397', tax = '973.00', fee = '9730.00', sync_data_order_description = 'TT THE VISA SO TIEN:442260VND NGAY:02/04/2026 SO THE:452404XXXXXX9724 APP CODE 002399 POS 60002541'
WHERE transaction_id = 'a2fd77626bc5455790c754def9aef7b6';
UPDATE CARD_PAYMENT_TRANSACTION_DETAIL SET settlement_id  = 'VS26093187138439' ,
settlement_date = '2026-04-03 00:00:00.000', value_date = '2026-04-03 00:00:00.000',
extan_code = '626574', tax = '2177.00', fee = '21769.00', sync_data_order_description = 'TT THE VISA SO TIEN:989496VND NGAY:02/04/2026 SO THE:427126XXXXXX1240 APP CODE 561658 POS 60002541'
WHERE transaction_id = '5adb33e55b4e453db510c6c3fc64ce2f';
UPDATE CARD_PAYMENT_TRANSACTION_DETAIL SET settlement_id  = 'VS26093334780376' ,
settlement_date = '2026-04-03 00:00:00.000', value_date = '2026-04-03 00:00:00.000',
extan_code = '551387', tax = '5843.00', fee = '58426.00', sync_data_order_description = 'TT THE VISA SO TIEN:2655720VND NGAY:02/04/2026 SO THE:401559XXXXXX5243 APP CODE 885580 POS 60002541'
WHERE transaction_id = 'abea1227bcde425183f7f2b0f578da96';
UPDATE CARD_PAYMENT_TRANSACTION_DETAIL SET settlement_id  = 'VS26093334780384' ,
settlement_date = '2026-04-03 00:00:00.000', value_date = '2026-04-03 00:00:00.000',
extan_code = '550972', tax = '5959.00', fee = '59590.00', sync_data_order_description = 'TT THE VISA SO TIEN:2708640VND NGAY:02/04/2026 SO THE:437841XXXXXX7176 APP CODE 008890 POS 60002541'
WHERE transaction_id = '4ada7a6e72cc4d61a44dccaa5cee410b';</t>
  </si>
  <si>
    <t xml:space="preserve">[PROD][Mongo] Hỗ trợ export db </t>
  </si>
  <si>
    <t>2026-05-15T15:26:01.489+0700</t>
  </si>
  <si>
    <t>2026-05-18T11:00:23.859+0700</t>
  </si>
  <si>
    <t>Dear anh Linh, Do có nhu cầu phân tích nhu cầu người dùng cho luồng AI chat nên team request nhờ anh hỗ trợ export DB với các thông tin dưới đây  Host: omc-oneu-vourcher.8j11t.mongodb.net
Port: 27017
DB name: omc_dynamic_content
Collection name: ai_chat_logs Cần thêm thôn tin nào nhờ anh comment giúp team ạ</t>
  </si>
  <si>
    <t>[NCO][PROD] Update loyalty service code for OMCTOPUPIMEDIA</t>
  </si>
  <si>
    <t>2026-05-15T11:34:59.397+0700</t>
  </si>
  <si>
    <t>2026-05-15T11:35:16.995+0700</t>
  </si>
  <si>
    <t>Hi Nghĩa, Nhờ anh chạy giúp em thông tin dưới đây: IP:  172.31.4.9 Database:  ecom_configuration Script: UPDATE `merchant_payment_configs` SET `loyalty_service_code`='TOP_UP' WHERE id in (279, 612, 281, 610, 283, 608, 285, 606);</t>
  </si>
  <si>
    <t>[PROD] Chạy câu lệnh SQL Topup ngày 15/05</t>
  </si>
  <si>
    <t>2026-05-15T09:51:20.192+0700</t>
  </si>
  <si>
    <t>2026-05-15T09:51:45.797+0700</t>
  </si>
  <si>
    <t>Dear anh Nghĩa, Nhờ anh chạy câu lệnh SQL với các thông tin dưới đây ạ IP: 172.31.1.197
DB name: topup SQL: UPDATE `orders` SET `status` = 'FAIL_ORDER' WHERE `orders`.`id` = '202604141000230'; Thread:  https://chat.google.com/room/AAAAcRDBf68/yzjedDjt7Ho/yzjedDjt7Ho?cls=10 Em cảm ơn anh.</t>
  </si>
  <si>
    <t>2026-05-15T09:45:56.454+0700</t>
  </si>
  <si>
    <t>2026-05-15T09:46:07.283+0700</t>
  </si>
  <si>
    <t>[PROD] Hỗ trợ chạy lệnh SQL phục vụ golive ngày 14/05</t>
  </si>
  <si>
    <t>2026-05-15T09:20:22.290+0700</t>
  </si>
  <si>
    <t>2026-05-15T09:20:38.675+0700</t>
  </si>
  <si>
    <t>Dear anh Nghĩa, Ngày 14/05 lúc 21h team AI có thực hiện golive tính năng context engine, nhờ anh hỗ trợ team chạy các câu lệnh SQL nhé ạ. Thông tin DB: IP: omc-tidb-mtp.int.onemount.com
Port: 4000
DB Name: omc_context_engine SQL: ALTER TABLE context_engine_rule ADD COLUMN scenario_idx INT NOT NULL DEFAULT 0;
CREATE INDEX idx_chain_scenario ON context_engine_rule(context_chain, scenario_idx); Em cảm ơn anh</t>
  </si>
  <si>
    <t>[PROD][OneU] Chạy câu lệnh SQL golive ngày 14/05</t>
  </si>
  <si>
    <t>2026-05-15T09:11:12.549+0700</t>
  </si>
  <si>
    <t>2026-05-15T09:19:45.220+0700</t>
  </si>
  <si>
    <t>Dear anh Nghĩa, Nhờ anh hỗ trợ team chạy câu lệnh SQL với các thông tin dưới đây ạ IP: 172.31.4.23
DB name: remote_config SQL: ALTER TABLE `history_record` MODIFY `data` LONGTEXT NOT NULL;</t>
  </si>
  <si>
    <t>[OMD][ODS][PROD]Xóa index Hybris oracle không sử dụng trên ODS</t>
  </si>
  <si>
    <t>2026-05-15T08:58:44.386+0700</t>
  </si>
  <si>
    <t>2026-05-20T14:20:32.673+0700</t>
  </si>
  <si>
    <t>Nhờ team DBA xóa các index không sử dụng trong thời gian dài (access NULL) trong link sau để tích kiệm tài nguyên ạ. E cảm ơn   Thông tin DB tidb.int.onemount.com:4000
schema: omd_oracle_hybris</t>
  </si>
  <si>
    <t>[OMC][MTP] Clear dữ liệu tracking tháng 04/2026 và hỗ trợ golive Segmentation</t>
  </si>
  <si>
    <t>2026-05-14T22:07:15.189+0700</t>
  </si>
  <si>
    <t>2026-05-14T22:07:32.347+0700</t>
  </si>
  <si>
    <t>Dear anh  @Nguyễn Văn Dũng  , nhờ anh chạy giúp em query sau để thực hiện clear dữ liệu tracking &amp; activation tháng 04/2026. -- DB: TiDB-OMC
-- OMC
use omc_mtp_tracking_events;
ALTER TABLE omc_mtp_tracking_events.mtp_tracking_events_omc  DROP INDEX idx_u_message_id;
ALTER TABLE omc_mtp_tracking_events.mtp_tracking_events_omc DROP PARTITION p20260401;
-- ALTER TABLE omc_mtp_tracking_events.mtp_tracking_events_omc DROP PARTITION p20260302;
ALTER TABLE omc_mtp_tracking_events.mtp_tracking_events_context_omc DROP PARTITION p20260401;
-- ALTER TABLE omc_mtp_tracking_events.mtp_tracking_events_context_omc DROP PARTITION p20260302;
-- ALTER TABLE omc_mtp_tracking_events.mtp_tracking_event_sessions DROP PARTITION p2026_03;
use omc_mtp_martech_activation;
ALTER TABLE omc_mtp_martech_activation.mtp_ads_events DROP PARTITION p2026_04;
ALTER TABLE omc_mtp_martech_activation.mtp_push_events DROP PARTITION p2026_04;
ALTER TABLE omc_mtp_martech_activation.mtp_tracking_email_events DROP PARTITION p2026_04;
ALTER TABLE omc_mtp_martech_activation.mtp_tracking_email_notifications DROP PARTITION p2026_04;
ALTER TABLE omc_mtp_martech_activation.mtp_tracking_fcm_messages DROP PARTITION p2026_04;
ALTER TABLE omc_mtp_martech_activation.mtp_tracking_push_notifications DROP PARTITION p2026_04;
-- OMRE
use omre_mtp_tracking_events;
ALTER TABLE omre_mtp_tracking_events.mtp_tracking_events_omre  DROP INDEX idx_u_message_id;
ALTER TABLE omre_mtp_tracking_events.mtp_tracking_events_omre drop partition p20260401;
-- ALTER TABLE omre_mtp_tracking_events.mtp_tracking_events_omre drop partition p20260302;
ALTER TABLE omre_mtp_tracking_events.mtp_tracking_events_context_omre DROP PARTITION p20260401;
-- ALTER TABLE omre_mtp_tracking_events.mtp_tracking_events_context_omre DROP PARTITION p20260302;
-- create global index
use omc_mtp_tracking_events;
ALTER TABLE omc_mtp_tracking_events.mtp_tracking_events_omc ADD UNIQUE INDEX idx_u_message_id (message_id) GLOBAL;
use omre_mtp_tracking_events;
ALTER TABLE omre_mtp_tracking_events.mtp_tracking_events_omre ADD UNIQUE INDEX idx_u_message_id (message_id) GLOBAL; -- DB: TiDB-OMC
ALTER TABLE omc_mtp_user_profile.identified_profile ADD COLUMN link_acc_date DATE;
-- Lưu ý: chỉ chạy câu này tại thời điểm golive services. Best regards Dinh Quang Nguyen</t>
  </si>
  <si>
    <t>[Nexa][PGW][Prod] Clear data test môi trường Prod choTidb</t>
  </si>
  <si>
    <t>2026-05-14T17:46:23.664+0700</t>
  </si>
  <si>
    <t>2026-05-14T18:23:17.410+0700</t>
  </si>
  <si>
    <t>Nexa_PGW</t>
  </si>
  <si>
    <t>Dear DBA team,   Nhằm phục vụ cho PGW golive official với OneU vào ngày 15/05/2026. Nhờ team clear data test trên môi trường prod cho các bảng trên TiDb, thông tin cụ thể như sau: Action: Truncate table Các bảng + Schema: Chi tiết trong file đính kèm  v1_golive_150526_clean_data.sql</t>
  </si>
  <si>
    <t>Tạo RDS Postgres Database</t>
  </si>
  <si>
    <t>2026-05-14T17:40:55.441+0700</t>
  </si>
  <si>
    <t>2026-05-18T15:36:08.378+0700</t>
  </si>
  <si>
    <t>Hi team, Mình cần tạo 1 DB dùng RDS cho Postgres 18 trên AWS. Mục đích nhằm phục vụ cho hạ tầng development của FDP. Nhờ team xử lý giúp mình nhé. Xin cảm ơn ạ.</t>
  </si>
  <si>
    <t>[PROD][UPay][ECOM] Tạo config hạn mức thanh toán riêng cho merchant tcb life</t>
  </si>
  <si>
    <t>2026-05-14T16:36:27.649+0700</t>
  </si>
  <si>
    <t>2026-05-14T16:36:41.160+0700</t>
  </si>
  <si>
    <t>Hi các anh team DBA, Thông tin database saas_tpay:  pay-tidb.int.onemount.com:4000/saas_tpay Nhờ team chạy giúp em script sau ạ: insert into LIMIT_CONFIG (limit_config_id, level, merchant_code, payment_method, min_amount, max_amount, is_active, created_by) values (15, 'PRIVATE', 'TCLIFE', 'ECOM_CARD_DOMESTIC', 2000, 200000000, true, 'vinh.le2'),        (16, 'PRIVATE', 'TCLIFE', 'ECOM_CARD_INTERNATIONAL', 1000, 500000000, true, 'vinh.le2');</t>
  </si>
  <si>
    <t xml:space="preserve">[UPay][PROD] Hỗ trợ update cấu hình validate thẻ nội địa TCB </t>
  </si>
  <si>
    <t>2026-05-14T16:33:19.997+0700</t>
  </si>
  <si>
    <t>2026-05-14T16:33:28.713+0700</t>
  </si>
  <si>
    <t>UPAY, payment-gateway</t>
  </si>
  <si>
    <t>Dear team DBA, Team phát hiện issue liên quan đến thanh toán thẻ nội địa Techcombank trên app OneU và cần update cấu hình sau: Thông tin DB:  vinpay-sql-onehub-master.int.vinid.net:3306/pay_payment_gateway Lệnh update cấu hình: UPDATE SOURCE_CONFIG SET extra_data='{"expire_date_required": false, "holder_name_required": true, "issuing_date_required": true}' where id='9'; Nhờ team thực hiện</t>
  </si>
  <si>
    <t>[omd][hub-partner-api] XIn cấp database cho api iams-hub và twf-hub</t>
  </si>
  <si>
    <t>2026-05-14T15:19:21.892+0700</t>
  </si>
  <si>
    <t>2026-05-14T15:19:38.846+0700</t>
  </si>
  <si>
    <t>Hi  @Hà Văn Vượng   Nhờ chú tạo giúp anh các DB bên dứoi phục vụ cho việc tách api cho dự án mag hub nhé I*AMS-HUB: ( mysql)* gcp project: vinid-app-common-dev instance : main-mysql-8-2 (172.31.0.68) dev env: omd_iamshub_dev qc env: omd_iamshub_qc uat env: omd_iamshub_uat TWF-HUB: ( postgre) gcp project: vinid-app-common-dev instance: main-postgres (172.31.1.12) dev env: omd_twfhub_dev qc env: omd_twfhub_qc uat env: omd_twfhub_uat</t>
  </si>
  <si>
    <t>[GiaBinh][MAN-MAC][NonProd] Nhờ cấp tài khoản truy cập Database Postgres</t>
  </si>
  <si>
    <t>2026-05-14T13:24:18.814+0700</t>
  </si>
  <si>
    <t>2026-05-14T13:24:28.124+0700</t>
  </si>
  <si>
    <t>Nhờ anh  @Đào Công Nghĩa  tạo tài khoản truy cập database postgres của dự án Sitegate với các thông tin sau: Tệp user sử dụng: Dev outsource KBG Mục đích: Debug trong quá trình code Yêu cầu: User có quyền RO và có expire time</t>
  </si>
  <si>
    <t>[PROD] [VCM] Update sub_service_code</t>
  </si>
  <si>
    <t>2026-05-14T12:09:19.531+0700</t>
  </si>
  <si>
    <t>2026-05-14T12:09:29.410+0700</t>
  </si>
  <si>
    <t>Dear DBA Team nhờ team hỗ trợ chay update sub_service_attribute. IP: 172.31.1.41
DB NAME: vincart_mm_product
Bảng: vincart_mm_product.entity_attributes_values UPDATE vincart_mm_product.entity_attributes_values set value='VOUCHER_2' where value='UPOINT' and name = 'sub_service_code' and type ='VARIANT';</t>
  </si>
  <si>
    <t>2026-05-14T12:05:47.613+0700</t>
  </si>
  <si>
    <t>2026-05-14T12:06:08.840+0700</t>
  </si>
  <si>
    <t>Dear team DBA. Team Pay có thực hiện update thông tin cho merchant. Nhờ team DAB hỗ trợ với thông tin cụ thể như sau Thông tin database jdbc:mysql://pay-tidb.int.onemount.com:4000/saas_tpay script UPDATE UNIFIED_STORE SET store_code = '463_1' where merchant_code = 'TCH' AND store_code = '463';
UPDATE STORE SET STORE_CODE = '463_1' where merchant_code = 'TCH' AND STORE_CODE = '463';
UPDATE SERVICE SET STORE_CODE = '463_1' where merchant_code = 'TCH' AND STORE_CODE = '463';
UPDATE UNIFIED_STORE SET store_code = '397_1' where merchant_code = 'TCH' AND store_code = '397';
UPDATE STORE SET STORE_CODE = '397_1' where merchant_code = 'TCH' AND STORE_CODE = '397';
UPDATE SERVICE SET STORE_CODE = '397_1' where merchant_code = 'TCH' AND STORE_CODE = '397';</t>
  </si>
  <si>
    <t>[PROD][UPAY][BO] Update Thông tin đơn WCM lệnh ngày đối soát</t>
  </si>
  <si>
    <t>2026-05-14T12:03:20.125+0700</t>
  </si>
  <si>
    <t>2026-05-14T12:03:35.309+0700</t>
  </si>
  <si>
    <t>Hi a   @Đào Công Nghĩa  , nhờ a chạy giúp e script bên dưới với ạ Thông tin database:  172.31.1.133:3306/reconciliation UPDATE RECONCILIATION_TRANSACTION_07
SET
    SETTLEMENT_DATE     = 1777827600,
    SUB_SETTLEMENT_DATE = 1777827600
WHERE
    PN_TRANSACTION_DATE = '20260504'
    AND SETTLEMENT_DATE = 1777136400;</t>
  </si>
  <si>
    <t>[Merchant-TCB] update thông tin merchant</t>
  </si>
  <si>
    <t>2026-05-14T12:01:17.047+0700</t>
  </si>
  <si>
    <t>2026-05-14T12:02:12.120+0700</t>
  </si>
  <si>
    <t>Dear team, Nhờ team chạy giúp câu lệnh bên dưới ạ. Thông tin database https://console.cloud.google.com/sql/instances/merchant-tcb/overview?inv=1&amp;invt=AbsndA&amp;project=vinid-merchant-prod DB_MYSQL_HOST=172.31.4.108
DB_MYSQL_DATABASE=merchant_service_tcb Câu lệnh UPDATE tpay_store SET tcb_store_code = '463_1' where tcb_merchant_code = 'TCH' and tcb_store_code = '463';
UPDATE tpay_store SET tcb_store_code = '397_1' where tcb_merchant_code = 'TCH' and tcb_store_code = '397';</t>
  </si>
  <si>
    <t>[Nexa][PG][PROD][BAU] Clear data test môi trường Prod cho Oracle DB</t>
  </si>
  <si>
    <t>2026-05-14T11:56:30.092+0700</t>
  </si>
  <si>
    <t>2026-05-14T12:02:49.115+0700</t>
  </si>
  <si>
    <t>Dear DBA team, Nhằm phục vụ cho PGW golive official với OneU vào ngày 15/05/2026. Nhờ team clear data test trên môi trường prod cho các bảng trên Oracle DB và TiDb, thông tin cụ thể như sau: Action: Truncate table Các bảng + Schema: Chi tiết trong file đính kèm  v1_golive_150526_clean_data.sql</t>
  </si>
  <si>
    <t>[UPay][PROD] Hỗ trợ cấu hình nguồn tiền TCB Direct ngày 12/5/2026</t>
  </si>
  <si>
    <t>2026-05-14T11:35:31.356+0700</t>
  </si>
  <si>
    <t>2026-05-14T11:35:42.462+0700</t>
  </si>
  <si>
    <t>Dear team DBA, Ngày 12/5 team cần Bật/tắt cấu hình dịch vụ TCB Direct để hỗ trợ OMC test dịch vụ, nhờ anh/em support ạ Thông tin DB:  vinpay-sql-onehub-master.int.vinid.net:3306/pay_payment_gateway Lệnh bật cấu hình: UPDATE pay_payment_gateway.PROVIDER SET IS_ACTIVE=1 WHERE provider_id='41';</t>
  </si>
  <si>
    <t>[OMD][Kafka][Prod] Tạo kafka topic cho bảng nguồn MerchantService TCB phục vụ dự án MerchantHub</t>
  </si>
  <si>
    <t>2026-05-13T23:51:38.719+0700</t>
  </si>
  <si>
    <t>2026-05-14T19:11:58.831+0700</t>
  </si>
  <si>
    <t>Hiện tại OMD đang có nhu cầu kéo dữ liệu các bảng sau nhờ anh Linh tạo kafka topic ở môi trường PROD giúp team để kéo data về DP. PROD: IP host: 172.31.4.108:3306 Schema: merchant_service_tcb Table list: tpay_business_type</t>
  </si>
  <si>
    <t>2026-05-13T23:51:23.156+0700</t>
  </si>
  <si>
    <t>2026-05-14T19:25:42.299+0700</t>
  </si>
  <si>
    <t>Hiện tại OMD đang có nhu cầu kéo dữ liệu các bảng sau nhờ anh Linh tạo kafka topic ở môi trường PROD giúp team để kéo data về DP. PROD: IP host: 172.31.4.29:5432 Schema: mhpos_catalog Table list: unit</t>
  </si>
  <si>
    <t>[Merchant-TCB] Hỗ trợ cập nhật/query dữ liệu 20260512</t>
  </si>
  <si>
    <t>2026-05-13T17:43:21.785+0700</t>
  </si>
  <si>
    <t>2026-05-13T17:43:31.551+0700</t>
  </si>
  <si>
    <t>Dear team, Với mục đích tunning query/ index và đồng bộ schema database từ production về qc/uat. Nhờ team hỗ trợ export schema hiện tại trên production ạ. Thông tin bao gồm table struct index số lượng bản ghi hiện có của các bảng có prefix tpay_ * Thông tin database https://console.cloud.google.com/sql/instances/merchant-tcb/overview?inv=1&amp;invt=AbsndA&amp;project=vinid-merchant-prod DB_MYSQL_HOST=172.31.4.108
DB_MYSQL_DATABASE=merchant_service_tcb</t>
  </si>
  <si>
    <t>[Prod] Xoá cache redis - VCM</t>
  </si>
  <si>
    <t>2026-05-13T17:30:47.702+0700</t>
  </si>
  <si>
    <t>2026-05-13T17:30:55.192+0700</t>
  </si>
  <si>
    <t xml:space="preserve">host:  vincart-prod--vmm.memstore.int database: 5 key redis:  vmm:product:get_voucher_recommended_system_tag* Xoá cache có prefix {{vmm:product:get_voucher_recommended_system_tag, }}giá trị có thể là  vmm:product:get_voucher_recommended_system_tag :CLAIM:TCB </t>
  </si>
  <si>
    <t>yêu cầu truy cập db dev erp_integration</t>
  </si>
  <si>
    <t>2026-05-13T15:17:35.632+0700</t>
  </si>
  <si>
    <t>2026-05-14T09:26:42.134+0700</t>
  </si>
  <si>
    <t>yêu cầu truy cập db dev erp_integration host  common-dev-postgres.cr62264i6qsz.ap-southeast-1.rds.amazonaws.com</t>
  </si>
  <si>
    <t>[OMC][GAMI][PS2][Prod] Hỗ trợ lấy danh sách accept challenge cho campaign TCB[OMC][GAMI][PS2][Prod] Hỗ trợ lấy danh sách accept challenge cho campaign TCB</t>
  </si>
  <si>
    <t>2026-05-13T12:11:43.027+0700</t>
  </si>
  <si>
    <t>2026-05-13T12:12:01.730+0700</t>
  </si>
  <si>
    <t>[Non-PROD][UPay][ECOM] Tạo config hạn mức thanh toán riêng cho merchant tcb life</t>
  </si>
  <si>
    <t>2026-05-13T12:01:57.410+0700</t>
  </si>
  <si>
    <t>2026-05-13T12:02:13.433+0700</t>
  </si>
  <si>
    <t>Hi các anh team DBA, Thông tin database saas_tpay:  pay-tidb.int.onemount.com:4000/saas_tpay Nhờ team chạy giúp em script sau ạ: insert into LIMIT_CONFIG (limit_config_id, level, merchant_code, payment_method, min_amount, max_amount, is_active, created_by)
values (15, 'PRIVATE', 'TCLIFE', 'ECOM_CARD_DOMESTIC', 2000, 200000000, true, 'vinh.le2'),
       (16, 'PRIVATE', 'TCLIFE', 'ECOM_CARD_INTERNATIONAL', 1000, 500000000, true, 'vinh.le2');</t>
  </si>
  <si>
    <t>[NCO][PROD] Create subservice code is Upoint for voucher</t>
  </si>
  <si>
    <t>2026-05-13T11:58:41.241+0700</t>
  </si>
  <si>
    <t>2026-05-13T11:58:54.614+0700</t>
  </si>
  <si>
    <t>Hi Nghĩa, Nhờ anh chạy giúp em thông tin dưới đây: IP:  172.31.4.9 Database:  ecom_configuration Script: UPDATE `merchant_payment_configs` SET `loyalty_service_code`='VOUCHER_REDEMPTION' WHERE id = 672;</t>
  </si>
  <si>
    <t>[omd][mag-pms][np] XIn cấp database cho dự án pms môi trường non-prod</t>
  </si>
  <si>
    <t>2026-05-13T11:51:22.961+0700</t>
  </si>
  <si>
    <t>2026-05-13T11:51:58.473+0700</t>
  </si>
  <si>
    <t>Hi anh Linh dự án  Procurement Management System  (PMS) cần sử dụng db mysql SAD:    Nhờ anh cấp giúp dự án các DB môi trường Non-prod theo thông tin bên dưới anh nhé gcp project: vinid-app-common-dev instance: main-mysql-8-2 dev env: omd_pms_dev qc env: omd_pms_qc uat env: omd_pms_uat Em cảm ơn anh ạ!</t>
  </si>
  <si>
    <t>[BE][PROD] Xin tạo User readonly trên DB Mongo PROD</t>
  </si>
  <si>
    <t>2026-05-13T11:39:44.555+0700</t>
  </si>
  <si>
    <t>2026-05-13T12:02:02.693+0700</t>
  </si>
  <si>
    <t>Dear anh Linh, Nhờ anh hỗ trợ team tạo user read only với các thông tin dưới đây ạ Database name: omc_dynamic_content
Host: omc-oneu-vourcher.8j11t.mongodb.net
Permission: read Anh cần thêm thông tin nào nhờ anh comment giúp em nhé ạ. Em cảm ơn anh</t>
  </si>
  <si>
    <t>[PROD] Chạy câu lệnh SQL Topup ngày 13-05</t>
  </si>
  <si>
    <t>2026-05-13T10:47:49.879+0700</t>
  </si>
  <si>
    <t>2026-05-13T11:07:44.075+0700</t>
  </si>
  <si>
    <t xml:space="preserve">Dear anh Nghĩa, Nhờ anh hỗ trợ team map lại product id của đối tác với các thông tin sau: IP: 172.31.1.197
DB: topup SQL: UPDATE `phone_card_mapping` SET `product_id_imedia` = '626' WHERE `phone_card_mapping`.`id` = '140';
UPDATE `phone_card_mapping` SET `product_id_imedia` = '627' WHERE `phone_card_mapping`.`id` = '141';
UPDATE `phone_card_mapping` SET `product_id_imedia` = '628' WHERE `phone_card_mapping`.`id` = '142';
UPDATE `phone_card_mapping` SET `product_id_imedia` = '629' WHERE `phone_card_mapping`.`id` = '143';
UPDATE `phone_card_mapping` SET `product_id_imedia` = '630' WHERE `phone_card_mapping`.`id` = '144';
UPDATE `phone_card_mapping` SET `product_id_imedia` = '631' WHERE `phone_card_mapping`.`id` = '145';
UPDATE `phone_card_mapping` SET `product_id_imedia` = '632' WHERE `phone_card_mapping`.`id` = '146';
UPDATE `phone_card_mapping` SET `product_id_imedia` = '633' WHERE `phone_card_mapping`.`id` = '147'; Thread:  https://chat.google.com/room/AAAARoj0WGQ/EbPt5e0OblU/EbPt5e0OblU?cls=10 Em cảm ơn anh </t>
  </si>
  <si>
    <t>[UPAY] [PS2] [GL] Update master data - Bổ sung thêm mã reason_code vào bảng general_ledger_data_list</t>
  </si>
  <si>
    <t>2026-05-13T10:22:30.013+0700</t>
  </si>
  <si>
    <t>2026-05-13T10:23:17.819+0700</t>
  </si>
  <si>
    <t>Hi các anh DBA, Hiện tại em nhận được request update bổ sung thêm mã reason_code vào bảng  general_ledger_data_list  từ phía PO TCB. Nhờ các anh review và chạy giúp em với ạ, INSERT INTO general_ledger_data_list (service, data_key, data_value, data_name, created_at) VALUES ('general_ledger', 'adj_txn_reason_code', 'ADJ_115', 'TẶNG ĐIỂM KHÁCH HÀNG THAM GIA CHƯƠNG TRÌNH \'THE INNER – SONG HÀNH ĐỘC BẢN 2026\' TỪ MH X TCB', '2026-05-12 14:41:58'); Em gửi thông tin DB :  tidb.int.onemount.com:4000/vinpay_vinpay_prod_saas_ps2_general_ledger . Thời gian chạy,  15h00 ngày 12-05-2026 Thanks các anh,</t>
  </si>
  <si>
    <t>[PROD] migrate dữ liệu - VCM</t>
  </si>
  <si>
    <t>2026-05-13T09:17:41.504+0700</t>
  </si>
  <si>
    <t>2026-05-13T09:17:52.118+0700</t>
  </si>
  <si>
    <t>dba</t>
  </si>
  <si>
    <t>IP: 172.31.4.9 Database: ecom_context UPDATE ecom_rule_engine.rule_configs SET end_at='2050-10-23 05:14:59' where rule_type='USER_CONTEXT' AND code in ('breakfast','lunch','afternoon','dinner', 'supper');</t>
  </si>
  <si>
    <t>[OMC][OneU][PROD] Xóa cart các merchant food</t>
  </si>
  <si>
    <t>2026-05-12T22:51:31.385+0700</t>
  </si>
  <si>
    <t>2026-05-12T22:51:56.711+0700</t>
  </si>
  <si>
    <t>Dear team Do vận hành có nhu cầu tối ưu các merchant food_delivery. Nhờ mọi người chạy giúp em câu lệnh sau để xóa cart của food_delivery  host : vincart-prod--vmm.memstore.int port : 6379 database : 4 redis-cli -h vincart-prod--vmm.memstore.int -p 6379 -n 4 --scan --pattern "vincart:vmm:cart:food:*" | xargs -r -L 100 redis-cli -h vincart-prod--vmm.memstore.int -p 6379 -n 4 UNLINK</t>
  </si>
  <si>
    <t>2026-05-12T17:05:03.579+0700</t>
  </si>
  <si>
    <t>2026-05-12T17:50:17.422+0700</t>
  </si>
  <si>
    <t>IP (Host):   ces-production.crcykac8kxtw.ap-southeast-1.rds.amazonaws.com Port:   3306 DB Name:  ces_mh_mpm Command:   DROP PROCEDURE soft_delete_employee;
drop PROCEDURE hard_delete_employee;
CREATE PROCEDURE soft_delete_employee(IN employee_ids TEXT)
BEGIN
    UPDATE hrm_employee
    SET deleted = TRUE
    WHERE FIND_IN_SET(
                  CONVERT(id USING utf8mb4) COLLATE utf8mb4_unicode_ci,
                  employee_ids COLLATE utf8mb4_unicode_ci
          );
    UPDATE hrm_employee_assignment
    SET deleted = TRUE
    WHERE FIND_IN_SET(
                  CONVERT(employee_id USING utf8mb4) COLLATE utf8mb4_unicode_ci,
                  employee_ids COLLATE utf8mb4_unicode_ci
          );
    UPDATE hrm_employee_account_link
    SET deleted = TRUE
    WHERE FIND_IN_SET(
                  CONVERT(employee_id USING utf8mb4) COLLATE utf8mb4_unicode_ci,
                  employee_ids COLLATE utf8mb4_unicode_ci
          );
    UPDATE hrm_account
    SET deleted = TRUE
    WHERE id IN (
        SELECT account_id
        FROM hrm_employee_account_link
        WHERE FIND_IN_SET(
                CONVERT(employee_id USING utf8mb4) COLLATE utf8mb4_unicode_ci,
                employee_ids COLLATE utf8mb4_unicode_ci
              )
          AND deleted = TRUE
    );
    UPDATE hrm_employee_assignment
    SET report_to_id = NULL
    WHERE FIND_IN_SET(
                  CONVERT(report_to_id USING utf8mb4) COLLATE utf8mb4_unicode_ci,
                  employee_ids COLLATE utf8mb4_unicode_ci
          );
    UPDATE hrm_acc_tenant_role
    SET employee_id = NULL
    WHERE FIND_IN_SET(
                  CONVERT(employee_id USING utf8mb4) COLLATE utf8mb4_unicode_ci,
                  employee_ids COLLATE utf8mb4_unicode_ci
          );
    UPDATE prj_staffs
    SET staff_id = NULL
    WHERE FIND_IN_SET(
                  CONVERT(staff_id USING utf8mb4) COLLATE utf8mb4_unicode_ci,
                  employee_ids COLLATE utf8mb4_unicode_ci
          );
END;
create procedure hard_delete_employee()
BEGIN
    DELETE FROM hrm_employee_assignment WHERE deleted = TRUE;
    DELETE FROM hrm_employee_account_link WHERE deleted = TRUE;
    DELETE FROM hrm_employee WHERE deleted = TRUE;
    DELETE FROM hrm_account WHERE deleted = TRUE;
    DELETE FROM hrm_acc_tenant_role WHERE employee_id is null;
    DELETE FROM prj_staffs WHERE staff_id is null;
END;
call soft_delete_employee('04ddac88-8510-4bd1-9af3-9282112063a6,242fbdc9-6a38-4179-8d35-c4504fc27a08,9790bf5e-935e-4efa-b2fc-915d2ae85e6a,f076643b-0c7b-474b-8337-ac18be8cd799,7d7f68c6-5294-4833-b313-c32d98aae9a7,8dd6d47d-157b-4fd9-aea2-09311ff9dfe7,ab23cf14-d45e-429b-8d96-357d94641078,e744528a-1322-4aca-b9d4-83b950f271f9,c048979f-9a3d-4545-87b9-ad6712781e6b,94880f38-6482-41ed-a718-5c0f856a287e,dac201b0-1df2-4ea1-86cf-c3eae22c01a7,6051a2a3-7c32-47b3-a238-67ee7c0749e9,d84a9f34-1003-4557-8e96-6261b07f0984,159e637f-14bc-4541-8319-cc55303d2159,fdc369ed-2a91-4c67-bd9b-bcd7b7067b82,3048bf7f-6133-4bb0-9638-9fbe3b7aca36');
call hard_delete_employee();</t>
  </si>
  <si>
    <t>[OMC][Loyalty][PS2][Prod] Thêm đĩa Datatabase Oracle ASM cho Loyalty Core</t>
  </si>
  <si>
    <t>2026-05-12T16:57:28.880+0700</t>
  </si>
  <si>
    <t>2026-05-12T16:57:53.043+0700</t>
  </si>
  <si>
    <t xml:space="preserve">Thêm đĩa Datatabase Oracle ASM cho Loyalty Core: DB chính: 2TB =&gt; thực hiện lúc 23h ngày 11/5/2026 DB stanby: 2TB =&gt; thực hiện lúc 23h ngày 12/5/2026 Không gây downtime hệ thống, thực hiện giờ thấp tải Link CR:   </t>
  </si>
  <si>
    <t xml:space="preserve">[VCM] Update thông tin master cate name trên Voucher Distribution </t>
  </si>
  <si>
    <t>2026-05-12T14:56:28.861+0700</t>
  </si>
  <si>
    <t>2026-05-12T14:56:52.110+0700</t>
  </si>
  <si>
    <t>Theo yêu cầu từ vận hành ( https://onemount.atlassian.net/browse/SH-70951 ), nhờ team DBA hỗ trợ update thông tin theo thông tin dưới đây. Thông tin database IP:  172.31.4.82 Database:  b2b_voucher_distribution Script update thông tin: UPDATE
	b2b_voucher_distribution.master_category m
SET
	m.name = CASE
		WHEN m.code = 'Commuting' THEN '[VC] Commuting (only transportation)'
		WHEN m.code = 'DepartmentStore' THEN '[VC] Department store'
		WHEN m.code = 'Ecommerce' THEN '[UC] E-commerce'
		WHEN m.code = 'EducationSchool' THEN '[VC] Education - School'
		WHEN m.code = 'Electronics' THEN '[VC] Electronics'
		WHEN m.code = 'Entertainments' THEN '[VC] Entertainments'
		WHEN m.code = 'FashionBeautyApparels' THEN '[VC] Fashion &amp; Beauty - Apparels'
		WHEN m.code = 'FoodDelivery' THEN '[VC] Food delivery'
		WHEN m.code = 'GroceriesCVS' THEN '[VC] Groceries - CVS'
		WHEN m.code = 'GroceriesSupermarkets' THEN '[VC] Groceries - Supermarkets'
		WHEN m.code = 'HealthcareServices' THEN '[VC] Health care - Services'
		WHEN m.code = 'MerchantLoyalty' THEN '[SD] Merchant Loyalty'
		WHEN m.code = 'MerchantLoyaltyPaperContract' THEN '[SD] Merchant Loyalty - Paper Contract'
		WHEN m.code = 'OneUFoodDelivery' THEN '[UC] OneU Food Delivery'
		WHEN m.code = 'OnlineMarketplaces' THEN '[VC] Online Marketplaces'
		WHEN m.code = 'Others' THEN '[VC] Others'
		WHEN m.code = 'PointAcceptance' THEN '[UC] Tiêu điểm Upoint tại GGG (Point Acceptance)'
		WHEN m.code = 'Restaurants' THEN '[VC] Restaurants'
		WHEN m.code = 'TelecomUtilities' THEN '[VC] Telecom - Utilities'
		WHEN m.code = 'Ticketing' THEN '[UC] Mua vé vui chơi giải trí (ticketing)'
		WHEN m.code = 'TopUp' THEN '[UC] Top up'
		WHEN m.code = 'Transportation' THEN '[UC] Đặt xe (Transportation)'
		WHEN m.code = 'TravelLodging' THEN '[VC] Travel - Lodging'
		WHEN m.code = 'TravelTransportation' THEN '[VC] Travel - Transportation'
		ELSE m.name
	END; Cảm ơn team nhiều ạ.</t>
  </si>
  <si>
    <t>Hỗ trợ tạo database Postgresql cho service openfga của dự án MCM</t>
  </si>
  <si>
    <t>2026-05-12T14:44:16.967+0700</t>
  </si>
  <si>
    <t>2026-05-12T14:44:28.941+0700</t>
  </si>
  <si>
    <t>Hi bạn  @Đào Công Nghĩa  , nhờ bạn hỗ trợ tạo database trên instance  mag-common-sandbox-postgres.czqi8qus0dv0.ap-southeast-1.rds.amazonaws.com  account  Mag-Sandbox  với thông tin như sau database:  openfga user:  openfga Cảm ơn bạn đã hỗ trợ</t>
  </si>
  <si>
    <t>Cấp database ElastiCache(redis) cho dự án mag-aam</t>
  </si>
  <si>
    <t>2026-05-12T12:24:58.402+0700</t>
  </si>
  <si>
    <t>2026-05-12T12:26:27.070+0700</t>
  </si>
  <si>
    <t>Cấp database instance mysql cho dự án mag-aam</t>
  </si>
  <si>
    <t>2026-05-12T12:24:23.898+0700</t>
  </si>
  <si>
    <t>2026-05-12T12:26:24.947+0700</t>
  </si>
  <si>
    <t>Cấp database instance mysql cho dự án mag-aam DB: aam-dev aam-qc aam-uat</t>
  </si>
  <si>
    <t>[MAG][AAM][NonProd] Nhờ tạo database, redis cho dự án AAM trên môi trường non-prod</t>
  </si>
  <si>
    <t>2026-05-12T12:23:32.043+0700</t>
  </si>
  <si>
    <t>2026-05-12T12:27:25.121+0700</t>
  </si>
  <si>
    <t>Dear anh  @Nguyễn Văn Duy  và DBA team, Dự án AAM triển khai cho MAG cần tạo MySQL DB và ElasticCache  trên hạ tầng AWS. Vì thế e tạo ticket nhờ anh support team khởi tạo db và redis với ạ. Thông tin dự án :    Thông tin database: dev: aam-dev qc: aam-qc uat: aam-uat Em xin cám ơn ạ</t>
  </si>
  <si>
    <t>[OMRE][CBP] Cập nhật thông tin xác thực listing</t>
  </si>
  <si>
    <t>2026-05-12T10:09:15.458+0700</t>
  </si>
  <si>
    <t>2026-05-12T14:26:13.811+0700</t>
  </si>
  <si>
    <t>Nhờ team support chạy câu lệnh update data dưới đây trên mongodb omre_cbp_listing db.getSiblingDB("omre_cbp_listing").getCollection("verification_results")
    .updateOne(
        {"_id": ObjectId("6a01837e7fd47d91bf1ec075")},
        {
            $set: {
                "result.overall_status": "MET",
                "result.real_property.status": "NOT_MET",
                "result.real_property.note": "Môi giới cần cung cấp Hồ sơ pháp lý (GCN hoặc HĐMB với chủ đầu tư) để xác thực tiêu chí nhà thật.",
                "result.real_price.status": "MET",
                "result.real_person.status": "NOT_MET",
                "result.real_person.note": "Môi giới cần cung cấp HĐMG, Hồ sơ pháp lý (GCN hoặc HĐMB với chủ đầu tư) và CCCD chủ nhà để xác thực tiêu chí người thật.",
                "result.real_photo.status": "NOT_MET",
                "result.real_photo.note": "Môi giới cần chụp ảnh BĐS trực tiếp từ app OneHub hoặc quay video 3D BĐS để xác thực tiêu chí ảnh thật."
            }
        });
db.getSiblingDB("omre_cbp_listing").getCollection("listings")
    .updateOne(
        {"_id": "5a16710c-364e-4fbb-a4ce-e9e56f9c844d"},
        {
            $set: {
                "four_truths_overall_result.overall_status": "MET",
                "four_truths_overall_result.real_property.status": "NOT_MET",
                "four_truths_overall_result.real_property.note": "Môi giới cần cung cấp Hồ sơ pháp lý (GCN hoặc HĐMB với chủ đầu tư) để xác thực tiêu chí nhà thật.",
                "four_truths_overall_result.real_price.status": "MET",
                "four_truths_overall_result.real_person.status": "NOT_MET",
                "four_truths_overall_result.real_person.note": "Môi giới cần cung cấp HĐMG, Hồ sơ pháp lý (GCN hoặc HĐMB với chủ đầu tư) và CCCD chủ nhà để xác thực tiêu chí người thật.",
                "four_truths_overall_result.real_photo.status": "NOT_MET",
                "four_truths_overall_result.real_photo.note": "Môi giới cần chụp ảnh BĐS trực tiếp từ app OneHub hoặc quay video 3D BĐS để xác thực tiêu chí ảnh thật."
            }
        });</t>
  </si>
  <si>
    <t>2026-05-11T17:03:44.337+0700</t>
  </si>
  <si>
    <t>2026-05-18T10:55:42.881+0700</t>
  </si>
  <si>
    <t>Dear Linh, Em tạo giúp anh topic cho bảng trên loyalty product với nhé: oloyalty.card_type_group</t>
  </si>
  <si>
    <t>[PROD][UPAY][BO] Update Thông tin bút toán ship cho đơn food VMM</t>
  </si>
  <si>
    <t>2026-05-11T16:03:52.000+0700</t>
  </si>
  <si>
    <t>2026-05-11T16:04:01.776+0700</t>
  </si>
  <si>
    <t>Hi a   @Đào Công Nghĩa  , nhờ a chạy giúp e script bên dưới với ạ Thông tin database:  172.31.1.133:3306/bo INSERT INTO MAPPING_PAYMENT_METHOD_CODE
(
    ORDER_PAYMENT_CHANNEL,
    ORIGIN_PAYMENT_METHOD_CODE,
    PAYMENT_METHOD_CODE,
    TYPE,
    SHIPPING_METHOD_CODE,
    WALLET_TYPE,
    VERSION,
    INSERT_OPERATOR,
    AUTHORISE_OPERATOR,
    SERVICE_ID
)
VALUES
(
    'UPOINT',
    'UPOINT',
    'UPOINT',
    'SHIP',
    '3PL',
    'MERCHANT_REF',
    1,
    'ADMIN',
    'ADMIN',
    'VN0010010'
);</t>
  </si>
  <si>
    <t>2026-05-11T15:32:08.039+0700</t>
  </si>
  <si>
    <t>2026-05-11T15:38:21.006+0700</t>
  </si>
  <si>
    <t>[NCO][PROD] Update loyalty service code for WIntell mobiphone card</t>
  </si>
  <si>
    <t>2026-05-11T12:06:45.667+0700</t>
  </si>
  <si>
    <t>2026-05-11T12:07:02.053+0700</t>
  </si>
  <si>
    <t>Hi Nghĩa, Nhờ anh chạy giúp em thông tin dưới đây: IP:  172.31.4.9 Database:  ecom_configuration Script: UPDATE `merchant_payment_configs` SET `loyalty_service_code`='TOP_UP' WHERE id = 548;</t>
  </si>
  <si>
    <t>[VCM] Cập nhật trạng thái distribute request</t>
  </si>
  <si>
    <t>2026-05-11T11:24:20.328+0700</t>
  </si>
  <si>
    <t>2026-05-11T11:24:37.730+0700</t>
  </si>
  <si>
    <t>Nhờ team DBA hỗ trợ migrate data theo thông tin sau: Thông tin database: IP:  172.31.4.126 Database:  onevc_vsm_prod Script cần thực hiện: UPDATE onevc_vsm_prod.distribute_request dr
SET dr.status = 'FAILED'
WHERE dr.distribute_ref IN ('MXK5KKKE', 'M5RGRRGB');</t>
  </si>
  <si>
    <t>Hỗ trợ tạo các database Postgres cho CMS của Masterisehome</t>
  </si>
  <si>
    <t>2026-05-11T11:08:54.529+0700</t>
  </si>
  <si>
    <t>2026-05-11T11:09:03.695+0700</t>
  </si>
  <si>
    <t>Hi  @Đào Công Nghĩa  , nhờ bạn tạo giúp mình các database postgresqk sau cho các trang cms của Masterisehomes hsg_prod_postgres gms_prod_postgres user là strapi và gán full quyền vào các databases này. Cảm ơn bạn nha.</t>
  </si>
  <si>
    <t>Hỗ trợ tạo database Postgres cho Airflow dự án tcb-bank-transaction</t>
  </si>
  <si>
    <t>2026-05-10T22:28:56.616+0700</t>
  </si>
  <si>
    <t>2026-05-10T22:29:05.779+0700</t>
  </si>
  <si>
    <t>Hi  @Đào Công Nghĩa  , nhờ bạn tạo giúp mình database postgresql sau trên instance  mag-common-sandbox-postgres user:  airflow dbname:  airflow gán full quyền user airflow vào databases này. Cảm ơn bạn nha.</t>
  </si>
  <si>
    <t>[OM][outsystems][PROD] Backup Database hỗ trợ golive</t>
  </si>
  <si>
    <t>2026-05-10T21:35:12.563+0700</t>
  </si>
  <si>
    <t>2026-05-11T09:27:01.137+0700</t>
  </si>
  <si>
    <t>Dear team, Thời gian dự kiến:  21h đến 24h tối Chủ nhật ngày 10/05   Thời gian thực tế: PIC  @Đinh Xuân Trung Đức  sẽ báo lại chi tiết Nhờ team hỗ trợ trực backup và restore (nếu cần thiết) trong quá trình golive với thông tin như sau: Catalog (DB) : outsystems_PROD_FINANCE Table : OSUSR_iex_ContractTemplate, OSUSR_yl7_ContractTemplate Thông tin IP (host) của DB : 172.31.1.45</t>
  </si>
  <si>
    <t>[MAG] Tạo database + user cho dự án Master Platform</t>
  </si>
  <si>
    <t>2026-05-09T20:59:01.473+0700</t>
  </si>
  <si>
    <t>2026-05-09T20:59:20.226+0700</t>
  </si>
  <si>
    <t>Nhờ a  @Đào Công Nghĩa  tạo giúp e database và user, cấp full quyền trên Database cho user vừa vạo trên instance postgres common ở account aws: Sandbox mag-common-sandbox-postgres.czqi8qus0dv0.ap-southeast-1.rds.amazonaws.com Mục đích: hỗ trợ develop dự án Master Platform của MAG</t>
  </si>
  <si>
    <t>[UPAY] [PROD] Hỗ trợ cấu hình onboard cho BVYDLD_NT</t>
  </si>
  <si>
    <t>2026-05-09T20:56:21.228+0700</t>
  </si>
  <si>
    <t>2026-05-09T20:56:34.871+0700</t>
  </si>
  <si>
    <t>Dear anh Bách, anh Dũng, Nhờ các anh approve và thực hiện chạy giúp em script dưới đây nhằm cấu hình onboard cho  BVYDLD_NT , thông tin cụ thể em note dưới đây ạ: Thông tin database:  jdbc:mysql://pay-tidb.int.onemount.com:4000/saas_tpay Script: INSERT INTO PARTNER (client_id, name, public_key, enable, merchant_code) 
SELECT client_id, name, public_key, enable, 'BVYDLD_NT' FROM PARTNER WHERE merchant_code = 'BVYDLD';</t>
  </si>
  <si>
    <t>[DBA-SAPBASIS] Đề xuất và kế hoạch nâng cấp hệ thống OM SAP PROD</t>
  </si>
  <si>
    <t>2026-05-09T12:32:14.482+0700</t>
  </si>
  <si>
    <t>2026-05-15T18:00:59.884+0700</t>
  </si>
  <si>
    <t xml:space="preserve">Healthcheck report, lên đề xuất và kế hoạch nângg cấp hệ thống OM SAP PROD Phương án nâng cấp:      Healthcheck report:   </t>
  </si>
  <si>
    <t>[DBA-SAPBASIS] Xử lý sự cố lỗi backup hệ thống OM SAP ERP 07/05/2026 &amp; Incident report</t>
  </si>
  <si>
    <t>2026-05-09T12:28:06.784+0700</t>
  </si>
  <si>
    <t>2026-05-09T12:28:50.959+0700</t>
  </si>
  <si>
    <t>[DBA-SAPBASIS] Ma trận role phân quyền tài khoản OM SAP ERP HCM, PIPO cho Basis</t>
  </si>
  <si>
    <t>2026-05-09T12:23:01.150+0700</t>
  </si>
  <si>
    <t>2026-05-09T12:23:01.796+0700</t>
  </si>
  <si>
    <t>Làm ma trận phân quyền role cho tài khoản OM SAP HCM, PIPO cho Basis</t>
  </si>
  <si>
    <t>[DBA-SAPBASIS] Review hạ tầng, hệ thống OM SAP S/4HANA, HCM, PIPO, WebDispatcher</t>
  </si>
  <si>
    <t>2026-05-09T12:12:55.806+0700</t>
  </si>
  <si>
    <t>2026-05-09T12:13:44.517+0700</t>
  </si>
  <si>
    <t>Giai đoạn thử việc tiếp nhận hệ thống OM SAP, review hạ tầng, hệ thống và thông tin hệ thống</t>
  </si>
  <si>
    <t>[DBA-SAPBASIS] Fix vul Lib &amp; Kernel Linux OM SAP PROD</t>
  </si>
  <si>
    <t>2026-05-09T12:06:51.269+0700</t>
  </si>
  <si>
    <t>2026-05-09T12:08:00.986+0700</t>
  </si>
  <si>
    <t>Tiến hành upgrade version các lib và kernel OS với HIGH và CRITICAL priority VULS theo danh sách của ANBM ở các instances OM SAP PROD</t>
  </si>
  <si>
    <t>[OM][OneNexus][NP] cấp database ClickHouse</t>
  </si>
  <si>
    <t>2026-05-09T11:26:42.914+0700</t>
  </si>
  <si>
    <t>2026-05-14T16:37:04.344+0700</t>
  </si>
  <si>
    <t>Cấp database ClickHouse cho dự án OneNexus AI Platform nonprod</t>
  </si>
  <si>
    <t>[OM][OneNexus][NP] Cấp database Qdrant</t>
  </si>
  <si>
    <t>2026-05-09T11:26:07.437+0700</t>
  </si>
  <si>
    <t>2026-05-13T17:31:53.498+0700</t>
  </si>
  <si>
    <t>Cấp database Qdrant cho dự án OneNexus AI Platform nonprod</t>
  </si>
  <si>
    <t>[OM][OneNexus][NP] Cấp database Elasticache for Redis</t>
  </si>
  <si>
    <t>2026-05-09T11:25:15.668+0700</t>
  </si>
  <si>
    <t>2026-05-14T02:04:54.371+0700</t>
  </si>
  <si>
    <t>Cấp database Elasticache for Redis cho dự án OneNexus AI Platform nonprod</t>
  </si>
  <si>
    <t>[OM][OneNexus][NP]Cấp RDS for PostgreSQL</t>
  </si>
  <si>
    <t>2026-05-09T11:24:03.674+0700</t>
  </si>
  <si>
    <t>2026-05-13T23:31:30.436+0700</t>
  </si>
  <si>
    <t>Cấp database rds Postgresql cho dự án OneNexus AI Platform nonprod</t>
  </si>
  <si>
    <t>[OM][OneNexus][NP]-Yêu cầu triển khai Data Stores team OneNexus AI Platform trên AWS</t>
  </si>
  <si>
    <t>2026-05-09T11:21:50.670+0700</t>
  </si>
  <si>
    <t>2026-05-14T16:37:12.368+0700</t>
  </si>
  <si>
    <t>Hi team, Nhờ ae provision các thành phần Data Store theo thiết kế kỹ thuật tại: https://onemount.atlassian.net/wiki/spaces/FDP/pages/3755606893  → mục  2.2.4 Tech Stack Summary – Data Stores Data Stores Relational Database Ref.  Ref.  RDS for PostgreSQL 16.13 Commercial Terms AWS managed Multi-entity row-level isolation via  entity_id Cache &amp; Session State Elasticache for Redis 7.4.x Commercial Terms AWS managed Stay on 7.x — Redis 8+ introduces AGPL Event Streaming MSK CP 8.2.0 (Kafka 4.2) Commercial Terms AWS managed KRaft mode, no ZooKeeper Search &amp; Audit Index Elasticsearch 8.19.14 ELv2 / SSPLv1 Self-hosted Search index + audit log store Vector Database Qdrant 1.17.1 Apache-2.0 Self-hosted RAG embeddings Object Storage S3 Latest Commercial Terms AWS managed   Trace Analytics Store ClickHouse 26.3 LTS Apache-2.0 Self-hosted Langfuse analytics backend</t>
  </si>
  <si>
    <t>[VCM] Seeding dữ liệu ticket theo yêu cầu từ vận hành</t>
  </si>
  <si>
    <t>2026-05-09T10:08:00.970+0700</t>
  </si>
  <si>
    <t>2026-05-09T10:09:45.103+0700</t>
  </si>
  <si>
    <t>Thông tin database: IP:  172.31.4.126 Database:  onevc_vsm_prod Để thực hiện migrate thực hiện các bước sau: B1: Tạo table để lưu danh sách ticket id cần migrate CREATE TABLE onevc_vsm_prod.ticket_migrate_08052026 (
    ticket_id BIGINT UNSIGNED PRIMARY KEY
); B2:Import ticket id vào table onevc_vsm_prod.ticket_migrate_08052026 bằng file import_ticket_migrate.sql (đính kèm). B3: Thực hiện update expired time bằng câu sql UPDATE onevc_vsm_prod.ticket t JOIN onevc_vsm_prod.ticket_migrate_08052026 tm ON t.id = tm.ticket_id
SET t.expired_time = '2026-06-08 23:59:59'; B4: Tạo bảng tạm để lưu giá trị của term_of_use cần update CREATE TABLE onevc_vsm_prod.ticket_sale_migrate_08052026 (
    code VARCHAR(255) PRIMARY KEY,
    term_of_use_oneu LONGTEXT,
    term_of_use_eng_oneu LONGTEXT,
    term_of_use_tcb LONGTEXT,
    term_of_use_eng_tcb LONGTEXT
); B5: Thêm dữ liệu cho table onevc_vsm_prod.ticket_sale_migrate_08052026 bằng file import_ticket_sale_migrate.sql (đính kèm). B6: Lấy ra dữ liệu sale code và sale_history_id cần update ( gửi lại dữ liệu export ra để em tạo câu SQL INSERT cho B8 ) SELECT DISTINCT t.sale_code as code, t.sale_history_id as sale_history_id FROM onevc_vsm_prod.ticket_migrate_08052026 tm JOIN onevc_vsm_prod.ticket t ON tm.ticket_id = t.id; B7: Tạo bảng tạm để lưu dữ liệu sale code và sale_history_id vừa export ra từ B6 CREATE TABLE onevc_vsm_prod.ticket_sale_history_migrate_08052026 (
    sale_history_id BIGINT UNSIGNED PRIMARY KEY,
    code VARCHAR(255) NOT NULL
); B8: Thêm dữ liệu đã export ra từ B6 vào table onevc_vsm_prod.ticket_sale_history_migrate_08052026 B9: Thực hiện update nội dung term of use của sale history tương ứng UPDATE
	onevc_vsm_prod.ticket_sale_history_migrate_08052026 tshm
JOIN onevc_vsm_prod.sale_history sh ON
	tshm.sale_history_id = sh.id
JOIN onevc_vsm_prod.ticket_sale_migrate_08052026 tsm ON
	tshm.code = tsm.code
SET
	sh.term_of_use = CASE
		WHEN sh.sale_channel = 'TCB'
            THEN tsm.term_of_use_tcb
		ELSE tsm.term_of_use_oneu
	END,
	sh.term_of_use_eng = CASE
		WHEN sh.sale_channel = 'TCB'
            THEN tsm.term_of_use_eng_tcb
		ELSE tsm.term_of_use_eng_oneu
	END; B10: Xóa các bảng tạm đã tạo DROP TABLE IF EXISTS onevc_vsm_prod.ticket_migrate_08052026;
DROP TABLE IF EXISTS onevc_vsm_prod.ticket_sale_migrate_08052026;
DROP TABLE IF EXISTS onevc_vsm_prod.ticket_sale_history_migrate_08052026;</t>
  </si>
  <si>
    <t>2026-05-08T18:44:45.101+0700</t>
  </si>
  <si>
    <t>2026-05-08T18:45:00.689+0700</t>
  </si>
  <si>
    <t>IP (Host):   ces-production.crcykac8kxtw.ap-southeast-1.rds.amazonaws.com Port:   3306 DB Name:  ces_workflow_service Command:   create table if not exists `v2_user_tasks`
(
    `task_id`               varchar(64) primary key,
    `process_instance_id`   varchar(64),
    `process_definition_id` varchar(64),
    `task_definition_key`   varchar(255),
    `tenant_id`             varchar(64),
    `approval_id`           varchar(64),
    `task_type`             varchar(50),
    `task_code`             varchar(100),
    `report_code`           varchar(100),
    `name`                  varchar(255),
    `assignee`              varchar(100),
    `owner`                 varchar(100),
    `start_time`            datetime(6),
    `end_time`              datetime(6),
    `duration`              bigint,
    `status`                varchar(50),
    `business_key`          varchar(100),
    index `idx_cth_process_instance_id` (`process_instance_id`),
    index `idx_cth_assignee` (`assignee`),
    index `idx_assignee_status` (`assignee`, `status`)
    ) engine = innodb
    default charset = utf8mb4
    collate = utf8mb4_unicode_ci;
create table if not exists `user_task_type_sequences`
(
    `sequence_key`  varchar(100) primary key,
    `current_value` bigint,
    index `idx_cth_sequence_key` (`sequence_key`)
    ) engine = innodb
    default charset = utf8mb4
    collate = utf8mb4_unicode_ci;
insert into `user_task_type_sequences`(`sequence_key`, `current_value`)
values ('USER_TASK', 1);</t>
  </si>
  <si>
    <t xml:space="preserve"> [MAG][IOTek][MCM][PROD]-update permission</t>
  </si>
  <si>
    <t>2026-05-08T18:26:43.445+0700</t>
  </si>
  <si>
    <t>2026-05-08T18:40:26.847+0700</t>
  </si>
  <si>
    <t>Description Trường thông tin Nội dung mẫu IP (Host) ces-production.crcykac8kxtw.ap-southeast-1.rds.amazonaws.com Port 3306 DB Name ces_mh_mpm **code trong attachment</t>
  </si>
  <si>
    <t>[PROD][UPay][ECOM] Nâng hạn mức thanh toán hỗ trợ tcb life</t>
  </si>
  <si>
    <t>2026-05-08T16:45:46.662+0700</t>
  </si>
  <si>
    <t>2026-05-08T16:46:17.433+0700</t>
  </si>
  <si>
    <t>Hi các anh team DBA, Thông tin database saas_tpay:  pay-tidb.int.onemount.com:4000/saas_tpay CR:  Nhờ team chạy giúp em script sau ạ: update SYSTEM_CONFIGURATION set SYSTEM_PARAM_VALUE = 2000000000, UPDATED_BY = 'vinh.le2' where SYSTEM_PARAM_CODE = 'ECOM_MAX_AMOUNT_TRANSACTION_INTERNATIONAL_CARD';</t>
  </si>
  <si>
    <t>[MongoDB][CMS][PROD] Hỗ trợ tạo index 20260508-02</t>
  </si>
  <si>
    <t>2026-05-08T16:32:27.882+0700</t>
  </si>
  <si>
    <t>2026-05-08T16:32:46.372+0700</t>
  </si>
  <si>
    <t>Dear team, Nhờ team chạy giúp câu lệnh bên dưới ạ. Thông tin database https://console.cloud.google.com/compute/instancesDetail/zones/asia-east1-c/instances/vinshop-cms-mongod-03?project=vinid-merchant-prod HOST: 10.255.24.63:27017, 10.255.24.64:27017, 10.255.24.65:27017 Câu lệnh // Index 1: phục vụ nhánh author_on_web
  db.getCollection("omre_trang_tin_tuc._articles").createIndex(
    { "status": 1, "fields.name": 1, "fields.data.code": 1 },
    { name: "idx_status_author_on_web", background: true }
  )
  // Index 2: phục vụ nhánh author_user
  db.getCollection("omre_trang_tin_tuc._articles").createIndex(
    { "status": 1, "fields.name": 1, "fields.data.id": 1 },
    { name: "idx_status_author_user", background: true }
  )</t>
  </si>
  <si>
    <t>2026-05-08T16:01:07.575+0700</t>
  </si>
  <si>
    <t>2026-05-11T09:26:13.196+0700</t>
  </si>
  <si>
    <t>Dear team, Thời gian dự kiến:  21h đến 24h tối Chủ nhật ngày 10/05   Thời gian thực tế: PIC  @Đinh Xuân Trung Đức  sẽ báo lại chi tiết Nhờ team hỗ trợ trực backup và restore (nếu cần thiết) trong quá trình golive với thông tin như sau: Catalog : outsystems_PROD_FINANCE Table : {ContractTemplate} Thông tin IP (host) của DB : 172.31.1.45</t>
  </si>
  <si>
    <t>[CMS][MongoDB] Hỗ trợ tạo index 20260508</t>
  </si>
  <si>
    <t>2026-05-08T15:37:12.889+0700</t>
  </si>
  <si>
    <t>2026-05-08T16:18:29.744+0700</t>
  </si>
  <si>
    <t>Dear team, Nhờ team chạy giúp câu lệnh bên dưới ạ. Thông tin database https://console.cloud.google.com/compute/instancesDetail/zones/asia-east1-c/instances/vinshop-cms-mongod-03?project=vinid-merchant-prod HOST: 10.255.24.63:27017, 10.255.24.64:27017, 10.255.24.65:27017 Câu lệnh Tạo index theo như khuyến nghị của hệ thống ạ. code seo.slug schema - vinshop-cms.omre_trang_tin_tuc._articles
- vinshop-cms.one_shop_web._articles</t>
  </si>
  <si>
    <t>2026-05-08T14:12:46.448+0700</t>
  </si>
  <si>
    <t>2026-05-08T14:13:06.312+0700</t>
  </si>
  <si>
    <t>[Saitama] [SmartPOS] [PROD] Hỗ trợ update mã CIF cho merchant BVMTW</t>
  </si>
  <si>
    <t>2026-05-08T14:05:35.021+0700</t>
  </si>
  <si>
    <t>2026-05-08T14:05:48.380+0700</t>
  </si>
  <si>
    <t>Dear anh Bách, anh Dũng, Nhờ các anh approve và thực hiện chạy giúp em script dưới đây nhằm update mã CIF cho merchant  BVMTW  môi trường  PRODUCTION , thông tin cụ thể em note dưới đây ạ: Thông tin database:  jdbc:mysql://pay-tidb.int.onemount.com:4000/saas_tpay Script: UPDATE UNIFIED_MERCHANT SET cif = '40138912_2' WHERE merchant_code = 'BVMTW';
UPDATE MERCHANT SET TCB_CIF = '40138912_2' WHERE merchant_code = 'BVMTW';</t>
  </si>
  <si>
    <t>[OMD][TCB-MerchantHUB][PROD]  Update dữ liệu bảng E_INVOICE_SERIES_V2</t>
  </si>
  <si>
    <t>2026-05-07T16:36:33.720+0700</t>
  </si>
  <si>
    <t>2026-05-07T16:41:21.084+0700</t>
  </si>
  <si>
    <t>Dear anh Linh, Em cần nhờ DB team hỗ trợ xử lý chạy câu lệnh SQL để update data sau ạ: UPDATE E_INVOICE_SERIES_V2 SET TYPE = 'DRAFT' WHERE SERIES_NUMBER = 'C26MUW';
UPDATE E_INVOICE_SERIES_V2 SET TYPE = 'ISSUED' WHERE SERIES_NUMBER = 'C26MWZ'; instance: mhpos-common-prod-postgres - 172.31.4.36 mhpos_fiscal</t>
  </si>
  <si>
    <t>2026-05-06T16:09:45.491+0700</t>
  </si>
  <si>
    <t>2026-05-06T16:09:55.293+0700</t>
  </si>
  <si>
    <t>Dear anh  @Đào Công Nghĩa  , Team em có nhu cầu cập nhật dữ liệu trên DB sau, nhờ anh hỗ trợ. Thời gian chạy:  nhờ anh chạy luôn ạ Thông tin DB:  omc-mtp-tidb.int.onemount.com:4000 / omc_merchant_loyalty update omc_merchant_loyalty.contract set merchant_type = 'SHOPHOUSE' where id = 56405; Thanks anh, Thành An.</t>
  </si>
  <si>
    <t>[UPAY][Production] Tạo account read-only phục vụ chuyển đổi DB MQTT</t>
  </si>
  <si>
    <t>2026-05-06T15:57:23.109+0700</t>
  </si>
  <si>
    <t>2026-05-06T15:57:48.097+0700</t>
  </si>
  <si>
    <t>Dear các anh em team DBA, Như trao đổi ở thread  https://chat.google.com/room/AAAAR81JWQ0/nWKb0w4AAwE/nWKb0w4AAwE?cls=10 , nhằm xử lý issue liên quan đến Noti dịch vụ SoundBox, team có yêu cầu tạo 1 Account Read-Only phục vụ cho MQTT Thông tin instance DB:  https://console.cloud.google.com/sql/instances/vinpay-tidb-replica/overview?project=vinpay-prod Nhờ team thực hiện ạ</t>
  </si>
  <si>
    <t>[UPAY][PROD] Update DB AuthOM support tạo account login Portal Tpay</t>
  </si>
  <si>
    <t>2026-05-06T12:34:35.892+0700</t>
  </si>
  <si>
    <t>2026-05-06T12:34:45.507+0700</t>
  </si>
  <si>
    <t>Thông tin db authom ạ: project: onemg-general-prod instance: auth-om Master IP: 172.31.4.103 DB: auth_om Script update: UPDATE `User` u SET u.username = 'merchanthub.pos', u.`connection` = '3307', u.db_id = '672' WHERE u.tenant_id  = 'TPAY-PORTAL-PROD' AND u.ID = '55b8f28a631d4bff91e34e3a71d903c4';
UPDATE `User` u SET u.username = 'upp.qc', u.`connection` = '3307', u.db_id = '672'  WHERE u.tenant_id  = 'TPAY-PORTAL-PROD' AND u.ID = '07e4f6e0cb2c48c78d725085a0599d96';</t>
  </si>
  <si>
    <t>[Saitama] [SmartPOS] Hỗ trợ update status dịch vụ SmartPOS cho merchant NCCE3TUM</t>
  </si>
  <si>
    <t>2026-05-06T12:31:57.969+0700</t>
  </si>
  <si>
    <t>2026-05-06T12:33:10.371+0700</t>
  </si>
  <si>
    <t>Dear anh Dũng, Nhờ anh chạy giúp em script dưới đây nhằm update trạng thái dịch vụ SmartPOS, môi trường  PRODUCTION  theo thông tin dưới đây ạ: Thông tin database:  jdbc:mysql://pay-tidb.int.onemount.com:4000/saas_tpay Script: update UNIFIED_MERCHANT_SERVICE
   set STATUS = 'WAITING_ACTIVE' WHERE ID IN (9600, 9601) AND MERCHANT_CODE = 'NCCE3TUM';</t>
  </si>
  <si>
    <t>2026-05-06T11:11:15.130+0700</t>
  </si>
  <si>
    <t>2026-05-06T11:14:46.025+0700</t>
  </si>
  <si>
    <t>IP (Host):   ces-production.crcykac8kxtw.ap-southeast-1.rds.amazonaws.com Port:  3306 DB Name:  ces_mh_mpm Command:   INSERT INTO hrm_contractor(id, code, name, tenant_id, created_date, created_by, deleted)
VALUES
    (UUID(), 'NDP', 'Công ty TNHH Thương Mại và sản xuất Ngọc Diệp', '51488fa2-c938-4fcc-a53f-a34f338d49aa', now(), 'admin', 0),
    (UUID(), 'GAC', 'Công ty Cổ Phần Gỗ An Cường', '51488fa2-c938-4fcc-a53f-a34f338d49aa', now(), 'admin', 0),
    (UUID(), 'BKVN', 'Công ty cổ phần vật tư thiết bị Bách Khoa Việt Nam', '51488fa2-c938-4fcc-a53f-a34f338d49aa', now(), 'admin', 0),
    (UUID(), 'DTCL', 'Công ty TNHH Cường Lâm', '51488fa2-c938-4fcc-a53f-a34f338d49aa', now(), 'admin', 0),
    (UUID(), 'BHC', 'Công ty cổ phần BoHo Corporation', '51488fa2-c938-4fcc-a53f-a34f338d49aa', now(), 'admin', 0),
    (UUID(), 'DHL', 'Công ty cổ phần công nghệ DHL Việt Nam', '51488fa2-c938-4fcc-a53f-a34f338d49aa', now(), 'admin', 0),
    (UUID(), 'VLMA', 'Công ty TNHH Vật liệu xây dựng Minh Anh', '51488fa2-c938-4fcc-a53f-a34f338d49aa', now(), 'admin', 0),
    (UUID(), 'SHIHLIN', 'CÔNG TY TNHH THIẾT BỊ ĐIỆN SHIHLIN VIỆT NAM', '51488fa2-c938-4fcc-a53f-a34f338d49aa', now(), 'admin', 0);</t>
  </si>
  <si>
    <t>2026-05-06T10:44:44.202+0700</t>
  </si>
  <si>
    <t>2026-05-06T10:56:52.192+0700</t>
  </si>
  <si>
    <t>IP (Host):   ces-production.crcykac8kxtw.ap-southeast-1.rds.amazonaws.com Port:  3306 DB Name:  ces_mh_mpm Command:   alter table mtr_work_item
    modify name varchar(1024) null;
INSERT INTO hrm_contractor(id, code, name, tenant_id, created_date, created_by, deleted)
VALUES
    (UUID(), 'NQH', 'NQH Architects Co., Ltd', '51488fa2-c938-4fcc-a53f-a34f338d49aa', now(), 'admin', 0),
    (UUID(), 'VHM', 'Công ty cổ phần Vinhomes', '51488fa2-c938-4fcc-a53f-a34f338d49aa', now(), 'admin', 0),
    (UUID(), 'BCIHK', 'Belt Collins International', '51488fa2-c938-4fcc-a53f-a34f338d49aa', now(), 'admin', 0),
    (UUID(), 'LANDARCH', 'Công ty TNHH Landarch', '51488fa2-c938-4fcc-a53f-a34f338d49aa', now(), 'admin', 0),
    (UUID(), 'LANDSCAPE', 'Landscape Consultant', '51488fa2-c938-4fcc-a53f-a34f338d49aa', now(), 'admin', 0),
    (UUID(), 'IDC', 'ID Consultant', '51488fa2-c938-4fcc-a53f-a34f338d49aa', now(), 'admin', 0)</t>
  </si>
  <si>
    <t>[PROD][UPay][ECOM] Update hạn mức thanh toán thể quốc tế sau khi nâng support tcb life</t>
  </si>
  <si>
    <t>2026-05-06T10:19:42.751+0700</t>
  </si>
  <si>
    <t>2026-05-06T10:19:51.686+0700</t>
  </si>
  <si>
    <t>Hi các anh team DBA, Thông tin database saas_tpay:  pay-tidb.int.onemount.com:4000/saas_tpay CR:  Nhờ team chạy giúp em script sau ạ: update SYSTEM_CONFIGURATION set SYSTEM_PARAM_VALUE = 500000000, UPDATED_BY = 'vinh.le2' where SYSTEM_PARAM_CODE = 'ECOM_MAX_AMOUNT_TRANSACTION_INTERNATIONAL_CARD';</t>
  </si>
  <si>
    <t>[Nexa][PSS][NON-PROD][BAU] Hỗ trợ cấp quyền truy cập folder SFTP cho BVBank bằng SSH key</t>
  </si>
  <si>
    <t>2026-05-06T09:07:57.954+0700</t>
  </si>
  <si>
    <t>2026-05-06T16:05:47.478+0700</t>
  </si>
  <si>
    <t>Dear team DBA, Dự án Nexa PSS hiện tại đang thực hiện tích hợp với BVBank, nhằm cung cấp khả năng truy cập và tải dữ liệu từ sftp của pss, nhờ team DBA hỗ trợ cấp quyền truy cập vào sftp nonprod cho service của BVBank với thông tin như sau: SFTP Instance: IP 10.254.136.233 port 2022 Folder  /VCBCVNVX/OUT/ User:  VCBCVNVX Permission: READ ONLY SSH Public file (From attachment) Tài liệu chi tiết: SAD  Nexa Payment Switching System SAD Deployment diagram nonprod [ [PSS] Deployment Diagram (Non-Prod) | https://vinid-team.atlassian.net/wiki/spaces/nexa/pages/2549909139/PSS+Deployment+Diagram+Non-Prod ] Tài liệu tích hợp BVBank:    Cám ơn team đã hỗ trợ</t>
  </si>
  <si>
    <t xml:space="preserve">[UPAY] [PS2] [GL] Update cấu hình hoạc toán </t>
  </si>
  <si>
    <t>2026-05-05T23:01:44.946+0700</t>
  </si>
  <si>
    <t>2026-05-05T23:01:56.730+0700</t>
  </si>
  <si>
    <t>Hi các anh DBA,  Hiện tại em nhận được request update cấu hình  settlement_rate  tử 0.7 lên 1 từ phía PO TCB. Nhờ các anh review và chạy giúp em với ạ, UPDATE general_ledger_data_list t SET t.data_name = '1' WHERE t.data_key = 'settlement_rate' and t.data_value = 'TPOINT'; Em gửi thông tin DB :  tidb.int.onemount.com:4000/vinpay_vinpay_prod_saas_ps2_general_ledger . Thời gian chạy,  17h30 ngày 05-05-2026 Thanks các anh,</t>
  </si>
  <si>
    <t xml:space="preserve">[ManMac][Production] Chạy script migration Database </t>
  </si>
  <si>
    <t>2026-05-05T18:09:52.926+0700</t>
  </si>
  <si>
    <t>2026-05-05T18:10:06.877+0700</t>
  </si>
  <si>
    <t>Nhờ anh  @Đào Công Nghĩa  migrate schema từ database non prod gb-sitegate lên production hỗ trợ golive ứng dụng ạ</t>
  </si>
  <si>
    <t>[OMC][MCL][PROD] Hỗ trợ cập nhật redis - MTP Tracking</t>
  </si>
  <si>
    <t>2026-05-05T17:56:21.706+0700</t>
  </si>
  <si>
    <t>2026-05-05T17:56:38.127+0700</t>
  </si>
  <si>
    <t>Dear anh  @Đào Công Nghĩa  ,  Team em có nhu cầu thêm key vào redis, nhờ anh hỗ trợ chạy script dưới với ạ. Redis URI:  crm-salesforce-redis.int.vinid.net:6379  (DB: 0) SET "https://merchant-app.oneu.vn" "OMC" Thanks anh, Thành An.</t>
  </si>
  <si>
    <t>[MAG][IOTek][MCM][PROD] tạo bảng casbin_rule mới</t>
  </si>
  <si>
    <t>2026-05-05T17:01:39.864+0700</t>
  </si>
  <si>
    <t>2026-05-05T22:37:28.950+0700</t>
  </si>
  <si>
    <t>Trường thông tin Nội dung IP (Host) ces-production.crcykac8kxtw.ap-southeast-1.rds.amazonaws.com Port 3306 DB Name mcm_storage ALTER TABLE ces_mcm_storage.casbin_rule_new
ALTER TABLE ces_mcm_storage.casbin_rule_new MODIFY COLUMN v1 varchar(2048) CHARACTER SET utf8mb4 COLLATE utf8mb4_0900_ai_ci NULL;
INSERT INTO ces_mcm_storage.casbin_rule_new (ptype, v0, v1, v2, v3, v4, v5)
SELECT ptype, v0, v1, v2, v3, v4, v5
FROM (
    SELECT ptype, v0, v1, v2, v3, v4, v5,
           ROW_NUMBER() OVER(PARTITION BY ptype, v0, v1, v2 ORDER BY id DESC) as rn
    FROM ces_mcm_storage.casbin_rule
    WHERE (v1 NOT LIKE '%/' AND v1 NOT LIKE '%/"') 
       OR v1 IS NULL
) AS tmp
WHERE rn = 1;
RENAME TABLE ces_mcm_storage.casbin_rule TO ces_mcm_storage.casbin_rule_old;
RENAME TABLE ces_mcm_storage.casbin_rule_new TO ces_mcm_storage.casbin_rule;</t>
  </si>
  <si>
    <t>[OMC][[ONEU] Chạy script phục vụ golive 05/05/2026</t>
  </si>
  <si>
    <t>2026-05-05T16:39:50.634+0700</t>
  </si>
  <si>
    <t>2026-05-05T16:40:01.498+0700</t>
  </si>
  <si>
    <t>Dear team DBA Team ONEU cần chạy script sau để golive nhờ team hỗ trợ ạ. Có thể thực hiện ngay khi được approve CR:    project:   vinticket-prod db:   vinticket ip:   172.31.1.3 instances:   main-2 ALTER TABLE `ticket_types`
	ADD COLUMN `survey_form_id` varchar(255) DEFAULT NULL,
	ADD COLUMN `is_multiple_form` bool default false;
ALTER TABLE `survey_form_config`
    ADD COLUMN `ticket_type_id` bigint DEFAULT NULL;
ALTER TABLE `survey_form_config` add index ticket_type_id_idx (ticket_type_id);</t>
  </si>
  <si>
    <t>2026-05-05T16:23:46.895+0700</t>
  </si>
  <si>
    <t>2026-05-05T16:23:57.806+0700</t>
  </si>
  <si>
    <t>Dear anh  @Đào Công Nghĩa  , Team em có nhu cầu cập nhật dữ liệu trên DB sau, nhờ anh hỗ trợ. Thời gian chạy:  nhờ anh chạy luôn ạ Thông tin DB:  omc-mtp-tidb.int.onemount.com:4000 / omc_merchant_loyalty update omc_merchant_loyalty.contract set merchant_type = 'SHOPHOUSE' where id = 52439; Ref:  https://chat.google.com/room/AAQAtRBds7U/sVshGzHY6Vk/sVshGzHY6Vk?cls=10 Thanks anh, Thành An.</t>
  </si>
  <si>
    <t>2026-05-05T16:23:09.071+0700</t>
  </si>
  <si>
    <t>2026-05-05T16:23:19.930+0700</t>
  </si>
  <si>
    <t>Nhờ team DBA hỗ trợ migrate data theo thông tin sau: Thông tin database: IP:  172.31.4.126 Database:  onevc_vsm_prod Script cần thực hiện: UPDATE onevc_vsm_prod.distribute_request dr
SET dr.status = 'FAILED'
WHERE dr.distribute_ref IN ('MKB84Q8X', 'MY2XVBGL', 'MBNKA334', 'M9K5VE94', 'MR52DK3B', 'MA3X7R3A', 'M8A542L2', 'MR52DKNB', 'MNL8BX6G', 'M3QLKNVY');
UPDATE onevc_vsm_prod.distribute_request dr
SET dr.status = 'FAILED'
WHERE dr.distribute_ref IN ('MV72AXGB', 'MKB8DLYQ', 'MY2XY64Y', 'M6Q6DBVX', 'M9K596VE', 'M2YLEAQ4', 'M4Q378KQ', 'MA3XY977', 'MR525LAL', 'MKB8B9LV');
UPDATE onevc_vsm_prod.distribute_request dr
SET dr.status = 'FAILED'
WHERE dr.distribute_ref IN ('M2YLYXB7', 'MDBVBNGR', 'M8A5AXXK', 'M5RLRXRX', 'MQK2K3LL', 'M8A5VQYR', 'MR52YB35', 'MKBEGLV8', 'M5R49LBN', 'M5R49X4R');
UPDATE onevc_vsm_prod.distribute_request dr
SET dr.status = 'FAILED'
WHERE dr.distribute_ref IN ('MLLGXLBX', 'M9K7XK9E', 'M2Y73YEG', 'MXK43L68', 'M2Y73QL4', 'MA324E9X', 'MV7XGVA5', 'M5R4YDXQ', 'M2Y7KVD8', 'MV7X8BGA');
UPDATE onevc_vsm_prod.distribute_request dr
SET dr.status = 'FAILED'
WHERE dr.distribute_ref IN ('MGAB9Y8Y', 'MLLG2BVX', 'M5R4376V', 'MR5EVDG3', 'MR5EQ7Q9', 'M5R4B7V3', 'MKBEYKLQ', 'M9K7YEBQ', 'M7L9VQ3K', 'M2Y7R2L2');
UPDATE onevc_vsm_prod.distribute_request dr
SET dr.status = 'FAILED'
WHERE dr.distribute_ref IN ('MNLEY2BL', 'MEKBQXKR', 'M2Y7R2Q3', 'MBNAQ9EA', 'MNLEYB46', 'MQKEE8GR', 'M4QKDA5G', 'M7L9KAK9', 'MQKEB68E', 'M6QVX293');
UPDATE onevc_vsm_prod.distribute_request dr
SET dr.status = 'FAILED'
WHERE dr.distribute_ref IN ('M7L9YK35', 'MEKB23GR', 'MGABL6V8', 'MEKBDV3A', 'MNLEDBKK', 'MBNAD52Y', 'MXK4VN8G', 'MNLED3XG', 'MBNANEL3', 'M9K7K3GV');
UPDATE onevc_vsm_prod.distribute_request dr
SET dr.status = 'FAILED'
WHERE dr.distribute_ref IN ('M3QNQX7E', 'M9K7KDKE', 'MA323A5Y', 'M4QKQ2G4', 'M3QNQ449', 'MA32B6GL', 'MR5ENQA4', 'MXK4LQ8G', 'MQKE9QN3', 'M8ADL6KB');
UPDATE onevc_vsm_prod.distribute_request dr
SET dr.status = 'FAILED'
WHERE dr.distribute_ref IN ('MQKE9QD3', 'M4QKGBVB', 'M4QKGXQ8', 'M5R42L7A', 'MXK4L79N', 'M9KVX33X', 'MNLB43G5', 'MY278R3G', 'M7LK26LL', 'M3Q2Y5XX');
UPDATE onevc_vsm_prod.distribute_request dr
SET dr.status = 'FAILED'
WHERE dr.distribute_ref IN ('MA37ABDV', 'MLLBK5A3', 'MGAY3EKG', 'MA374NY8', 'M9KV2XK9', 'MGAYG6VB', 'MQKBV896', 'MNLBXD6V', 'MV742Q8R', 'M6QX6BB5');
UPDATE onevc_vsm_prod.distribute_request dr
SET dr.status = 'FAILED'
WHERE dr.distribute_ref IN ('MKB28Y48', 'MLLBQAQ3', 'MA37X6XV', 'M8A45D6G', 'MY27XVE8', 'M5R74G6E', 'MXKD4599', 'MR5DEY54', 'M3Q2236L', 'M7LKK4B3');
UPDATE onevc_vsm_prod.distribute_request dr
SET dr.status = 'FAILED'
WHERE dr.distribute_ref IN ('MA3786R2', 'MDB43BY5', 'M8A4QAGX', 'MKB2KBNL', 'M9KVBKN8', 'M5R75RBN', 'M2Y5XRQN', 'MXKD9N54', 'M4QD884R', 'MA37YV39');
UPDATE onevc_vsm_prod.distribute_request dr
SET dr.status = 'FAILED'
WHERE dr.distribute_ref IN ('M5R7XNGY', 'MQKBL3GY', 'MLLBN7VD', 'MGAYVND9', 'MBNXB78E', 'MV74K88G', 'MA37BDY2', 'MXKDL2K5', 'MKB25NQB', 'MBN5E744');
UPDATE onevc_vsm_prod.distribute_request dr
SET dr.status = 'FAILED'
WHERE dr.distribute_ref IN ('M4QE6XNK', 'M8AQ74E7', 'M7LYDK2B', 'MR5BAD9V', 'MQK5N6A8', 'MA38RV4B', 'MBN5R7K6', 'MA384D68', 'MY23L6N9', 'M4QE976Q');
UPDATE onevc_vsm_prod.distribute_request dr
SET dr.status = 'FAILED'
WHERE dr.distribute_ref IN ('MLL4D7RA', 'MEK58D25', 'MGA52NEQ', 'M7LY6DYG', 'MKBKN7B2', 'MBN57845', 'MV758LLL', 'MXKN2BEX', 'MEK57YKN', 'MKBKYLB8');
UPDATE onevc_vsm_prod.distribute_request dr
SET dr.status = 'FAILED'
WHERE dr.distribute_ref IN ('M8AQ6255', 'MKBKYR8B', 'M3QA5N86', 'MY23Q7R3', 'M7LYBKNG', 'M5R5B7K7', 'M4QERAA2', 'MGA5D8RV', 'MBN5Q4VX', 'M9KBQL4L');
UPDATE onevc_vsm_prod.distribute_request dr
SET dr.status = 'FAILED'
WHERE dr.distribute_ref IN ('M2YARGQ2', 'MLL4VN55', 'MLL4Q6XG', 'MGA5Q2K4', 'MEK5V35Y', 'MV754N5Q', 'M4QE8YG6', 'MQK58AXQ', 'MNL39VV4', 'M5R5VEE8');
UPDATE onevc_vsm_prod.distribute_request dr
SET dr.status = 'FAILED'
WHERE dr.distribute_ref IN ('MXKN9BRD', 'M7LYQ3VY', 'MV75AGV2', 'M4QE89LK', 'M3QAKVK2', 'M3QAKEVG', 'M2YAX24K', 'MGA5L4G9', 'MY239ALE', 'M4QE8L9D');
UPDATE onevc_vsm_prod.distribute_request dr
SET dr.status = 'FAILED'
WHERE dr.distribute_ref IN ('MKBK9A3K', 'MQK58DQ3', 'MKBKDY3V', 'M7LY7E3K', 'MNL3DYQY', 'M9KB9Q58', 'MEK5D56G', 'M2YAEAQQ', 'MR5B3LXE', 'MGA5NLKD');
UPDATE onevc_vsm_prod.distribute_request dr
SET dr.status = 'FAILED'
WHERE dr.distribute_ref IN ('MA38Y962', 'MY23Y9Q7', 'MBN5DDLK', 'M3QADDEN', 'MDB3XXBV', 'M8AQXAR6', 'MXKNVK5G', 'MEK5DGE9', 'MBN5DY38', 'MR5B3Y2A');
UPDATE onevc_vsm_prod.distribute_request dr
SET dr.status = 'FAILED'
WHERE dr.distribute_ref IN ('MDB3XEAE', 'MNL3D576', 'MA38YBXV', 'MY23Y4X6', 'M7LYL2V5', 'M5R5RYNR', 'MBN5NVQD', 'M3QAQLGA', 'M6Q9Q6NV', 'MBN5NKVX');
UPDATE onevc_vsm_prod.distribute_request dr
SET dr.status = 'FAILED'
WHERE dr.distribute_ref IN ('M9KBK7LN', 'M3QAQ29D', 'MGA5AYBD', 'M6Q9Q9R2', 'MV7575DN', 'MEK5K54L', 'MXKNKN2L', 'M7LYLYBG', 'M7LYLYVG', 'MQK5K5RV');
UPDATE onevc_vsm_prod.distribute_request dr
SET dr.status = 'FAILED'
WHERE dr.distribute_ref IN ('MQK5K53X', 'M7LYL72A', 'MDB3BX9K', 'MGA5VBDQ', 'M5R52GKX', 'MV75K6XR', 'M9KB8AKD', 'MQK8728K', 'MY298X48', 'MR5LX565');
UPDATE onevc_vsm_prod.distribute_request dr
SET dr.status = 'FAILED'
WHERE dr.distribute_ref IN ('MBNG4N7E', 'MKB9LBN8', 'MDBNRYKK', 'M8AY2G4Q', 'MA39R7BG', 'M9KREA6G', 'MNL9Q63N', 'MR5L6ER5', 'MA39DELX', 'MQK8G75X');
UPDATE onevc_vsm_prod.distribute_request dr
SET dr.status = 'FAILED'
WHERE dr.distribute_ref IN ('MEK2QY5A', 'MGALD852', 'MV7AB952', 'MQK8G78X', 'M8AYRNY3', 'M4Q8RA8K', 'MDBNQ9NX', 'M8AYRNX2', 'MDBNQ9XV', 'MA39QK3A');
UPDATE onevc_vsm_prod.distribute_request dr
SET dr.status = 'FAILED'
WHERE dr.distribute_ref IN ('MKB94LBY', 'MR5LGX5B', 'MBNGQ4NN', 'M8AYRNV2', 'MQK8G7L8', 'MV7AB9KD', 'M6Q2EG5D', 'M9KRQE34', 'MA39QRGB', 'M4Q8RY6Y');
UPDATE onevc_vsm_prod.distribute_request dr
SET dr.status = 'FAILED'
WHERE dr.distribute_ref IN ('M5RV6AQB', 'MLLYVRX4', 'MKB94RLX', 'MY29EGGR', 'M8AYR22V', 'MKB94RXX', 'MNL9YRV7', 'M3QKR9G2', 'MGALDR3A', 'MV7ABYG7');
UPDATE onevc_vsm_prod.distribute_request dr
SET dr.status = 'FAILED'
WHERE dr.distribute_ref IN ('MGALDR2B', 'MXK9G826', 'MR5LGKV9', 'MY29EG69', 'MDBNQR5B', 'MQK8GNBY', 'MA39QR84', 'MGALD9K9', 'M4Q8R5DB', 'M4Q8R355');
UPDATE onevc_vsm_prod.distribute_request dr
SET dr.status = 'FAILED'
WHERE dr.distribute_ref IN ('M6Q2QAB8', 'M7LQLGY6', 'MKB9BG57', 'MGALAXE5', 'M9KRKX3A', 'M8AYA77Y', 'M2YXY9VN', 'M8AYLQ2Q', 'M8AXNGXR', 'MV73LL3X');
UPDATE onevc_vsm_prod.distribute_request dr
SET dr.status = 'FAILED'
WHERE dr.distribute_ref IN ('M4Q7227D', 'M6QD3VV9', 'MDBX5VE8', 'MR53RE4A', 'MLL79GDX', 'M8AX5R3N', 'MLL7GV4V', 'MGANBD5Y', 'M8AXDRQQ', 'MY2YVE3Y');
UPDATE onevc_vsm_prod.distribute_request dr
SET dr.status = 'FAILED'
WHERE dr.distribute_ref IN ('M9K97QBK', 'M5RX46XY', 'MEKDBQG8', 'M2YE7RG6', 'MQK35YYR', 'M3QDABBN', 'MY2Y2L59', 'MGANAB9L', 'MLL7LGA2', 'MR535EGK');
UPDATE onevc_vsm_prod.distribute_request dr
SET dr.status = 'FAILED'
WHERE dr.distribute_ref IN ('MLL7NLAD', 'MV77EYK2', 'MBNNE824', 'MBNN8783', 'MXKKB2YA', 'M9KK2XVV', 'M8AAG6DB', 'M6QQNB2Q', 'MR559Q5G', 'M2YY4BYY');
UPDATE onevc_vsm_prod.distribute_request dr
SET dr.status = 'FAILED'
WHERE dr.distribute_ref IN ('M2YY4N47', 'MA334LVQ', 'MEKK8E8L', 'M8AA8BQ3', 'M4QQV28K', 'MLLL6KY5', 'M3QQ4N36', 'MXKK2AXB', 'MQKK4V4N', 'MKBBNBLV');
UPDATE onevc_vsm_prod.distribute_request dr
SET dr.status = 'FAILED'
WHERE dr.distribute_ref IN ('M9KKNK97', 'MXKK2KKV', 'M7LL6L49', 'M8AA63Y7', 'M8AA63XX', 'M6QQB4YR', 'M4QQBXX5', 'MLLLA9L9', 'M6QQ6EBX', 'MGAAQD7E');
UPDATE onevc_vsm_prod.distribute_request dr
SET dr.status = 'FAILED'
WHERE dr.distribute_ref IN ('M4QQ3RK4', 'MKBBED65', 'M4QQK75N', 'MEKKBD7Q', 'M6QQXD6L', 'MV777YLX', 'MXKKKVNG', 'MDBB8G8Q', 'MKBB5L9R', 'M9KK8DNL');
UPDATE onevc_vsm_prod.distribute_request dr
SET dr.status = 'FAILED'
WHERE dr.distribute_ref IN ('MDBBEDN8', 'MEKGR48B', 'M6QKA34B', 'MBNYRX49', 'MNLKRBVN', 'MKBQXXR3', 'M6QKL5R5', 'MGAV2B6K', 'MR5Y6ENX', 'MV76DXK5');
UPDATE onevc_vsm_prod.distribute_request dr
SET dr.status = 'FAILED'
WHERE dr.distribute_ref IN ('MA3563YQ', 'MGAVQ9QE', 'M4QN3R4K', 'M6QK6EGR', 'MR5Y2GXN', 'M2YG7RKG', 'MDB8GQKD', 'M8AVDR5Y', 'MBNYAQ5V', 'M8AVYN4N');
UPDATE onevc_vsm_prod.distribute_request dr
SET dr.status = 'FAILED'
WHERE dr.distribute_ref IN ('MA359KB7', 'MXK59RVK', 'MLLN7RDX', 'M7LR7N89', 'M7LR7NX9', 'MNLKD8L3', 'MGAVAY3B', 'MV76K558', 'M9KA8BAL', 'MQK9XXGE');
UPDATE onevc_vsm_prod.distribute_request dr
SET dr.status = 'FAILED'
WHERE dr.distribute_ref IN ('MGAEXXB5', 'MR5N44L6', 'M8ALE4XE', 'MR5N4LYQ', 'MR5NAAN4', 'M3Q3BLLX', 'MEK6392K', 'MEK63BX4', 'MKB5LNGN', 'MNL5N768');
UPDATE onevc_vsm_prod.distribute_request dr
SET dr.status = 'FAILED'
WHERE dr.distribute_ref IN ('MNL5NK55', 'MDBE9E68', 'MXKLAL2X', 'MY24GLX7', 'M9K8E2KY', 'M9K8EVY6', 'M9K8D6GR', 'MNL5VBYE', 'MNL523DR', 'MLL58YGV');
UPDATE onevc_vsm_prod.distribute_request dr
SET dr.status = 'FAILED'
WHERE dr.distribute_ref IN ('MY24A9VY', 'MV7KRQ8Q', 'MDBE5D5D', 'MV7KRQBL', 'MV7K28KX', 'M7L45647', 'M9K85V4L', 'MQK9EEG4', 'MQK9BEKX', 'MXKLD4KN');
UPDATE onevc_vsm_prod.distribute_request dr
SET dr.status = 'FAILED'
WHERE dr.distribute_ref IN ('MNL5968E', 'MLL5YEQ5', 'MKB59G2Y', 'MDBEX4X4', 'MLL57426', 'MLL5L8A4', 'M3Q3QEQG', 'M8ALAD6R', 'MKB5Q62B', 'MDBE8K9Q');
UPDATE onevc_vsm_prod.distribute_request dr
SET dr.status = 'FAILED'
WHERE dr.distribute_ref IN ('M4QGN59A', 'MEK6G47L', 'M3Q38676', 'MBNBY7Q9', 'M4QGN5RQ', 'MGAEV9BQ', 'MGAEE363', 'MY5RRKNV', 'M2GD94RR', 'M4N4AB57');
UPDATE onevc_vsm_prod.distribute_request dr
SET dr.status = 'FAILED'
WHERE dr.distribute_ref IN ('MQLX7QK5', 'M38XY58N', 'MV6E92L4', 'MNK6N825', 'MV6E92D4', 'MA5GK94L', 'MY5R89AA', 'MV6E9A2Y', 'M5G98XEV', 'M4N4A7K9');
UPDATE onevc_vsm_prod.distribute_request dr
SET dr.status = 'FAILED'
WHERE dr.distribute_ref IN ('MV6E969B', 'M8VE2E4Q', 'MGVXRXLK', 'M4N4Y4NE', 'MEGRN847', 'MV6EYDRA', 'M38X94AQ', 'MGVXR2N6', 'M9A3EGK2', 'MX56823B');
UPDATE onevc_vsm_prod.distribute_request dr
SET dr.status = 'FAILED'
WHERE dr.distribute_ref IN ('M7RGNE3R', 'M6KALRL2', 'MX56B3EQ', 'MNK6V4QQ', 'MD862LQL', 'M2GD82DX', 'M9A3D6DV', 'MV6ELQ85', 'M9A3D666', 'MRY48QG5');
UPDATE onevc_vsm_prod.distribute_request dr
SET dr.status = 'FAILED'
WHERE dr.distribute_ref IN ('MX56BQN2', 'M4N42732', 'MV6EL346', 'MX56BV93', 'M5G9EXVY', 'MGVX3NLY', 'MV6EL364', 'M4N427GE', 'MBYE8N75', 'MY5RLB6Y');
UPDATE onevc_vsm_prod.distribute_request dr
SET dr.status = 'FAILED'
WHERE dr.distribute_ref IN ('M9A32XNK', 'M8VEKNGA', 'MBYELQ6D', 'M9A3453R', 'M9A34A6A', 'M4N4LG2L', 'MGVX2D7R', 'M9A3GQYG', 'MKQG64VV', 'MLNE6Q8X');
UPDATE onevc_vsm_prod.distribute_request dr
SET dr.status = 'FAILED'
WHERE dr.distribute_ref IN ('MX56XNQE', 'M38X4AR2', 'MA5GV828', 'MGVX2ENR', 'MD86KAQQ', 'MBYE73LB', 'MGVX9723', 'M9A3NYGN', 'M7RG6VA9', 'MQLX4R6K');
UPDATE onevc_vsm_prod.distribute_request dr
SET dr.status = 'FAILED'
WHERE dr.distribute_ref IN ('MBYE739B', 'MLNE292X', 'M2GD6N6V', 'MA5GDLDE', 'M9A3NYNN', 'MV6E8R8Q', 'M4N45X5X', 'MKQGNVN4', 'MX562R27', 'MLNE29AX');
UPDATE onevc_vsm_prod.distribute_request dr
SET dr.status = 'FAILED'
WHERE dr.distribute_ref IN ('MY5R63BK', 'M8VE3XGA', 'MV6E838N', 'MGVX9NBQ', 'M38X68BA', 'MEGR4GX9', 'M6KA3KY3', 'MY5R65KY', 'MD86K8KR', 'M9A3NANK');
UPDATE onevc_vsm_prod.distribute_request dr
SET dr.status = 'FAILED'
WHERE dr.distribute_ref IN ('M8VE68VQ', 'MY5RQVBK', 'M5G9B48V', 'MD86DGDD', 'M5G9B758', 'M5G9B72R', 'MLNEA43N', 'MEGRLAG9', 'MD865KG7', 'MY5RN6Y3');
UPDATE onevc_vsm_prod.distribute_request dr
SET dr.status = 'FAILED'
WHERE dr.distribute_ref IN ('MEGRL4GL', 'MBYEQQ59', 'M8VER42E', 'M9A3QVEE', 'MLNEV5BR', 'MRY424XQ', 'MV6E2YY5', 'MV6EX36D', 'M8VEYLXA', 'MQLX335B');
UPDATE onevc_vsm_prod.distribute_request dr
SET dr.status = 'FAILED'
WHERE dr.distribute_ref IN ('MV6E37VB', 'MKQGDB6E', 'MKQGD575', 'MLNEN87D', 'M5G9GDX2', 'MGVXV25K', 'MQLXL63K', 'MQLXL6KK', 'MGVXV2V3', 'MNK6KQ53');
UPDATE onevc_vsm_prod.distribute_request dr
SET dr.status = 'FAILED'
WHERE dr.distribute_ref IN ('M4N4N569', 'MLNEN2X7', 'M7RGR6BN', 'M6KRARAA', 'MBY2E222', 'MRYA4AAY', 'M8V7E73N', 'MKQ7G7NN', 'MV6NENQN', 'MEG3R375');
UPDATE onevc_vsm_prod.distribute_request dr
SET dr.status = 'FAILED'
WHERE dr.distribute_ref IN ('M4N64A6K', 'M7RDG2NE', 'M9AX3LD4', 'M6KRAGND', 'MGV66857', 'M2G39NV5', 'MKQ7L4AB', 'M2G39RLD', 'MD8L9QGQ', 'MKQ7L4BR');
UPDATE onevc_vsm_prod.distribute_request dr
SET dr.status = 'FAILED'
WHERE dr.distribute_ref IN ('MD8L9QB7', 'M6KRGE5E', 'MEG3Y98A', 'MRYAX2RB', 'MV6NYENB', 'M6KR8NNE', 'MEG3NXK3', 'MNK4RYVK', 'MD8LRG8Y', 'MX5384L5');
UPDATE onevc_vsm_prod.distribute_request dr
SET dr.status = 'FAILED'
WHERE dr.distribute_ref IN ('MQLYNBA9', 'M2G3V524', 'MY5BG7KQ', 'MKQ7R2NN', 'M6KR8X32', 'MGV6RY76', 'MY5BG3NL', 'MX53E3NN', 'M5GQYQ5G', 'MRYA9ALN');
UPDATE onevc_vsm_prod.distribute_request dr
SET dr.status = 'FAILED'
WHERE dr.distribute_ref IN ('M9AX2B22', 'MRYA936G', 'M8V7K7D9', 'M38BEBAX', 'MNK42NXX', 'M2G324EY', 'MRYA76LE', 'MV6NVD6E', 'MX53YXL8', 'M2G327XR');
UPDATE onevc_vsm_prod.distribute_request dr
SET dr.status = 'FAILED'
WHERE dr.distribute_ref IN ('M38BE2V8', 'MQLYDB8D', 'M9AX4VR9', 'M8V7KYGE', 'MY5BA9Q8', 'M5GQDVXQ', 'M2G32EBA', 'MNK42DDD', 'M9AX49AY', 'MNK42L48');
UPDATE onevc_vsm_prod.distribute_request dr
SET dr.status = 'FAILED'
WHERE dr.distribute_ref IN ('MX53YKAQ', 'MNK42LR8', 'MV6NV7RN', 'MA5NE3L7', 'MKQ7ABVQ', 'MBY2LNQ9', 'M2G32YLR', 'M38BEQK9', 'MA5NE396', 'M7RDXL7Q');
UPDATE onevc_vsm_prod.distribute_request dr
SET dr.status = 'FAILED'
WHERE dr.distribute_ref IN ('MBY2LNN4', 'M5GQDR27', 'MBY2LYEN', 'MV6NV6ND', 'MGV64V2A', 'MEG34Y88', 'M2G364GE', 'M2G36XR7', 'MX532943', 'MD8LD5L8');
UPDATE onevc_vsm_prod.distribute_request dr
SET dr.status = 'FAILED'
WHERE dr.distribute_ref IN ('MD8LD598', 'M7RDBVN9', 'MKQ7YVA4', 'MKQ7YV4A', 'MEG37Q3N', 'M9AXYDLV', 'MQLYRANN', 'MRYAG695', 'M2G3RXVG', 'MNK4Y9D9');
UPDATE onevc_vsm_prod.distribute_request dr
SET dr.status = 'FAILED'
WHERE dr.distribute_ref IN ('M8V757XA', 'MX537G9N', 'MEG39QKA', 'M4N63RGK', 'MY5BXXAR', 'MRYA25AG', 'MV6N2796', 'MX537KY3', 'MD8LVEK6', 'MA5N2A6R');
UPDATE onevc_vsm_prod.distribute_request dr
SET dr.status = 'FAILED'
WHERE dr.distribute_ref IN ('MD8LG25Q', 'M2G378QR', 'M2G37NBE', 'M9AXVX2V', 'MA5N7NEV', 'MEG3VBRR', 'MEG3V6GV', 'MX53N668', 'MQLY5X7A', 'MRYAB9YN');
UPDATE onevc_vsm_prod.distribute_request dr
SET dr.status = 'FAILED'
WHERE dr.distribute_ref IN ('MGV65GE2', 'MEG3584D', 'M2G3XQ46', 'M38BK36X', 'MGV6LEDE', 'MLNX79EL', 'MGV6N78X', 'MLNX778D', 'M5GQR235', 'MRYAY2BB');
UPDATE onevc_vsm_prod.distribute_request dr
SET dr.status = 'FAILED'
WHERE dr.distribute_ref IN ('MD8L8E3Y', 'M7RD465R', 'MLNX5BK2', 'M38B3399', 'MEG366NA', 'MX53LL8N', 'MEG366ER', 'M4N6GG25', 'MX53LLBR', 'MNK455VE');
UPDATE onevc_vsm_prod.distribute_request dr
SET dr.status = 'FAILED'
WHERE dr.distribute_ref IN ('MLNX55K5', 'M9AL3GRY', 'M6KGA96X', 'MD8963GD', 'MQL7XK68', 'MEGY342Y', 'MA5KND5N', 'MA5KRGVN', 'MV69YEDL', 'MBY4RE93');
UPDATE onevc_vsm_prod.distribute_request dr
SET dr.status = 'FAILED'
WHERE dr.distribute_ref IN ('M4NAY454', 'MY58GB77', 'M6KG8626', 'MEGYN922', 'MQL7N9NB', 'M5G8E46L', 'MLN3KGVL', 'M2G987RQ', 'MLN3KNYK', 'MLN3K5X5');
UPDATE onevc_vsm_prod.distribute_request dr
SET dr.status = 'FAILED'
WHERE dr.distribute_ref IN ('M8VNKDQY', 'MY58K9L8', 'MD89K672', 'MKQLNG6D', 'M7R26GAR', 'M38Y6X5E', 'M9ALN36V', 'M6KG3A4L', 'MD89KK3K', 'MGV89K93');
UPDATE onevc_vsm_prod.distribute_request dr
SET dr.status = 'FAILED'
WHERE dr.distribute_ref IN ('MX5A2Q27', 'MA5K6687', 'M4NAXQQB', 'MBY4QYVL', 'M8VNRVK5', 'MKQLE5AE', 'M9ALBLXB', 'M6KGD468', 'M9AL9Y57', 'MD89X5V8');
UPDATE onevc_vsm_prod.distribute_request dr
SET dr.status = 'FAILED'
WHERE dr.distribute_ref IN ('M8VNAER7', 'MLN3LN2L', 'MD89BEAQ', 'M6KGKAYD', 'M2G9G3R7', 'MBY4YL8X', 'M4NAGVQ5', 'M5GA9NR6', 'MBYREK88', 'MLNREB9N');
UPDATE onevc_vsm_prod.distribute_request dr
SET dr.status = 'FAILED'
WHERE dr.distribute_ref IN ('M4NY6GB4', 'M8V2NER5', 'MX58A645', 'M8V2BERR', 'MLNR26E6', 'M389644B', 'M2GV526X', 'M7RNKBVN', 'MKQR9DRQ', 'MLNRY7KK');
UPDATE onevc_vsm_prod.distribute_request dr
SET dr.status = 'FAILED'
WHERE dr.distribute_ref IN ('M4NY7342', 'M7RN7YKE', 'MKQRBN22', 'MRYK5QV9', 'M2GVYBGY', 'MX5857E9', 'M7RNR5V5', 'M4NYN3E2', 'M3898LQA', 'MA5R52VQ');
UPDATE onevc_vsm_prod.distribute_request dr
SET dr.status = 'FAILED'
WHERE dr.distribute_ref IN ('M3898Q8E', 'MV6YKEYD', 'MLNR5ELD', 'M9AE8X7K', 'M6K85GNX', 'MKQR553V', 'M9ADE997', 'MEGENDGY', 'M6KL8DKK', 'M7R33KDQ');
UPDATE onevc_vsm_prod.distribute_request dr
SET dr.status = 'FAILED'
WHERE dr.distribute_ref IN ('MY5DAYG8', 'M7R3X7N6', 'MGV34NRE', 'M6KL7DLX', 'MA5AEY4N', 'MNKVQQ44', 'MD82AARN', 'MNKVQE3K', 'MX5BXNL4', 'M8VB39RA');
UPDATE onevc_vsm_prod.distribute_request dr
SET dr.status = 'FAILED'
WHERE dr.distribute_ref IN ('MQLA4R2R', 'M8VB395A', 'MY5D6Y3K', 'M8VB3XYG', 'MQLAQ2BA', 'M38G5L24', 'MY5DQVDD', 'M5GEKEL6', 'MA5ALA2N', 'MNKVA7VB');
UPDATE onevc_vsm_prod.distribute_request dr
SET dr.status = 'FAILED'
WHERE dr.distribute_ref IN ('MGV379GR', 'M9ADYN4G', 'M8VB9564', 'MLNKV6QQ', 'M6KL6DQ6', 'M6KL65NL', 'M7R392GD', 'MA5A2KKL', 'M8VBD3LK', 'MA5A26NK');
UPDATE onevc_vsm_prod.distribute_request dr
SET dr.status = 'FAILED'
WHERE dr.distribute_ref IN ('MX5B4QB2', 'M2G87B4A', 'MGV3BDKB', 'MEGEBQLQ', 'MD82GQQ9', 'MKQXE44K', 'M2G8XVKQ', 'MBY8YA49', 'M4N2NG78', 'M2G8GQYB');
UPDATE onevc_vsm_prod.distribute_request dr
SET dr.status = 'FAILED'
WHERE dr.distribute_ref IN ('MGV3VEA7', 'M8VBVLAR', 'M7R34GGK', 'MY5D46VK', 'M2G4D6YX', 'MA54G24D', 'MLNDEG8R', 'M5GYQB6V', 'MKQ37YEA', 'M4N96RBV');
UPDATE onevc_vsm_prod.distribute_request dr
SET dr.status = 'FAILED'
WHERE dr.distribute_ref IN ('MY5LBXAN', 'M7R8D76X', 'M7R82G68', 'MQLV7Y6D', 'MX5EA326', 'MGVGRV7Y', 'MV6GY6B4', 'M7R8NRL9', 'M7R833LB', 'M38VGGQL');
UPDATE onevc_vsm_prod.distribute_request dr
SET dr.status = 'FAILED'
WHERE dr.distribute_ref IN ('M2G488YA', 'MGVG3AG5', 'M9A22ENY', 'MV6GGLNN', 'MV6GGLN3', 'M6KNNL87', 'MBYVV8L4', 'M9A22D4Q', 'M38VV2N5', 'MQLVVBBD');
UPDATE onevc_vsm_prod.distribute_request dr
SET dr.status = 'FAILED'
WHERE dr.distribute_ref IN ('M2G42V4K', 'MNKX2RQK', 'M6KN7BG8', 'MV6GVQ2K', 'MX5EYQDA', 'MBYV9426', 'MV6GDVR8', 'M38V4E7A', 'M4N9VLR2', 'M7R8AQ9L');
UPDATE onevc_vsm_prod.distribute_request dr
SET dr.status = 'FAILED'
WHERE dr.distribute_ref IN ('M4N9XY8A', 'M38V75E2', 'M2G4NB2E', 'MEGAL742', 'MEGALB4L', 'MA54L267', 'MBYV3A39', 'MEGALBQL', 'MKQ3VE4Q', 'M7R8EXLQ');
UPDATE onevc_vsm_prod.distribute_request dr
SET dr.status = 'FAILED'
WHERE dr.distribute_ref IN ('MGVGD96R', 'MKQ34YKD', 'MBYVQ6NE', 'MGVGDAXY', 'M4N9RQ4G', 'MNKXYL4V', 'MRY92X4A', 'MY5LX33A', 'MKQ38KB3', 'M8VGD499');
UPDATE onevc_vsm_prod.distribute_request dr
SET dr.status = 'FAILED'
WHERE dr.distribute_ref IN ('M8VG4569', 'M5GY7LK9', 'MLND4XBQ', 'MBYV5KGD', 'MQLV8E47', 'MBYVGA3B', 'MNKXDYDA', 'M6KNDKYD', 'M8VGXV32', 'M9A29A6X');
UPDATE onevc_vsm_prod.distribute_request dr
SET dr.status = 'FAILED'
WHERE dr.distribute_ref IN ('M5GYRNKG', 'MX5EKXGN', 'M4NV6YAG', 'M2D9BYQ', 'M8EV2KL', 'M2DGV57');</t>
  </si>
  <si>
    <t xml:space="preserve">Xin bổ sung quyền cho worker của OneNexus </t>
  </si>
  <si>
    <t>2026-05-05T16:01:29.342+0700</t>
  </si>
  <si>
    <t>Để phục vụ cho việc build dashboard Onehub v3, nhờ team  phân quyền  cho worker của OneNexus connect qua MySQL DB prod của CBP như sau: Mysql (172.31.0.67): Môi trường: qc, uat User hiện tại:  onx_dp_cdp_onehub_readonly Danh sách bảng cần phân quyền: omre_cbp_agent_core_{qc,uat}: documents ekyc_informations onboarding_step_data onboarding_processes tier_upgrade_logs user_metric_snapshots task_templates mei_calculation_logs task_templates assignment_{qc,uat}: assignment_qc.referrals transaction_{qc,uat}: gsm_transaction reference_data_{qc,uat}: constants</t>
  </si>
  <si>
    <t>[MAG][DEV]  Upgrade version Postgresql from v17.4 to v17.9 project MAG</t>
  </si>
  <si>
    <t>2026-05-05T15:02:00.118+0700</t>
  </si>
  <si>
    <t>2026-05-05T15:02:18.025+0700</t>
  </si>
  <si>
    <t>[MAG][PROD]Thực hiện upgrade version DB Postgresql from v17.4 to v17.9 project MAG Nhằm mục tiêu đảm bảo dịch vụ sau kho aws end off support version đối với các DB postgressql version 17.4, Team DBA phối hợp với team SRE và CNSP, Thực hiện upgrade version DB postgresql PROD từ 17.4 lên 17.9. danh sách các instance thực hiện update: STT Instance endpoint Database name RDS version To RDS version 1 crm-prod-postgresql crm-prod-postgresql.crcykac8kxtw.ap-southeast-1.rds.amazonaws.com dj_crm_smarthome_prod 17.4 17.9 2 mh-postgres-production mh-postgres-production.crcykac8kxtw.ap-southeast-1.rds.amazonaws.com customer_app_prod 17.4 17.9 customer_consent document_management fin_gw mh_ekyc mh_esign prod_keycloak shlink unpub 3 crm-mag-dev-postgres-upgrade crm-mag-dev-postgres-upgrade.cr62264i6qsz.ap-southeast-1.rds.amazonaws.com dj_crm_smarthome_migrate_aws 17.4 17.9 4 iotekhub-rds-postgresql-primary-dev iotekhub-rds-postgresql-primary-dev.cr62264i6qsz.ap-southeast-1.rds.amazonaws.com iotekhub 16.8 16.13 iothub parking_dev parking_qc 5 mas-postgres-16-dev mas-postgres-16-dev.cr62264i6qsz.ap-southeast-1.rds.amazonaws.com bpm_camunda_dev 16.8 16.13 customer_app_dev customer_app_stg customer_consent_dev customer_profile_mngt_dev digital_signature_dev document_management_dev fin_gw_dev fin_gw_staging fintools_dev keycloak-dev mdm_selling_product_dev mdm_selling_product_staging mdm_selling_product_stg mh_ekyc_dev mh_esign_dev mh_esign_stg mh_track_and_trace_dev mpm_selling_product_dev shlink_dev_2 6 ctms-staging-mysql ctms-staging-mysql.cr62264i6qsz.ap-southeast-1.rds.amazonaws.co erp-stg 11.4.5(MariaDB) 10.4.10 erp-stg-client-1</t>
  </si>
  <si>
    <t>[OMRE][CBP][PROD][Mongodb] Hỗ trợ backup dữ liệu OMRE-CBP-Listing (Tiếp tục golive ngày 05/05)</t>
  </si>
  <si>
    <t>2026-05-05T11:34:03.918+0700</t>
  </si>
  <si>
    <t>2026-05-05T23:37:41.545+0700</t>
  </si>
  <si>
    <t xml:space="preserve">Dear team, Tiếp nối ticket cũ    (do quá trình golive và migrate dữ liệu tối hôm qua 04/05 chưa hoàn tất), hôm nay (05/05) team OMRE-CBP-Listing sẽ tiếp tục thực hiện phần golive còn lại. Việc migrate vẫn có ảnh hưởng lớn tới data của listing nên team vẫn cần một bản backup mới và có thể restore nếu cần thiết. Nhờ team DBA tiếp tục hỗ trợ trực backup và restore (nếu cần) trong quá trình thực hiện ngày hôm nay với thông tin như sau: Nhu cầu:  Backup lại toàn bộ database và standby hỗ trợ Database:   omre_cbp_listing Mongodb cluster endpoint (Host):   omre-cbp-prod.8j11t.mongodb.net:27017 Thời gian thực hiện:  Ngày thứ 3 (05/05/2026), nhờ anh em DBA trực cùng team trên group trao đổi để thực hiện cho hợp lý ạ. Thời gian backup dự kiến:  21:00  Ngày thứ 3 (05/05/2026) Thời gian restore dự kiến (nếu có):  21:00 ~ 23:59  Ngày thứ 3 (05/05/2026) Thông tin Release (Giữ nguyên như plan): CR:     Runbook:    </t>
  </si>
  <si>
    <t>[NonProd][Data Platform][MAG-HR] Tạo schema user truy cập trên mấy chủ SQL Server 172.31.0.38</t>
  </si>
  <si>
    <t>2026-05-05T11:05:58.208+0700</t>
  </si>
  <si>
    <t>2026-05-05T11:06:09.288+0700</t>
  </si>
  <si>
    <t>Dear team DBA, Nằm trong dự án MAG - HR, team DE đang cần build và kéo dữ liệu chấm công. Tuy nhiên, thực tế đang không có môi trường non-prod, do vậy dữ liệu tạm thời sẽ giả lập và dev trên SQL Server của OS. Nhờ team hỗ trợ thông tin như sau: Tạo schema/catalog nếu chưa có:  mag_biostar Cấp user có quyền: select/insert/update/delete/create/drop table trên dbo này.</t>
  </si>
  <si>
    <t>2026-05-05T10:38:52.593+0700</t>
  </si>
  <si>
    <t>2026-05-05T10:39:10.082+0700</t>
  </si>
  <si>
    <t>Dear DBA team, Nhờ các anh em support chạy script update trạng thái đơn hàng. Thông tin DB Mysql: Database name: vincart_mm_order 
IP: 172.31.1.41 -- Update order status
update orders a
set a.status = 'CANCELLED'
where a.code in ('MKB84Q8X',
'MY2XVBGL',
'MBNKA334',
'M9K5VE94',
'MR52DK3B',
'MA3X7R3A',
'M8A542L2',
'MR52DKNB',
'MNL8BX6G',
'M3QLKNVY',
'MV72AXGB',
'MKB8DLYQ',
'MY2XY64Y',
'M6Q6DBVX',
'M9K596VE',
'M2YLEAQ4',
'M4Q378KQ',
'MA3XY977',
'MR525LAL',
'MKB8B9LV',
'M2YLYXB7',
'MDBVBNGR',
'M8A5AXXK',
'M5RLRXRX',
'MQK2K3LL',
'M8A5VQYR',
'MR52YB35',
'MKBEGLV8',
'M5R49LBN',
'M5R49X4R',
'MLLGXLBX',
'M9K7XK9E',
'M2Y73YEG',
'MXK43L68',
'M2Y73QL4',
'MA324E9X',
'MV7XGVA5',
'M5R4YDXQ',
'M2Y7KVD8',
'MV7X8BGA',
'MGAB9Y8Y',
'MLLG2BVX',
'M5R4376V',
'MR5EVDG3',
'MR5EQ7Q9',
'M5R4B7V3',
'MKBEYKLQ',
'M9K7YEBQ',
'M7L9VQ3K',
'M2Y7R2L2',
'MNLEY2BL',
'MEKBQXKR',
'M2Y7R2Q3',
'MBNAQ9EA',
'MNLEYB46',
'MQKEE8GR',
'M4QKDA5G',
'M7L9KAK9',
'MQKEB68E',
'M6QVX293',
'M7L9YK35',
'MEKB23GR',
'MGABL6V8',
'MEKBDV3A',
'MNLEDBKK',
'MBNAD52Y',
'MXK4VN8G',
'MNLED3XG',
'MBNANEL3',
'M9K7K3GV',
'M3QNQX7E',
'M9K7KDKE',
'MA323A5Y',
'M4QKQ2G4',
'M3QNQ449',
'MA32B6GL',
'MR5ENQA4',
'MXK4LQ8G',
'MQKE9QN3',
'M8ADL6KB',
'MQKE9QD3',
'M4QKGBVB',
'M4QKGXQ8',
'M5R42L7A',
'MXK4L79N',
'M9KVX33X',
'MNLB43G5',
'MY278R3G',
'M7LK26LL',
'M3Q2Y5XX',
'MA37ABDV',
'MLLBK5A3',
'MGAY3EKG',
'MA374NY8',
'M9KV2XK9',
'MGAYG6VB',
'MQKBV896',
'MNLBXD6V',
'MV742Q8R',
'M6QX6BB5',
'MKB28Y48',
'MLLBQAQ3',
'MA37X6XV',
'M8A45D6G',
'MY27XVE8',
'M5R74G6E',
'MXKD4599',
'MR5DEY54',
'M3Q2236L',
'M7LKK4B3',
'MA3786R2',
'MDB43BY5',
'M8A4QAGX',
'MKB2KBNL',
'M9KVBKN8',
'M5R75RBN',
'M2Y5XRQN',
'MXKD9N54',
'M4QD884R',
'MA37YV39',
'M5R7XNGY',
'MQKBL3GY',
'MLLBN7VD',
'MGAYVND9',
'MBNXB78E',
'MV74K88G',
'MA37BDY2',
'MXKDL2K5',
'MKB25NQB',
'MBN5E744',
'M4QE6XNK',
'M8AQ74E7',
'M7LYDK2B',
'MR5BAD9V',
'MQK5N6A8',
'MA38RV4B',
'MBN5R7K6',
'MA384D68',
'MY23L6N9',
'M4QE976Q',
'MLL4D7RA',
'MEK58D25',
'MGA52NEQ',
'M7LY6DYG',
'MKBKN7B2',
'MBN57845',
'MV758LLL',
'MXKN2BEX',
'MEK57YKN',
'MKBKYLB8',
'M8AQ6255',
'MKBKYR8B',
'M3QA5N86',
'MY23Q7R3',
'M7LYBKNG',
'M5R5B7K7',
'M4QERAA2',
'MGA5D8RV',
'MBN5Q4VX',
'M9KBQL4L',
'M2YARGQ2',
'MLL4VN55',
'MLL4Q6XG',
'MGA5Q2K4',
'MEK5V35Y',
'MV754N5Q',
'M4QE8YG6',
'MQK58AXQ',
'MNL39VV4',
'M5R5VEE8',
'MXKN9BRD',
'M7LYQ3VY',
'MV75AGV2',
'M4QE89LK',
'M3QAKVK2',
'M3QAKEVG',
'M2YAX24K',
'MGA5L4G9',
'MY239ALE',
'M4QE8L9D',
'MKBK9A3K',
'MQK58DQ3',
'MKBKDY3V',
'M7LY7E3K',
'MNL3DYQY',
'M9KB9Q58',
'MEK5D56G',
'M2YAEAQQ',
'MR5B3LXE',
'MGA5NLKD',
'MA38Y962',
'MY23Y9Q7',
'MBN5DDLK',
'M3QADDEN',
'MDB3XXBV',
'M8AQXAR6',
'MXKNVK5G',
'MEK5DGE9',
'MBN5DY38',
'MR5B3Y2A',
'MDB3XEAE',
'MNL3D576',
'MA38YBXV',
'MY23Y4X6',
'M7LYL2V5',
'M5R5RYNR',
'MBN5NVQD',
'M3QAQLGA',
'M6Q9Q6NV',
'MBN5NKVX',
'M9KBK7LN',
'M3QAQ29D',
'MGA5AYBD',
'M6Q9Q9R2',
'MV7575DN',
'MEK5K54L',
'MXKNKN2L',
'M7LYLYBG',
'M7LYLYVG',
'MQK5K5RV',
'MQK5K53X',
'M7LYL72A',
'MDB3BX9K',
'MGA5VBDQ',
'M5R52GKX',
'MV75K6XR',
'M9KB8AKD',
'MQK8728K',
'MY298X48',
'MR5LX565',
'MBNG4N7E',
'MKB9LBN8',
'MDBNRYKK',
'M8AY2G4Q',
'MA39R7BG',
'M9KREA6G',
'MNL9Q63N',
'MR5L6ER5',
'MA39DELX',
'MQK8G75X',
'MEK2QY5A',
'MGALD852',
'MV7AB952',
'MQK8G78X',
'M8AYRNY3',
'M4Q8RA8K',
'MDBNQ9NX',
'M8AYRNX2',
'MDBNQ9XV',
'MA39QK3A',
'MKB94LBY',
'MR5LGX5B',
'MBNGQ4NN',
'M8AYRNV2',
'MQK8G7L8',
'MV7AB9KD',
'M6Q2EG5D',
'M9KRQE34',
'MA39QRGB',
'M4Q8RY6Y',
'M5RV6AQB',
'MLLYVRX4',
'MKB94RLX',
'MY29EGGR',
'M8AYR22V',
'MKB94RXX',
'MNL9YRV7',
'M3QKR9G2',
'MGALDR3A',
'MV7ABYG7',
'MGALDR2B',
'MXK9G826',
'MR5LGKV9',
'MY29EG69',
'MDBNQR5B',
'MQK8GNBY',
'MA39QR84',
'MGALD9K9',
'M4Q8R5DB',
'M4Q8R355',
'M6Q2QAB8',
'M7LQLGY6',
'MKB9BG57',
'MGALAXE5',
'M9KRKX3A',
'M8AYA77Y',
'M2YXY9VN',
'M8AYLQ2Q',
'M8AXNGXR',
'MV73LL3X',
'M4Q7227D',
'M6QD3VV9',
'MDBX5VE8',
'MR53RE4A',
'MLL79GDX',
'M8AX5R3N',
'MLL7GV4V',
'MGANBD5Y',
'M8AXDRQQ',
'MY2YVE3Y',
'M9K97QBK',
'M5RX46XY',
'MEKDBQG8',
'M2YE7RG6',
'MQK35YYR',
'M3QDABBN',
'MY2Y2L59',
'MGANAB9L',
'MLL7LGA2',
'MR535EGK',
'MLL7NLAD',
'MV77EYK2',
'MBNNE824',
'MBNN8783',
'MXKKB2YA',
'M9KK2XVV',
'M8AAG6DB',
'M6QQNB2Q',
'MR559Q5G',
'M2YY4BYY',
'M2YY4N47',
'MA334LVQ',
'MEKK8E8L',
'M8AA8BQ3',
'M4QQV28K',
'MLLL6KY5',
'M3QQ4N36',
'MXKK2AXB',
'MQKK4V4N',
'MKBBNBLV',
'M9KKNK97',
'MXKK2KKV',
'M7LL6L49',
'M8AA63Y7',
'M8AA63XX',
'M6QQB4YR',
'M4QQBXX5',
'MLLLA9L9',
'M6QQ6EBX',
'MGAAQD7E',
'M4QQ3RK4',
'MKBBED65',
'M4QQK75N',
'MEKKBD7Q',
'M6QQXD6L',
'MV777YLX',
'MXKKKVNG',
'MDBB8G8Q',
'MKBB5L9R',
'M9KK8DNL',
'MDBBEDN8',
'MEKGR48B',
'M6QKA34B',
'MBNYRX49',
'MNLKRBVN',
'MKBQXXR3',
'M6QKL5R5',
'MGAV2B6K',
'MR5Y6ENX',
'MV76DXK5',
'MA3563YQ',
'MGAVQ9QE',
'M4QN3R4K',
'M6QK6EGR',
'MR5Y2GXN',
'M2YG7RKG',
'MDB8GQKD',
'M8AVDR5Y',
'MBNYAQ5V',
'M8AVYN4N',
'MA359KB7',
'MXK59RVK',
'MLLN7RDX',
'M7LR7N89',
'M7LR7NX9',
'MNLKD8L3',
'MGAVAY3B',
'MV76K558',
'M9KA8BAL',
'MQK9XXGE',
'MGAEXXB5',
'MR5N44L6',
'M8ALE4XE',
'MR5N4LYQ',
'MR5NAAN4',
'M3Q3BLLX',
'MEK6392K',
'MEK63BX4',
'MKB5LNGN',
'MNL5N768',
'MNL5NK55',
'MDBE9E68',
'MXKLAL2X',
'MY24GLX7',
'M9K8E2KY',
'M9K8EVY6',
'M9K8D6GR',
'MNL5VBYE',
'MNL523DR',
'MLL58YGV',
'MY24A9VY',
'MV7KRQ8Q',
'MDBE5D5D',
'MV7KRQBL',
'MV7K28KX',
'M7L45647',
'M9K85V4L',
'MQK9EEG4',
'MQK9BEKX',
'MXKLD4KN',
'MNL5968E',
'MLL5YEQ5',
'MKB59G2Y',
'MDBEX4X4',
'MLL57426',
'MLL5L8A4',
'M3Q3QEQG',
'M8ALAD6R',
'MKB5Q62B',
'MDBE8K9Q',
'M4QGN59A',
'MEK6G47L',
'M3Q38676',
'MBNBY7Q9',
'M4QGN5RQ',
'MGAEV9BQ',
'MGAEE363',
'MY5RRKNV',
'M2GD94RR',
'M4N4AB57',
'MQLX7QK5',
'M38XY58N',
'MV6E92L4',
'MNK6N825',
'MV6E92D4',
'MA5GK94L',
'MY5R89AA',
'MV6E9A2Y',
'M5G98XEV',
'M4N4A7K9',
'MV6E969B',
'M8VE2E4Q',
'MGVXRXLK',
'M4N4Y4NE',
'MEGRN847',
'MV6EYDRA',
'M38X94AQ',
'MGVXR2N6',
'M9A3EGK2',
'MX56823B',
'M7RGNE3R',
'M6KALRL2',
'MX56B3EQ',
'MNK6V4QQ',
'MD862LQL',
'M2GD82DX',
'M9A3D6DV',
'MV6ELQ85',
'M9A3D666',
'MRY48QG5',
'MX56BQN2',
'M4N42732',
'MV6EL346',
'MX56BV93',
'M5G9EXVY',
'MGVX3NLY',
'MV6EL364',
'M4N427GE',
'MBYE8N75',
'MY5RLB6Y',
'M9A32XNK',
'M8VEKNGA',
'MBYELQ6D',
'M9A3453R',
'M9A34A6A',
'M4N4LG2L',
'MGVX2D7R',
'M9A3GQYG',
'MKQG64VV',
'MLNE6Q8X',
'MX56XNQE',
'M38X4AR2',
'MA5GV828',
'MGVX2ENR',
'MD86KAQQ',
'MBYE73LB',
'MGVX9723',
'M9A3NYGN',
'M7RG6VA9',
'MQLX4R6K',
'MBYE739B',
'MLNE292X',
'M2GD6N6V',
'MA5GDLDE',
'M9A3NYNN',
'MV6E8R8Q',
'M4N45X5X',
'MKQGNVN4',
'MX562R27',
'MLNE29AX',
'MY5R63BK',
'M8VE3XGA',
'MV6E838N',
'MGVX9NBQ',
'M38X68BA',
'MEGR4GX9',
'M6KA3KY3',
'MY5R65KY',
'MD86K8KR',
'M9A3NANK',
'M8VE68VQ',
'MY5RQVBK',
'M5G9B48V',
'MD86DGDD',
'M5G9B758',
'M5G9B72R',
'MLNEA43N',
'MEGRLAG9',
'MD865KG7',
'MY5RN6Y3',
'MEGRL4GL',
'MBYEQQ59',
'M8VER42E',
'M9A3QVEE',
'MLNEV5BR',
'MRY424XQ',
'MV6E2YY5',
'MV6EX36D',
'M8VEYLXA',
'MQLX335B',
'MV6E37VB',
'MKQGDB6E',
'MKQGD575',
'MLNEN87D',
'M5G9GDX2',
'MGVXV25K',
'MQLXL63K',
'MQLXL6KK',
'MGVXV2V3',
'MNK6KQ53',
'M4N4N569',
'MLNEN2X7',
'M7RGR6BN',
'M6KRARAA',
'MBY2E222',
'MRYA4AAY',
'M8V7E73N',
'MKQ7G7NN',
'MV6NENQN',
'MEG3R375',
'M4N64A6K',
'M7RDG2NE',
'M9AX3LD4',
'M6KRAGND',
'MGV66857',
'M2G39NV5',
'MKQ7L4AB',
'M2G39RLD',
'MD8L9QGQ',
'MKQ7L4BR',
'MD8L9QB7',
'M6KRGE5E',
'MEG3Y98A',
'MRYAX2RB',
'MV6NYENB',
'M6KR8NNE',
'MEG3NXK3',
'MNK4RYVK',
'MD8LRG8Y',
'MX5384L5',
'MQLYNBA9',
'M2G3V524',
'MY5BG7KQ',
'MKQ7R2NN',
'M6KR8X32',
'MGV6RY76',
'MY5BG3NL',
'MX53E3NN',
'M5GQYQ5G',
'MRYA9ALN',
'M9AX2B22',
'MRYA936G',
'M8V7K7D9',
'M38BEBAX',
'MNK42NXX',
'M2G324EY',
'MRYA76LE',
'MV6NVD6E',
'MX53YXL8',
'M2G327XR',
'M38BE2V8',
'MQLYDB8D',
'M9AX4VR9',
'M8V7KYGE',
'MY5BA9Q8',
'M5GQDVXQ',
'M2G32EBA',
'MNK42DDD',
'M9AX49AY',
'MNK42L48',
'MX53YKAQ',
'MNK42LR8',
'MV6NV7RN',
'MA5NE3L7',
'MKQ7ABVQ',
'MBY2LNQ9',
'M2G32YLR',
'M38BEQK9',
'MA5NE396',
'M7RDXL7Q',
'MBY2LNN4',
'M5GQDR27',
'MBY2LYEN',
'MV6NV6ND',
'MGV64V2A',
'MEG34Y88',
'M2G364GE',
'M2G36XR7',
'MX532943',
'MD8LD5L8',
'MD8LD598',
'M7RDBVN9',
'MKQ7YVA4',
'MKQ7YV4A',
'MEG37Q3N',
'M9AXYDLV',
'MQLYRANN',
'MRYAG695',
'M2G3RXVG',
'MNK4Y9D9',
'M8V757XA',
'MX537G9N',
'MEG39QKA',
'M4N63RGK',
'MY5BXXAR',
'MRYA25AG',
'MV6N2796',
'MX537KY3',
'MD8LVEK6',
'MA5N2A6R',
'MD8LG25Q',
'M2G378QR',
'M2G37NBE',
'M9AXVX2V',
'MA5N7NEV',
'MEG3VBRR',
'MEG3V6GV',
'MX53N668',
'MQLY5X7A',
'MRYAB9YN',
'MGV65GE2',
'MEG3584D',
'M2G3XQ46',
'M38BK36X',
'MGV6LEDE',
'MLNX79EL',
'MGV6N78X',
'MLNX778D',
'M5GQR235',
'MRYAY2BB',
'MD8L8E3Y',
'M7RD465R',
'MLNX5BK2',
'M38B3399',
'MEG366NA',
'MX53LL8N',
'MEG366ER',
'M4N6GG25',
'MX53LLBR',
'MNK455VE',
'MLNX55K5',
'M9AL3GRY',
'M6KGA96X',
'MD8963GD',
'MQL7XK68',
'MEGY342Y',
'MA5KND5N',
'MA5KRGVN',
'MV69YEDL',
'MBY4RE93',
'M4NAY454',
'MY58GB77',
'M6KG8626',
'MEGYN922',
'MQL7N9NB',
'M5G8E46L',
'MLN3KGVL',
'M2G987RQ',
'MLN3KNYK',
'MLN3K5X5',
'M8VNKDQY',
'MY58K9L8',
'MD89K672',
'MKQLNG6D',
'M7R26GAR',
'M38Y6X5E',
'M9ALN36V',
'M6KG3A4L',
'MD89KK3K',
'MGV89K93',
'MX5A2Q27',
'MA5K6687',
'M4NAXQQB',
'MBY4QYVL',
'M8VNRVK5',
'MKQLE5AE',
'M9ALBLXB',
'M6KGD468',
'M9AL9Y57',
'MD89X5V8',
'M8VNAER7',
'MLN3LN2L',
'MD89BEAQ',
'M6KGKAYD',
'M2G9G3R7',
'MBY4YL8X',
'M4NAGVQ5',
'M5GA9NR6',
'MBYREK88',
'MLNREB9N',
'M4NY6GB4',
'M8V2NER5',
'MX58A645',
'M8V2BERR',
'MLNR26E6',
'M389644B',
'M2GV526X',
'M7RNKBVN',
'MKQR9DRQ',
'MLNRY7KK',
'M4NY7342',
'M7RN7YKE',
'MKQRBN22',
'MRYK5QV9',
'M2GVYBGY',
'MX5857E9',
'M7RNR5V5',
'M4NYN3E2',
'M3898LQA',
'MA5R52VQ',
'M3898Q8E',
'MV6YKEYD',
'MLNR5ELD',
'M9AE8X7K',
'M6K85GNX',
'MKQR553V',
'M9ADE997',
'MEGENDGY',
'M6KL8DKK',
'M7R33KDQ',
'MY5DAYG8',
'M7R3X7N6',
'MGV34NRE',
'M6KL7DLX',
'MA5AEY4N',
'MNKVQQ44',
'MD82AARN',
'MNKVQE3K',
'MX5BXNL4',
'M8VB39RA',
'MQLA4R2R',
'M8VB395A',
'MY5D6Y3K',
'M8VB3XYG',
'MQLAQ2BA',
'M38G5L24',
'MY5DQVDD',
'M5GEKEL6',
'MA5ALA2N',
'MNKVA7VB',
'MGV379GR',
'M9ADYN4G',
'M8VB9564',
'MLNKV6QQ',
'M6KL6DQ6',
'M6KL65NL',
'M7R392GD',
'MA5A2KKL',
'M8VBD3LK',
'MA5A26NK',
'MX5B4QB2',
'M2G87B4A',
'MGV3BDKB',
'MEGEBQLQ',
'MD82GQQ9',
'MKQXE44K',
'M2G8XVKQ',
'MBY8YA49',
'M4N2NG78',
'M2G8GQYB',
'MGV3VEA7',
'M8VBVLAR',
'M7R34GGK',
'MY5D46VK',
'M2G4D6YX',
'MA54G24D',
'MLNDEG8R',
'M5GYQB6V',
'MKQ37YEA',
'M4N96RBV',
'MY5LBXAN',
'M7R8D76X',
'M7R82G68',
'MQLV7Y6D',
'MX5EA326',
'MGVGRV7Y',
'MV6GY6B4',
'M7R8NRL9',
'M7R833LB',
'M38VGGQL',
'M2G488YA',
'MGVG3AG5',
'M9A22ENY',
'MV6GGLNN',
'MV6GGLN3',
'M6KNNL87',
'MBYVV8L4',
'M9A22D4Q',
'M38VV2N5',
'MQLVVBBD',
'M2G42V4K',
'MNKX2RQK',
'M6KN7BG8',
'MV6GVQ2K',
'MX5EYQDA',
'MBYV9426',
'MV6GDVR8',
'M38V4E7A',
'M4N9VLR2',
'M7R8AQ9L',
'M4N9XY8A',
'M38V75E2',
'M2G4NB2E',
'MEGAL742',
'MEGALB4L',
'MA54L267',
'MBYV3A39',
'MEGALBQL',
'MKQ3VE4Q',
'M7R8EXLQ',
'MGVGD96R',
'MKQ34YKD',
'MBYVQ6NE',
'MGVGDAXY',
'M4N9RQ4G',
'MNKXYL4V',
'MRY92X4A',
'MY5LX33A',
'MKQ38KB3',
'M8VGD499',
'M8VG4569',
'M5GY7LK9',
'MLND4XBQ',
'MBYV5KGD',
'MQLV8E47',
'MBYVGA3B',
'MNKXDYDA',
'M6KNDKYD',
'M8VGXV32',
'M9A29A6X',
'M5GYRNKG',
'MX5EKXGN',
'M4NV6YAG',
'M2D9BYQ',
'M8EV2KL',
'M2DGV57');</t>
  </si>
  <si>
    <t>2026-05-05T10:27:42.320+0700</t>
  </si>
  <si>
    <t>2026-05-05T10:27:51.925+0700</t>
  </si>
  <si>
    <t>[OMD][Merchant Hub][Mongo-NonProd] Tạo thêm Database cho các phân hệ của merchant hub</t>
  </si>
  <si>
    <t>2026-05-04T18:29:47.388+0700</t>
  </si>
  <si>
    <t>2026-05-04T19:02:42.045+0700</t>
  </si>
  <si>
    <t>HI anh Linh Theo ticket đã làm từ trước:  https://onemount.atlassian.net/browse/DBASD-10048 Dự án merchant hub pos cần tạo thêm các DB mongo mới cho fiscal và payment module Nhờ anh tạo thêm giúp dự án trên mongo atlas của OMD MerchantHub non-prod ạ:  https://cloud.mongodb.com/v2/5f758251bb15fa33b11b51c2#/clusters/detail/OMD-MHPOS-nonProd Fiscal module: mhpos_fiscal_dev mhpos_fiscal_qc mhpos_fiscal_uat Payment module: mhpos_payment_dev mhpos_payment_qc mhpos_payment_uat</t>
  </si>
  <si>
    <t>[TPAY][NON-PROD] Tạo tài khoản SFTP cho viện nghiên cứu ISEE lấy file báo cáo đối soát</t>
  </si>
  <si>
    <t>2026-05-04T17:56:29.502+0700</t>
  </si>
  <si>
    <t>2026-05-04T17:56:40.181+0700</t>
  </si>
  <si>
    <t>Dự án Tpay cần cấp tài khoản và 1 thư mục con trong thư mục trong thư mục tpay dành cho đối tác  viện nghiên cứu ISEE  để đọc file từ sFTP server. Thông tin sFTP server cần kết nối đến: Non-prod:  35.229.130.107:2022 Nhờ team support tạo server và cấp account cho dự án. Em tên thư mục và folder ạ. Account: iseeuat Folder: iseeuat</t>
  </si>
  <si>
    <t>2026-05-04T12:54:20.634+0700</t>
  </si>
  <si>
    <t>2026-05-04T12:54:48.975+0700</t>
  </si>
  <si>
    <t>Hiện tại OMD đang có nhu cầu kéo dữ liệu các bảng sau nhờ anh Linh tạo kafka topic ở môi trường PROD giúp team để kéo data về DP. PROD: IP host: 172.31.4.36:5432 Schema: mhpos_fiscal Table list: onboarding_status_history</t>
  </si>
  <si>
    <t xml:space="preserve">[ManMac][NonProd] Chạy script SQL Database </t>
  </si>
  <si>
    <t>2026-05-04T09:27:01.740+0700</t>
  </si>
  <si>
    <t>2026-05-04T11:06:58.045+0700</t>
  </si>
  <si>
    <t>Nhờ a  @Đào Công Nghĩa  chạy giúp e script data đính kèm</t>
  </si>
  <si>
    <t>[Merchant-TCB] Hỗ trợ cập nhật dữ liệu 20260429</t>
  </si>
  <si>
    <t>2026-05-04T09:19:01.373+0700</t>
  </si>
  <si>
    <t>2026-05-04T10:09:46.691+0700</t>
  </si>
  <si>
    <t>Dear team, Nhờ team chạy giúp câu lệnh bên dưới ạ. Thông tin database https://console.cloud.google.com/sql/instances/merchant-tcb/overview?inv=1&amp;invt=AbsndA&amp;project=vinid-merchant-prod DB_MYSQL_HOST=172.31.4.108
DB_MYSQL_DATABASE=merchant_service_tcb Câu lệnh ALTER TABLE `tpay_staff`
ADD INDEX `idx_ts_user_id` (`user_id`) USING BTREE;
--
ALTER TABLE `tpay_physical_store`
ADD INDEX `idx_tps_tcb_merchant_code` (`tcb_merchant_code`) USING BTREE;</t>
  </si>
  <si>
    <t>[PROD][UPAY][BO] Update Thông tin kho báo cáo đối soát cho NPP</t>
  </si>
  <si>
    <t>2026-04-29T17:07:11.244+0700</t>
  </si>
  <si>
    <t>2026-04-29T17:07:26.403+0700</t>
  </si>
  <si>
    <t>Hi a   @Đào Công Nghĩa  , nhờ a chạy giúp e script bên dưới với ạ Thông tin database:  172.31.1.133:3306/bo UPDATE CUSTOMER_PMT_INFO SET GROUP2 = 'TMB01'
WHERE SERVICE_ID = 'VN0010099' AND MERCHANT_CODE = 'TMB';</t>
  </si>
  <si>
    <t>[LP][Core][TCB] - Insert data phục vụ campaign MKT 042026 (Tháng 04)</t>
  </si>
  <si>
    <t>2026-04-29T14:02:01.092+0700</t>
  </si>
  <si>
    <t>2026-04-29T14:02:56.126+0700</t>
  </si>
  <si>
    <t>LP</t>
  </si>
  <si>
    <t>Dear DBA Team, Nhờ team thực hiện insert data phục vụ campaign MKT 022026 lần 02, theo các bước sau: Thông tin database: IP: 10.255.23.119 Service name: oneloyaltydb Port: 1521 schema app: OLOYALTY Bước 1: Tạo bảng tạm CREATE TABLE OLOYALTY.CST_TARGET_GROUP_042026_02
(
    "ID"             NUMBER(10,0) GENERATED BY DEFAULT ON NULL AS IDENTITY,
    "LOYALTY_ID"           VARCHAR2(32 BYTE) DEFAULT NULL,
    "CST_TARGET_GROUP"           VARCHAR2(256 BYTE) DEFAULT NULL,
    PRIMARY KEY ("ID")
); Bước 02: Load dữ liệu tất cả các files trong thư mục  đính kèm vào bảng tạm   Bước 03: Insert data vào bảng Member Attribute từ bảng bảng tạm 3.1. Kiểm số row bảng   CST_TARGET_GROUP_042026_02 SELECT /*+ parallel(16) */ count(*) FROM OLOYALTY.CST_TARGET_GROUP_042026_02; 3.2 Kiểm tra trùng ,  báo lại dự án nếu có SELECT /*+ parallel(16) */ LOYALTY_ID,count(*) FROM OLOYALTY.CST_TARGET_GROUP_042026_02 GROUP BY LOYALTY_ID HAVING count(*) &gt; 1; 3.3 Kiểm tra số dòng dự kiến insert, báo lại dự án nếu số dòng khác với số dòng của bảng   CST_TARGET_GROUP_042026_02 .   Note: Có thể bỏ qua nếu câu lệnh chạy quá lâu SELECT /*+ parallel(16) */ count(*) FROM OLOYALTY.MEMBER m JOIN OLOYALTY.CST_TARGET_GROUP_042026_02 b ON m.PARTNER_CUSTOMER_ID = b.LOYALTY_ID WHERE m.PROGRAM_ID = 426; 3.4 Chạy lệnh insert INSERT INTO OLOYALTY.MEMBER_ATTRIBUTE (PROGRAM_ID, MEMBER_ID, PROGRAM_ATTRIBUTE_ID, VALUE, STATUS,CREATED_BY)
SELECT 426,
    m.id AS MEMBER_ID,
    423 AS PROGRAM_ATTRIBUTE_ID,
    REPLACE(b.CST_TARGET_GROUP, CHR(13) ,'') AS VALUE,
    'A' AS STATUS,
    'MKT_042026_02'
FROM OLOYALTY.MEMBER m JOIN OLOYALTY.CST_TARGET_GROUP_042026_02 b ON m.PARTNER_CUSTOMER_ID = b.LOYALTY_ID WHERE m.PROGRAM_ID = 426
; 3.5 Kiểm tra kết quả cuối cùng SELECT /*+ parallel(16) */ count(*) FROM OLOYALTY.MEMBER_ATTRIBUTE ma 
WHERE ma.PROGRAM_ATTRIBUTE_ID = 423 AND ma.CREATED_BY = 'MKT_042026_02';   Thanks!</t>
  </si>
  <si>
    <t>2026-04-29T12:20:41.516+0700</t>
  </si>
  <si>
    <t>2026-04-29T12:21:10.467+0700</t>
  </si>
  <si>
    <t>Thực hiện xóa partition reconcile cũ theo định kỳ Host:  172.31.4.75 DB:  promo_rule_engine Table:  data_reconciliation Thực hiện xóa các partition cũ, chỉ giữ lại từ tháng 4/2026</t>
  </si>
  <si>
    <t xml:space="preserve">[ID Staff] Xin trích xuất dữ liệu chấm công </t>
  </si>
  <si>
    <t>2026-04-29T11:08:34.436+0700</t>
  </si>
  <si>
    <t>2026-04-29T11:41:12.603+0700</t>
  </si>
  <si>
    <t>Dear DBA, Team HRM MAG đang có cần phân tích luồng dữ liệu công việc ca kíp, nhờ team support extract 1 phần dữ liệu để team tham khảo ạ SELECT   PDSNR,PERNR,ERDAT,ERTIM,SATZA,TERID,LDATE,LTIME,ULDATE,ULTIME,IP  from VIN_CENTRALIZED   where PERNR=3609810  and ERDAT &gt;= '20260401' IP:  10.255.15.32/time_keeping</t>
  </si>
  <si>
    <t>Hỗ trợ Migate Database MongoDB dự án MPM nonprod</t>
  </si>
  <si>
    <t>2026-04-29T10:58:28.510+0700</t>
  </si>
  <si>
    <t>2026-07-28T10:33:49.410+0700</t>
  </si>
  <si>
    <t>Hi team, với nhu cầu chuyển workload MPM nonprod sang LandingZone mới nhờ team hỗ trợ migrate database MongoDB như sau: Instance:  docdb-2025-10-13-07-50-48.cluster-cr62264i6qsz.ap-southeast-1.docdb.amazonaws.com:27017</t>
  </si>
  <si>
    <t>[OneNexus][Meeting Note] Xin khởi tạo database cho dự án, môi trường non-prod</t>
  </si>
  <si>
    <t>2026-04-29T10:54:48.248+0700</t>
  </si>
  <si>
    <t>2026-04-29T10:55:57.654+0700</t>
  </si>
  <si>
    <t>Dear anh Duy, Dự án Meeting Note đang cần phải khởi tạo môi trường nonprod, nên em tạo ticket này để xin cấp kết nối tới các Database sau: Redis (Memory Store) Dùng để làm cache layer và message broker Trên NP, các service sẽ dùng chung instance 1GB, mỗi service 1 logical DB Postgres (CloudSQL) Cơ sở dữ liệu chính của backend &amp; ai voice engine gateway Qdrant Sử dụng để tạo embedding cho text để làm knowledge cho AI Assistant</t>
  </si>
  <si>
    <t>Xin quyền update trên bảng OLOYALTY.limitation</t>
  </si>
  <si>
    <t>2026-04-29T10:42:25.290+0700</t>
  </si>
  <si>
    <t>2026-04-29T10:42:44.738+0700</t>
  </si>
  <si>
    <t>Dear. Team Nhờ mọi người add quyền update cho acc hoapd1 trên bảng: Xin quyền update trên bảng OLOYALTY.limitation DB loyaltyIP: 10.255.23.119 để support couter TCB Sếp  @Nguyễn Trần Thành Nhật  approval giúp em với nhé</t>
  </si>
  <si>
    <t>[PROD] [VCM] Xóa attribute lưu duplicate attribute</t>
  </si>
  <si>
    <t>2026-04-29T10:40:18.701+0700</t>
  </si>
  <si>
    <t>2026-04-29T10:40:46.442+0700</t>
  </si>
  <si>
    <t>Dear DBA Team, Nhờ team chạy lệnh xóa các key bị duplicate attribute. Do chưa kịp fix nên nhờ DBA hỗ trợ chạy. Thông tin DB: IP: 172.31.1.41
Bảng: vincart_mm_product.entity_attributes_values Lệnh chạy: -- Kênh ONEU
DELETE  t1.*
FROM entity_attributes_values t1
JOIN entity_attributes_values t2 
  ON  t1.name = t2.name 
  AND t1.entity_id = t2.entity_id 
  AND t1.channel_code = t2.channel_code
WHERE t1.channel_code = 'ONEU'
  AND t1.updated_at &lt; t2.updated_at;
-- Kênh TCBM
DELETE  t1.*
FROM entity_attributes_values t1
JOIN entity_attributes_values t2 
  ON  t1.name = t2.name 
  AND t1.entity_id = t2.entity_id 
  AND t1.channel_code = t2.channel_code
WHERE t1.channel_code = 'TCBM'
  AND t1.updated_at &lt; t2.updated_at;</t>
  </si>
  <si>
    <t>[OMC][MCL][PROD] Hỗ trợ cập nhật clear dữ liệu tracking tháng 3</t>
  </si>
  <si>
    <t>2026-04-28T23:48:26.162+0700</t>
  </si>
  <si>
    <t>2026-04-28T23:48:29.891+0700</t>
  </si>
  <si>
    <t>Dear team, Team em có nhu cầu clear dữ liệu tracking tháng 3, nhờ team hỗ trợ ạ. CR:  https://onemount.atlassian.net/servicedesk/customer/portal/15/SH-70740?created=true Thời gian chạy: 22h 28/04/2026 DB: omc-mtp-tidb.int.onemount.com:4000 -- OMC
use omc_mtp_tracking_events;
ALTER TABLE omc_mtp_tracking_events.mtp_tracking_events_omc DROP INDEX idx_u_message_id;
ALTER TABLE omc_mtp_tracking_events.mtp_tracking_events_omc DROP PARTITION p20260301;
ALTER TABLE omc_mtp_tracking_events.mtp_tracking_events_omc DROP PARTITION p20260302;
ALTER TABLE omc_mtp_tracking_events.mtp_tracking_events_context_omc DROP PARTITION p20260301;
ALTER TABLE omc_mtp_tracking_events.mtp_tracking_events_context_omc DROP PARTITION p20260302;
ALTER TABLE omc_mtp_tracking_events.mtp_tracking_event_sessions DROP PARTITION p2026_03;
use omc_mtp_martech_activation;
ALTER TABLE omc_mtp_martech_activation.mtp_ads_events DROP PARTITION p2026_03;
ALTER TABLE omc_mtp_martech_activation.mtp_push_events DROP PARTITION p2026_03;
ALTER TABLE omc_mtp_martech_activation.mtp_tracking_email_events DROP PARTITION p2026_03;
ALTER TABLE omc_mtp_martech_activation.mtp_tracking_email_notifications DROP PARTITION p2026_03;
ALTER TABLE omc_mtp_martech_activation.mtp_tracking_fcm_messages DROP PARTITION p2026_03;
ALTER TABLE omc_mtp_martech_activation.mtp_tracking_push_notifications DROP PARTITION p2026_03;
-- OMRE
use omre_mtp_tracking_events;
ALTER TABLE omre_mtp_tracking_events.mtp_tracking_events_omre DROP INDEX idx_u_message_id;
ALTER TABLE omre_mtp_tracking_events.mtp_tracking_events_omre drop partition p20260301;
ALTER TABLE omre_mtp_tracking_events.mtp_tracking_events_omre drop partition p20260302;
ALTER TABLE omre_mtp_tracking_events.mtp_tracking_events_context_omre DROP PARTITION p20260301;
ALTER TABLE omre_mtp_tracking_events.mtp_tracking_events_context_omre DROP PARTITION p20260302;
-- create global index
use omc_mtp_tracking_events;
ALTER TABLE omc_mtp_tracking_events.mtp_tracking_events_omc ADD UNIQUE INDEX idx_u_message_id (message_id) GLOBAL;
use omre_mtp_tracking_events;
ALTER TABLE omre_mtp_tracking_events.mtp_tracking_events_omre ADD UNIQUE INDEX idx_u_message_id (message_id) GLOBAL; Thanks team, Thành An.</t>
  </si>
  <si>
    <t>[PROD][OMC][LP][Core] Hỗ trợ xoá master data duplicated</t>
  </si>
  <si>
    <t>2026-04-28T17:04:44.606+0700</t>
  </si>
  <si>
    <t>2026-04-28T17:05:06.375+0700</t>
  </si>
  <si>
    <t>Hi team, nhờ team DBA chạy script này trên môi trường PROD của DB Loyalty Oracle giúp team Loyalty ạ. Database information IP: 10.255.23.119 Service name: oneloyaltydb Port: 1521 Schema app: OLOYALTY Time Run ticket: 24/04/2026 (Có thể chạy giờ hành chính) Nội dung script Clear data duplicated -- Clear duplicated program attribute records with IDs 19297-19304
DELETE FROM OLOYALTY.ATTRIBUTE_MASTER_DATA
WHERE ID BETWEEN 19298 AND 19304;
COMMIT;  </t>
  </si>
  <si>
    <t>Hỗ trợ migrate các dữ liệu trên DEV/STG MPM sang LZ mới Mag-Sandbox</t>
  </si>
  <si>
    <t>2026-04-28T16:26:00.210+0700</t>
  </si>
  <si>
    <t>2026-06-11T14:58:51.290+0700</t>
  </si>
  <si>
    <t>Hi team, Nhờ các anh DBA hỗ trợ migrate các dữ liệu trên DEV/STG MPM sang LZ mới Mag-Sandbox. Instance:  mag-common-sandbox-mysql.czqi8qus0dv0.ap-southeast-1.rds.amazonaws.com DB names: document_service_dev mpm_mh_mpm_dev mpm_reference_data_dev mpm_master_data_dev mpm_principle_service_dev mpm_master_data_test mpm_mh_mpm_test mpm_workflow_service_test mpm_workflow_service_history_test mpm_reference_data_test mpm_principle_service_test mpm_master_data_stg mpm_mh_mpm_stg mpm_workflow_service_stg mpm_workflow_service_history_stg mpm_reference_data_stg mpm_principle_service_stg mpm_common_tasks_stg mpm_audit_log_dev mpm_audit_log_stg mpm_data_transfer_dev mpm_data_transfer_stg mpm_qr_service_dev mpm_qr_service_stg mpm_notification_gateway_dev mpm_notification_gateway_stg mpm_iot_parking_integration_dev mpm_iot_parking_integration_stg mpm_partner_gateway_dev mpm_partner_gateway_stg mpm_workflow_service_dev mpm_common_tasks_dev mpm_workflow_service_history_dev mpm_data_migration_dev mpm_data_migration_stg mpm_handover_dev mpm_handover_stg Em cảm ơn mọi người.</t>
  </si>
  <si>
    <t xml:space="preserve">[MAG][NSP][NP] Nhờ hỗ trợ tạo DMS đồng bộ dữ liệu từ table invoice_transaction database CRM </t>
  </si>
  <si>
    <t>2026-04-28T16:25:06.795+0700</t>
  </si>
  <si>
    <t xml:space="preserve">Hi team DBA, Theo như trao đổi về giải pháp đồng bộ dữ liệu từ bảng invoice_transaction từ database của CRM qua cho NSP phục vụ luồng quyết toán giao dịch, nhờ team hỗ trợ để tạo DMS trên Non-production, để CDC dữ liệu từ nguồn là bảng invoice_transaction, và output là kafka topic với các thông tin như sau: Dữ liệu nguồn: Nhờ  @Đoàn Việt Hưng  hỗ trợ để lấy thông tin của database CRM (non-prod) Kafka topic đích:  Brokers:  b-1.masterisekafkanp.6ifdwg.c3.kafka.ap-southeast-1.amazonaws.com:9096,b-4.masterisekafkanp.6ifdwg.c3.kafka.ap-southeast-1.amazonaws.com:9096,b-3.masterisekafkanp.6ifdwg.c3.kafka.ap-southeast-1.amazonaws.com:9096 Topic:  sales-platform-invoice-transactions-qc Authentication: Thông tin được tạo bởi System Platform thông qua ticket:  https://onemount.atlassian.net/browse/SP-12453   Em cám ơn ạ. Thông tin chung Thông tin SAD dự án:  Technical design cho luồng tích hợp với CRM   </t>
  </si>
  <si>
    <t>[PROD][UPay] Support TCB LIFE tăng hạn mức thanh toán thể quốc tế</t>
  </si>
  <si>
    <t>2026-04-28T16:21:45.447+0700</t>
  </si>
  <si>
    <t>2026-04-28T16:21:54.820+0700</t>
  </si>
  <si>
    <t>Hi các anh team DBA, Thông tin database saas_tpay:  pay-tidb.int.onemount.com:4000/saas_tpay CR:  Nhờ anh  @Nguyễn Văn Dũng chạy giúp em script sau ạ: update SYSTEM_CONFIGURATION set SYSTEM_PARAM_VALUE = 2000000000 where SYSTEM_PARAM_CODE = 'ECOM_MAX_AMOUNT_TRANSACTION_INTERNATIONAL_CARD';</t>
  </si>
  <si>
    <t>2026-04-28T15:57:05.922+0700</t>
  </si>
  <si>
    <t>2026-04-28T17:18:46.262+0700</t>
  </si>
  <si>
    <t>Hiện tại OMD đang có nhu cầu kéo dữ liệu các bảng sau nhờ anh Linh tạo kafka topic ở môi trường PROD giúp team để kéo data về DP. PROD: IP host: 172.31.4.36:5432 Schema: mhpos_fiscal Table list: e_invoice_integration_status_v2
e_invoice_management_account_v2
e_invoice_registrations_v2
onboarding_profile_v2
onboarding_service_v2</t>
  </si>
  <si>
    <t>[PROD] Maintain CloudSQL cho các instance Postgres</t>
  </si>
  <si>
    <t>2026-04-28T14:50:43.169+0700</t>
  </si>
  <si>
    <t>2026-04-28T14:51:09.354+0700</t>
  </si>
  <si>
    <t>cloud</t>
  </si>
  <si>
    <t>Hiện tại GCP có thông báo về lịch maintenance hạ tầng CloudSQL, kết hợp với lịch upgrade GKE version đã được thông báo tới TCB, team SRE sẽ thực hiện maintenance vào lúc  01h00 ngày 26-04-2026 Nội dung thực hiện: Maintain Postgres CloudSQL instance định kỳ theo lịch của Google ES Instance project instance environment private.ipAddress databaseInstalledVersion Scheduled_Maintenance TCB Status DBA PIC SRE PIC Reviewer/Approver TO UPAY soundbox vinpay-prod soundbox prod 172.31.3.76 POSTGRES_15_14 2026-05-07 04:00:00+07:00 YES Done Nguyễn Văn Dũng Phạm Việt Hùng   Nguyễn Hoàng Long   Nguyễn Văn Khải Vương Đình Dũng OMRE main-postgre onehs-prod main-postgre prod 172.31.3.78 POSTGRES_15_15 2026-05-07 04:00:00+07:00 NO Done Đoàn Việt Hưng Nguyễn Mạnh Tưởng   Nguyễn Đức Anh OM main-postgres-tw-1 vinid-app-common-prod main-postgres-tw-1 prod 172.31.3.16 POSTGRES_15_14 2026-05-07 04:00:00+07:00 YES Done Đào Công Nghĩa Phạm Văn Hà   Phạm Minh Quang Trần Hoàng Vinh   Đinh Văn Việt OMC omc-authentication omc-base-platform-prod omc-authentication prod 172.31.3.40 POSTGRES_14_20 2026-05-09 23:00:00+07:00 YES Done Đào Công Nghĩa Dương Tuấn Trình   Đỗ Ngọc Hà Trần Minh Hoàng OM om-charity-fund-core om-charity-prod om-charity-fund-core prod 172.31.4.7 POSTGRES_17_6 2026-05-07 04:00:00+07:00 YES Done Đào Công Nghĩa Dương Tuấn Trình   Đỗ Ngọc Hà Nguyễn Văn Chuyên OMC postgre-14 omc-base-platform-prod postgre-14 prod 172.31.3.55 POSTGRES_14_19 2026-05-09 23:00:00+07:00 YES Done Đào Công Nghĩa Dương Tuấn Trình   Đỗ Ngọc Hà Trần Minh Hoàng OMC mtp-martech vinid-crm-salesforce-prod mtp-martech prod 172.31.3.49 POSTGRES_14_19 2026-05-07 04:00:00+07:00 NO Done Đào Công Nghĩa Dương Tuấn Trình   Đỗ Ngọc Hà Nguyễn Đình Quang OM residential onemg-dp-prod residential prod 172.31.4.8 POSTGRES_15_14 2026-05-07 04:00:00+07:00 NO Done Đào Công Nghĩa Phạm Việt Hùng   Trần Hoàng Vinh Trần Vi Duân OM om-security-postgres-prod-litellm vinid-security om-security-postgres-prod-litellm prod 172.31.4.120 POSTGRES_17_9 2026-05-07 04:00:00+07:00 NO Done Đào Công Nghĩa Phạm Văn Hà   Phạm Minh Quang Dương Tuấn Trình OM main-postgres onemg-general-prod main-postgres prod 172.31.3.54 POSTGRES_15_14 2026-05-11 06:00:00+07:00 NO Done Đào Công Nghĩa Nguyễn Đức Anh   Phạm Minh Quang Vũ Văn Lĩnh   Nguyễn Đào Dũng OMD postgre-13-core-services vinid-b2b-platform-prod postgre-13-core-services prod 172.31.3.10 POSTGRES_15_15 2026-05-11 03:00:00+07:00 NO Todo Hà Văn Vượng Phạm Hồng Quang   Nguyễn Đức Anh OMC postgres-01 vinid-service-platform-prod postgres-01 prod 172.31.7.11 POSTGRES_15_14 2026-05-07 04:00:00+07:00 YES Done Đào Công Nghĩa Dương Tuấn Trình   Đỗ Ngọc Hà Trần Minh Hoàng OMC authen vinid-loyalty-prod authen prod 172.31.3.19 POSTGRES_14_19 2026-05-07 04:00:00+07:00 NO Done Đào Công Nghĩa Dương Tuấn Trình   Đỗ Ngọc Hà Nguyễn Thanh Phong OM landed-prop onemg-dp-prod landed-prop prod 172.31.3.66 POSTGRES_15_14 2026-05-07 04:00:00+07:00 NO Done Đào Công Nghĩa Phạm Việt Hùng   Trần Hoàng Vinh Trần Vi Duân OMRE sao-moc saomoc-prod sao-moc prod 172.31.3.37 POSTGRES_15_15 2026-05-07 04:00:00+07:00 YES Done Đoàn Việt Hưng Nguyễn Mạnh Tưởng   Nguyễn Đức Anh OM main-postgres onemg-dp-prod main-postgres prod 172.31.3.39 POSTGRES_15_14 2026-05-07 04:00:00+07:00 YES Done Đào Công Nghĩa Phạm Việt Hùng   Trần Hoàng Vinh Trần Hoàng Vinh OMD postgre-14-metrics vinid-b2b-platform-prod postgre-14-metrics prod 172.31.7.5 POSTGRES_14_19 2026-05-07 04:00:00+07:00 NO Todo Hà Văn Vượng Phạm Hồng Quang   Nguyễn Đức Anh</t>
  </si>
  <si>
    <t xml:space="preserve">[ManMac][NonProd] Chạy script Database </t>
  </si>
  <si>
    <t>2026-04-28T14:21:44.529+0700</t>
  </si>
  <si>
    <t>2026-04-28T14:41:28.996+0700</t>
  </si>
  <si>
    <t>Nhờ anh  @Đào Công Nghĩa  chạy script migration database giúp em theo yêu cầu của dự án như file đính kèm</t>
  </si>
  <si>
    <t>[PROD][UPay] Support vận hành import thiết bị soundbox</t>
  </si>
  <si>
    <t>2026-04-28T13:31:13.517+0700</t>
  </si>
  <si>
    <t>2026-04-28T13:31:36.182+0700</t>
  </si>
  <si>
    <t>Hi các anh team DBA, Thông tin database saas_tpay:  pay-tidb.int.onemount.com:4000/saas_tpay Nhờ anh  @Nguyễn Văn Dũng chạy giúp em script sau ạ: UPDATE TCB_DEVICE SET PHYSICAL_STATUS = 'RETURNED' WHERE device_serial_number = '38250602320336';</t>
  </si>
  <si>
    <t>2026-04-27T15:26:58.265+0700</t>
  </si>
  <si>
    <t>2026-04-27T15:27:33.155+0700</t>
  </si>
  <si>
    <t xml:space="preserve">IP: 172.31.4.9 Database: ecom_context UPDATE user_context SET code = 'weekday' WHERE id = 8;
UPDATE user_context SET code = 'user-birthday' WHERE id = 10;
UPDATE user_context SET code = 'new-year' WHERE id = 11;
UPDATE user_context SET code = 'lunar-new-year' WHERE id = 12;
UPDATE user_context SET code = 'vu-lan-festival' WHERE id = 19;
UPDATE user_context SET code = 'childrens-day' WHERE id = 18;
UPDATE user_context SET code = 'womens-day' WHERE id = 17; Database: ecom_rule_engine UPDATE rule_configs SET code = 'weekday' WHERE id = 996;
UPDATE rule_configs SET code = 'user-birthday' WHERE id = 998;
UPDATE rule_configs SET code = 'new-year' WHERE id = 1014;
UPDATE rule_configs SET code = 'lunar-new-year' WHERE id = 999;
UPDATE rule_configs SET code = 'vu-lan-festival' WHERE id = 1006;
UPDATE rule_configs SET code = 'childrens-day' WHERE id = 1005;
UPDATE rule_configs SET code = 'womens-day' WHERE id = 1004; Thơì gian thực hiện: 22h00 25/04/2026 CR:    Release plan:   </t>
  </si>
  <si>
    <t>2026-04-26T03:19:25.008+0700</t>
  </si>
  <si>
    <t>2026-04-26T03:19:45.506+0700</t>
  </si>
  <si>
    <t>IP: 172.31.4.9 Database: ecom_rule_engine query DELETE FROM rule_configs WHERE code  = 'hung_kings_day';
DELETE FROM rule_configs WHERE code  = '[hung_kings_day]';</t>
  </si>
  <si>
    <t>[PROD] migrate dữ liệu - vcm</t>
  </si>
  <si>
    <t>2026-04-26T03:18:15.833+0700</t>
  </si>
  <si>
    <t>2026-04-26T03:18:37.324+0700</t>
  </si>
  <si>
    <t>IP: 172.31.4.9 Database: ecom_rule_engine UPDATE rule_configs SET config = '[{"field_name":"weekend","datatype":"STRING","operator":"IN","value":"FRIDAY|SATURDAY|SUNDAY"}]' WHERE id = 997;</t>
  </si>
  <si>
    <t>[OMC][Loyalty MFT] Hạ cấu hình máy chủ redis bên project vincart</t>
  </si>
  <si>
    <t>2026-04-26T03:02:01.270+0700</t>
  </si>
  <si>
    <t>2026-04-26T03:06:33.578+0700</t>
  </si>
  <si>
    <t>Đội dự án VCM có yêu cầu giảm cấu hình memory cho 1 con redis như thông tin bên dưới .1 Instance onevoucher GCP project : vincart-prod Instance : onevoucher IP : 172.31.0.196 Memory hạ từ 8GB xuống còn 6GB. Lưu ý : cần thực hiện ticket clear key ( ) trước khi hạ cấu hình Thời gian thực hiện : 1h 26/04/2026 Em cám ơn.</t>
  </si>
  <si>
    <t>[PROD][OMC][UserProfile] Thêm thông tin created_source cho user profile</t>
  </si>
  <si>
    <t>2026-04-26T01:14:03.641+0700</t>
  </si>
  <si>
    <t>2026-04-26T03:16:36.429+0700</t>
  </si>
  <si>
    <t>Dear team, Nhờ team chạy giúp query để thêm cột  created_source cho user profile: Thông tin: Instance ID:  https://console.cloud.google.com/sql/instances/main/databases?project=vinid-service-platform-prod Database name:  account_profile_service Câu query: ALTER TABLE user_profile
    ADD COLUMN created_source VARCHAR(255) DEFAULT NULL; Em cảm ơn!</t>
  </si>
  <si>
    <t>[OMD][TCB-MerchantHUB][PROD] Tạo bảng mới và migrate data từ bảng cũ sang bảng mới</t>
  </si>
  <si>
    <t>2026-04-25T23:06:47.140+0700</t>
  </si>
  <si>
    <t>2026-04-28T09:18:07.162+0700</t>
  </si>
  <si>
    <t xml:space="preserve">Dear anh Linh, Em cần nhờ DB team hỗ trợ tạo 7 bảng mới và đồng bộ data từ bảng cũ sang bảng mới ạ. Mục đích: Tạo 7 bảng mới: digital_signature_contract_v2, e_invoice_integration_status_v2, e_invoice_management_account_v2, e_invoice_registrations_v2, e_invoice_series_v2, onboarding_profile_v2, onboarding_service_v2 Đồng bộ data từ 7 bảng cũng sang 7 bảng mới So sánh dữ liệu giữa 2 bảng sau khi đông bộ Nội dung mong muốn: Bên em cần DB team hỗ trợ chạy 3 câu SQL sau ạ: Tạo bảng: create_table.sql Đồng bộ data: migrate_data.sql So sánh data: compare_data.sql Nhờ anh và team hỗ trợ review và xử lý giúp em. instance: mhpos-common-prod-postgres - 172.31.4.36 mhpos_fiscal Thời gian:  trong khoảng 22h 25/4 đến 1h 26/4 , cụ thể mình sẽ phối hợp thực tế trong khoảng đó CR:   </t>
  </si>
  <si>
    <t>[OMD][TCB-MerchantHUB][PROD] Tạo thêm cột mới trong bảng onboarding_profile_v2</t>
  </si>
  <si>
    <t>2026-04-25T23:06:39.484+0700</t>
  </si>
  <si>
    <t>2026-04-26T07:20:08.779+0700</t>
  </si>
  <si>
    <t xml:space="preserve">Dear anh Linh, Em cần nhờ DB team hỗ trợ chạy câu lệnh tạo thêm cột mới trong bảng onboarding_profile_v2. SQL: ALTER TABLE onboarding_profile_v2
    ADD COLUMN change_source VARCHAR(100),
    ADD COLUMN updated_by VARCHAR(100); instance: mhpos-common-prod-postgres - 172.31.4.36 mhpos_fiscal Thời gian chạy: Sau khi thực hiện xong ticket này ạ:  </t>
  </si>
  <si>
    <t>[VCM][PROD] Thực hiện update giá trị của expired_time trong bảng voucher_serial</t>
  </si>
  <si>
    <t>2026-04-25T22:37:24.387+0700</t>
  </si>
  <si>
    <t>2026-04-26T03:09:59.137+0700</t>
  </si>
  <si>
    <t>CR:  https://onemount.atlassian.net/browse/SH-70486 Thông tin database IP:  172.31.4.82 Database:  b2b_voucher_distribution Script cần thực hiện: UPDATE
	b2b_voucher_distribution.voucher_serial vs
SET
	vs.expired_time = '2026-08-19 23:59:00'
WHERE
	vs.serial_code IN('dbeec0fbbb4742139a1eb739975d4da3', 'b72007eaf55f4d54ac1865a838c62fde'); Nhờ team DBA support team VCM ạ. Em cảm ơn nhiều.</t>
  </si>
  <si>
    <t>2026-04-25T22:37:18.064+0700</t>
  </si>
  <si>
    <t>2026-04-27T15:27:35.591+0700</t>
  </si>
  <si>
    <t>[Merchant-TCB] Hỗ trợ cập nhật dữ liệu 20260425</t>
  </si>
  <si>
    <t>2026-04-25T22:11:57.123+0700</t>
  </si>
  <si>
    <t>2026-04-26T07:20:26.831+0700</t>
  </si>
  <si>
    <t>Dear team, Nhờ team chạy giúp câu lệnh bên dưới ạ. Thông tin database https://console.cloud.google.com/sql/instances/merchant-tcb/overview?inv=1&amp;invt=AbsndA&amp;project=vinid-merchant-prod DB_MYSQL_HOST=172.31.4.108
DB_MYSQL_DATABASE=merchant_service_tcb Thời gian Sau khi golive migration, dự kiến 23h20 25/04 Câu lệnh INSERT INTO `tpay_permission` (`created_at`, `updated_at`, `deleted_at`, `module`, `code`, `name`, `description`) VALUES
('2026-04-25 17:00:00', '2026-04-25 17:00:00', 'Hồ sơ onboarding CKS/HĐĐT', 'edit:pos_send_profile_to_FPT', 'Gửi hồ sơ onboarding', 'View button Gửi hồ sơ FPT'),
('2026-04-25 17:00:00', '2026-04-25 17:00:00', 'Hồ sơ onboarding CKS/HĐĐT', 'edit:pos_einvoice_onboarding_profile', 'Cập nhật hồ sơ onboarding', 'View button Cập nhật'),
('2026-04-25 17:00:00', '2026-04-25 17:00:00', 'Hồ sơ onboarding CKS/HĐĐT', 'view:pos_einvoice_onboarding_profile', 'Xem thông tin hồ sơ onboarding', 'View danh sách Hồ sơ onboarding'),
('2026-04-25 17:00:00', '2026-04-25 17:00:00', 'Hồ sơ onboarding CKS/HĐĐT', 'view:pos_tax_info', 'Tra cứu hồ sơ hộ kinh doanh', 'Action tra cứu hồ sơ hộ kinh doanh');
---
INSERT INTO `sub_plan_allocation_summaries` (`plan_id`, `total_budget`, `provisioned_units`, `reserved_units`, `created_at`, `updated_at`) VALUES
(2, 200000, 1099, 0, '2026-04-25 17:00:00', '2026-04-25 17:00:00');
-- 
CREATE INDEX idx_tcb_linkage_status ON tpay_terminal(tcb_linkage_status);
UPDATE tpay_terminal
SET tcb_linkage_status = CASE
    WHEN tcb_linkage = true THEN 'LINKED'
    ELSE 'NONE'
END;</t>
  </si>
  <si>
    <t>[Prod][MongoDB] Xin tạo mới db mongodb</t>
  </si>
  <si>
    <t>2026-04-25T12:12:50.539+0700</t>
  </si>
  <si>
    <t>2026-04-25T12:13:08.811+0700</t>
  </si>
  <si>
    <t xml:space="preserve">Dear anh Nghĩa, Nhờ anh hỗ trợ team tạo mới mongodb với các thông tin dưới đây ạ: Database name: omc_dynamic_content Host:  omc-oneu-vourcher.8j11t.mongodb.net Permission: read/write SAD: </t>
  </si>
  <si>
    <t>[OMD][TCB-MerchantHUB][PROD] Update data bảng e_invoice_registration</t>
  </si>
  <si>
    <t>2026-04-24T17:37:57.642+0700</t>
  </si>
  <si>
    <t>2026-04-24T17:45:52.305+0700</t>
  </si>
  <si>
    <t>Dear anh Linh, Em cần nhờ DB team hỗ trợ chạy câu lệnh để update DB bảng {{e_invoice_registrations }} ạ UPDATE e_invoice_registrations SET tax_id = citizen_id_number WHERE tax_id != citizen_id_number; instance: mhpos-common-prod-postgres - 172.31.4.36 mhpos_fiscal</t>
  </si>
  <si>
    <t>[UPAY][PROD] Update config logic mapping giao dịch khi thưc hiện đồng bộ</t>
  </si>
  <si>
    <t>2026-04-24T17:27:21.799+0700</t>
  </si>
  <si>
    <t>2026-04-24T17:27:31.393+0700</t>
  </si>
  <si>
    <t>Hi các anh Nhờ anh chạy các script sau giúp em trên: Prod  vào lúc  Sau khi được approve Thông tin database gồm có những DB sau ạ: Prod SAAS :  pay-tidb.int.onemount.com:4000/saas_tpay CR:    update SYSTEM_CONFIGURATION set SYSTEM_PARAM_VALUE = 'true' where SYSTEM_PARAM_CODE = 'SYNC_DATA_NON_PGW_USE_KEY_LV2';
alter table TCB_MERCHANT_TRANSACTION_CARD
    add tcb_sync_data_key varchar(100) null;</t>
  </si>
  <si>
    <t>[Merchant-OM] Hỗ trợ cập nhật dữ liệu 20260424</t>
  </si>
  <si>
    <t>2026-04-24T16:52:44.954+0700</t>
  </si>
  <si>
    <t>2026-04-24T16:52:58.412+0700</t>
  </si>
  <si>
    <t>Dear team, Nhờ team chạy giúp câu lệnh bên dưới ạ. Thông tin database https://console.cloud.google.com/sql/instances/main/overview?inv=1&amp;invt=Abqw_w&amp;project=vinid-merchant-prod DB_MYSQL_HOST=172.31.1.44
DB_MYSQL_DATABASE=merchant_service Câu lệnh UPDATE
	merchant
SET
	parent_id = 319434,
	is_sap_debt = 1
WHERE
	id = 388822;
--
UPDATE
	merchant
SET
	parent_id = 377702,
	is_sap_debt = 1
WHERE
	id = 387514;
--
UPDATE
	merchant
SET
	parent_id = 375078,
	is_sap_debt = 1
WHERE
	id = 388788;</t>
  </si>
  <si>
    <t>V/v tạo thêm bảng mới trong db cp_scm môi trường PROD</t>
  </si>
  <si>
    <t>2026-04-24T16:49:38.918+0700</t>
  </si>
  <si>
    <t>2026-04-24T16:50:20.797+0700</t>
  </si>
  <si>
    <t>Tôi cần chạy sql này để thêm bảng mới trong db:  cp_scm  để phục vụ cho website Gia Bình. SAD:    Thông tin db: Prod: Project vinid-app-common DB:  cp_scm IP:  172.31.1.222 Port:  3306 SQL: -- ============================================================================
-- GBIA — Full Database Migration
-- ============================================================================
-- Consolidated from individual GBIA_*.sql files (including 004_partner_inquiry_enhance.sql).
-- Run order respects foreign key dependencies.
--
-- Tables created:
--   1. partner_inquiries
--   2. candidate_applications
--   3. referral_submissions
--   4. cv_export_logs
--   5. cv_export_items              (FK → cv_export_logs, candidate_applications)
--   6. export_logs_partner
--   7. export_items_partner         (FK → export_logs_partner, partner_inquiries)
--
-- Post-create migration:
--   8. TCW-8628: referral cv_file → cv_files, cv_export_logs nullable columns
-- ============================================================================
-- ─── 1. partner_inquiries ────────────────────────────────────────────────────
-- Schema incorporates 004_partner_inquiry_enhance.sql changes:
--   - status: VARCHAR(50) instead of ENUM (supports flexible status management)
--   - job_title, area_of_interest: nullable
CREATE TABLE IF NOT EXISTS `partner_inquiries` (
    `id`                 VARCHAR(36)  NOT NULL,
    `full_name`          VARCHAR(255) NOT NULL,
    `company`            VARCHAR(255) NOT NULL,
    `job_title`          VARCHAR(255) DEFAULT NULL,
    `business_email`     VARCHAR(255) NOT NULL,
    `phone`              VARCHAR(50)  DEFAULT NULL,
    `partner_type`       VARCHAR(100) NOT NULL,
    `area_of_interest`   VARCHAR(255) DEFAULT NULL,
    `company_website`    VARCHAR(500) DEFAULT NULL,
    `country`            VARCHAR(100) DEFAULT NULL,
    `additional_message` TEXT         DEFAULT NULL,
    `consent_agreed`     TINYINT(1)   NOT NULL DEFAULT 0,
    `ip_address`         VARCHAR(45)  DEFAULT NULL,
    `submitted_at`       BIGINT       NOT NULL,
    `status`             VARCHAR(50)  NOT NULL DEFAULT 'new',
    PRIMARY KEY (`id`),
    INDEX `idx_partner_inquiries_email` (`business_email`),
    INDEX `idx_partner_inquiries_status` (`status`),
    INDEX `idx_partner_inquiries_submitted_at` (`submitted_at`)
) ENGINE=InnoDB DEFAULT CHARSET=utf8mb4 COLLATE=utf8mb4_unicode_ci;
-- ─── 2. candidate_applications ───────────────────────────────────────────────
CREATE TABLE IF NOT EXISTS `candidate_applications` (
    `id`                 VARCHAR(36)  NOT NULL,
    `full_name`          VARCHAR(255) NOT NULL,
    `email`              VARCHAR(255) NOT NULL,
    `phone`              VARCHAR(50)  NOT NULL,
    `location`           VARCHAR(255) NOT NULL,
    `applied_position`   JSON         NOT NULL,
    `cv_files`           JSON         NOT NULL,
    `link`               VARCHAR(500) DEFAULT NULL,
    `additional_message` TEXT         DEFAULT NULL,
    `consent_agreed`     TINYINT(1)   NOT NULL DEFAULT 0,
    `ip_address`         VARCHAR(45)  DEFAULT NULL,
    `submitted_at`       BIGINT       NOT NULL,
    `status`             ENUM('new','reviewed','shortlisted','rejected') NOT NULL DEFAULT 'new',
    PRIMARY KEY (`id`),
    INDEX `idx_candidate_applications_email` (`email`),
    INDEX `idx_candidate_applications_status` (`status`),
    INDEX `idx_candidate_applications_submitted_at` (`submitted_at`)
) ENGINE=InnoDB DEFAULT CHARSET=utf8mb4 COLLATE=utf8mb4_unicode_ci;
-- ─── 3. referral_submissions ─────────────────────────────────────────────────
CREATE TABLE IF NOT EXISTS `referral_submissions` (
    `id`                  VARCHAR(36)  NOT NULL,
    `referrer_full_name`  VARCHAR(255) NOT NULL,
    `referrer_email`      VARCHAR(255) NOT NULL,
    `referrer_phone`      VARCHAR(50)  DEFAULT NULL,
    `candidate_full_name` VARCHAR(255) NOT NULL,
    `candidate_email`     VARCHAR(255) NOT NULL,
    `candidate_phone`     VARCHAR(50)  NOT NULL,
    `cv_files`            JSON         DEFAULT NULL COMMENT 'Array of uploaded CV PDF files (gcs_path, original_filename, file_size, mime_type)',
    `link`                VARCHAR(500) DEFAULT NULL,
    `target_opening`      VARCHAR(255) DEFAULT NULL,
    `referral_note`       TEXT         DEFAULT NULL,
    `consent_agreed`      TINYINT(1)   NOT NULL DEFAULT 0,
    `ip_address`          VARCHAR(45)  DEFAULT NULL,
    `submitted_at`        BIGINT       NOT NULL,
    `status`              ENUM('new','reviewed','processed') NOT NULL DEFAULT 'new',
    PRIMARY KEY (`id`),
    INDEX `idx_referral_submissions_referrer_email` (`referrer_email`),
    INDEX `idx_referral_submissions_candidate_email` (`candidate_email`),
    INDEX `idx_referral_submissions_status` (`status`),
    INDEX `idx_referral_submissions_submitted_at` (`submitted_at`)
) ENGINE=InnoDB DEFAULT CHARSET=utf8mb4 COLLATE=utf8mb4_unicode_ci;
-- ─── 4. cv_export_logs ───────────────────────────────────────────────────────
CREATE TABLE IF NOT EXISTS `cv_export_logs` (
    `id`          VARCHAR(36)   NOT NULL,
    `exported_by` VARCHAR(255)  NOT NULL COMMENT 'HR user who triggered the export',
    `filters`     JSON          NULL     COMMENT 'JSON snapshot of filters used at export time',
    `total_count` INT           NOT NULL DEFAULT 0,
    `gcs_path`    VARCHAR(1024) NULL     DEFAULT NULL COMMENT 'GCS object path of exported CSV',
    `signed_url`  TEXT          NULL              COMMENT 'Pre-signed download URL (GCS V4 URLs can exceed 500 chars)',
    `exported_at` BIGINT        NOT NULL COMMENT 'Unix timestamp (seconds)',
    PRIMARY KEY (`id`),
    INDEX `idx_cv_export_logs_exported_by` (`exported_by`),
    INDEX `idx_cv_export_logs_exported_at` (`exported_at`)
) ENGINE=InnoDB DEFAULT CHARSET=utf8mb4 COLLATE=utf8mb4_unicode_ci;
-- ─── 5. cv_export_items (FK → cv_export_logs, candidate_applications) ────────
CREATE TABLE IF NOT EXISTS `cv_export_items` (
    `id`             BIGINT       NOT NULL AUTO_INCREMENT,
    `export_log_id`  VARCHAR(36)  NOT NULL,
    `application_id` VARCHAR(36)  NOT NULL,
    PRIMARY KEY (`id`),
    UNIQUE KEY `uq_application_exported` (`application_id`),
    INDEX `idx_cv_export_items_log` (`export_log_id`),
    CONSTRAINT `fk_cv_export_items_log`
        FOREIGN KEY (`export_log_id`) REFERENCES `cv_export_logs` (`id`) ON DELETE CASCADE,
    CONSTRAINT `fk_cv_export_items_application`
        FOREIGN KEY (`application_id`) REFERENCES `candidate_applications` (`id`) ON DELETE CASCADE
) ENGINE=InnoDB DEFAULT CHARSET=utf8mb4 COLLATE=utf8mb4_unicode_ci;
-- ─── 6. export_logs_partner ──────────────────────────────────────────────────
CREATE TABLE IF NOT EXISTS `export_logs_partner` (
    `id`              VARCHAR(36)   NOT NULL,
    `exported_by`     VARCHAR(255)  NOT NULL COMMENT 'BD/Sales user who triggered the export',
    `filters_applied` JSON          NULL     COMMENT 'JSON snapshot of filters used at export time',
    `total_records`   INT           NOT NULL DEFAULT 0,
    `file_name`       VARCHAR(255)  NULL     DEFAULT NULL COMMENT 'CSV filename (e.g. partner_inquiries_20260406_&lt;uuid&gt;.csv)',
    `gcs_path`        VARCHAR(1024) NULL     DEFAULT NULL COMMENT 'GCS object path of exported CSV',
    `signed_url`      TEXT          NULL              COMMENT 'Pre-signed download URL (GCS V4 URLs can exceed 500 chars)',
    `exported_at`     BIGINT        NOT NULL COMMENT 'Unix timestamp (seconds)',
    PRIMARY KEY (`id`),
    INDEX `idx_export_logs_partner_exported_by` (`exported_by`),
    INDEX `idx_export_logs_partner_exported_at` (`exported_at`)
) ENGINE=InnoDB DEFAULT CHARSET=utf8mb4 COLLATE=utf8mb4_unicode_ci;
-- ─── 7. export_items_partner (FK → export_logs_partner, partner_inquiries) ───
CREATE TABLE IF NOT EXISTS `export_items_partner` (
    `id`             BIGINT       NOT NULL AUTO_INCREMENT,
    `export_log_id`  VARCHAR(36)  NOT NULL,
    `inquiry_id`     VARCHAR(36)  NOT NULL,
    PRIMARY KEY (`id`),
    UNIQUE KEY `uq_inquiry_exported` (`inquiry_id`),
    INDEX `idx_export_items_partner_log` (`export_log_id`),
    CONSTRAINT `fk_export_items_partner_log`
        FOREIGN KEY (`export_log_id`) REFERENCES `export_logs_partner` (`id`) ON DELETE CASCADE,
    CONSTRAINT `fk_export_items_partner_inquiry`
        FOREIGN KEY (`inquiry_id`) REFERENCES `partner_inquiries` (`id`) ON DELETE CASCADE
) ENGINE=InnoDB DEFAULT CHARSET=utf8mb4 COLLATE=utf8mb4_unicode_ci;</t>
  </si>
  <si>
    <t>[OMD][TCB-MerchantHUB][PROD] Migration fix issue table order_code_sequence partition naming</t>
  </si>
  <si>
    <t>2026-04-24T16:08:29.313+0700</t>
  </si>
  <si>
    <t>2026-04-25T23:01:18.251+0700</t>
  </si>
  <si>
    <t>MH-POS, MIGRATION</t>
  </si>
  <si>
    <t>Dear anh Linh, Em cần nhờ DB team hỗ trợ xử lý việc refactor lại partition table `order_code_sequence` trên PROD. Mục đích: Refactor lại naming của partition table `order_code_sequence` Đồng bộ convention: từ `order_code_sequence_{i}` -&gt; `order_code_sequence_p{i}` Nội dung mong muốn: Bên em cần DB team hỗ trợ thực hiện việc: Detach toàn bộ partition hiện tại (0..31) Rename partition cũ sang *_old Tạo partition mới với naming chuẩn Copy dữ liệu từ partition cũ sang partition mới Verify dữ liệu (count old vs new) Attach lại partition mới vào parent table Remove partition cũ sau khi verify thành công Nhờ anh và team hỗ trợ review và xử lý giúp em. instance: mhpos-order-prod-postgres - 172.31.4.37 mhpos_oms Thời gian:  trong khoảng 22h 25/4 đến 1h 26/4</t>
  </si>
  <si>
    <t>[OMRE][MongoDB][CBP] Query dữ liệu giá niêm yết trên môi trường PROD</t>
  </si>
  <si>
    <t>2026-04-24T16:06:00.629+0700</t>
  </si>
  <si>
    <t>2026-04-24T16:06:13.190+0700</t>
  </si>
  <si>
    <t>Nhờ team support query dữ liệu trên mongodb omre_cbp_listing, dự án OneHub với câu query dưới đây: db.getSiblingDB("omre_cbp_listing")
    .getCollection("approval_requests")
    .aggregate([
        {
            $match: {
                resource_type: "LISTING",
                request_type: "INSERT",
                approval_status: "APPROVED"
            }
        },
        {
            $lookup: {
                from: "verification_results",
                let: { approvalId: { $toString: "$_id" } },
                pipeline: [
                    {
                        $match: {
                            $expr: {
                                $and: [
                                    { $eq: ["$approval_request_id", "$$approvalId"] },
                                    { $eq: ["$verification_status", "COMPLETED"] },
                                    { $eq: ["$verification_type", "REAL_PRICE"] }
                                ]
                            }
                        }
                    }
                ],
                as: "verification_results"
            }
        },
        {
            $unwind: "$verification_results"
        },
        {
            $project: {
                _id: 0,
                "Ma niem yet": "$data.listing_id",
                "Ma can": "$data.location.address.unit_number",
                "Ngay dang": "$approved_date",
                "Gia AVM": {
                    $let: {
                        vars: {
                            lp: {
                                $first: {
                                    $filter: {
                                        input: "$verification_results.result.data.criteria",
                                        as: "c",
                                        cond: { $eq: ["$$c.name", "listing_price"] }
                                    }
                                }
                            }
                        },
                        in: {
                            $getField: {
                                field: "avm",
                                input: {
                                    $getField: {
                                        field: "detail",
                                        input: { $arrayElemAt: ["$$lp.data", 0] }
                                    }
                                }
                            }
                        }
                    }
                },
                "Gia agent nhap": {
                    $let: {
                        vars: {
                            lp: {
                                $first: {
                                    $filter: {
                                        input: "$verification_results.result.data.criteria",
                                        as: "c",
                                        cond: { $eq: ["$$c.name", "listing_price"] }
                                    }
                                }
                            }
                        },
                        in: {
                            $getField: {
                                field: "input",
                                input: {
                                    $getField: {
                                        field: "detail",
                                        input: { $arrayElemAt: ["$$lp.data", 0] }
                                    }
                                }
                            }
                        }
                    }
                }
            }
        }
    ])</t>
  </si>
  <si>
    <t>[MAG][IOTek][MCM][PROD] xóa dữ liệu lỗi</t>
  </si>
  <si>
    <t>2026-04-24T15:36:57.896+0700</t>
  </si>
  <si>
    <t>2026-04-24T15:37:24.303+0700</t>
  </si>
  <si>
    <t>Trường thông tin Nội dung mẫu IP (Host) ces-production.crcykac8kxtw.ap-southeast-1.rds.amazonaws.com Port 3306 DB Name mcm_storage command DELETE FROM ces_mcm_storage.casbin_rule
WHERE id = '64504';</t>
  </si>
  <si>
    <t>2026-04-24T14:19:31.222+0700</t>
  </si>
  <si>
    <t>2026-04-24T14:19:48.369+0700</t>
  </si>
  <si>
    <t>Hi team, nhờ team DBA chạy script này trên môi trường PROD của DB Loyalty Oracle giúp team Loyalty ạ. Database information IP: 10.255.23.119 Service name: oneloyaltydb Port: 1521 Schema app: OLOYALTY Time Run ticket: 24/04/2026 (Có thể chạy giờ hành chính) Nội dung script INSERT INTO OLOYALTY.PROGRAM_ATTRIBUTE (PROGRAM_ID, CODE, NAME, VALUE_VALIDATION_PATTERN, DESCRIPTION, STATUS, CREATED_BY, CREATED_AT, UPDATED_BY, UPDATED_AT, APPROVED_BY, APPROVED_AT, CREATED_YMD, UNIQUE_LEVEL, DATA_TYPE, DATA_TYPE_DISPLAY, OPERATORS, HAVING_MASTER_DATA, ENABLE_VALIDATE_MASTER_DATA) VALUES (426, 'CST_PMBH_IND', 'Merchant/ House Hold không sử dụng PMBH liên kết với TCB', NULL, 'Merchant/ House Hold không sử dụng PMBH liên kết với TCB', 'A', 'SYSTEM', TIMESTAMP '2026-04-09 00:00:00.000000', 'SYSTEM', TIMESTAMP '2026-04-09 00:00:00.000000', 'SYSTEM', TIMESTAMP '2026-04-09 00:00:00.000000', 20260409, 'L0', 'STRING', 'COMBOBOX', '==|!=|IN|NOT_IN', 'Y', 1);
INSERT INTO OLOYALTY.PROGRAM_TRANSACTION_ATTRIBUTE (PROGRAM_ID, "ATTRIBUTE", DESCRIPTION, DATA_TYPE, CREATED_BY, CREATED_AT, UPDATED_BY, UPDATED_AT, APPROVED_BY, APPROVED_AT, CREATED_YMD, NAME, DATA_TYPE_DISPLAY, GROUP_NAME, OPERATORS, VALUE_VALIDATION_PATTERN, STATUS, HAVING_MASTER_DATA, ENABLE_VALIDATE_MASTER_DATA) VALUES (426, 'TXN_CARD_OPEN_MERCHANT', 'Khách hàng mở thẻ tại Merchant có liên kết với TCB', 'STRING', 'SYSTEM', TIMESTAMP '2026-04-21 00:00:00.000000', 'SYSTEM', TIMESTAMP '2026-04-21 00:00:00.000000', 'SYSTEM', TIMESTAMP '2026-04-21 00:00:00.000000', 20260421, 'Khách hàng mở thẻ tại Merchant có liên kết với TCB', 'TEXT', 'Transaction Attribute', '==|!=|IN|NOT_IN', NULL, 'A', 'N', 0);
INSERT INTO OLOYALTY.PROGRAM_ATTRIBUTE_SERVICE_TYPE (PROGRAM_ID, "ATTRIBUTE", SERVICE_TYPE, NAME, DESCRIPTION, DATA_TYPE, CREATED_BY, CREATED_AT, UPDATED_BY, UPDATED_AT, APPROVED_BY, APPROVED_AT, CREATED_YMD, GROUP_NAME, OPERATORS, ENABLE_COUNTER_LEVEL) VALUES (426, 'TXN_CARD_OPEN_MERCHANT', 'ESCROW_POINT', 'Khách hàng mở thẻ tại Merchant có liên kết với TCB', 'Khách hàng mở thẻ tại Merchant có liên kết với TCB', 'STRING', 'SYSTEM', TIMESTAMP '2026-04-09 00:00:00.000000', 'SYSTEM', TIMESTAMP '2026-04-09 00:00:00.000000', 'SYSTEM', TIMESTAMP '2026-04-09 00:00:00.000000', 20260409, 'Transaction Attribute', '==|!=|IN|NOT_IN', 'N');
INSERT INTO OLOYALTY.PROGRAM_ATTRIBUTE_SERVICE_TYPE (PROGRAM_ID, "ATTRIBUTE", SERVICE_TYPE, NAME, DESCRIPTION, DATA_TYPE, CREATED_BY, CREATED_AT, UPDATED_BY, UPDATED_AT, APPROVED_BY, APPROVED_AT, CREATED_YMD, GROUP_NAME, OPERATORS, ENABLE_COUNTER_LEVEL) VALUES (426, 'TXN_CARD_OPEN_MERCHANT', 'LIMITATION', 'Khách hàng mở thẻ tại Merchant có liên kết với TCB', 'Khách hàng mở thẻ tại Merchant có liên kết với TCB', 'STRING', 'SYSTEM', TIMESTAMP '2026-04-09 00:00:00.000000', 'SYSTEM', TIMESTAMP '2026-04-09 00:00:00.000000', 'SYSTEM', TIMESTAMP '2026-04-09 00:00:00.000000', 20260409, 'Transaction Attribute', '==|!=|IN|NOT_IN', 'N');
INSERT INTO OLOYALTY.PROGRAM_ATTRIBUTE_SERVICE_TYPE (PROGRAM_ID, "ATTRIBUTE", SERVICE_TYPE, NAME, DESCRIPTION, DATA_TYPE, CREATED_BY, CREATED_AT, UPDATED_BY, UPDATED_AT, APPROVED_BY, APPROVED_AT, CREATED_YMD, GROUP_NAME, OPERATORS, ENABLE_COUNTER_LEVEL) VALUES (426, 'TXN_CARD_OPEN_MERCHANT', 'SCHEME', 'Khách hàng mở thẻ tại Merchant có liên kết với TCB', 'Khách hàng mở thẻ tại Merchant có liên kết với TCB', 'STRING', 'SYSTEM', TIMESTAMP '2026-04-09 00:00:00.000000', 'SYSTEM', TIMESTAMP '2026-04-09 00:00:00.000000', 'SYSTEM', TIMESTAMP '2026-04-09 00:00:00.000000', 20260409, 'Transaction Attribute', '==|!=|IN|NOT_IN', 'N');
INSERT INTO OLOYALTY.PROGRAM_ATTRIBUTE_SERVICE_TYPE (PROGRAM_ID, "ATTRIBUTE", SERVICE_TYPE, NAME, DESCRIPTION, DATA_TYPE, CREATED_BY, CREATED_AT, UPDATED_BY, UPDATED_AT, APPROVED_BY, APPROVED_AT, CREATED_YMD, GROUP_NAME, OPERATORS, ENABLE_COUNTER_LEVEL) VALUES (426, 'TXN_CARD_OPEN_MERCHANT', 'COUNTER', 'Khách hàng mở thẻ tại Merchant có liên kết với TCB', 'Khách hàng mở thẻ tại Merchant có liên kết với TCB', 'STRING', 'SYSTEM', TIMESTAMP '2026-04-09 00:00:00.000000', 'SYSTEM', TIMESTAMP '2026-04-09 00:00:00.000000', 'SYSTEM', TIMESTAMP '2026-04-09 00:00:00.000000', 20260409, 'Transaction Attribute', '==|!=|IN|NOT_IN', 'N');
INSERT INTO OLOYALTY.PROGRAM_ATTRIBUTE_SERVICE_TYPE (PROGRAM_ID, "ATTRIBUTE", SERVICE_TYPE, NAME, DESCRIPTION, DATA_TYPE, CREATED_BY, CREATED_AT, UPDATED_BY, UPDATED_AT, APPROVED_BY, APPROVED_AT, CREATED_YMD, GROUP_NAME, OPERATORS, ENABLE_COUNTER_LEVEL) VALUES (426, 'CST_PMBH_IND', 'ESCROW_POINT', 'Merchant/ House Hold không sử dụng PMBH liên kết với TCB', 'Merchant/ House Hold không sử dụng PMBH liên kết với TCB', 'STRING', 'SYSTEM', TIMESTAMP '2026-04-09 00:00:00.000000', 'SYSTEM', TIMESTAMP '2026-04-09 00:00:00.000000', 'SYSTEM', TIMESTAMP '2026-04-09 00:00:00.000000', 20260409, 'Customer Attribute', '==|!=|IN|NOT_IN', 'N');
INSERT INTO OLOYALTY.PROGRAM_ATTRIBUTE_SERVICE_TYPE (PROGRAM_ID, "ATTRIBUTE", SERVICE_TYPE, NAME, DESCRIPTION, DATA_TYPE, CREATED_BY, CREATED_AT, UPDATED_BY, UPDATED_AT, APPROVED_BY, APPROVED_AT, CREATED_YMD, GROUP_NAME, OPERATORS, ENABLE_COUNTER_LEVEL) VALUES (426, 'CST_PMBH_IND', 'LIMITATION', 'Merchant/ House Hold không sử dụng PMBH liên kết với TCB', 'Merchant/ House Hold không sử dụng PMBH liên kết với TCB', 'STRING', 'SYSTEM', TIMESTAMP '2026-04-09 00:00:00.000000', 'SYSTEM', TIMESTAMP '2026-04-09 00:00:00.000000', 'SYSTEM', TIMESTAMP '2026-04-09 00:00:00.000000', 20260409, 'Customer Attribute', '==|!=|IN|NOT_IN', 'N');
INSERT INTO OLOYALTY.PROGRAM_ATTRIBUTE_SERVICE_TYPE (PROGRAM_ID, "ATTRIBUTE", SERVICE_TYPE, NAME, DESCRIPTION, DATA_TYPE, CREATED_BY, CREATED_AT, UPDATED_BY, UPDATED_AT, APPROVED_BY, APPROVED_AT, CREATED_YMD, GROUP_NAME, OPERATORS, ENABLE_COUNTER_LEVEL) VALUES (426, 'CST_PMBH_IND', 'SCHEME', 'Merchant/ House Hold không sử dụng PMBH liên kết với TCB', 'Merchant/ House Hold không sử dụng PMBH liên kết với TCB', 'STRING', 'SYSTEM', TIMESTAMP '2026-04-09 00:00:00.000000', 'SYSTEM', TIMESTAMP '2026-04-09 00:00:00.000000', 'SYSTEM', TIMESTAMP '2026-04-09 00:00:00.000000', 20260409, 'Customer Attribute', '==|!=|IN|NOT_IN', 'N');
INSERT INTO OLOYALTY.PROGRAM_ATTRIBUTE_SERVICE_TYPE (PROGRAM_ID, "ATTRIBUTE", SERVICE_TYPE, NAME, DESCRIPTION, DATA_TYPE, CREATED_BY, CREATED_AT, UPDATED_BY, UPDATED_AT, APPROVED_BY, APPROVED_AT, CREATED_YMD, GROUP_NAME, OPERATORS, ENABLE_COUNTER_LEVEL) VALUES (426, 'CST_PMBH_IND', 'COUNTER', 'Merchant/ House Hold không sử dụng PMBH liên kết với TCB', 'Merchant/ House Hold không sử dụng PMBH liên kết với TCB', 'STRING', 'SYSTEM', TIMESTAMP '2026-04-09 00:00:00.000000', 'SYSTEM', TIMESTAMP '2026-04-09 00:00:00.000000', 'SYSTEM', TIMESTAMP '2026-04-09 00:00:00.000000', 20260409, 'Customer Attribute', '==|!=|IN|NOT_IN', 'N');
COMMIT;</t>
  </si>
  <si>
    <t>[PROD] [VCM] Update tên merchant applied</t>
  </si>
  <si>
    <t>2026-04-24T14:16:05.558+0700</t>
  </si>
  <si>
    <t>2026-04-24T14:16:57.435+0700</t>
  </si>
  <si>
    <t>Dear DBA team, Do nhu cầu thanh đổi tên thương hiệu THE ROUND →  ROUTINE https://chat.google.com/room/AAQAHjT62Z0/EaGKf9VSxNg/EaGKf9VSxNg?cls=10 Nhờ team hỗ trợ chạy lênh update merchant name cho các voucher sau: Thông tin Database: IP: 172.31.1.41
Database: vincart_mm_product
Bảng: entity_attributes_values Lệnh chạy: UPDATE entity_attributes_values eav inner join variants v on eav.entity_id = v.id
SET eav.value = JSON_REPLACE(
        eav.value,
        '$[0].merchant_name', 'ROUTINE',
        '$[0].merchant_name_en', 'ROUTINE'
                )
WHERE v.code in (
                 'VD_VC_1776684819057',
                 'VD_VC_1776769252911'
    )
  and eav.type = 'VARIANT'
  AND eav.name = 'voucher_accepted_merchants'
  and JSON_EXTRACT(eav.value, '$[0].merchant_id') = 288570;</t>
  </si>
  <si>
    <t>[Nonprod][MongoDB] Xin tạo mới db mongodb</t>
  </si>
  <si>
    <t>2026-04-24T11:37:06.188+0700</t>
  </si>
  <si>
    <t>2026-04-24T14:53:22.570+0700</t>
  </si>
  <si>
    <t xml:space="preserve">Dear anh Nghĩa, Nhờ anh hỗ trợ team tạo mới mongodb với các thông tin dưới đây ạ: MT UAT: Database name: omc_dynamic_content_uat Host:  mongos-ilb-2.int.onemount.dev Permission: read/write SAD:   </t>
  </si>
  <si>
    <t>2026-04-24T09:16:08.291+0700</t>
  </si>
  <si>
    <t>2026-04-24T09:16:40.344+0700</t>
  </si>
  <si>
    <t>Dear anh  @Đào Công Nghĩa  , Tối nay team em có plan golive theo release plan   , nhờ anh hỗ trợ chạy script dưới đây lúc 9h tối nay với ạ, CR lát nữa em gửi sau. Thời gian chạy:  21h ngày 23/04/2026 Thông tin DB:  omc-mtp-tidb.int.onemount.com:4000 / omc_merchant_loyalty Script: Được gửi trong file đính kèm, 3 câu cuối SHOW CREATE TABLE nhờ anh xuất kết quả ra cho em luôn nhé. Thanks anh, Thành An.</t>
  </si>
  <si>
    <t>[OneNexus][Monitoring][NP] Hỗ trợ khởi tạo Database cho Grafana</t>
  </si>
  <si>
    <t>2026-04-24T09:13:28.163+0700</t>
  </si>
  <si>
    <t>2026-04-24T09:13:53.880+0700</t>
  </si>
  <si>
    <t>monitoring</t>
  </si>
  <si>
    <t>Nhờ Nghĩa hỗ trợ khởi tạo giúp a database phục vụ Grafana Monitoring Theo thống nhất của team nhờ em khởi tạo một Schema trong database của Kong (đang phục vụ onenexus) Schema: grafana User: grafana</t>
  </si>
  <si>
    <t>[OMRE][MongoDB]Migrate dữ liệu MA cho listing</t>
  </si>
  <si>
    <t>2026-04-23T21:13:28.746+0700</t>
  </si>
  <si>
    <t>2026-04-23T21:14:11.289+0700</t>
  </si>
  <si>
    <t>Nhờ team chạy giúp em script update database ạ  db.getSiblingDB("omre_cbp_listing").getCollection("listings").updateMany(
    { "list_agents.list_agent_key": { $in: ["1000316","1000135","1000003","1000032"] } },
    {
        $set: {
            list_office: {
                list_office_key: "6",
                list_office_name: "Công ty OneTrust"
            }
        }
    }
)</t>
  </si>
  <si>
    <t>[Merchant-TCB] Hỗ trợ cập nhật dữ liệu 20260423</t>
  </si>
  <si>
    <t>2026-04-23T18:22:43.742+0700</t>
  </si>
  <si>
    <t>2026-04-23T18:24:35.185+0700</t>
  </si>
  <si>
    <t>Dear team, Nhờ team chạy giúp câu lệnh bên dưới ạ. Thông tin database https://console.cloud.google.com/sql/instances/merchant-tcb/overview?inv=1&amp;invt=AbsndA&amp;project=vinid-merchant-prod DB_MYSQL_HOST=172.31.4.108
DB_MYSQL_DATABASE=merchant_service_tcb Câu lệnh INSERT INTO `tpay_staff_permission` (`created_at`, `updated_at`, `module`, `code`, `name`, `description`) VALUES
('2026-04-23 17:00:00', '2026-04-23 17:00:00', 'TCB offerings', 'view:tcb_card_lending', 'Xem card lending của TCB', ' Người dùng được xem thông tin card lending (thông tin lending mà TCB trả ra)');
-- 
INSERT INTO
	tcb_store_industry_mapping (tcb_industry, mcc, created_at, updated_at)
VALUES
	('am thuc', '5812', '2026-04-23 17:00:00', '2026-04-23 17:00:00'),
	('anh vien', '5812', '2026-04-23 17:00:00', '2026-04-23 17:00:00'),
	('ban banh mi pate', '5812', '2026-04-23 17:00:00', '2026-04-23 17:00:00'),
	('ban ca', '5812', '2026-04-23 17:00:00', '2026-04-23 17:00:00'),
	('ban chao', '5812', '2026-04-23 17:00:00', '2026-04-23 17:00:00'),
	('ban chao dinh duong', '5812', '2026-04-23 17:00:00', '2026-04-23 17:00:00'),
	('ban com phan', '5812', '2026-04-23 17:00:00', '2026-04-23 17:00:00'),
	('ban dua', '5812', '2026-04-23 17:00:00', '2026-04-23 17:00:00'),
	('ban giay', '5812', '2026-04-23 17:00:00', '2026-04-23 17:00:00'),
	('ban le thuc pham', '5812', '2026-04-23 17:00:00', '2026-04-23 17:00:00'),
	('ban nuoc ep', '5812', '2026-04-23 17:00:00', '2026-04-23 17:00:00'),
	('ban nuoc giai khat', '5812', '2026-04-23 17:00:00', '2026-04-23 17:00:00'),
	('ban thit nuong', '5812', '2026-04-23 17:00:00', '2026-04-23 17:00:00'),
	('banh', '5812', '2026-04-23 17:00:00', '2026-04-23 17:00:00'),
	('banh khoai mo', '5812', '2026-04-23 17:00:00', '2026-04-23 17:00:00'),
	('banh sinh nhat', '5812', '2026-04-23 17:00:00', '2026-04-23 17:00:00'),
	('buffet va lau', '5812', '2026-04-23 17:00:00', '2026-04-23 17:00:00'),
	('bun thit nuong', '5812', '2026-04-23 17:00:00', '2026-04-23 17:00:00'),
	('ca pheu', '5812', '2026-04-23 17:00:00', '2026-04-23 17:00:00'),
	('caffe bao boi', '5812', '2026-04-23 17:00:00', '2026-04-23 17:00:00'),
	('che', '5812', '2026-04-23 17:00:00', '2026-04-23 17:00:00'),
	('com binh dan', '5812', '2026-04-23 17:00:00', '2026-04-23 17:00:00'),
	('cua hang giai khat', '5812', '2026-04-23 17:00:00', '2026-04-23 17:00:00'),
	('cua hang son tuong', '5812', '2026-04-23 17:00:00', '2026-04-23 17:00:00'),
	('dich vu an uong cafe giai khat', '5812', '2026-04-23 17:00:00', '2026-04-23 17:00:00'),
	('dich vu an uong khac', '5812', '2026-04-23 17:00:00', '2026-04-23 17:00:00'),
	('dich vu an uong khac xoi do an vat', '5812', '2026-04-23 17:00:00', '2026-04-23 17:00:00'),
	('dich vu nha hang khach san', '5812', '2026-04-23 17:00:00', '2026-04-23 17:00:00'),
	('dich vu, phuc vu do uong', '5812', '2026-04-23 17:00:00', '2026-04-23 17:00:00'),
	('diem tam sang', '5812', '2026-04-23 17:00:00', '2026-04-23 17:00:00'),
	('do uong giai khat luu dong', '5812', '2026-04-23 17:00:00', '2026-04-23 17:00:00'),
	('food', '5812', '2026-04-23 17:00:00', '2026-04-23 17:00:00'),
	('ga ran', '5812', '2026-04-23 17:00:00', '2026-04-23 17:00:00'),
	('heo quay', '5812', '2026-04-23 17:00:00', '2026-04-23 17:00:00'),
	('kem', '5812', '2026-04-23 17:00:00', '2026-04-23 17:00:00'),
	('kinh doanh ca phe', '5812', '2026-04-23 17:00:00', '2026-04-23 17:00:00'),
	('lau', '5812', '2026-04-23 17:00:00', '2026-04-23 17:00:00'),
	('luon nieu xu nghe', '5812', '2026-04-23 17:00:00', '2026-04-23 17:00:00'),
	('ma heo', '5812', '2026-04-23 17:00:00', '2026-04-23 17:00:00'),
	('mi ga', '5812', '2026-04-23 17:00:00', '2026-04-23 17:00:00'),
	('nha hang va cac dich vu an uong', '5812', '2026-04-23 17:00:00', '2026-04-23 17:00:00'),
	('nuoc da', '5812', '2026-04-23 17:00:00', '2026-04-23 17:00:00'),
	('nuoc giai khat do an vat', '5812', '2026-04-23 17:00:00', '2026-04-23 17:00:00'),
	('nuoc mat', '5812', '2026-04-23 17:00:00', '2026-04-23 17:00:00'),
	('pha che do uong', '5812', '2026-04-23 17:00:00', '2026-04-23 17:00:00'),
	('pho', '5812', '2026-04-23 17:00:00', '2026-04-23 17:00:00'),
	('pho bo', '5812', '2026-04-23 17:00:00', '2026-04-23 17:00:00'),
	('qua bia', '5812', '2026-04-23 17:00:00', '2026-04-23 17:00:00'),
	('quan bun cha', '5812', '2026-04-23 17:00:00', '2026-04-23 17:00:00'),
	('quan ca phe, nuoc', '5812', '2026-04-23 17:00:00', '2026-04-23 17:00:00'),
	('quan com bac tai', '5812', '2026-04-23 17:00:00', '2026-04-23 17:00:00'),
	('quan do uong giai khat', '5812', '2026-04-23 17:00:00', '2026-04-23 17:00:00'),
	('san xuat banh', '5812', '2026-04-23 17:00:00', '2026-04-23 17:00:00'),
	('san xuat banh va dich vu an uong', '5812', '2026-04-23 17:00:00', '2026-04-23 17:00:00'),
	('san xuat kinh doanh nem gio cha', '5812', '2026-04-23 17:00:00', '2026-04-23 17:00:00'),
	('san xuat nem', '5812', '2026-04-23 17:00:00', '2026-04-23 17:00:00'),
	('take away', '5812', '2026-04-23 17:00:00', '2026-04-23 17:00:00'),
	('tap hoa, an uong', '5812', '2026-04-23 17:00:00', '2026-04-23 17:00:00'),
	('thuc pham', '5812', '2026-04-23 17:00:00', '2026-04-23 17:00:00'),
	('tiem banh ngot', '5812', '2026-04-23 17:00:00', '2026-04-23 17:00:00'),
	('tra da', '5812', '2026-04-23 17:00:00', '2026-04-23 17:00:00'),
	('tra sua , giai khat', '5812', '2026-04-23 17:00:00', '2026-04-23 17:00:00'),
	('vit quay', '5812', '2026-04-23 17:00:00', '2026-04-23 17:00:00'),
	('xoi ghe', '5812', '2026-04-23 17:00:00', '2026-04-23 17:00:00');</t>
  </si>
  <si>
    <t>2026-04-23T18:14:09.162+0700</t>
  </si>
  <si>
    <t>2026-04-23T18:17:03.961+0700</t>
  </si>
  <si>
    <t>Delete Sale trong table SALEAPP_AGENCY_REGISTER_SALE_PROJECT_EVENT Cho event  754,14,1113</t>
  </si>
  <si>
    <t>2026-04-23T17:52:06.147+0700</t>
  </si>
  <si>
    <t>2026-04-23T17:54:14.928+0700</t>
  </si>
  <si>
    <t>Backup data table {{SALEAPP_AGENCY_REGISTER_SALE_PROJECT_EVENT }} của database  portal_prod  trước khi chạy lệnh xóa bên dưới DELETE FROM portal_prod.SALEAPP_AGENCY_REGISTER_SALE_PROJECT_EVENT WHERE EVENT_ID IN (754,14,1113) AND AGENCY_USERNAME = 'agency.sgi';</t>
  </si>
  <si>
    <t>[OMD TMS DRIVER APP][Prod] Cập nhật dữ liệu cho Driver App</t>
  </si>
  <si>
    <t>2026-04-23T16:44:55.174+0700</t>
  </si>
  <si>
    <t>2026-04-23T16:45:14.592+0700</t>
  </si>
  <si>
    <t>Do yêu cầu nghiệp vụ nên TMS Driver app cần cập nhật dữ liệu một số lý do hẹn|hủy giao Nhờ team thực hiện migration sql 21h - 22h ngày 23/04/2026 cho các database sau: Databasse:  omd_tms_onedriver_prod (SQL instance tms-mysql-01 (Private IP: 172.31.4.129)  https://console.cloud.google.com/sql/instances/tms-mysql-01/overview?project=onedc-tms-prod ): Update OD DB 23-04-2026.sql</t>
  </si>
  <si>
    <t>[BO] Cập nhật cấu hình test pilot tiêu điểm VMM - Merchant XanhSM</t>
  </si>
  <si>
    <t>2026-04-23T15:06:40.968+0700</t>
  </si>
  <si>
    <t>2026-04-23T15:06:59.086+0700</t>
  </si>
  <si>
    <t>Hi a  @Nguyễn Văn Dũng , nhờ a chạy giúp e script bên dưới với ạ Thông tin database:  172.31.1.133:3306/bo Script: UPDATE ACCT_MAP_COA
SET GL_ACCOUNT_NAME = 'Giá trị KH thanh toán điểm'
WHERE ID = 'VN0010010.P120.GEN002...';
UPDATE ACCT_MAP_COA
SET GL_ACCOUNT      = 1311110000,
    GL_ACCOUNT_NAME = 'Giá trị KH quy đổi UT sang UO'
WHERE ID = 'VN0010010.P121.REC006...';
UPDATE FUNDS_TRANSFER
SET POSTING_FLAG = 1
WHERE BO_ORDER_ID = 'ORD_2723094659377822229'
  and TRANSACTION_TYPE IN ('P121', 'P120');</t>
  </si>
  <si>
    <t>[UPAY][PROD] Update DB AuthOM support OMC config sms v2 cho OMC</t>
  </si>
  <si>
    <t>2026-04-23T15:06:36.649+0700</t>
  </si>
  <si>
    <t>2026-04-23T15:06:55.513+0700</t>
  </si>
  <si>
    <t>Thông tin db authom ạ: project: onemg-general-prod instance: auth-om Master IP: 172.31.4.103 DB: auth_om Script update: UPDATE OTPSetting o SET o.config = '{"config":{"debug":false,"limit":5,"expiry":180,"length":6,"pattern":"[0-9]{6}","disable_signup":false,"using_sms_v2":true,"link_db_connection":null,"disable_linking_database":null},"sender":null,"template":{"template_id":"570ace44-a95e-4168-b371-bc176b48e1b9"},"brand_name":"OneHub.vn","sender_name":null}' WHERE o.id = '31951' AND tenant_id = 'cbp-customer-web' AND o.otp_type = 'SignIn/SMS';
UPDATE OTPSetting o SET o.config = '{"config":{"debug":false,"limit":5,"expiry":180,"length":6,"pattern":"[0-9]{6}","disable_signup":false,"using_sms_v2":true,"link_db_connection":null,"disable_linking_database":null},"sender":null,"template":{"template_id":"570ace44-a95e-4168-b371-bc176b48e1b9"},"brand_name":"Onehub.vn","sender_name":null}' WHERE o.id = '31952' AND tenant_id = 'cbp-customer-web' AND o.otp_type = 'SignUp/SMS'; E  cảm ơn ạ</t>
  </si>
  <si>
    <t>[ManMac][Prod] cấp database cho dự án</t>
  </si>
  <si>
    <t>2026-04-22T17:24:17.472+0700</t>
  </si>
  <si>
    <t>2026-04-22T17:24:35.425+0700</t>
  </si>
  <si>
    <t>Nhờ anh  @Đào Công Nghĩa  setup database / username cho dự án Man-Mac (Gia Bình) Host:  gb-prod-postgres.cpak8g4gc50r.ap-southeast-1.rds.amazonaws.com Database name:  sitegate_app_server Credential login:  gửi qua inb riêng Additional settings: encoding: "UTF8"
locale: "en_US.UTF-8"
localeCollate: "en_US.UTF-8"
localeCType: "en_US.UTF-8</t>
  </si>
  <si>
    <t>[ManMac][NonProd] Chạy script migration Database</t>
  </si>
  <si>
    <t>2026-04-22T16:42:54.474+0700</t>
  </si>
  <si>
    <t>2026-04-22T16:43:21.140+0700</t>
  </si>
  <si>
    <t>2026-04-22T15:56:01.733+0700</t>
  </si>
  <si>
    <t>2026-04-22T15:57:55.098+0700</t>
  </si>
  <si>
    <t>IP (Host):   ces-production.crcykac8kxtw.ap-southeast-1.rds.amazonaws.com Port:  3306 DB Name:  ces_mh_mpm Command: update prj_projects set code = 'DA3129' where id = 'd634a869-8687-4272-85eb-654ff393500c';
update ten_system_tenants set code = 'DA3129' where id = 'd634a869-8687-4272-85eb-654ff393500c';
update prj_projects set code = 'DA3180' where id = 'ca6fdd04-5bbf-472f-a5fc-0ac22faabec7';
update ten_system_tenants set code = 'DA3180' where id = 'ca6fdd04-5bbf-472f-a5fc-0ac22faabec7';
update prj_projects set code = 'DA3188' where id = '0279fd5b-3aca-4a07-940f-2bf4442cf7b8';
update ten_system_tenants set code = 'DA3188' where id = '0279fd5b-3aca-4a07-940f-2bf4442cf7b8';
update prj_projects set code = 'DA3245' where id = 'e65e4caa-5a71-4c09-bc26-cecd0c5ac631';
update ten_system_tenants set code = 'DA3245' where id = 'e65e4caa-5a71-4c09-bc26-cecd0c5ac631';
update prj_projects set code = 'DA3292' where id = '01c04953-27d3-486c-847c-79ea0205ffa8';
update ten_system_tenants set code = 'DA3292' where id = '01c04953-27d3-486c-847c-79ea0205ffa8';</t>
  </si>
  <si>
    <t>[it247] Xin quyền update và insert DB Production Pay-TiDB</t>
  </si>
  <si>
    <t>2026-04-22T14:07:23.781+0700</t>
  </si>
  <si>
    <t>2026-04-22T14:13:29.578+0700</t>
  </si>
  <si>
    <t>none</t>
  </si>
  <si>
    <t>Dear Team DBA, Nhằm phục vụ công việc hỗ trợ vận hành Team IT247 cần hỗ trợ update các thông tin của merchant (như ở guide sau   ) nên team 247 xin quyền thao tác DB cụ thể như sau: Link DB:  http://pay-tidb.int.onemount.com:4000/saas_tpay Quyền cụ thể: bảng  UNIFIED_MERCHANT_SERVICE  và  bảng  ACCOUNT  cần quyền  update .  Các thành viên team 247: nhatntt thanhdv19 huong.le3 tung.hoang2 kien.nguyen12 cuong.nguyen8 hoang.phan dungnt96 hoapd1 Nhờ team hỗ trợ phân quyền. Em xin cảm ơn !</t>
  </si>
  <si>
    <t>[Saitama] [SmartPOS] Hỗ trợ migrate account cho dịch vụ smartpos</t>
  </si>
  <si>
    <t>2026-04-22T12:04:51.642+0700</t>
  </si>
  <si>
    <t>2026-04-22T12:05:13.547+0700</t>
  </si>
  <si>
    <t>Hi anh Dũng. Nhờ anh chạy giúp em script dưới đây nhằm migrate account FEE/REFUND cho dịch vụ SmartPOS, môi trường  PRODUCTION  theo thông tin dưới đây ạ: Thông tin database:  jdbc:mysql://pay-tidb.int.onemount.com:4000/saas_tpay Script: UPDATE account t1
    JOIN service_account sa ON t1.id = sa.account_id
    JOIN service s ON sa.service_id = s.id
    JOIN (SELECT a.merchant_code, a.account_number, s.service_code
          FROM account a
                   JOIN service_account sa ON a.id = sa.account_id
                   JOIN service s ON sa.service_id = s.id
          WHERE a.account_by_purpose = 'COLLECTION'
            and a.created_by = 'UNIFIED_MERCHANT_SERVICE') t2
      ON t1.merchant_code = t2.merchant_code
         and t2.service_code = s.service_code
SET t1.account_number = t2.account_number
WHERE t1.account_by_purpose IN ('FEE', 'REFUND')
  and t1.created_by = 'UNIFIED_MERCHANT_SERVICE'
  and TRIM(t1.account_number) = ''
  AND s.service_code IN ('SMARTPOS_QR', 'SMARTPOS_CARD');</t>
  </si>
  <si>
    <t>2026-04-21T16:10:25.485+0700</t>
  </si>
  <si>
    <t>2026-04-21T16:17:49.026+0700</t>
  </si>
  <si>
    <t>[PROD][UPAY][BO] Update Thông tin VA cho giao dịch đồng bộ OMD về bị thiếu</t>
  </si>
  <si>
    <t>2026-04-21T15:53:02.096+0700</t>
  </si>
  <si>
    <t>2026-04-21T15:53:07.564+0700</t>
  </si>
  <si>
    <t>Hi các anh Nhờ anh chạy các script sau giúp em trên: IP : 172.31.1.149 project: vinpay-prod schema: ops_pay_service UPDATE FROM TRANSACTION SET VIRTUAL_ACCOUNT_NUMBER = 'M88824272595883' WHERE TRANSACTION_NO = 'FT26107515069705';</t>
  </si>
  <si>
    <t>[Merchant-TCB] Hỗ trợ cập nhật mã khách hàng T24 (CIF)</t>
  </si>
  <si>
    <t>2026-04-21T15:48:47.527+0700</t>
  </si>
  <si>
    <t>2026-04-21T15:48:55.629+0700</t>
  </si>
  <si>
    <t>Dear team, Nhờ team chạy giúp câu lệnh bên dưới ạ. Thông tin database https://console.cloud.google.com/sql/instances/merchant-tcb/overview?inv=1&amp;invt=AbsndA&amp;project=vinid-merchant-prod DB_MYSQL_HOST=172.31.4.108
DB_MYSQL_DATABASE=merchant_service_tcb Câu lệnh UPDATE
	tpay_request_merchant
SET
    tcb_customer_t24 = '74896202-1'
WHERE
	merchant_code='NCC5KE3Q';</t>
  </si>
  <si>
    <t xml:space="preserve">[ManMac][NonProd] Chạy script migration Database </t>
  </si>
  <si>
    <t>2026-04-21T14:53:04.766+0700</t>
  </si>
  <si>
    <t>2026-04-21T14:53:58.295+0700</t>
  </si>
  <si>
    <t>[Saitama] [SmartPOS] [SoundBox] Hỗ trợ update thông tin merchant service SmartPos, trạng thái thiết bị đã mất hoặc trả NCC SoundBox</t>
  </si>
  <si>
    <t>2026-04-21T14:50:47.484+0700</t>
  </si>
  <si>
    <t>2026-04-21T14:53:25.673+0700</t>
  </si>
  <si>
    <t>Smartpos, Soundbox, TPAY</t>
  </si>
  <si>
    <t>Hi anh Dũng. Nhờ anh chạy giúp em script dưới đây nhằm update thông tin merchant service SmartPOS và trạng thái thiết bị đã mất hoặc trả NCC SoundBox, môi trường  PRODUCTION  theo thông tin dưới đây ạ: Thông tin database:  jdbc:mysql://pay-tidb.int.onemount.com:4000/saas_tpay Script:  20260421_update_om_merchant.sql  ạ. Script đính kèm bên dưới ạ.</t>
  </si>
  <si>
    <t>2026-04-21T11:56:47.394+0700</t>
  </si>
  <si>
    <t>2026-04-21T11:58:51.910+0700</t>
  </si>
  <si>
    <t>Dear team DBA, Team CDP bên CBP  đang có nhu cầu kéo thêm dữ liệu từ CBP PROD về DP PROD phục vụ việc build data model. Nhờ các anh hỗ trợ tạo topic cho bảng sau ạ: Host:  172.31.4.127 DB:  omre_cbp_collab Table:  match_ai_response_logs Em cảm ơn các anh đã hỗ trợ ạ.</t>
  </si>
  <si>
    <t>[LP][Core] - Clear redis key</t>
  </si>
  <si>
    <t>2026-04-20T18:41:37.467+0700</t>
  </si>
  <si>
    <t>2026-04-20T18:41:43.079+0700</t>
  </si>
  <si>
    <t>Dear DBA team, Nhờ team thực hiện clear redis key theo Pattern với thông tin sau: Host: 172.31.0.227 Port: 6379 DB: 1 Pattern: 'oneloyalty::post-valid::*' Thanks</t>
  </si>
  <si>
    <t>2026-04-20T11:13:45.879+0700</t>
  </si>
  <si>
    <t>2026-04-20T11:14:11.481+0700</t>
  </si>
  <si>
    <t>Dear team DBA. Team Pay có thực hiện update thông tin cho merchant. Nhờ team DAB hỗ trợ với thông tin cụ thể như sau Thông tin database jdbc:mysql://pay-tidb.int.onemount.com:4000/saas_tpay Câu lệnh UPDATE UNIFIED_MERCHANT_SERVICE SET status = 'WAITING_ACTIVE' WHERE ID IN('9597', '9598', '9599', '9600', '9601', '9602', '9603', '9604', '9605', '9606', '9607', '9608');</t>
  </si>
  <si>
    <t>[VCM] Hỗ trợ xuất dữ liệu để PO thực hiện việc đối soát</t>
  </si>
  <si>
    <t>2026-04-20T11:10:56.694+0700</t>
  </si>
  <si>
    <t>2026-04-20T11:20:49.241+0700</t>
  </si>
  <si>
    <t>Để có thể export dữ liệu theo yêu cầu của PO trong ticket    này team DBA support tạo bảng tạm và export dữ liệu theo nội dung sau đây ạ. Thông tin database: IP:  172.31.4.126 DB:  onevc_vsm_prod Các bước thực hiện: Bước 1: Tạo table tạm lưu danh sách sale_code hợp lệ CREATE TEMPORARY TABLE onevc_vsm_prod.tmp_sale_18042026 (
    code VARCHAR(255) 
        CHARACTER SET utf8mb4 
        COLLATE utf8mb4_unicode_ci,
    name VARCHAR(255),
    warehouse_code VARCHAR(255),
    merchant_campaign_code VARCHAR(255),
    purpose VARCHAR(255),
    PRIMARY KEY (code)
) ENGINE=InnoDB; Bước 2: Insert dữ liêu vào bảng tạm INSERT INTO onevc_vsm_prod.tmp_sale_18042026 (
    code,
    name,
    warehouse_code,
    merchant_campaign_code,
    purpose
)
SELECT
    s.code COLLATE utf8mb4_unicode_ci,
    s.name,
    s.warehouse_code,
    s.merchant_campaign_code,
    s.purpose
FROM onevc_vsm_prod.sale s
WHERE
    s.merchant_campaign_code IS NOT NULL; Bước 3: Export dữ liệu SELECT
	t.code AS ticket_code,
	t.sale_code,
	s.name AS sale_name,
	s.warehouse_code,
	s.merchant_campaign_code,
	s.purpose,
	t.user_id,
	t.claim_channel,
	t.created_at,
	t.expired_time,
	t.redeemed_time,
	t.ticket_status,
	t.merchant_redeem_status
	FROM onevc_vsm_prod.tmp_sale_18042026 s
JOIN onevc_vsm_prod.ticket t
    ON t.sale_code = s.code; Em cảm ơn team nhiều ạ.</t>
  </si>
  <si>
    <t>[UPAY][PROD] Script release golive ngày 18/4/2026</t>
  </si>
  <si>
    <t>2026-04-20T08:13:53.209+0700</t>
  </si>
  <si>
    <t>2026-04-20T08:14:39.782+0700</t>
  </si>
  <si>
    <t>Hi các anh Nhờ anh chạy các script sau giúp em trên: Prod  vào lúc trước  23h30 ngày 18/04/2026 Thông tin database gồm có những DB sau ạ: Prod SAAS :  pay-tidb.int.onemount.com:4000/saas_tpay ALTER TABLE INSTALLMENT_CONFIG
    ADD COLUMN provider_code VARCHAR(20),
    ADD COLUMN provider_name VARCHAR(100),
    ADD COLUMN id_card_installment BIGINT;
ALTER TABLE INSTALLMENT_CARD_ACCEPTANCE
    ADD COLUMN provider_code VARCHAR(20),
    ADD COLUMN provider_name VARCHAR(100),
    MODIFY COLUMN prefix_card_number VARCHAR(400),
    ADD COLUMN card_no_length INT NULL;
ALTER TABLE CARD_PAYMENT_TRANSACTION_DETAIL
    ADD COLUMN fee_change_tcb BIGINT,
    ADD COLUMN installment_vendor VARCHAR(20),
    ADD COLUMN order_amount BIGINT,
    ADD COLUMN installment_fee_user BIGINT,
    ADD COLUMN installment_fee_merchant BIGINT;
UPDATE INSTALLMENT_CONFIG
SET
    provider_code = 'TCB',
    provider_name = 'Techcombank',
    id_card_installment = 1
WHERE id IN (1, 3, 4, 5, 4002, 4003, 4004, 4005, 4006, 8002);
UPDATE INSTALLMENT_CARD_ACCEPTANCE
SET
    provider_code = 'TCB',
    provider_name = 'Techcombank'
WHERE id = 1;
ALTER TABLE PARTNER_INSTALLMENT_INFO
    ADD COLUMN bank_code VARCHAR(20),
    ADD COLUMN provider_code VARCHAR(50),
    ADD COLUMN transaction_id VARCHAR(100),
    ADD COLUMN fee_change_tcb BIGINT,
    ADD COLUMN pay_per_month BIGINT,
    ADD COLUMN status_bk INT;
create table BANK_SWIFT_MAPPING
(
    id                 bigint auto_increment
        primary key,
    bank_name_vi       varchar(255)      null,
    bank_name_en       varchar(255)      null,
    provider_code      varchar(50)       not null,
    bank_code_provider varchar(100)      not null,
    swift_code         varchar(11)       null,
    is_active          tinyint default 1 null
)AUTO_ID_CACHE=1 ENGINE=InnoDB DEFAULT CHARSET=utf8mb4 COLLATE=utf8mb4_unicode_ci;
INSERT INTO BANK_SWIFT_MAPPING
    (bank_name_vi, bank_name_en, provider_code, bank_code_provider, swift_code, is_active)
VALUES
    ('Ngân hàng TMCP Hàng Hải Việt Nam', null, 'BK', 'MSB', 'MCOBVNVX', 1),
    ('Ngân hàng TMCP Việt Nam Thịnh Vương', 'Vietnam Prosperity Bank', 'BK', 'VPBANK', 'VPBKVNVX', 1),
    ('Ngân hàng TMCP Ngoại thương Việt Nam', null, 'BK', 'VIETCOMBANK', 'BFTVVNVX', 1),
    ('Ngân hàng TMCP Công Thương Việt Nam', null, 'BK', 'VIETINBANK', 'ICBVVNVX', 1),
    ('Ngân hàng TMCP Sài Gòn Thương Tín', null, 'BK', 'SACOMBANK', 'SGTTVNVX', 1),
    ('Ngân hàng TMCP Kỹ thương Việt Nam', null, 'BK', 'TECHCOMBANK', 'VTCBVNVX', 1),
    ('Ngân hàng TMCP Sài Gòn', null, 'BK', 'SCB', 'SACLVNVX', 1),
    ('Ngân hàng TMCP Xuất nhập khẩu Việt Nam', null, 'BK', 'EXIMBANK', 'EBVIVNVX', 1),
    ('Ngân hàng TMCP Nam Á', null, 'BK', 'NAMABANK', 'NAMAVNVX', 1),
    ('Ngân hàng TMCP Phương Đông', null, 'BK', 'OCB', 'ORCOVNVX', 1),
    ('Ngân hàng TMCP Sài Gòn - Hà Nội', null, 'BK', 'SHB', 'SHBAVNVX', 1),
    ('Ngân hàng TMCP Đông Nam Á', null, 'BK', 'SEABANK', 'SEAVVNVX', 1),
    ('Ngân hàng TMCP Á Châu', null, 'BK', 'ACB', 'ASCBVNVX', 1),
    ('Ngân hàng TMCP Quốc Tế', null, 'BK', 'VIB', 'VNIBVNVX', 1),
    ('Ngân hàng TNHH MTV Standard Chartered (Việt Nam)', null, 'BK', 'STANDARDCHARTERED', 'SCBLVNVX', 1),
    ('Ngân hàng TNHH MTV Shinhan Việt Nam', null, 'BK', 'SHINHANBANK', 'SHBKVNVX', 1),
    ('Ngân hàng TM TNHH MTV Dầu Khí Toàn Cầu', null, 'BK', 'GPBANK', 'GBNKVNVX', 1),
    ('Ngân hàng TMCP Đại Chúng Việt Nam', null, 'BK', 'PVCOMBANK', 'WBVNVNVX', 1),
    ('Ngân hàng TMCP Phát Triển Thành Phố Hồ Chí Minh', null, 'BK', 'HDBANK', 'HDBCVNVX', 1),
    ('FECREDIT', null, 'BK', 'FECREDIT', null, 1),
    ('Ngân hàng TNHH MTV Public Việt Nam', null, 'BK', 'PUBLICBANK', 'VIDPVNV5XXX', 1),
    ('Ngân hàng TMCP Bản Việt', null, 'BK', 'VIETCAPITALBANK', 'VCBCVNVX', 1),
    ('Ngân hàng TMCP Bảo Việt', null, 'BK', 'BAOVIET', 'BVBVVNVX', 1),
    ('Ngân hàng TMCP Quân Đội', null, 'BK', 'MBBANK', 'MSCBVNVX', 1),
    ('Ngân hàng TMCP An Bình', null, 'BK', 'ABBANK', 'ABBKVNVX', 1),
    ('Ngân hàng TMCP Việt Á', null, 'BK', 'VIETABANK', 'VNACVNVX', 1),
    ('Ngân hàng TMCP Đông Á', null, 'BK', 'DONGABANK', 'EACBVNVX', 1),
    ('Ngân hàng Co-op Bank', 'Co-operative bank of VietNam', 'BK', 'COOPBANK', 'COOPVNVX', 1),
    ('Ngân hàng TMCP Việt Nam Thương Tín', null, 'BK', 'VIETBANK', 'VNTTVNVX', 1),
    ('Ngân hàng TNHH một thành viên HSBC', null, 'BK', 'HSBC', 'HSBCVNVX', 1),
    ('Ngân hàng TMCP Kiên Long', null, 'BK', 'KIENLONGBANK', 'KLBKVNVX', 1),
    ('HOMECREDIT', null, 'BK', 'HOMECREDIT', 'HOMECREDIT', 1),
    ('MCREDIT', null, 'BK', 'MCREDIT', 'MSCBVNVX', 1),
    ('Ngân hàng Wooribank', null, 'BK', 'WOORIBANK', 'HVBKVNVX', 1),
    ('Ngân hàng TMCP Bưu Điện Liên Việt', null, 'BK', 'LIENVIETPOSTBANK', 'LVBKVNVX', 1),
    ('Công ty tài chính TNHH MTV LOTTE Việt Nam', null, 'BK', 'LOTTE', null, 1),
    ('SHINHANFINANCE', null, 'BK', 'SHINHANFINANCE', 'SHBKINBBXXX', 1),
    ('Ngân hàng TNHH MTV United Overseas Bank', null, 'BK', 'UOB', 'UOVBVNVXCMS', 1),
    ('Ngân hàng TMCP Sài Gòn Công Thương', null, 'BK', 'SAIGONBANK', 'SBITVNVX', 1),
    ('Ngân hàng Nông Nghiệp và Phát triển Nông Thôn Việt Nam', null, 'BK', 'AGRIBANK', 'VBAAVNVX', 1),
    ('Ngân hàng TMCP Xăng Dầu Petrolimex', null, 'BK', 'PGBANK', 'PGBLVNVX', 1),
    ('Ngân hàng TNHH Indovina', null, 'BK', 'IVB', 'IABBVNVX', 1),
    ('Ngân hàng TMCP Tiên Phong', null, 'BK', 'TPBANK', 'TPBVVNVX', 1),
    ('Ngân hàng TMCP Đầu Tư &amp; Phát Triển Việt Nam', null, 'BK', 'BIDV', 'BIDVVNVX', 1),
    ('Ngân Hàng Quốc Dân', null, 'BK', 'NCB', 'NVBAVNVX', 1),
    ('Ngân hàng Liên doanh Việt - Nga (VRB)', null, 'BK', 'VRB', 'VRBAVNVX', 1),
    ('Ngân hàng TNHH INDOVINA', null, 'BK', 'INDOVINA', 'IABBVNVX', 1),
    ('Ngân hàng KEB HANA', null, 'BK', 'KEBHANABANK', 'KOEXVNVX', 1),
    ('Ngân hàng Đại Dương', null, 'BK', 'OCEANBANK', 'OJBAVNVX', 1),
    ('Ngân hàng POLICY', null, 'BK', 'POLICYBANK', 'VIDPVNV5', 1),
    ('Ngân hàng NASB', null, 'BK', 'NASB', 'VIDPVNV5', 1);
create table CUSTOMER_INFO_CONFIG
(
    id            bigint auto_increment
        primary key,
    bank_code     varchar(20)                          null,
    provider_code varchar(20)                          not null,
    provider_name varchar(100)                         not null,
    field_name    varchar(50)                          not null,
    description   varchar(100)                         null,
    display_order int        default 1                 not null,
    required      tinyint(1) default 0                 not null,
    is_active     tinyint(1) default 1                 not null,
    created_at    timestamp  default CURRENT_TIMESTAMP null,
    updated_at    timestamp  default CURRENT_TIMESTAMP null on update CURRENT_TIMESTAMP
)AUTO_ID_CACHE=1 ENGINE=InnoDB DEFAULT CHARSET=utf8mb4 COLLATE=utf8mb4_unicode_ci;
create table INSTALLMENT_FEE_CONFIG
(
    id             bigint auto_increment
        primary key,
    provider_code  varchar(20)                         not null,
    channel        varchar(30)                         not null,
    config_type    varchar(20)                         not null,
    tenure_month   int                                 not null,
    fee_value      decimal(10, 4)                      not null,
    fee_unit       varchar(10)                         not null,
    charge_target  varchar(20)                         not null,
    bank_key_type  varchar(30)                         not null,
    bank_key_value varchar(50)                         not null,
    merchant_code  varchar(50)                         null,
    is_active      tinyint   default 1                 null,
    created_at     timestamp default CURRENT_TIMESTAMP null,
    updated_at     timestamp default CURRENT_TIMESTAMP null on update CURRENT_TIMESTAMP
)AUTO_ID_CACHE=1 ENGINE=InnoDB DEFAULT CHARSET=utf8mb4 COLLATE=utf8mb4_unicode_ci;
create table LOAN_PACKAGE_INSTALLMENT
(
    id                  bigint auto_increment
        primary key,
    id_card_installment bigint                               not null,
    channel             varchar(20)                          not null,
    provider_code       varchar(20)                          not null,
    provider_name       varchar(50)                          not null,
    bank_code           varchar(20)                          not null,
    bank_name           varchar(255)                         not null,
    loan_pack_id        bigint                               not null,
    package_name        varchar(255)                         not null,
    grace_period        int                                  not null,
    conversion_fee      decimal(7, 4)                        not null,
    is_active           tinyint(1) default 1                 not null,
    created_at          timestamp  default CURRENT_TIMESTAMP null,
    updated_at          timestamp  default CURRENT_TIMESTAMP null on update CURRENT_TIMESTAMP,
    constraint uk_card_installment_grace_period
        unique (id_card_installment, grace_period)
)AUTO_ID_CACHE=1 ENGINE=InnoDB DEFAULT CHARSET=utf8mb4 COLLATE=utf8mb4_unicode_ci;
INSERT INTO TCB_DEVICE_MODEL
(VENDOR_CODE, DEVICE_MODEL, DEVICE_PROVIDER_CODE, CREATED_AT, UPDATED_AT)
VALUES('GINI', 'X990_PRO', 'VERIFONE', '2025-04-18 00:00:00', '2025-04-18 00:00:00');
INSERT INTO SYSTEM_CONFIGURATION
    (SYSTEM_PARAM_CODE, SYSTEM_PARAM_NAME, SYSTEM_PARAM_VALUE, IS_ACTIVE)
VALUES ('SMARTPOS_TNC_INSTALLMENT_BAOKIM',
        'config link tnc for provider Bk installment smartpos',
        'https://b2b.baokim.vn/landing-page/terms-of-service-use-installment',
        1),
       ('SMARTPOS_TNC_INSTALLMENT_TCB',
        'config link tnc for provider TCB installment smartpos',
        'https://techcombank.com/content/dam/techcombank/public-site/imported-assets/VN-Dieu-Kien-Va-Dieu-Khoan-Su-Dung-Tinh-Nang-Tra-Gop-Bang-The-Tin-Dung-51cd9b2ee2.pdf',
        1),
       ('INSTALLMENT_SYNC_BANK_BK_ENABLE',
        'config enable job sync data bank installment from BAOKIM',
        'ON',
        1),
       ('SMARTPOS_INSTALLMENT_CONFIG_SYNC_DATA_TO_BK',
        'SMARTPOS_INSTALLMENT_CONFIG_SYNC_DATA_TO_BK',
        '{"transaction_status":["PROCESSING"],"channels":["SMARTPOS"],"partners":["OMSMARTPOS"],"merchant_codes":[],"size_records":10000,"provider":"BK"}',
        1);</t>
  </si>
  <si>
    <t>[VCM][PROD] Thực hiện migrate database cho những serial đang có giá trị là null</t>
  </si>
  <si>
    <t>2026-04-18T23:19:04.689+0700</t>
  </si>
  <si>
    <t>2026-04-18T23:19:22.719+0700</t>
  </si>
  <si>
    <t>Thông tin database IP:  172.31.4.82 Database:  b2b_voucher_distribution IP:  172.31.4.126 DB:  onevc_vsm_prod ,  onevc_vwm_prod Các bước mirgrate: B1: Migrate table ticket UPDATE
	onevc_vsm_prod.ticket t
SET
	t.serial_number = CASE
		WHEN t.code = '198b72a5b8fe412dbd70dd9ee28d95d4' THEN 'pXQBwqFUVEm9EalHSmUBgPFsh5hgEPDhCJVFHORR+Vo='
		WHEN t.code = '4b44c4951ed54b9ba3f85d26047ca5fd' THEN 'NxJf6pxa9dedrmJAXl4RpvFsh5hgEPDhCJVFHORR+Vo='
		WHEN t.code = '95860a22ecb34635b048e6a9cba7f1e4' THEN '9E/FI3/6XEcTCrVGWcZ9EA=='
		WHEN t.code = 'dc6fcab6c60546f2b55e8955145f0246' THEN 'ubE1EniVZmQJDTaB66ypow=='
		WHEN t.code = '2dd46cdfd6694a54960c9122e68fece8' THEN '1lpJW5fjQDWrmcfPPhJT3w=='
		WHEN t.code = 'bf9ccd3e77444029a14f2a832622a3e4' THEN 'gQI47fFJRrmhlP+iV8m+2Q=='
		WHEN t.code = '7f46e351f6a046bc8e1a40b382ac3164' THEN 'w754Gm84YzHZUN4a916Xcw=='
		WHEN t.code = '5fb71b7292844bffa6bfebf9695f5608' THEN 'PF4LQV6GWftzdGR/GqtAsg=='
		WHEN t.code = 'b03fb2e9b6224f698a9da5f3fb947294' THEN 'YMhDhsZe25qbomAK/1kSgw=='
		WHEN t.code = '34116e06431d423c936ddb0510918091' THEN 'g/4QEC/Jh0eAaMWLuWnNDPFsh5hgEPDhCJVFHORR+Vo='
		ELSE t.serial_number
	END,
	t.expired_time = CASE
		WHEN t.code IN ('7f46e351f6a046bc8e1a40b382ac3164', '5fb71b7292844bffa6bfebf9695f5608') THEN '2026-08-19 23:59:00'
		ELSE t.expired_time
	END
WHERE
	t.code IN (
'198b72a5b8fe412dbd70dd9ee28d95d4',
'4b44c4951ed54b9ba3f85d26047ca5fd', 
'95860a22ecb34635b048e6a9cba7f1e4',
'dc6fcab6c60546f2b55e8955145f0246',
'2dd46cdfd6694a54960c9122e68fece8',
'bf9ccd3e77444029a14f2a832622a3e4',
'7f46e351f6a046bc8e1a40b382ac3164',
'5fb71b7292844bffa6bfebf9695f5608',
'b03fb2e9b6224f698a9da5f3fb947294',
'34116e06431d423c936ddb0510918091')
	AND t.serial_number IS NULL; B2: Migrate table warehouse_serial UPDATE
	onevc_vwm_prod.warehouse_serial ws
SET
	ws.serial_number = CASE
		WHEN ws.batch_code = 'SO202512155321824001' 
			THEN 'pXQBwqFUVEm9EalHSmUBgPFsh5hgEPDhCJVFHORR+Vo='
		WHEN ws.batch_code = 'SO202512155321836001' 
			THEN 'NxJf6pxa9dedrmJAXl4RpvFsh5hgEPDhCJVFHORR+Vo='
		WHEN ws.batch_code = 'SO202512155321857001' 
			THEN '9E/FI3/6XEcTCrVGWcZ9EA=='
		WHEN ws.batch_code = 'SO202601276884448001' 
			THEN 'ubE1EniVZmQJDTaB66ypow=='
		WHEN ws.batch_code = 'SO202512155321826001' 
			THEN '1lpJW5fjQDWrmcfPPhJT3w=='
		WHEN ws.batch_code = 'SO202512155321827001' 
			THEN 'gQI47fFJRrmhlP+iV8m+2Q=='
		WHEN ws.batch_code = 'SO202604109065112001' 
			THEN 'w754Gm84YzHZUN4a916Xcw=='
		WHEN ws.batch_code = 'SO202604109065212001' 
			THEN 'PF4LQV6GWftzdGR/GqtAsg=='
		WHEN ws.batch_code = 'SO202603128085309001' 
			THEN 'YMhDhsZe25qbomAK/1kSgw=='
		WHEN ws.batch_code = 'SO202604058886159001' 
			THEN 'g/4QEC/Jh0eAaMWLuWnNDPFsh5hgEPDhCJVFHORR+Vo='
		ELSE ws.serial_number
	END
WHERE
	ws.serial_number IS NULL
	AND ws.batch_code IN (
	'SO202512155321824001',
	'SO202512155321836001',
	'SO202512155321857001',
	'SO202601276884448001',
	'SO202512155321826001',
	'SO202512155321827001',
	'SO202604109065112001',
	'SO202604109065212001',
	'SO202603128085309001',
	'SO202604058886159001'	
	); B3: Migrate table voucher_serial UPDATE
	b2b_voucher_distribution.voucher_serial vs
SET
	vs.serial_number = CASE
		WHEN vs.serial_code = 'b1895e0bb37d4bdf9685b3ea4ed11e2e' THEN 'pXQBwqFUVEm9EalHSmUBgPFsh5hgEPDhCJVFHORR+Vo='
		WHEN vs.serial_code = 'c53217374ab6489688737f158e8a5907' THEN 'NxJf6pxa9dedrmJAXl4RpvFsh5hgEPDhCJVFHORR+Vo='
		WHEN vs.serial_code = 'a794c38276944c48addf6eca28536e8d' THEN '9E/FI3/6XEcTCrVGWcZ9EA=='
		WHEN vs.serial_code = '68ebe0e6b4d34f38be025210e30ba54f' THEN 'ubE1EniVZmQJDTaB66ypow=='
		WHEN vs.serial_code = '69fda0bacb1e4ca6b29d61cc45c84275' THEN '1lpJW5fjQDWrmcfPPhJT3w=='
		WHEN vs.serial_code = 'c97bfbee68ca44d88f261441e6ff8e69' THEN 'gQI47fFJRrmhlP+iV8m+2Q=='
		WHEN vs.serial_code = 'dbeec0fbbb4742139a1eb739975d4da3' THEN 'w754Gm84YzHZUN4a916Xcw=='
		WHEN vs.serial_code = 'b72007eaf55f4d54ac1865a838c62fde' THEN 'PF4LQV6GWftzdGR/GqtAsg=='
		WHEN vs.serial_code = 'cfcf96a062d449be8cd8cf03370b1edc' THEN 'YMhDhsZe25qbomAK/1kSgw=='
		WHEN vs.serial_code = 'd5faf12dc05d4f69a6058e73bdb60d2e' THEN 'g/4QEC/Jh0eAaMWLuWnNDPFsh5hgEPDhCJVFHORR+Vo='
		ELSE vs.serial_number
	END
WHERE
	vs.serial_number IS NULL
	AND vs.serial_code IN('b1895e0bb37d4bdf9685b3ea4ed11e2e',
'c53217374ab6489688737f158e8a5907',
'a794c38276944c48addf6eca28536e8d',
'68ebe0e6b4d34f38be025210e30ba54f',
'69fda0bacb1e4ca6b29d61cc45c84275',
'c97bfbee68ca44d88f261441e6ff8e69',
'dbeec0fbbb4742139a1eb739975d4da3',
'b72007eaf55f4d54ac1865a838c62fde',
'cfcf96a062d449be8cd8cf03370b1edc',
'd5faf12dc05d4f69a6058e73bdb60d2e');</t>
  </si>
  <si>
    <t>[DBA-SAPBASIS] V/v Hỗ trợ lên plan fix vul OM SAP PROD</t>
  </si>
  <si>
    <t>2026-04-18T12:03:43.943+0700</t>
  </si>
  <si>
    <t>2026-04-18T12:03:44.849+0700</t>
  </si>
  <si>
    <t>Để xử lý fix các vuls SUSE Linux của hệ thống SAP OM NON PROD cho đội ANBM. Tiến hành lên kế hoạch xử lý và downtime, testing hệ thống sau upgrade Library &amp; Kernel OS SUSE Linux.</t>
  </si>
  <si>
    <t>2026-04-18T10:24:27.002+0700</t>
  </si>
  <si>
    <t>2026-04-18T10:38:21.591+0700</t>
  </si>
  <si>
    <t>IP (Host):   ces-production.crcykac8kxtw.ap-southeast-1.rds.amazonaws.com Port:   3306 DB Name:  ces_mh_mpm Command:   Step 1 : 
DELETE FROM mst_district
WHERE code IN (
    SELECT code FROM (
                         SELECT
                             code,
                             ROW_NUMBER() OVER (
                                 PARTITION BY province_code, name
                                 ORDER BY code
                                 ) AS rn
                         FROM mst_district
                     ) t
    WHERE t.rn &gt; 1
);
Step 2 : Lấy giá trị code tại bảng theo query bên dưới 
select code from mst_district where name = 'Nghĩa Trụ';
Step 3 :
Thay giá trị code vào giá trị $NGHIA_TRU phía dưới query và tiến hành insert 
insert into ces_mh_mpm_dev.prj_investor (id,name, legal_representative, tax_code, country_code, business_license, city,
                                         district, address, deleted, created_by, last_modified_by, created_date,
                                         last_modified_date)
values
    (UUID(),'Công ty TNHH đầu tư và phát triển BĐS Hải Đăng', 'Hoàng Trọng Hưng', '0901126015', 'VN', 'Kinh doanh bất động sản, quyền sử dụng đất thuộc chủ sở hữu, chủ sử dụng hoặc đi thuêKinh doanh bất động sản, quyền sử dụng đất thuộc chủ sở hữu, chủ sử dụng hoặc đi thuê', '33', $NGHIA_TRU, 'Dự án khu đô thị sinh thái Dream City, xã Nghĩa Trụ, tỉnh Hưng Yên', false, 'admin', NOW(), 'admin', NOW()),
    (UUID(),'Công ty TNHH đầu tư và phát triển BĐS Trường Minh', 'Hoàng Thị Hương', '0901125981', 'VN', 'Kinh doanh bất động sản, quyền sử dụng đất thuộc chủ sở hữu, chủ sử dụng hoặc đi thuêKinh doanh bất động sản, quyền sử dụng đất thuộc chủ sở hữu, chủ sử dụng hoặc đi thuê', '33', $NGHIA_TRU, 'Dự án khu đô thị sinh thái Dream City, xã Nghĩa Trụ, tỉnh Hưng Yên', false, 'admin', NOW(), 'admin', NOW()),
    (UUID(),'Công ty TNHH đầu tư và phát triển BĐS Đại Dương Xanh', 'Nguyễn Vân Long', '0901125974', 'VN', 'Kinh doanh bất động sản, quyền sử dụng đất thuộc chủ sở hữu, chủ sử dụng hoặc đi thuêKinh doanh bất động sản, quyền sử dụng đất thuộc chủ sở hữu, chủ sử dụng hoặc đi thuê', '33', $NGHIA_TRU, 'Khu đô thị Đại An, xã Nghĩa Trụ, tỉnh Hưng Yên', false, 'admin', NOW(), 'admin', NOW()),
    (UUID(),'Công ty Cổ phần Đầu tư và Phát triển Bất động sản Minh An', 'Phùng Khánh Linh', '0110716251', 'VN', 'Kinh doanh bất động sản, quyền sử dụng đất thuộc chủ sở hữu, chủ sử dụng hoặc đi thuêKinh doanh bất động sản, quyền sử dụng đất thuộc chủ sở hữu, chủ sử dụng hoặc đi thuê', '01', '29d8c7ee', 'Tầng 11, Tòa nhà Thăng Long, Số 98 Ngụy Như Kon Tum', false, 'admin', NOW(), 'admin', NOW()),
    (UUID(),'Công ty Cổ phần Thời Đại Mới T&amp;T', 'Phùng Thị Minh', '0102479462', 'VN', 'Kinh doanh bất động sản, quyền sử dụng đất thuộc chủ sở hữu, chủ sử dụng hoặc đi thuêKinh doanh bất động sản, quyền sử dụng đất thuộc chủ sở hữu, chủ sử dụng hoặc đi thuê', '01', '0e3d4f3a', 'Tầng 1, The Grand Hanoi, số 22-24 phố Hàng Bài, phường Cửa Nam, thành phố Hà Nội', false, 'admin', NOW(), 'admin', NOW());</t>
  </si>
  <si>
    <t>[OMC][PROD] Hỗ trợ tạo DB, user và chạy các câu lệnh phục vụ golive ngày 20/04</t>
  </si>
  <si>
    <t>2026-04-17T18:25:16.302+0700</t>
  </si>
  <si>
    <t>2026-04-17T18:25:36.417+0700</t>
  </si>
  <si>
    <t>Dear anh Nghĩa, Nhờ anh hỗ trợ team thực hiện các yêu cầu DB với các thông tin dưới đây ạ Tạo mới DB và user cho service: IP:  omc-tidb-mtp.int.onemount.com Port: 4000 DB Name:  omc_context_engine Username:  omc_context_engine Password: Nhờ anh gửi cho SRE giúp em ạ Chạy câu lệnh SQL tạo bảng: IP:  omc-tidb-mtp.int.onemount.com Port: 4000 DB Name:  omc_context_engine SQL: -- omc_context_engine.context_engine_request definition
CREATE TABLE `context_engine_request` (
  `id` bigint unsigned NOT NULL AUTO_INCREMENT,
  `request_id` varchar(64) COLLATE utf8mb4_unicode_ci NOT NULL DEFAULT '',
  `tenant_id` bigint unsigned NOT NULL,
  `payload_size` int NOT NULL DEFAULT '0',
  `operation` varchar(50) COLLATE utf8mb4_unicode_ci NOT NULL DEFAULT '',
  `created_at` datetime NOT NULL DEFAULT CURRENT_TIMESTAMP,
  `created_date` date GENERATED ALWAYS AS (date(`created_at`)) STORED NOT NULL,
  PRIMARY KEY (`id`, `created_date`) /*T![clustered_index] CLUSTERED */,
  UNIQUE KEY `uix_request_request_id` (`request_id`, `created_date`),
  KEY `idx_request_tenant_id` (`tenant_id`)
) ENGINE=InnoDB DEFAULT CHARSET=utf8mb4 COLLATE=utf8mb4_unicode_ci AUTO_INCREMENT=1  /*T![auto_id_cache] AUTO_ID_CACHE=1 */
PARTITION BY RANGE COLUMNS(`created_date`)
(
 PARTITION `p202604` VALUES LESS THAN ('2026-05-01'),
 PARTITION `p202605` VALUES LESS THAN ('2026-06-01'),
 PARTITION `p202606` VALUES LESS THAN ('2026-07-01'),
 PARTITION `p202607` VALUES LESS THAN ('2026-08-01'),
 PARTITION `p202608` VALUES LESS THAN ('2026-09-01'),
 PARTITION `p202609` VALUES LESS THAN ('2026-10-01'),
 PARTITION `p202610` VALUES LESS THAN ('2026-11-01'),
 PARTITION `p202611` VALUES LESS THAN ('2026-12-01'),
 PARTITION `p202612` VALUES LESS THAN ('2027-01-01')
);
-- omc_context_engine.context_engine_rule definition
CREATE TABLE `context_engine_rule` (
  `id` bigint unsigned NOT NULL AUTO_INCREMENT,
  `context_chain` varchar(255) COLLATE utf8mb4_unicode_ci NOT NULL,
  `critical_boost` varchar(512) COLLATE utf8mb4_unicode_ci NOT NULL,
  `boost` varchar(512) COLLATE utf8mb4_unicode_ci NOT NULL,
  `penalize` varchar(512) COLLATE utf8mb4_unicode_ci NOT NULL,
  `critical_penalize` varchar(512) COLLATE utf8mb4_unicode_ci NOT NULL,
  PRIMARY KEY (`id`) /*T![clustered_index] CLUSTERED */,
  KEY `idx_rule_context_chain` (`context_chain`)
) ENGINE=InnoDB DEFAULT CHARSET=utf8mb4 COLLATE=utf8mb4_unicode_ci AUTO_INCREMENT=1  /*T![auto_id_cache] AUTO_ID_CACHE=1 */;
-- omc_context_engine.context_engine_tenant definition
CREATE TABLE `context_engine_tenant` (
  `id` bigint unsigned NOT NULL AUTO_INCREMENT,
  `name` varchar(255) COLLATE utf8mb4_unicode_ci NOT NULL DEFAULT '',
  `auth_key` varchar(512) COLLATE utf8mb4_unicode_ci NOT NULL DEFAULT '',
  `status` varchar(20) COLLATE utf8mb4_unicode_ci NOT NULL DEFAULT 'ACTIVE',
  PRIMARY KEY (`id`) /*T![clustered_index] CLUSTERED */,
  UNIQUE KEY `uix_tenant_auth_key` (`auth_key`),
  KEY `idx_tenant_status` (`status`)
) ENGINE=InnoDB DEFAULT CHARSET=utf8mb4 COLLATE=utf8mb4_unicode_ci AUTO_INCREMENT=1  /*T![auto_id_cache] AUTO_ID_CACHE=1 */;   IP: 172.31.7.3 Port: 3306 DB Name: dynamic_content SQL: CREATE TABLE `context_engine_logs`
(
    `id`               BIGINT       NOT NULL AUTO_INCREMENT,
    `user_id`          VARCHAR(50) NULL,
    `content`          VARCHAR(500) NULL,
    `collection_name`  VARCHAR(500) NULL,
    `is_default`       TINYINT(1)   NOT NULL DEFAULT 0,
    `response_time_ms` BIGINT       NULL,
    `error_message`    VARCHAR(500) NULL,
    `created_at`       TIMESTAMP    NOT NULL DEFAULT CURRENT_TIMESTAMP,
    `updated_at`       TIMESTAMP    NOT NULL DEFAULT CURRENT_TIMESTAMP ON UPDATE CURRENT_TIMESTAMP,
    PRIMARY KEY (`id`),
    INDEX `idx_context_engine_logs_user_id` (`user_id`),
    INDEX `idx_context_engine_logs_created_at` (`created_at`)
) ENGINE = InnoDB
  DEFAULT CHARSET = utf8mb4
  COLLATE = utf8mb4_unicode_ci;</t>
  </si>
  <si>
    <t>2026-04-17T17:50:39.064+0700</t>
  </si>
  <si>
    <t>2026-04-17T17:55:19.284+0700</t>
  </si>
  <si>
    <t>IP (Host):   ces-production.crcykac8kxtw.ap-southeast-1.rds.amazonaws.com Port:  3306 DB Name:  ces_mh_mpm Command:   update prj_projects set code = 'DA3223' where id = 'a924accd-3c28-45df-b7aa-4ad81a858517';
update ten_system_tenants set code = 'DA3223' where id = 'a924accd-3c28-45df-b7aa-4ad81a858517';
update prj_projects set code = 'DA3224' where id = 'db709ea2-f0d4-4c75-a9c5-3706c00b9556';
update ten_system_tenants set code = 'DA3224' where id = 'db709ea2-f0d4-4c75-a9c5-3706c00b9556';
update prj_projects set code = 'DA3301' where id = '4262f49d-5bab-4031-b90b-9023d6b97ee7';
update ten_system_tenants set code = 'DA3301' where id = '4262f49d-5bab-4031-b90b-9023d6b97ee7';
update prj_projects set code = 'DA3336' where id = '2a381af9-b958-46fe-abc0-45857ea071d2';
update ten_system_tenants set code = 'DA3336' where id = '2a381af9-b958-46fe-abc0-45857ea071d2';</t>
  </si>
  <si>
    <t>[UPAY] [PS2] [GL] [PROD] Nhờ hỗ trợ phân quyền user có quyền view các bảng của project PS2_GL trên ODS</t>
  </si>
  <si>
    <t>2026-04-17T16:40:14.690+0700</t>
  </si>
  <si>
    <t>2026-04-17T16:40:18.350+0700</t>
  </si>
  <si>
    <t>PS2_GL</t>
  </si>
  <si>
    <t>Hi anh Dũng, Nhờ anh grant quyền giúp em (user:  vinh.le2@onemount.com ) có quyền view các bảng trên ODS sau, nhằm mục đích kiểm tra cấu hình hạch toán dự án PG2_GL ạ. Thông tin database: "tidb_ods"."vinpay_vinpay_prod_saas_ps2_general_ledger"</t>
  </si>
  <si>
    <t>[OMC][MTP][PROD] Hỗ trợ restart cluster TiDB</t>
  </si>
  <si>
    <t>2026-04-17T16:35:02.992+0700</t>
  </si>
  <si>
    <t>2026-04-17T16:35:13.350+0700</t>
  </si>
  <si>
    <t>Dear team, Tối ngày 16/04/2026 (sau 21h), nhờ team thực hiện restart cluster TiDB sau ạ:  omc-mtp-tidb.int.onemount.com Trong quá trình restart, team em sẽ cùng giám sát các service. Thanks team,  Thành An.</t>
  </si>
  <si>
    <t>[MAG][IOTek][MCM][PROD] Backup DB trước khi chạy migration dữ liệu</t>
  </si>
  <si>
    <t>2026-04-17T15:55:14.974+0700</t>
  </si>
  <si>
    <t>2026-04-17T18:06:03.763+0700</t>
  </si>
  <si>
    <t>Trường thông tin Nội dung mẫu IP (Host) ces-production.crcykac8kxtw.ap-southeast-1.rds.amazonaws.com Port 3306 DB Name mcm_storage Thao tác backup bảng casbin_rule lưu trữ trong 2 tuần</t>
  </si>
  <si>
    <t>[OMD][TCB-MerchantHUB][NON-PROD] Enable mode ssl trên instance postgre non-prod</t>
  </si>
  <si>
    <t>2026-04-17T15:26:04.885+0700</t>
  </si>
  <si>
    <t>2026-04-17T18:07:32.003+0700</t>
  </si>
  <si>
    <t>Hi anh Linh Như đã trao đổi ở thread:  https://chat.google.com/room/AAQAwAN_RHU/Y2-sbEvfnY8/Y2-sbEvfnY8?cls=10 Anh enable mode ssl cho instance:  merchant-hub-np-postgres (172.31.0.93) nhé! gcp project: md-merchant-hub-np</t>
  </si>
  <si>
    <t>2026-04-17T11:32:48.673+0700</t>
  </si>
  <si>
    <t>2026-04-17T11:33:09.017+0700</t>
  </si>
  <si>
    <t>Dear DBA team, Do nhu cầu thanh đổi tên thương hiệu Xanh SM → Green SM https://chat.google.com/room/AAAAJGjzb3g/RSNtWnB2ock/RSNtWnB2ock?cls=10 Nhờ team hỗ trợ chạy lênh update merchant name cho các voucher sau: Thông tin Database: IP: 172.31.1.41
Database: vincart_mm_product
Bảng: entity_attributes_values Lệnh chạy: UPDATE entity_attributes_values eav inner join variants v on eav.entity_id = v.id
SET value = JSON_REPLACE(
        value,
        '$.merchant_name', 'Green SM',
        '$.merchant_name_en', 'Green SM'
            )
WHERE v.code in (
                 'CV_XANHSM100K250224_250224',
                 'CV_XANHSM20K250224_250224',
                 'CV_XANHSM50K250224_250224',
                 'VD_VC_1754560126939',
                 'VD_VC_1757501630928',
                 'VD_VC_1760601979547',
                 'VD_VC_1761639269823',
                 'VD_VC_1767605299703',
                 'VD_VC_1772764503212',
                 'VD_VC_1773830836580',
                 'VD_VC_1774264139274',
                 'VD_VC_1775635724390',
                 'VD_VC_1775635724801',
                 'VD_VC_1775636052143',
                 'CV_XANHSM100K250224_250224',
                 'CV_XANHSM20K250224_250224',
                 'CV_XANHSM50K250224_250224',
                 'VD_VC_1754560126939',
                 'VD_VC_1760601979547',
                 'VD_VC_1761639269823',
                 'VD_VC_1767605299703',
                 'VD_VC_1773830836580',
                 'VD_VC_1775635724390',
                 'VD_VC_1775635724801',
                 'VD_VC_1775636052143',
                 'VD_VC_1773052033326',
                 'VD_VC_1761881901610',
                 'VD_VC_1764143438414',
                 'VD_VC_1764143446884',
                 'VD_VC_1764148671986',
                 'VD_VC_1768564066788',
                 'VD_VC_1761881901610',
                 'VD_VC_1764143438414',
                 'VD_VC_1764143446884',
                 'VD_VC_1764148671986',
                 'VD_VC_1768444409710',
                 'VD_VC_1755077327121',
                 'VD_VC_1755077329046',
                 'VD_VC_1755077330566',
                 'VD_VC_1755077331839',
                 'VD_VC_1755681119106',
                 'VD_VC_1755681121348',
                 'VD_VC_1755681123050',
                 'VD_VC_1755681124349',
                 'VD_VC_1761039696091',
                 'VD_VC_1761632157934',
                 'VD_VC_1755681119106',
                 'VD_VC_1755681123050',
                 'VD_VC_1761039696091',
                 'VD_VC_1761632157934',
                 'VD_VC_1753421343099',
                 'VD_VC_1754983641580',
                 'VD_VC_1754983811205',
                 'VD_VC_1753421343099',
                 'VD_VC_1754983641580',
                 'VD_VC_1754983811205',
                 'VD_VC_1769831271839',
                 'VD_VC_1769831272900',
                 'VD_VC_1768444418385',
                 'VD_VC_1756268202449',
                 'VD_VC_1756268202449',
                 'VD_VC_1763717668071',
                 'VD_VC_1764143180135',
                 'VD_VC_1764717985004',
                 'VD_VC_1766050199950',
                 'VD_VC_1766050201477',
                 'VD_VC_1766050202715',
                 'VD_VC_1764143180135',
                 'VD_VC_1764717985004',
                 'VD_VC_1766050199950',
                 'VD_VC_1766050201477',
                 'VD_VC_1766050202715',
                 'VD_VC_1774581683144',
                 'VD_VC_1775617891905',
                 'VD_VC_1769746444876',
                 'VD_VC_1769746446746',
                 'VD_VC_1762229139203',
                 'VD_VC_1762229139203',
                 'VD_VC_1753954430794',
                 'VD_VC_1733216380898'
    )
  and eav.type = 'VARIANT'
  AND eav.name = 'voucher_accepted_merchants'
  and JSON_EXTRACT(value, '$.merchant_id') = 284049;</t>
  </si>
  <si>
    <t>2026-04-17T11:30:50.046+0700</t>
  </si>
  <si>
    <t>2026-04-17T11:31:50.068+0700</t>
  </si>
  <si>
    <t>[OMC][Link Account] [Prod] Migrate thông tin linked_times cho user</t>
  </si>
  <si>
    <t>2026-04-17T09:04:36.460+0700</t>
  </si>
  <si>
    <t>2026-04-17T09:05:18.416+0700</t>
  </si>
  <si>
    <t>Dear team, Nhờ team chạy giúp query để migrate data linked_times của những user đã từng link account: Thông tin: Instance ID:  https://console.cloud.google.com/sql/instances/postgres-01/overview?authuser=1&amp;project=vinid-service-platform-prod Database name:  sp_postgres_link_account Câu query: UPDATE linkages
SET metadata = COALESCE(metadata::jsonb, '{}'::jsonb) || '{"linked_times": 1}'::jsonb
WHERE link_status = 'LINKED'
  AND metadata-&gt;&gt;'linked_times' IS NULL and active is true Em cảm ơn!</t>
  </si>
  <si>
    <t>[OMC][MTP][PROD] Hỗ trợ clear các key hết hạn trên Redis</t>
  </si>
  <si>
    <t>2026-04-17T09:04:21.229+0700</t>
  </si>
  <si>
    <t>2026-04-17T09:05:14.749+0700</t>
  </si>
  <si>
    <t>Dear team, Team em có nhu cầu dọn dẹp dữ liệu key rác trên redis, nhờ team chạy script dưới giúp ạ. Release Plan :    CR : Team em sẽ gửi lại trong chiều nay ạ. Thời gian chạy:   21h ngày 16/04/2026 REDIS :  172.31.8.28:6379 Nhờ team dump ra 2 key sau giúp em trước ạ: GET mastertag:voucher
GET mastertag:merchant
GET mastertag:product
GET mastertag:food Chạy FLUSH toàn bộ: FLUSHALL SET lại các key đã dump ở trên (team set lại đúng type dữ liệu giúp em): SET mastertag:voucher ...
SET mastertag:merchant ...
SET mastertag:product ...
SET mastertag:food ... Thanks team,  Thành An.</t>
  </si>
  <si>
    <t>[MAG][NSP][PROD] Nhờ cấp Elasticache phục vụ dự án Masterise Sales Platform</t>
  </si>
  <si>
    <t>2026-04-16T16:16:51.830+0700</t>
  </si>
  <si>
    <t>2026-04-16T16:17:44.557+0700</t>
  </si>
  <si>
    <t>Hi team DBA, Dự án Masterise Sales Platform cần cung cấp Elasticache để phục vụ triển khai giải pháp bán hàng toàn trình cho Masterise, nhờ team hỗ trợ tạo giúp team database với các thông tin như sau. Engine: Valkey Resource Type: Serverless  Thông tin tài khoản được tạo vui lòng gửi vào mail cho  khoi.nguyen3@onemount.com  và  huynhp@onemount.com  ạ Thông tin SAD dự án  Em cám ơn ạ.</t>
  </si>
  <si>
    <t>[MAG][NSP][PROD] Nhờ cấp database postgresql phục vụ dự án Masterise Sales Platform</t>
  </si>
  <si>
    <t>2026-04-16T16:15:07.013+0700</t>
  </si>
  <si>
    <t>2026-04-16T16:15:27.210+0700</t>
  </si>
  <si>
    <t>Hi team DBA, Dự án Masterise Sales Platform cần cung cấp database PostgreSQL để phục vụ triển khai giải pháp bán hàng toàn trình cho Masterise, nhờ team hỗ trợ tạo giúp team database với các thông tin như sau. Database type: PostgreSQL AWS Landing zone mới  Thông tin db:  Tên Database: mag_sales_platform Username: mag_sales_platform Thông tin tài khoản được tạo vui lòng gửi vào mail cho  khoi.nguyen3@onemount.com  và  huynhp@onemount.com  ạ Thông tin SAD dự án  Em cám ơn ạ.</t>
  </si>
  <si>
    <t>2026-04-16T15:58:06.423+0700</t>
  </si>
  <si>
    <t>2026-06-11T14:58:48.028+0700</t>
  </si>
  <si>
    <t>[OneNexus][NonProd] Xin cấp database và user cho môi tường uat của dự án TCB Ops</t>
  </si>
  <si>
    <t>2026-04-16T15:57:30.935+0700</t>
  </si>
  <si>
    <t>2026-04-16T15:57:52.403+0700</t>
  </si>
  <si>
    <t>Hi team DBA, dự án TCB Ops của OneNexus đang triển khai thêm môi trường UAT, nhờ team hỗ trợ cấp user và schema với thông tin như sau ạ: Instance:  tcb-ops-np-postgres  - 172.31.0.95 môi trường uat user: tcb_ops_dev_uat schema: tcb_ops_dev_uat Em cảm ơn team!</t>
  </si>
  <si>
    <t>[OMC][NRs][VMM][PROD]  update image voucher</t>
  </si>
  <si>
    <t>2026-04-16T12:37:29.492+0700</t>
  </si>
  <si>
    <t>2026-04-16T14:15:04.044+0700</t>
  </si>
  <si>
    <t>IP: 172.31.1.41 database: vincart_mm_product query: UPDATE variant_images SET path = 'https://cdn-onevoucher.onemount.com/b2b-voucher/voucher/chang2026_banner_7b2b0d26bdb04395a6c5edfc3b8f18d4.jpg' WHERE variant_code IN ('VD_VC_1776240310667', 'VD_VC_1776240310866');</t>
  </si>
  <si>
    <t>[Tpay] [PROD] Hỗ trợ onboard merchant Vinmec</t>
  </si>
  <si>
    <t>2026-04-16T11:34:39.992+0700</t>
  </si>
  <si>
    <t>2026-04-16T11:34:53.439+0700</t>
  </si>
  <si>
    <t>Hi anh Dũng. Team có thực hiện config thêm thông tin cho merchant Vinmec. Nhờ anh hỗ trợ giúp team với ạ Thông tin database jdbc:mysql://pay-tidb.int.onemount.com:4000/saas_tpay   script INSERT INTO PARTNER (client_id, name, public_key, enable, merchant_code)
SELECT client_id, name, public_key, enable, '401974051'
FROM PARTNER
WHERE merchant_code = '39950368';</t>
  </si>
  <si>
    <t>XIn phân quyền vào data liên quan đến CRM campaign</t>
  </si>
  <si>
    <t>2026-04-15T18:28:55.522+0700</t>
  </si>
  <si>
    <t>2026-04-15T18:29:00.603+0700</t>
  </si>
  <si>
    <t>Data</t>
  </si>
  <si>
    <t>Dear anh chị, Em tạo ticket xin được phân quyền vào data thuộc "tidb_omc"."omc_mtp_martech_activation" để thực hiện các phần analysis và report cho CRM campaign như email, appush,… cho user  son.nguyen30@onemount.com</t>
  </si>
  <si>
    <t>[NONPROD][STAGING] Phục vụ golive ngày 18/4</t>
  </si>
  <si>
    <t>2026-04-15T17:55:01.281+0700</t>
  </si>
  <si>
    <t>2026-04-15T17:55:19.630+0700</t>
  </si>
  <si>
    <t>Hi các anh Nhờ anh chạy các script sau giúp em trên: Thông tin database gồm có những DB sau ạ: jdbc:mysql://tidb.int.onemount.dev:4000/vinpay_saas_tpay_staging alter table INSTALLMENT_CONFIG add column provider_code varchar(20);
alter table INSTALLMENT_CONFIG add column provider_name varchar(100);
alter table INSTALLMENT_CONFIG add column id_card_installment bigint;
alter table INSTALLMENT_CARD_ACCEPTANCE add column provider_code varchar(20);
alter table INSTALLMENT_CARD_ACCEPTANCE add column provider_name varchar(100);
ALTER TABLE INSTALLMENT_CARD_ACCEPTANCE MODIFY COLUMN prefix_card_number VARCHAR(400);
ALTER TABLE INSTALLMENT_CARD_ACCEPTANCE ADD COLUMN card_no_length int NULL;
alter table CARD_PAYMENT_TRANSACTION_DETAIL add column fee_change_tcb bigint;
alter table CARD_PAYMENT_TRANSACTION_DETAIL add column installment_vendor varchar(20);
alter table CARD_PAYMENT_TRANSACTION_DETAIL add column order_amount bigint;
alter table CARD_PAYMENT_TRANSACTION_DETAIL add column installment_fee_user bigint;
alter table CARD_PAYMENT_TRANSACTION_DETAIL add column installment_fee_merchant bigint;
alter table PARTNER_INSTALLMENT_INFO add column bank_code varchar(20);
alter table PARTNER_INSTALLMENT_INFO add column provider_code varchar(50);
alter table PARTNER_INSTALLMENT_INFO add column transaction_id varchar(100);
alter table PARTNER_INSTALLMENT_INFO add column fee_change_tcb bigint;
alter table PARTNER_INSTALLMENT_INFO add column pay_per_month bigint;
alter table PARTNER_INSTALLMENT_INFO add column status_bk INT;
INSERT INTO SYSTEM_CONFIGURATION (SYSTEM_PARAM_CODE, SYSTEM_PARAM_NAME, SYSTEM_PARAM_VALUE, IS_ACTIVE)
VALUES ('SMARTPOS_TNC_INSTALLMENT_BAOKIM', 'config link tnc for provider Bk installment smartpos', 'link tcn bk', 1),
       ('SMARTPOS_TNC_INSTALLMENT_TCB', 'config link tnc for provider TCB installment smartpos', 'link tcn tcb', 1);
create table BANK_SWIFT_MAPPING
(
    id                 bigint auto_increment
        primary key,
    bank_name_vi       varchar(255)      null,
    bank_name_en       varchar(255)      null,
    provider_code      varchar(50)       not null,
    bank_code_provider varchar(100)      not null,
    swift_code         varchar(11)       null,
    is_active          tinyint default 1 null
)AUTO_ID_CACHE=1 ENGINE=InnoDB DEFAULT CHARSET=utf8mb4 COLLATE=utf8mb4_unicode_ci;
create table CUSTOMER_INFO_CONFIG
(
    id            bigint auto_increment
        primary key,
    bank_code     varchar(20)                          null,
    provider_code varchar(20)                          not null,
    provider_name varchar(100)                         not null,
    field_name    varchar(50)                          not null,
    description   varchar(100)                         null,
    display_order int        default 1                 not null,
    required      tinyint(1) default 0                 not null,
    is_active     tinyint(1) default 1                 not null,
    created_at    timestamp  default CURRENT_TIMESTAMP null,
    updated_at    timestamp  default CURRENT_TIMESTAMP null on update CURRENT_TIMESTAMP
)AUTO_ID_CACHE=1 ENGINE=InnoDB DEFAULT CHARSET=utf8mb4 COLLATE=utf8mb4_unicode_ci;
create table INSTALLMENT_FEE_CONFIG
(
    id             bigint auto_increment
        primary key,
    provider_code  varchar(20)                         not null,
    channel        varchar(30)                         not null,
    config_type    varchar(20)                         not null,
    tenure_month   int                                 not null,
    fee_value      decimal(10, 4)                      not null,
    fee_unit       varchar(10)                         not null,
    charge_target  varchar(20)                         not null,
    bank_key_type  varchar(30)                         not null,
    bank_key_value varchar(50)                         not null,
    merchant_code  varchar(50)                         null,
    is_active      tinyint   default 1                 null,
    created_at     timestamp default CURRENT_TIMESTAMP null,
    updated_at     timestamp default CURRENT_TIMESTAMP null on update CURRENT_TIMESTAMP
)AUTO_ID_CACHE=1 ENGINE=InnoDB DEFAULT CHARSET=utf8mb4 COLLATE=utf8mb4_unicode_ci;
create table LOAN_PACKAGE_INSTALLMENT
(
    id                  bigint auto_increment
        primary key,
    id_card_installment bigint                               not null,
    channel             varchar(20)                          not null,
    provider_code       varchar(20)                          not null,
    provider_name       varchar(50)                          not null,
    bank_code           varchar(20)                          not null,
    bank_name           varchar(255)                         not null,
    loan_pack_id        bigint                               not null,
    package_name        varchar(255)                         not null,
    grace_period        int                                  not null,
    conversion_fee      decimal(7, 4)                        not null,
    is_active           tinyint(1) default 1                 not null,
    created_at          timestamp  default CURRENT_TIMESTAMP null,
    updated_at          timestamp  default CURRENT_TIMESTAMP null on update CURRENT_TIMESTAMP,
    constraint uk_card_installment_grace_period
        unique (id_card_installment, grace_period)
)AUTO_ID_CACHE=1 ENGINE=InnoDB DEFAULT CHARSET=utf8mb4 COLLATE=utf8mb4_unicode_ci;</t>
  </si>
  <si>
    <t>[OneNexus][Keycloak][NP] Hỗ trợ tạo RDS cho Keycloak</t>
  </si>
  <si>
    <t>2026-04-15T17:48:32.119+0700</t>
  </si>
  <si>
    <t>2026-04-15T17:49:45.115+0700</t>
  </si>
  <si>
    <t>Dear a/e Nhờ a/e hỗ trợ tạo giúp em database cho hệ thống Keycloak Non-Production với thông tin như sau: Name:  onenexus-keycloak Database:  onenexus-keycloak</t>
  </si>
  <si>
    <t>[OneNexus][Kong][NP] Hỗ trợ tạo RDS cho Kong Gateway</t>
  </si>
  <si>
    <t>2026-04-15T17:39:20.768+0700</t>
  </si>
  <si>
    <t>2026-04-15T17:39:37.462+0700</t>
  </si>
  <si>
    <t>Dear a/e Nhờ a/e hỗ trợ tạo giúp em một RDS instance cho hệ thống Kong Non-Production với thông tin như sau: Account:  om-system-platform-np Engine:  postgres Version:  18 RDS instance class:  db.t3.micro Storage:  20 GB</t>
  </si>
  <si>
    <t xml:space="preserve">Update template SMS ở GIFT_SMS_CONFIG và CUSTOMER_PHONE ở GIFT_PROGRAM_CUSTOMER </t>
  </si>
  <si>
    <t>2026-04-15T16:11:17.969+0700</t>
  </si>
  <si>
    <t>2026-04-15T16:17:14.216+0700</t>
  </si>
  <si>
    <t>Giải pháp cho update database có format điện thoại đang sai là chạy cấu sql để update đổi (+84) lại thành 0.(Không hỗ trợ các trường hợp format khác (+84)) UPDATE GIFT_PROGRAM_CUSTOMER SET CUSTOMER_PHONE = REPLACE(CUSTOMER_PHONE, '(+84)', '0') WHERE GIFT_PROGRAM_ID = 58 AND CUSTOMER_PHONE LIKE '(+84)%'; Update lại  successful  thành  successfully  trong column BODY_EN trên table GIFT_SMS_CONFIG  ở 3 row có id là  8, 9, 10</t>
  </si>
  <si>
    <t>Delete Sale trong table SALEAPP_AGENCY_REGISTER_SALE_PROJECT_EVENT</t>
  </si>
  <si>
    <t>2026-04-15T12:19:39.092+0700</t>
  </si>
  <si>
    <t>2026-04-15T15:11:08.300+0700</t>
  </si>
  <si>
    <t>Backup data table {{SALEAPP_AGENCY_REGISTER_SALE_PROJECT_EVENT }} của database  portal_prod  trước khi chạy lệnh xóa bên dưới DELETE FROM portal_prod.SALEAPP_AGENCY_REGISTER_SALE_PROJECT_EVENT WHERE AGENCY_USERNAME = 'agency.era_vn2' AND EVENT_ID = 1113;</t>
  </si>
  <si>
    <t>[UPay][PROD] Hỗ trợ cấu hình nguồn tiền TCB Direct ngày 15/4/2026</t>
  </si>
  <si>
    <t>2026-04-15T11:57:26.188+0700</t>
  </si>
  <si>
    <t>2026-04-15T11:57:37.010+0700</t>
  </si>
  <si>
    <t>Dear team DBA 15/4 team cần tắt cấu hình dịch vụ TCB Direct, nhờ anh/em support ạ Thông tin DB:  vinpay-sql-onehub-master.int.vinid.net:3306/pay_payment_gateway Lệnh tắt cấu hình: UPDATE pay_payment_gateway.PROVIDER SET IS_ACTIVE=0 WHERE provider_id='41';</t>
  </si>
  <si>
    <t>[Merchant-TCB] Hỗ trợ cập nhật mã khách hàng T24 (CIF), Đăng ký kinh doanh</t>
  </si>
  <si>
    <t>2026-04-15T11:40:57.830+0700</t>
  </si>
  <si>
    <t>2026-04-15T11:41:06.998+0700</t>
  </si>
  <si>
    <t>Dear team, Nhờ team chạy giúp câu lệnh bên dưới ạ. Thông tin database https://console.cloud.google.com/sql/instances/merchant-tcb/overview?inv=1&amp;invt=AbsndA&amp;project=vinid-merchant-prod DB_MYSQL_HOST=172.31.4.108
DB_MYSQL_DATABASE=merchant_service_tcb Câu lệnh UPDATE
	tpay_merchant
SET
	business_license_number = 'Test-1'
WHERE
	code = 'NCCZV15W';
-- ============	
UPDATE
	tpay_request_merchant
SET
	business_license_number = 'Test-1',
    tcb_customer_t24 = '73759462-1'
WHERE
	merchant_code='NCCZV15W';</t>
  </si>
  <si>
    <t>2026-04-15T11:02:55.229+0700</t>
  </si>
  <si>
    <t>2026-04-15T11:03:23.622+0700</t>
  </si>
  <si>
    <t>[Link Account] Off Tài khoản sp_postgres_link_account_readonly cho DB Link Account Prod</t>
  </si>
  <si>
    <t>2026-04-15T11:02:13.872+0700</t>
  </si>
  <si>
    <t>2026-04-15T11:02:58.231+0700</t>
  </si>
  <si>
    <t>Gửi các ace DBA, Hiện tại, đang ghi nhận có log thường xuyên của tài khoản sp_postgres_link_account_readonly vào DB Link Account, sau khi check các stackholder thì không thấy còn bên nào sử dụng nữa, vì vậy để giảm thiểu các log error không cần thiết, nhờ ae DBA thực hiện lock user này lại. Tài khoản: sp_postgres_link_account_readonly Thông tin database: Instance ID:  https://console.cloud.google.com/sql/instances/postgres-01/overview?authuser=1&amp;project=vinid-service-platform-prod Database name: sp_postgres_link_account PORT: 5432 Thread trao đổi: https://chat.google.com/room/AAAAbcTWvJQ/9EV40OJ1d8M/VuApVhzF0xI?cls=10 Em cảm ơn,</t>
  </si>
  <si>
    <t>2026-04-15T10:38:27.849+0700</t>
  </si>
  <si>
    <t>2026-04-15T10:39:02.048+0700</t>
  </si>
  <si>
    <t>Nhờ anh  @Đào Công Nghĩa  chạy script migration database giúp em theo yêu cầu của dự án như file đính kèm (phân quyền user theo service)</t>
  </si>
  <si>
    <t>[OMD][TCB-MerchantHUB][NON-PROD] [Shrink disk][SAVE COST] shrink disk postgreSQL merchant-hub-np-postgres</t>
  </si>
  <si>
    <t>2026-04-14T18:54:18.337+0700</t>
  </si>
  <si>
    <t>2026-04-14T18:54:54.746+0700</t>
  </si>
  <si>
    <t>Hiện tại dung lượng disk của instance postgreSQL dự án mhpos đang lớn, do quá trình CDC, dung lượng slot file lớn. Do luồng CDC đã thực hiện tạo slot mới, và drop slot cũ, nên size disk đã giảm nhiều. Cần thực hiện shrink size disk để tối ưu chi phí project: omd-merchant-hub-np instance: merchant-hub-np-postgres Master IP: 172.31.0.93 https://console.cloud.google.com/sql/instances/merchant-hub-np-postgres/overview?project=omd-merchant-hub-np Size giảm từ : 653GB về 70GB</t>
  </si>
  <si>
    <t>[VCM] Cập nhật thông tin ticket trên hệ thống OneVC</t>
  </si>
  <si>
    <t>2026-04-14T18:18:14.954+0700</t>
  </si>
  <si>
    <t>2026-04-14T18:18:42.793+0700</t>
  </si>
  <si>
    <t>Hiện tại có một vài ticket trên hệ thống OneVC bị duplicate nên nhờ team DBA hỗ trợ thực hiện chạy script migrate bên dưới nhằm cập nhật lại dữ liệu cho chính xác. Thông tin database: IP:  172.31.4.126 Database:  onevc_vsm_prod Để thực hiện migrate chạy các câu SQL bên dưới: Script 1 UPDATE
	onevc_vsm_prod.ticket AS t
SET
	t.deleted = 1
WHERE
	t.code in (
'2904d6d769f3443ebee8df47550801df',
'2ac6c290702a44b79ba9c156443dbaf2',
'554357a706c0445ba535dd6e69e095ac',
'543596755d2e46f98f36c305ef1caac0',
'75cb1e689c1547ab85a83f0929b4016a',
'66f0f6c449f342cf8333d81928173230',
'0a704e044fdc4acea253743c8e98b04e',
'0434bb6547ec4b3c8f27e1ae10f85c98',
'68a7c0370bd142518aee4ce367d2e57d',
'1c7bec396fc9428f9680047c7222b042',
'5053de127e0049838a486eae463281dd',
'56233b26385f44509cc40e43c45fef7f',
'bf9474502c6a450097648c5f9cacb917'); Script 2 UPDATE
	onevc_vsm_prod.distribute_request AS dr
SET
	dr.deleted = 1
WHERE
	dr.id in (
'121844521',
'121844490',
'95903636',
'110941033',
'96061539',
'121844498',
'110940016',
'79836039',
'121845351',
'121845307',
'95903668',
'121844506',
'79839376'); Script 3 UPDATE
	onevc_vsm_prod.distribute_request AS dr
SET
	dr.status = 'SUCCESS'
WHERE
	dr.order_no in (
'MLLB9QLQ',
'M7LKV5XL',
'M38B57BV',
'MEKK67V8',
'M38B4V9R',
'MKB2V869',
'M7LL4BYL',
'MY224Q7X',
'M2G4KX3Y',
'MDB4532X',
'MXKDRDLL',
'MQLYQR77',
'MEKVL9DB',
'MY5LK98B',
'MA37L2KX',
'MY27RNAD');</t>
  </si>
  <si>
    <t>Hỗ trợ reset password các database Mysql của hệ MKT trên VM 12.35</t>
  </si>
  <si>
    <t>2026-04-14T17:45:59.613+0700</t>
  </si>
  <si>
    <t>2026-04-14T17:46:15.049+0700</t>
  </si>
  <si>
    <t>Hi bạn  @Đào Công Nghĩa  nhờ bạn hỗ trợ reset password các database Mysql giúp mình: lumiere_evergreen_prod_mysql lumiere-springbay-mysql-prod masteri-grand-avenue-prod-db masteri-lakeside-db-prod masteri-rivera-danang-prod-db masteritrinitysquare-prod-db the-centric-mysql-prod masteriwaterfront_prod_wordpress hướng dẫn:    Mình cảm ơn bạn nha</t>
  </si>
  <si>
    <t>[BackuptoDC] Backup DB onehs_user_profile về DC cho Quý 1 - 2026</t>
  </si>
  <si>
    <t>2026-04-14T16:34:17.667+0700</t>
  </si>
  <si>
    <t>2026-04-16T10:48:33.876+0700</t>
  </si>
  <si>
    <t>Do nhu cầu cần thực hiện backup thêm DB onehs_user_profile từ Cloud về DC (theo flow backup 7 DB chứa dữ liệu PSII,  chi tiết ), nhờ anh em team DBA hỗ trợ dump data giúp em để team kéo về DC.  Thông tin DB: DB name: onehs_user_profile Hosts:  1housing.8j11t.gcp.mongodb.net:27017 1housing-shard-00-01.8j11t.gcp.mongodb.net:27017 1housing-shard-00-00.8j11t.gcp.mongodb.net:27017 1housing-shard-00-02.8j11t.gcp.mongodb.net:27017 Nơi lưu trữ: DC Em cám ơn anh em!</t>
  </si>
  <si>
    <t>[OM][UPAY][PROD] Fix vul security database oracle ewallet Project vinpay-prod</t>
  </si>
  <si>
    <t>2026-04-14T15:39:33.602+0700</t>
  </si>
  <si>
    <t>2026-04-17T11:19:10.524+0700</t>
  </si>
  <si>
    <t xml:space="preserve">Thông tin Qualys_Vulns của team ANBM gửi:    Cần thực hiện Fix Vulns cho  VM  ewallet-oracle-19c-primary  thuộc project  vinpay-prod IP Hostname OS Cloud Project Tier Top Severity Critical High Medium Low Total Primary 10.255.24.152 ewallet-oracle-19c-primary.asia-east1-b.c.vinpay-prod.internal Red Hat Enterprise Linux Server 7.9 vinpay-prod database Critical 1 47 29 20 97 P Các Vulns cần fix liên quan đến: Linux Kernel Update Linux Package Update (chi tiết trong file của team ANBM) Quy tắc thực hiện: Kernel update yêu cầu REBOOT =&gt; cần phối hợp với dự án để thống nhất thời gian thực hiện,  thực hiện ban đêm, giờ thấp điểm Snapshot VM trước khi thực hiện Xác nhận không có batch job / scheduled task quan trọng chạy trong thời gian update VM Xác định package + version cụ thể từ tab Qualys_Vulns (cột Results) Snapshot VM trước khi thực hiện Test update trên 1 host standby trước, sau đó mới áp dụng cho các host còn lại. CR Plan :   </t>
  </si>
  <si>
    <t>Cập nhật thông tin UOM đã bị Inactive kho MAG</t>
  </si>
  <si>
    <t>2026-04-14T15:07:09.054+0700</t>
  </si>
  <si>
    <t>2026-04-14T15:07:46.125+0700</t>
  </si>
  <si>
    <t>Description Hi DBA team, Hiện tại nghiệp vụ có nhu cầu cập nhật lại tên kho theo nhu cầu vận hành Câu query đánh giá là không ảnh hưởng đến vận hành hệ thống nên mong muốn chạy luôn Cụm WMS Project : vinid-b2b-platform-prod Instance/IP : main (read-write): 172.31.4.59 Port : 3306 Database : omd_wms_mag DELETE pu FROM prod_uom pu 
JOIN prod_master pm ON pm.prod_id = pu.prod_master_id
WHERE pm.prod_code IN ('1015000415', '1015000414', '1015000409', '1015000408', '1015000407', '1015000406', '1015000405', '1015000404', '1015000403', '1015000402', '1015000401', '1015000400', '1015000399', '1015000398', '1015000397', '1015000357', '1015000356', '1015000355', '1015000354', '1015000353', '1015000352', '1015000345', '1015000344', '1015000303', '1015000302', '1015000301', '1015000275', '1015000274', '1015000273', '1015000268', '1015000146', '1013000193', '1013000192', '1013000191', '1013000190', '1013000189', '1013000188', '1013000187', '1013000186', '1013000185', '1013000184', '1013000183', '1013000182', '1013000181', '1013000180', '1013000179', '1013000178', '1013000177', '1013000176', '1013000175', '1013000174', '1013000173', '1013000065', '1013000064', '1013000063', '1013000040', '1013000039', '1013000038', '1013000037', '1013000036', '1013000035', '1013000032', '1013000031', '1013000030', '1013000029', '1013000028', '1013000027', '1013000026', '1013000025', '1013000024', '1013000023') 
AND pu.is_active != true;</t>
  </si>
  <si>
    <t>[MAG][Fins][NonProd] Nhờ cấp resource Elastic Cache phục vụ dự án Fins Platform</t>
  </si>
  <si>
    <t>2026-04-14T11:46:52.148+0700</t>
  </si>
  <si>
    <t>2026-04-14T12:06:24.534+0700</t>
  </si>
  <si>
    <t xml:space="preserve">Dear support team, Do nhu cầu dự án Masterise Fins Platform cần sử dụng giải pháp cache nhờ team cung cấp resource AWS elastic cache cho môi trường NonProd  Cần thêm thông tin gì mọi người cứ request em ạ SAD  </t>
  </si>
  <si>
    <t>Hỗ trợ chạy file SQL script trên môi trường Production của Bravo</t>
  </si>
  <si>
    <t>2026-04-14T11:44:26.641+0700</t>
  </si>
  <si>
    <t>BRAVO</t>
  </si>
  <si>
    <t>Dear Hưng, Nghĩa Nhờ team hỗ trợ chạy file SQL script trên môi trường Production của Bravo DB: B10_Mobifone_MDP Chạy theo thứ tự đã được đánh dấu từ 1, 2,… của các files đính kèm</t>
  </si>
  <si>
    <t>[PROD][QR247] Hỗ trợ cấu hình thông tin merchant HNC</t>
  </si>
  <si>
    <t>2026-04-14T11:18:07.650+0700</t>
  </si>
  <si>
    <t>2026-04-14T11:18:12.089+0700</t>
  </si>
  <si>
    <t>Hi team Nhờ anh/em chạy các script để cấu hình merchant HNC tích hợp TPAY trên môi trường PROD. Thông tin database saas_tpay: mysql://pay-tidb.int.onemount.com:4000/saas_tpay Script: INSERT INTO PARTNER (client_id, name, public_key, enable, merchant_code)
VALUES ('rtmSzcUVWInWabkwKuNYGIqtwsWwlyXo', 'HNC', '-----BEGIN PUBLIC KEY-----
MIIBIjANBgkqhkiG9w0BAQEFAAOCAQ8AMIIBCgKCAQEAlDs5WVZJsQqnK9Z86Trd
ao8RcPQBAkbSb5h+pTCk2jmq7OU1OSBkr0gJTQbQ80yZmjtMIeyxzy3e/S88tINh
dBc/t2iS2HzOdGQZWH+LGUS/KukKrN8I2h2T3lDFEEx8j49g+KTcCpEFM9lGpXec
FBzOnn5W1rR4Jm3gcjYpLg48I7oSDNM0DZg8u0GaC6rKdozZv2IUoq3MDEH9RAYW
YI5rHXY6Cs8/eYESMSnvZvWX77YCWNvSXqpC9F+dbzB3R9nSjoPWsV79/tKmbh4R
fGqifNSbtggIZ4Xmh7DIqmtNhSL0w1jXME0pWbTGPqFIcYJF8smCXk9zMQnW+GI9
mQIDAQAB
-----END PUBLIC KEY-----', 1, 'HOPNHAT-004');
INSERT INTO MERCHANT_RECONCILE (merchant_code, tenant, enable, sftp_folder, pgp_public_key_base64, pgp_partner_id, days_to_subtract, max_records_per_file, priority) VALUES ('HOPNHAT-004', 'OME', 1, '/hnc', 'LS0tLS1CRUdJTiBQR1AgUFVCTElDIEtFWSBCTE9DSy0tLS0tCgptUUVOQkduWWx4RUJDQURwRkEwekVLUlBVOE1oc0NjbmNMVUFwbHFIVGxlV2JvL0dLaU12TU51VWozWndxeGsxCkRCcktpSnFQYjl5RktnUDNUL0RFUkN5eExIU2NVQUlOYUNYVDl2S2p3WEQrNlFibjJyZUVza2lPUkl0S3RpV1UKeXNYSGVJZ3RYMzJHeVluMmJ4dStMTVlETnEwK0w4bi90OGJ6VVFlZjBoQ0JSTlBpSHZHUFYxbkJKeWlVOVRhLwpkT2lVdWwrUGVnN2NzYWJKSWpQRnI1V3RMcEtac1BESTlIdmZiU1RTbytKNXRRZWNrQjZpT1ZBS3p3WllVQ2N3CmV6T1NSRzVDTmZPb1ZOclhtOXhxT1BQUmlZWldScWdVc01DOGpnaTVNdzdya2Z3b2VSbGlhSmJMOTk0MS9PeEQKelh6NXZpOXdoaU1LYy9DOFVQaWxoSjMvNWgwRzVKRlFzY09WQUJFQkFBRzBQbEJ5YjJRdFNFNURMVlJEUWsxTwpJQ2hRY205a2RXTjBhVzl1SUd0bGVTQm1iM0lnU0U1RExWUkRRazFPS1NBOFpHVjJRR2h2Y0c1b1lYUXVkbTQrCmlRRk9CQk1CQ2dBNEZpRUVtSUNHY1pEQjBkMVdnUDAzaitlQWhnK1Z5R2dGQW1uWWx4RUNHd01GQ3drSUJ3SUcKRlFvSkNBc0NCQllDQXdFQ0hnRUNGNEFBQ2drUWorZUFoZytWeUdpSm1nZi9UM0liMlZYYkd2NkNoeldzQ0dmNwpRdEY2a2dIQ3o5bWIyQXFWeW5yT1E0REFjMkNXSnVlTnR3dlh0RzhLVFdEU1JlbUJ5RlU0N2V3K215cTcrZ0psCklWRlhWcW9xRWxmOVRTYTh0NnBGazBhMG1jaXY2V3dkM2Q1d1h3NFArN2Y3cjJZenVySGVXSUZoY29NdXhZNFIKVjE4R2VyYnBINXZKWS9vWC85WWhnZEo2akd4b2xLZWRPbGRCLzBuOGtEbGZlR0FPNDVxWVZOKzVBdjN2ZEF3WQpBcG8wTCtyS2xlcUtRNmtMdHV2NS9vcG5ORlZNUllOMllwaFJKS3NOMEg3T2NmZXhKcjVXa25uSnVVN1R3SzByClB3VHhDZkluUVlZSk5Yckk5bE5vazJiaFo1SDFEaTkyMEpVSkpxK3Z5UXZIVjhHOFhCYmZwUlNBaS9YSmt1U1kKM0xrQkRRUnAySmNSQVFnQXg0eU9BaW5lSTYxWjlwZnBqTUpuZERCVEwwZHJSaGVKV09IR3Zlb1RRTXI3V3E3agp2RnhtZWRwb2F0Uy9nL21RYk4xUjM0NDBVSEtXZExuVDd2QzRqRFM3L3djSG91KzZ0TEUwNlYzMS82d041L0ZUClJpelJid3lhRzRlMWpkdUNFTXg2dTB2NTJHaU1jL3J6Zm4xNE15Wi9pMzErbG9mVmJKK1ZWWU1JbStudVNmYXYKQnJBb290ZE5sS1kzTHRJOXpPNU5MQ3did0tSL1VJZTFCNGlCN01nN2ZTRVY0R0R2U3h5SkRKck8xQkdkbmpwbwpYcEJzNmgvbG1sRnJTRm9sbTBmSEZHSzdDc09pWEFwQjRCWnN3UTlvWHpQbE5sTGVVaUw5WTRrRVhoZFZsWUNCClhzK25BbXpRSTFDRUJHcFZGeFZEU3VxZCtuOFVBcXdXRXVxWTNRQVJBUUFCaVFFMkJCZ0JDZ0FnRmlFRW1JQ0cKY1pEQjBkMVdnUDAzaitlQWhnK1Z5R2dGQW1uWWx4RUNHd3dBQ2drUWorZUFoZytWeUdqK09BZ0FweU1qMGlPWQoyNHRsTkNlL3RNM3ZTVzNTT3pRTndsc3QxRzBsdmovb3R2OWpPRExxZFdVaWh1bGtRY3ZOc0dzVk1iOWhjbUhLCmhiRS9qZEVuOEZiTnJBMUNDV1N3cVlNMGxVRWgyZ3Jva2FDUzN6ZWowanRXQXJBQ2VqNjQwN1BaUytRaWRYOFgKNGwzdFZpaHFFblhPSCtVZHdqZ3BwcGYxLzM5ZEhGTStjc1A5Rkt5TWdLNVpVcnptQUw4dEtyTkhjMk56elF1eApTai8xQzRwSkVwZllkYjA3TlBvZ2s4UE9TVXJqa1p5Y3YxU2UxSTNBd2dwU1BxWTgyNDZvamc4WStvd1IrMERSCnMvTCtGeG94c1hqTjZ6WGNSdlFRaXF4QkNkK3QyaWFqa2JMZGtMZWRWeXRSbEU2WVUrSnhhMXBWcWlSbld5UFgKUnNwRTdqMnAwZ1RQQmc9PQo9TXR2UwotLS0tLUVORCBQR1AgUFVCTElDIEtFWSBCTE9DSy0tLS0t', 'dev@hopnhat.vn', 1, 10000, 999);  </t>
  </si>
  <si>
    <t>Xin cấp tài khoản truy cập Mysql</t>
  </si>
  <si>
    <t>2026-04-14T10:44:14.788+0700</t>
  </si>
  <si>
    <t>2026-04-14T10:44:37.149+0700</t>
  </si>
  <si>
    <t>Voucher_recommnedation</t>
  </si>
  <si>
    <t>Nhằm phục vụ tính năng recommendation và dynamic content trên app OneU: Cụ thể: Data platform sẽ ghi xuống thông tin mức giá và khoảng cách tối ưu (được model predict) cho user đến voucher. Team Data OMC xin được cấp 1 tài khoản có quyền đọc và ghi xuống database sau: url: jdbc:mysql://vincart-prod--ecom-dynamic-content.cloudsql.int.:3306/dynamic_content?useUnicode=yes&amp;characterEncoding=UTF-8&amp;useSSL=false</t>
  </si>
  <si>
    <t>2026-04-14T10:12:07.162+0700</t>
  </si>
  <si>
    <t>2026-04-14T10:12:25.365+0700</t>
  </si>
  <si>
    <t>Dear team DBA. Team Pay có thực hiện update thông tin cho merchant. Nhờ team DAB hỗ trợ với thông tin cụ thể như sau Thông tin database jdbc:mysql://pay-tidb.int.onemount.com:4000/saas_tpay script update UNIFIED_MERCHANT SET cif = '73759462-1' where merchant_code = '73759462';
update SOFTPOS_QR_MERCHANT SET TCB_CIF = '73759462-1' where merchant_code = '73759462';</t>
  </si>
  <si>
    <t>[OMC][PS2][Core] Thêm cột core_cancellation_time vào bảng transaction_history</t>
  </si>
  <si>
    <t>2026-04-14T10:06:27.891+0700</t>
  </si>
  <si>
    <t>2026-04-14T10:06:34.269+0700</t>
  </si>
  <si>
    <t>Hi team, nhờ team chạy script này trên môi trường PROD của DB Loyalty Oracle giúp team Loyalty ạ. Thông tin database: IP: 10.255.23.119
Service name: oneloyaltydb
Port: 1521
Schema app: OLOYALTY Scripts migrate: ALTER TABLE TRANSACTION_HISTORY
ADD CORE_CANCELLATION_TIME TIMESTAMP(0); Chạy trong giờ hành chính</t>
  </si>
  <si>
    <t>Hỗ trợ tạo và import database Postgres cho CMS của Masterisehomes</t>
  </si>
  <si>
    <t>2026-04-14T10:05:50.232+0700</t>
  </si>
  <si>
    <t>2026-04-14T10:06:46.392+0700</t>
  </si>
  <si>
    <t>Hi  @Đào Công Nghĩa  , nhờ bạn tạo giúp mình database Postgres sau cho trang cms của Masterisehomes: revamp_prod_postgres User là strapi và gán full quyền vào các databases này. Hỗ trợ mình import các database sau: revamp_prod_postgres file:  mh-api(1).sql link:    brandedlivingsummit2026_prod_postgres file:  ldp-summit-api.sql link:    hướng dẫn import:    Cảm ơn bạn nha.</t>
  </si>
  <si>
    <t>[B2B_PCM] Xóa log lịch sử</t>
  </si>
  <si>
    <t>2026-04-13T23:14:04.092+0700</t>
  </si>
  <si>
    <t>2026-04-13T23:21:44.610+0700</t>
  </si>
  <si>
    <t>B2B_Commerce, OMD</t>
  </si>
  <si>
    <t>Dear a Linh, Nhờ anh chạy giúp em script sau để xóa bớt log lịch sử sourcing, do bảng khá năng nên cần chạy tối để tránh ảnh hưởng. Thanks anh! Thông tin db: gcp project: vinid-b2b-platform-prod
instance_name: b2b-commerce
dbname: b2b_pcm_prod Script  delete from SourcingHistory 
where statusCode IN ('RELEASED', 'CANCELED', 'SUBMITTED') 
and lastModifiedAt &lt; DATE_SUB(NOW(), INTERVAL 5 MONTH) Mục đích của query là xóa hết các log trạng thái  RELEASED ,  CANCELED ,  SUBMITTED  quả 5 tháng</t>
  </si>
  <si>
    <t>[OMC][LOYALTY][PROD] fix vul server sftp project oneid-loyalty-core-prod</t>
  </si>
  <si>
    <t>2026-04-13T22:19:05.163+0700</t>
  </si>
  <si>
    <t>2026-04-14T10:55:15.406+0700</t>
  </si>
  <si>
    <t xml:space="preserve">DBA tiến hành fix vul trên server sftp thông tin server: project:  vinid-service-platform-prod VM instance: 10.255.23.236  oe-sftp CR:   </t>
  </si>
  <si>
    <t>[DBA-SAPBASIS] V/v Hỗ trợ lên plan fix vul OM SAP NON PROD</t>
  </si>
  <si>
    <t>2026-04-13T16:11:32.557+0700</t>
  </si>
  <si>
    <t>2026-04-13T16:13:22.173+0700</t>
  </si>
  <si>
    <t>2026-04-13T15:02:41.658+0700</t>
  </si>
  <si>
    <t>2026-04-13T15:03:03.138+0700</t>
  </si>
  <si>
    <t>[MAG][IOTek][MCM][PROD] cập nhật casbin rule</t>
  </si>
  <si>
    <t>2026-04-13T14:47:03.367+0700</t>
  </si>
  <si>
    <t>2026-04-13T15:17:18.376+0700</t>
  </si>
  <si>
    <t>Trường thông tin Nội dung mẫu IP (Host) ces-production.crcykac8kxtw.ap-southeast-1.rds.amazonaws.com Port 3306 DB Name mcm_storage sql trong file đính kèm backup lại bảng casbin_rule trước khi thực hiện (lưu trữ 1 tuần) count số lượng dữ liệu trước khi insert và sau khi insert</t>
  </si>
  <si>
    <t>Update Body SMS Config</t>
  </si>
  <si>
    <t>2026-04-13T12:11:56.070+0700</t>
  </si>
  <si>
    <t>2026-04-14T11:45:12.592+0700</t>
  </si>
  <si>
    <t>Bỏ dấu  .   ở cuối câu trong 2 column  BODY_EN  và  BODY_VN  của   Xác nhận đã giao quà thành công  trên table  GIFT_SMS_CONFIG  trong database  portal_prod .</t>
  </si>
  <si>
    <t>[DBA-SAPBASIS] V/v Hỗ trợ fix vul hệ thống DEV</t>
  </si>
  <si>
    <t>2026-04-13T09:55:00.863+0700</t>
  </si>
  <si>
    <t>2026-04-13T10:02:06.857+0700</t>
  </si>
  <si>
    <t>Để phục vụ mục đích fix vul cho đội ANBM.  Tiến hành ưpgrade version cho hệ SAP NON PROD: libs + kernel Linux sap-hdb-dev sap-s4-dev sap-s4-qa   Thanks</t>
  </si>
  <si>
    <t>2026-04-11T12:34:12.409+0700</t>
  </si>
  <si>
    <t>2026-04-11T12:35:18.201+0700</t>
  </si>
  <si>
    <t>Dear anh  @Đào Công Nghĩa  , Team em có nhu cầu cập nhật dữ liệu, nhờ team chạy script sau giúp em. Thời gian chạy:   Team có thể chạy ngay ạ. Thông tin DB:   omc-mtp-tidb.int.onemount.com:4000 / omc_merchant_loyalty Script: delete from omc_merchant_loyalty.contract where merchant_id in ('701266', '1203242'); -- 14 records
delete from omc_merchant_loyalty.store_service where store_id = 4687 and service_id = 8971; -- 1 record
delete from omc_merchant_loyalty.store where id = 4687; -- 1 record
delete from omc_merchant_loyalty.service where id = 8971; -- 1 record Ref :  https://chat.google.com/room/AAAAjOjMTaI/D3fS2p69Noo/vp_azGqov-I?cls=10 Thanks anh.</t>
  </si>
  <si>
    <t>[Merchant-OM] Hỗ trợ cập nhập dữ liệu 20260411</t>
  </si>
  <si>
    <t>2026-04-11T10:03:54.335+0700</t>
  </si>
  <si>
    <t>2026-04-11T10:04:05.711+0700</t>
  </si>
  <si>
    <t>Dear team, Nhờ team chạy giúp câu lệnh bên dưới ạ. Thông tin database https://console.cloud.google.com/sql/instances/main/overview?inv=1&amp;invt=Abqw_w&amp;project=vinid-merchant-prod DB_MYSQL_HOST=172.31.1.44
DB_MYSQL_DATABASE=merchant_service Câu lệnh ALTER TABLE merchant_service.merchant
ADD INDEX idx_identity_number (identity_number),
ALGORITHM = INPLACE,
LOCK = NONE;</t>
  </si>
  <si>
    <t>[UPAY][PROD] Hỗ trợ golive release tính năng ngày 10/04/2026</t>
  </si>
  <si>
    <t>2026-04-10T23:15:45.694+0700</t>
  </si>
  <si>
    <t>2026-04-10T23:16:01.065+0700</t>
  </si>
  <si>
    <t>Hi a  @Nguyễn Văn Dũng  nhờ a chạy script theo mô tả  dưới đây ở môi trường PRODUCTION theo thông tin dưới đây ạ: Thời gian chạy script: Vào lúc  23h00 ngày 10/04/2026 Thông tin database: {{mysql://vinpay-sql-onehub-master.int.vinid.net:3306/pay_payment_gateway}}và  pay-tidb.int.onemount.com:4000/saas_tpay CR Ticket:    Script: Em sẽ bổ sung sau ạ</t>
  </si>
  <si>
    <t>2026-04-10T22:29:49.793+0700</t>
  </si>
  <si>
    <t>2026-04-11T00:10:56.804+0700</t>
  </si>
  <si>
    <t>IP (Host):   ces-production.crcykac8kxtw.ap-southeast-1.rds.amazonaws.com Port:  3306 DB Name:  ces_mh_mpm Command:   DROP PROCEDURE IF EXISTS hard_delete_project;
DROP PROCEDURE IF EXISTS soft_delete_project;
create procedure soft_delete_project(IN project_ids text)
BEGIN
    SET project_ids = CONVERT(project_ids USING utf8mb4);
    UPDATE prj_design_phase_configs
    SET deleted = TRUE
    WHERE FIND_IN_SET(CONVERT(project_id USING utf8mb4), project_ids);
    UPDATE prj_projects
    SET deleted = TRUE
    WHERE FIND_IN_SET(CONVERT(id USING utf8mb4), project_ids);
    UPDATE prj_staffs
    SET deleted = TRUE
    WHERE FIND_IN_SET(CONVERT(project_id USING utf8mb4), project_ids);
    UPDATE ten_system_tenants
    SET deleted = TRUE
    WHERE FIND_IN_SET(CONVERT(id USING utf8mb4), project_ids);
    UPDATE ds_approval
    SET deleted = TRUE
    WHERE config_id IN (SELECT id
                        FROM prj_design_phase_configs
                        WHERE FIND_IN_SET(CONVERT(project_id USING utf8mb4), project_ids));
    UPDATE ds_approval_history
    SET deleted = TRUE
    WHERE approval_id IN (SELECT id
                          FROM ds_approval
                          WHERE deleted = TRUE)
      AND deleted = FALSE;
    UPDATE ds_approval_status
    SET deleted = TRUE
    WHERE approval_id IN (SELECT id
                          FROM ds_approval
                          WHERE deleted = TRUE)
      AND deleted = FALSE;
    UPDATE ds_design_file
    SET deleted = TRUE
    WHERE approval_id IN (SELECT id
                          FROM ds_approval
                          WHERE deleted = TRUE)
      AND deleted = FALSE;
    UPDATE ds_file
    SET deleted = TRUE
    WHERE design_file_id IN (SELECT id
                             FROM ds_design_file
                             WHERE deleted = TRUE)
      AND deleted = FALSE;
    UPDATE ds_comment
    SET deleted = TRUE
    WHERE file_id IN (SELECT id
                      FROM ds_file
                      WHERE deleted = TRUE)
      AND deleted = FALSE;
    UPDATE ds_comment_file
    SET deleted = TRUE
    WHERE design_comment_id IN (SELECT id
                                FROM ds_comment
                                WHERE deleted = TRUE)
      AND deleted = FALSE;
    UPDATE mtr_approval_histories
    SET deleted =
            TRUE
    WHERE approval_id IN (SELECT id FROM mtr_requests WHERE FIND_IN_SET(CONVERT(project_id USING utf8mb4), project_ids));
    UPDATE mtr_approval_histories
    SET deleted = TRUE
    WHERE approval_id IN
          (SELECT id FROM mtr_inspections WHERE FIND_IN_SET(CONVERT(project_id USING utf8mb4), project_ids));
    UPDATE mtr_approval_files
    SET deleted = TRUE
    where approval_id IN (SELECT id FROM mtr_requests WHERE FIND_IN_SET(CONVERT(project_id USING utf8mb4), project_ids))
       or approval_id IN
          (SELECT id FROM mtr_inspections WHERE FIND_IN_SET(CONVERT(project_id USING utf8mb4), project_ids));
    UPDATE mtr_approval_history_files
    SET deleted = TRUE
    where approval_history_id in (SELECT id FROM mtr_approval_histories where deleted = true);
    UPDATE mtr_requests SET deleted = TRUE WHERE FIND_IN_SET(CONVERT(project_id USING utf8mb4), project_ids);
    UPDATE mtr_inspections SET deleted = TRUE WHERE FIND_IN_SET(CONVERT(project_id USING utf8mb4), project_ids);
    UPDATE mtr_inspection_items
    SET deleted = TRUE
    where material_inspection_id in (SELECT id from mtr_inspections where deleted = true);
    UPDATE mtr_inspection_documents
    SET deleted = TRUE
    where material_inspection_id in (SELECT id from mtr_inspections where deleted = true);
    UPDATE mtr_inspection_document_files
    SET deleted = TRUE
    where document_id in (SELECT id from mtr_inspection_documents where deleted = true);
    UPDATE mtr_request_items
    SET deleted = TRUE
    where material_request_id in (SELECT id from mtr_requests where deleted = true);
    UPDATE mtr_request_item_attributes
    SET deleted = TRUE
    where material_item_id in (SELECT id from mtr_request_items where deleted = true);
    UPDATE mtr_request_item_files
    SET deleted = TRUE
    where material_item_id in (SELECT id from mtr_request_items where deleted = true);
    UPDATE mtr_request_documents
    SET deleted = TRUE
    where material_request_id in (SELECT id from mtr_requests where deleted = true);
    UPDATE mtr_request_document_files
    SET deleted = TRUE
    where document_id in (SELECT id from mtr_request_documents where deleted = true);
    UPDATE mtr_material
    set material_request_id = null
    where material_request_id in (SELECT id from mtr_requests where deleted = true);
END;
create procedure hard_delete_project()
BEGIN
    DELETE FROM ds_comment_file WHERE deleted = TRUE;
    DELETE FROM ds_comment WHERE deleted = TRUE;
    DELETE FROM ds_file WHERE deleted = TRUE;
    DELETE FROM ds_design_file WHERE deleted = TRUE;
    DELETE FROM ds_approval_history WHERE deleted = TRUE;
    DELETE FROM ds_approval_status WHERE deleted = TRUE;
    DELETE FROM ds_approval WHERE deleted = TRUE;
    DELETE FROM prj_design_phase_configs WHERE deleted = TRUE;
    DELETE FROM prj_staffs WHERE deleted = TRUE;
    DELETE FROM ten_system_tenants WHERE deleted = TRUE;
    DELETE FROM prj_projects WHERE deleted = TRUE;
    DELETE FROM mtr_approval_history_files WHERE deleted = TRUE;
    DELETE FROM mtr_approval_files WHERE deleted = TRUE;
    DELETE FROM mtr_approval_histories WHERE deleted = TRUE;
    DELETE FROM mtr_inspection_document_files WHERE deleted = TRUE;
    DELETE FROM mtr_inspection_documents WHERE deleted = TRUE;
    DELETE FROM mtr_inspection_items WHERE deleted = TRUE;
    DELETE FROM mtr_request_item_attributes WHERE deleted = TRUE;
    DELETE FROM mtr_request_item_files WHERE deleted = TRUE;
    DELETE FROM mtr_request_items WHERE deleted = TRUE;
    DELETE FROM mtr_request_document_files WHERE deleted = TRUE;
    DELETE FROM mtr_request_documents WHERE deleted = TRUE;
END;
call soft_delete_project('5e22fd6e-9693-4e46-bc86-a8454dd937ab,68b3dfda-5dbe-4e32-8c15-7f9efcc780eb,0e3753f7-6ce6-4c06-8c5a-de3d96265e1d,3883efce-cc51-45b4-b263-ce9abedc12d8,42f2abcf-2d38-4069-afc7-e8b7e1f399ab,01a9d7ff-a68b-4116-9d10-af4154f6b61a,8a2cb47f-695b-4785-933c-a19d3c1ffeb1,e67ab86b-4bdb-4ab4-abeb-7e118c802072,53aa11fd-7117-4e3e-b510-2bb811dbaf16,33e6e3f6-602a-49cf-955e-f4dc519fdfdc,00538e54-c13b-435a-84ff-5e4f791a890a,c2e5714a-40d5-4c14-9311-6ae1e31a1ce7,854f1c55-249c-404d-b822-25a063ce8feb,a6663e78-c334-4425-9f11-5ca0162026ad,be8511de-8565-4cdc-add4-fe16c4505658,b38e10ed-075a-43a9-b308-cd939ebd443d,d108ea9c-fc02-48c2-9f47-9fb12673bb33,27049ddc-4ff5-4119-8c85-04b8e12fc79d,189387c8-5c52-48dd-bbd1-0c7026038e77,f4af6fad-4d76-4286-a2e5-d4831cbe8ce1,ab76d998-d033-4180-9822-fdd746abdb7f,3a5d35c2-01e2-4962-b5f4-0f5c383fed5c,209fbdb1-9c2f-49ed-9f87-583097f38efb,28ccd1e9-81c0-49ec-9b52-4a52804d9089,2f6d6eaa-26d4-4ce4-a7ec-749b91c21c4d,d3415775-8446-47ad-9e74-de5a88e5959b,842ccfda-1f4b-43de-b790-765f2452d752,9512066c-4c86-4f14-bfe8-049dc7431561,68b3dfda-5dbe-4e32-8c15-7f9efcc780eb,20b69d18-6500-4908-8095-66c992c911c4,24722cbe-5097-4d79-bb30-18876859f541');
call hard_delete_project();</t>
  </si>
  <si>
    <t>[OMC][PS2][Loyalty][PROD] - archive dữ liệu history cho các bảng cần move data sang COLD - Tháng 4/2026</t>
  </si>
  <si>
    <t>2026-04-10T19:55:31.572+0700</t>
  </si>
  <si>
    <t>2026-04-10T19:59:52.743+0700</t>
  </si>
  <si>
    <t>Các bảng cần move data sang COLD, sau đó archive lên GCS: TRANSACTION_HISTORY_ATTRIBUTE TRANSACTION_HISTORY POINT_TRANSACTION COUNTER_TRANSACTION_HISTORY 3 bảng TRANSACTION_HISTORY, POINT_TRANSACTION, COUNTER_TRANSACTION_HISTORY :  Trên môi trường PROD (HOT), Giữ lại data đầy đủ của 6 tháng gần nhất. (tháng n-1, n-2, n-3, n-4, n-5, n-6). Trên môi trường COLD, sẽ có data lịch sử (history 6 tháng tiếp theo) n-7, n-8, n-9, n-10, n-11, n-12. Ví dụ, hiện tại là tháng 4/2026, thì data giữ lại ở db chính PROD là tháng 3/2026, 2/2026, 1/2026, 12/2025, 11/2025, 10/2025. Các tháng lịch sử khác (history 6 tháng tiếp theo) sẽ khai thác trên db COLD: tháng 9/2025, 8/2025, 7/2025, 6/2025, 5/2025, 4/2025 Bảng TRANSACTION_HISTORY_ATTRIBUTE  :  Tháng hiện tại là tháng n.  Trên DB chính PROD (HOT), giữ lại data đầy đủ của 3 tháng gần nhất (tháng thứ n-1,n-2,n-3 sau tháng hiện tại). Các data tháng thứ n-4,n-5,n-6 sau tháng n hiện tại thì chuyển sang db COLD.) Ví dụ, hiện tại là tháng 4/2026, thì data giữ lại ở db chính PROD là tháng 3/2026, 2/2026, 1/2026. Các tháng 12/2025, 11/2025, 10/2025 sẽ khai thác trên db COLD.</t>
  </si>
  <si>
    <t>[OMC][PS2][Loyalty][PROD] - archive dữ liệu history cho các bảng PAY_WITH_POINT_TRANSACTION_HISTORY - Tháng 4/2026</t>
  </si>
  <si>
    <t>2026-04-10T19:55:21.156+0700</t>
  </si>
  <si>
    <t>2026-04-10T19:57:34.200+0700</t>
  </si>
  <si>
    <t>Giữ nguyên các partition,chỉ DELETE xóa data theo điều kiện where là:  status = 'F'  and transaction_time đủ full  1 tháng  gần nhất Ví dụ, hiện tại tháng 4/2026, thì sẽ thực hiện DELETE Xóa data có: status = 'F' and transaction_time &lt; to_date('01/03/2026','dd/MM/yyyy')</t>
  </si>
  <si>
    <t>[OMC][PS2][Loyalty][PROD] - archive dữ liệu history cho các bảng KAFKA_ , TIER_HISTORY - Tháng 4/2026</t>
  </si>
  <si>
    <t>2026-04-10T19:55:09.458+0700</t>
  </si>
  <si>
    <t>2026-04-10T19:56:32.241+0700</t>
  </si>
  <si>
    <t>[OMC][PS2][Loyalty][PROD] - Thực hiện archive dữ liệu history cho DB Loyalty - Tháng 4/2026</t>
  </si>
  <si>
    <t>2026-04-10T19:51:28.673+0700</t>
  </si>
  <si>
    <t>2026-04-13T09:19:54.111+0700</t>
  </si>
  <si>
    <t>Team DBA cần thực hiện archive dữ liệu lịch sử của 1 số bảng lớn trong DB LOYALTY, để tối ưu dung lượng lưu trữ data , tránh để data lưu trữ quá lớn trong DB dẫn tới chi phí phần cứng tăng và giảm hiệu suất IO khi truy xuất data lớn. Quy định về thời gian lưu trữ data (dự án đã confirm với TCB qua email): Live data tier: không TTL expired bất kể dữ liệu nào Backup tier: Thực hiện backup full 2 lần/tuần và incremental các ngày còn lại Archiving tier:  Dữ liệu Archive được thực hiện 6 tháng/lần và store với retention là 365 days Kế hoạch thực hiện archive dữ liệu history của DB Loyalty , thực hiện trong  tháng 12 năm 2025 Các bảng cần lưu trữ data và thực hiện xóa data history:   Tables Partition column Life time Note KAFKA_AUDIT_TRAIL_PRODUCT_INFO CREATED_AT 1 month KAFKA_AUDIT_TRAIL_CARD_INFO CREATED_AT 1 month KAFKA_AUDIT_TRAIL_CUSTOMER_PROFILE CREATED_AT 1 month KAFKA_AUDIT_TRAIL_EARN_TRANSACTION CREATED_AT 1 month KAFKA_AUDIT_TRAIL_EARN_EVENT CREATED_AT 1 month TIER_HISTORY CREATED_AT 6 month POINT_TRANSACTION_ACCOUNT_BALANCE CREATED_AT 6 month Từ tháng 5/2025,  tạm dừng ko xóa data history bảng này nữa , để CNSP review lại xem có dùng dữ liệu quá 6 tháng ko? PAY_WITH_POINT_TRANSACTION_HISTORY TRANSACTION_TIME Giữ nguyên các partition,chỉ DELETE xóa data theo điều kiện where là:  status = 'F'  and transaction_time đủ full  1 tháng  gần nhất Ví dụ, hiện tại tháng 4/2026, thì sẽ thực hiện DELETE Xóa data có: status = 'F' and transaction_time &lt; to_date('01/03/2026','dd/MM/yyyy') TRANSACTION_HISTORY_ATTRIBUTE CREATED_AT 3 month Tháng hiện tại là tháng n. Trên DB chính PROD (HOT), giữ lại data đầy đủ của 3 tháng gần nhất (tháng thứ n-1,n-2,n-3 sau tháng hiện tại). Các data tháng thứ n-4,n-5,n-6 sau tháng n hiện tại thì chuyển sang db COLD.) Ví dụ, hiện tại là tháng 4/2026, thì data giữ lại ở db chính PROD là tháng 3/2026, 2/2026, 1/2026. Các tháng 12/2025, 11/2025, 10/2025 sẽ khai thác trên db COLD. TRANSACTION_HISTORY TRANSACTION_TIME 6 month Trên môi trường PROD (HOT), Giữ lại data đầy đủ của 6 tháng gần nhất. (tháng n-1, n-2, n-3, n-4, n-5, n-6). Trên môi trường COLD, sẽ có data lịch sử (history 6 tháng tiếp theo) n-7, n-8, n-9, n-10, n-11, n-12. Ví dụ, hiện tại là tháng 4/2026, thì data giữ lại ở db chính PROD là tháng 3/2026, 2/2026, 1/2026, 12/2025, 11/2025, 10/2025. Các tháng lịch sử khác (history 6 tháng tiếp theo) sẽ khai thác trên db COLD: tháng 9/2025, 8/2025, 7/2025, 6/2025, 5/2025, 4/2025 POINT_TRANSACTION TRANSACTION_TIME 6 month Trên môi trường PROD (HOT), Giữ lại data đầy đủ của 6 tháng gần nhất. (tháng n-1, n-2, n-3, n-4, n-5, n-6). Trên môi trường COLD, sẽ có data lịch sử (history 6 tháng tiếp theo) n-7, n-8, n-9, n-10, n-11, n-12. Ví dụ, hiện tại là tháng 4/2026, thì data giữ lại ở db chính PROD là tháng 3/2026, 2/2026, 1/2026, 12/2025, 11/2025, 10/2025. Các tháng lịch sử khác (history 6 tháng tiếp theo) sẽ khai thác trên db COLD: tháng 9/2025, 8/2025, 7/2025, 6/2025, 5/2025, 4/2025 COUNTER_TRANSACTION_HISTORY CREATED_AT 6 month Trên môi trường PROD (HOT), Giữ lại data đầy đủ của 6 tháng gần nhất. (tháng n-1, n-2, n-3, n-4, n-5, n-6). Trên môi trường COLD, sẽ có data lịch sử (history 6 tháng tiếp theo) n-7, n-8, n-9, n-10, n-11, n-12. Ví dụ, hiện tại là tháng 4/2026, thì data giữ lại ở db chính PROD là tháng 3/2026, 2/2026, 1/2026, 12/2025, 11/2025, 10/2025. Các tháng lịch sử khác (history 6 tháng tiếp theo) sẽ khai thác trên db COLD: tháng 9/2025, 8/2025, 7/2025, 6/2025, 5/2025, 4/2025 Phương án làm archive data cho các bảng này: export các partition vi phạm thời gian lưu trữ data life time ONLINE Lưu trữ các partition đã export lên GCS (thời gian lưu trữ trên GCS là 1 năm). Các dữ liệu nào cần khai thác trên COLD, thì sẽ import sang db COLD. Drop các partition đã export + archived trên DB PROD Chạy lại gather statistic cho bảng vừa drop partition (có thể để DB auto chạy cũng được)</t>
  </si>
  <si>
    <t>[Merchant-TCB] Hỗ trợ cập nhật/query dữ liệu 20260410</t>
  </si>
  <si>
    <t>2026-04-10T19:18:12.138+0700</t>
  </si>
  <si>
    <t>2026-04-10T19:19:14.118+0700</t>
  </si>
  <si>
    <t>Dear team, Nhờ team chạy giúp câu lệnh bên dưới ạ. Thông tin database https://console.cloud.google.com/sql/instances/merchant-tcb/overview?inv=1&amp;invt=AbsndA&amp;project=vinid-merchant-prod DB_MYSQL_HOST=172.31.4.108
DB_MYSQL_DATABASE=merchant_service_tcb Câu lệnh INSERT INTO
	`tpay_staff_permission` (`created_at`, `updated_at`, `module`, `code`, `name`, `description`)
VALUES
	(
		'2026-04-10 17:00:00',
		'2026-04-10 17:00:00',
		'TSHOP Cài đặt',
		'edit:merchant_profile',
		'Chỉnh sửa thông tin liên hệ trong nhà cung cấp',
		'Chỉnh sửa thông tin nhân viên chủ doanh nghiệp cập nhật thông tin liên hệ trong nhà cung cấp'
	);</t>
  </si>
  <si>
    <t>[LP][Core] - Update data production</t>
  </si>
  <si>
    <t>2026-04-10T18:20:28.177+0700</t>
  </si>
  <si>
    <t>2026-04-10T18:20:52.543+0700</t>
  </si>
  <si>
    <t>Dear DBA, Nhờ team chạy scripts sau để update data loyalty môi trường Production. Thông tin database: IP: 10.255.23.119 Service name: oneloyaltydb Port: 1521 schema app: OLOYALTY UPDATE OLOYALTY.TRANSACTION_HISTORY SET AWARD_POINT = 66729,	BALANCE_AFTER = BALANCE_BEFORE + 66729	, SYNC_WITH_ELASTIC = 'N' WHERE POINT_TRANSACTION_ID = '771914834908370';
UPDATE OLOYALTY.TRANSACTION_HISTORY SET AWARD_POINT = 250000,	BALANCE_AFTER = BALANCE_BEFORE + 250000	, SYNC_WITH_ELASTIC = 'N' WHERE POINT_TRANSACTION_ID = '771914834908370';
UPDATE OLOYALTY.TRANSACTION_HISTORY SET AWARD_POINT = 200000,	BALANCE_AFTER = BALANCE_BEFORE + 200000	, SYNC_WITH_ELASTIC = 'N' WHERE POINT_TRANSACTION_ID = '551914834903822';
UPDATE OLOYALTY.TRANSACTION_HISTORY SET AWARD_POINT = 500000,	BALANCE_AFTER = BALANCE_BEFORE + 500000	, SYNC_WITH_ELASTIC = 'N' WHERE POINT_TRANSACTION_ID = '551914834903822';
UPDATE OLOYALTY.TRANSACTION_HISTORY SET AWARD_POINT = 456028,	BALANCE_AFTER = BALANCE_BEFORE + 456028	, SYNC_WITH_ELASTIC = 'N' WHERE POINT_TRANSACTION_ID = '551914834903822';
UPDATE OLOYALTY.TRANSACTION_HISTORY SET AWARD_POINT = 250000,	BALANCE_AFTER = BALANCE_BEFORE + 250000	, SYNC_WITH_ELASTIC = 'N' WHERE POINT_TRANSACTION_ID = '134914834903834';
UPDATE OLOYALTY.TRANSACTION_HISTORY SET AWARD_POINT = 59919,	BALANCE_AFTER = BALANCE_BEFORE + 59919	, SYNC_WITH_ELASTIC = 'N' WHERE POINT_TRANSACTION_ID = '134914834903834';
UPDATE OLOYALTY.TRANSACTION_HISTORY SET AWARD_POINT = 38644,	BALANCE_AFTER = BALANCE_BEFORE + 38644	, SYNC_WITH_ELASTIC = 'N' WHERE POINT_TRANSACTION_ID = '026914825336933';
UPDATE OLOYALTY.TRANSACTION_HISTORY SET AWARD_POINT = 210786,	BALANCE_AFTER = BALANCE_BEFORE + 210786	, SYNC_WITH_ELASTIC = 'N' WHERE POINT_TRANSACTION_ID = '026914825336933';
UPDATE OLOYALTY.TRANSACTION_HISTORY SET AWARD_POINT = 54710,	BALANCE_AFTER = BALANCE_BEFORE + 54710	, SYNC_WITH_ELASTIC = 'N' WHERE POINT_TRANSACTION_ID = '546914907806712';
UPDATE OLOYALTY.TRANSACTION_HISTORY SET AWARD_POINT = 250000,	BALANCE_AFTER = BALANCE_BEFORE + 250000	, SYNC_WITH_ELASTIC = 'N' WHERE POINT_TRANSACTION_ID = '345914881019648';
UPDATE OLOYALTY.TRANSACTION_HISTORY SET AWARD_POINT = 51890,	BALANCE_AFTER = BALANCE_BEFORE + 51890	, SYNC_WITH_ELASTIC = 'N' WHERE POINT_TRANSACTION_ID = '245914881021903';
UPDATE OLOYALTY.TRANSACTION_HISTORY SET AWARD_POINT = 281438,	BALANCE_AFTER = BALANCE_BEFORE + 281438	, SYNC_WITH_ELASTIC = 'N' WHERE POINT_TRANSACTION_ID = '245914881021903';
UPDATE OLOYALTY.TRANSACTION_HISTORY SET AWARD_POINT = 57609,	BALANCE_AFTER = BALANCE_BEFORE + 57609	, SYNC_WITH_ELASTIC = 'N' WHERE POINT_TRANSACTION_ID = '534914881021747';
UPDATE OLOYALTY.TRANSACTION_HISTORY SET AWARD_POINT = 312459,	BALANCE_AFTER = BALANCE_BEFORE + 312459	, SYNC_WITH_ELASTIC = 'N' WHERE POINT_TRANSACTION_ID = '534914881021747';
UPDATE OLOYALTY.TRANSACTION_HISTORY SET AWARD_POINT = 68454,	BALANCE_AFTER = BALANCE_BEFORE + 68454	, SYNC_WITH_ELASTIC = 'N' WHERE POINT_TRANSACTION_ID = '311914907817826';
UPDATE OLOYALTY.TRANSACTION_HISTORY SET AWARD_POINT = 129840,	BALANCE_AFTER = BALANCE_BEFORE + 129840	, SYNC_WITH_ELASTIC = 'N' WHERE POINT_TRANSACTION_ID = '311914907817826';
UPDATE OLOYALTY.TRANSACTION_HISTORY SET AWARD_POINT = 12819,	BALANCE_AFTER = BALANCE_BEFORE + 12819	, SYNC_WITH_ELASTIC = 'N' WHERE POINT_TRANSACTION_ID = '064914830661142';
UPDATE OLOYALTY.TRANSACTION_HISTORY SET AWARD_POINT = 100000,	BALANCE_AFTER = BALANCE_BEFORE + 100000	, SYNC_WITH_ELASTIC = 'N' WHERE POINT_TRANSACTION_ID = '064914830661142';
UPDATE OLOYALTY.TRANSACTION_HISTORY SET AWARD_POINT = 25367,	BALANCE_AFTER = BALANCE_BEFORE + 25367	, SYNC_WITH_ELASTIC = 'N' WHERE POINT_TRANSACTION_ID = '523914907812683';
UPDATE OLOYALTY.TRANSACTION_HISTORY SET AWARD_POINT = 138368,	BALANCE_AFTER = BALANCE_BEFORE + 138368	, SYNC_WITH_ELASTIC = 'N' WHERE POINT_TRANSACTION_ID = '523914907812683';
UPDATE OLOYALTY.TRANSACTION_HISTORY SET AWARD_POINT = 74272,	BALANCE_AFTER = BALANCE_BEFORE + 74272	, SYNC_WITH_ELASTIC = 'N' WHERE POINT_TRANSACTION_ID = '105914907827512';
UPDATE OLOYALTY.TRANSACTION_HISTORY SET AWARD_POINT = 402832,	BALANCE_AFTER = BALANCE_BEFORE + 402832	, SYNC_WITH_ELASTIC = 'N' WHERE POINT_TRANSACTION_ID = '105914907827512';
UPDATE OLOYALTY.TRANSACTION_HISTORY SET AWARD_POINT = 38263,	BALANCE_AFTER = BALANCE_BEFORE + 38263	, SYNC_WITH_ELASTIC = 'N' WHERE POINT_TRANSACTION_ID = '752914834908078';
UPDATE OLOYALTY.TRANSACTION_HISTORY SET AWARD_POINT = 208710,	BALANCE_AFTER = BALANCE_BEFORE + 208710	, SYNC_WITH_ELASTIC = 'N' WHERE POINT_TRANSACTION_ID = '752914834908078';
UPDATE OLOYALTY.TRANSACTION_HISTORY SET AWARD_POINT = 146615,	BALANCE_AFTER = BALANCE_BEFORE + 146615	, SYNC_WITH_ELASTIC = 'N' WHERE POINT_TRANSACTION_ID = '326914834910411';
UPDATE OLOYALTY.TRANSACTION_HISTORY SET AWARD_POINT = 799723,	BALANCE_AFTER = BALANCE_BEFORE + 799723	, SYNC_WITH_ELASTIC = 'N' WHERE POINT_TRANSACTION_ID = '326914834910411';
UPDATE OLOYALTY.TRANSACTION_HISTORY SET AWARD_POINT = 225909,	BALANCE_AFTER = BALANCE_BEFORE + 225909	, SYNC_WITH_ELASTIC = 'N' WHERE POINT_TRANSACTION_ID = '612914881021799';
UPDATE OLOYALTY.TRANSACTION_HISTORY SET AWARD_POINT = 41416,	BALANCE_AFTER = BALANCE_BEFORE + 41416	, SYNC_WITH_ELASTIC = 'N' WHERE POINT_TRANSACTION_ID = '612914881021799';
UPDATE OLOYALTY.TRANSACTION_HISTORY SET AWARD_POINT = 500000,	BALANCE_AFTER = BALANCE_BEFORE + 500000	, SYNC_WITH_ELASTIC = 'N' WHERE POINT_TRANSACTION_ID = '700914907821178';
UPDATE OLOYALTY.TRANSACTION_HISTORY SET AWARD_POINT = 100000,	BALANCE_AFTER = BALANCE_BEFORE + 100000	, SYNC_WITH_ELASTIC = 'N' WHERE POINT_TRANSACTION_ID = '700914907821178';
UPDATE OLOYALTY.TRANSACTION_HISTORY SET AWARD_POINT = 92325,	BALANCE_AFTER = BALANCE_BEFORE + 92325	, SYNC_WITH_ELASTIC = 'N' WHERE POINT_TRANSACTION_ID = '700914907821178';
UPDATE OLOYALTY.TRANSACTION_HISTORY SET AWARD_POINT = 65866,	BALANCE_AFTER = BALANCE_BEFORE + 65866	, SYNC_WITH_ELASTIC = 'N' WHERE POINT_TRANSACTION_ID = '743914907815214';
UPDATE OLOYALTY.TRANSACTION_HISTORY SET AWARD_POINT = 250000,	BALANCE_AFTER = BALANCE_BEFORE + 250000	, SYNC_WITH_ELASTIC = 'N' WHERE POINT_TRANSACTION_ID = '743914907815214';
UPDATE OLOYALTY.TRANSACTION_HISTORY SET AWARD_POINT = 370160,	BALANCE_AFTER = BALANCE_BEFORE + 370160	, SYNC_WITH_ELASTIC = 'N' WHERE POINT_TRANSACTION_ID = '217914834907434';
UPDATE OLOYALTY.TRANSACTION_HISTORY SET AWARD_POINT = 68248,	BALANCE_AFTER = BALANCE_BEFORE + 68248	, SYNC_WITH_ELASTIC = 'N' WHERE POINT_TRANSACTION_ID = '217914834907434';
UPDATE OLOYALTY.TRANSACTION_HISTORY SET AWARD_POINT = 487200,	BALANCE_AFTER = BALANCE_BEFORE + 487200	, SYNC_WITH_ELASTIC = 'N' WHERE POINT_TRANSACTION_ID = '324914907828712';
UPDATE OLOYALTY.TRANSACTION_HISTORY SET AWARD_POINT = 60445,	BALANCE_AFTER = BALANCE_BEFORE + 60445	, SYNC_WITH_ELASTIC = 'N' WHERE POINT_TRANSACTION_ID = '757914907814546';
UPDATE OLOYALTY.TRANSACTION_HISTORY SET AWARD_POINT = 327840,	BALANCE_AFTER = BALANCE_BEFORE + 327840	, SYNC_WITH_ELASTIC = 'N' WHERE POINT_TRANSACTION_ID = '757914907814546'; Thanks!</t>
  </si>
  <si>
    <t>[MCM] Backup dữ liệu môi trường PROD</t>
  </si>
  <si>
    <t>2026-04-10T18:14:43.938+0700</t>
  </si>
  <si>
    <t>2026-04-11T00:11:18.255+0700</t>
  </si>
  <si>
    <t>Thời gian thực hiện  17h30  tiến hành backup dữ liệu với thông tin DB :  IP (Host):   ces-production.crcykac8kxtw.ap-southeast-1.rds.amazonaws.com Port:  3306 DB Name:  ces_mh_mpm Command:   Lưu trữ backup trong vòng 14 ngày Backup các table  nếu xảy ra lỗi  restore dữ liệu các bảng ds_comment_file ;
 ds_comment ;
 ds_file ;
 ds_design_file ;
 ds_approval_history ;
 ds_approval_status ;
 ds_approval ;
 prj_design_phase_configs ;
 prj_staffs ;
 ten_system_tenants ;
 prj_projects ;
 mtr_approval_history_files ;
 mtr_approval_files ;
 mtr_approval_histories ;
 mtr_inspection_document_files ;
 mtr_inspection_documents ;
 mtr_inspection_items ;
 mtr_request_item_attributes ;
 mtr_request_item_files ;
 mtr_request_items ;
 mtr_request_document_files ;
 mtr_request_documents ; IP (Host):   ces-production.crcykac8kxtw.ap-southeast-1.rds.amazonaws.com Port:  3306 DB Name:  ces_mcm_storage Command:   Lưu trữ backup trong vòng 14 ngày Backup các table  nếu xảy ra lỗi  restore dữ liệu các bảng dc_documents
dc_document_versions
casbin_rule</t>
  </si>
  <si>
    <t xml:space="preserve">[OMC][LOYALTY][PROD] Fix vulns cho hệ thống Database Oracle Loyalty (oneloyalty-oracle-standby,oneloyalty-oracle-primary) project oneid-loyalty-core-prod	</t>
  </si>
  <si>
    <t>2026-04-10T18:06:37.580+0700</t>
  </si>
  <si>
    <t>2026-04-27T15:21:52.590+0700</t>
  </si>
  <si>
    <t>Thông tin Qualys_Vulns của team ANBM gửi:  OM ALL VULNERABILITY   Cần thực hiện Fix Vulns cho các VM database oracle Loyalty  thuộc  project oneid-loyalty-core-prod	 IP Hostname OS Cloud Project Tier Top Severity Critical High Medium Low Total 10.255.23.118 oneloyalty-oracle-standby.asia-east1-c.c.oneid-loyalty-core-prod.internal Red Hat Enterprise Linux Server 7.9 oneid-loyalty-core-prod database Critical 1 56 32 34 123 10.255.23.119 oneloyalty-oracle-primary.asia-east1-b.c.oneid-loyalty-core-prod.internal Red Hat Enterprise Linux Server 7.9 oneid-loyalty-core-prod database Critical 1 54 30 33 118 Các Vulns cần fix liên quan đến: Linux Kernel Update Linux Package Update (chi tiết trong file của team ANBM)   Quy tắc thực hiện: Kernel update yêu cầu REBOOT =&gt; cần phối hợp với dự án để thống nhất thời gian thực hiện,  thực hiện ban đêm, giờ thấp điểm Snapshot VM trước khi thực hiện Xác nhận không có batch job / scheduled task quan trọng chạy trong thời gian update VM Xác định package + version cụ thể từ tab Qualys_Vulns (cột Results) Snapshot VM trước khi thực hiện Test update trên 1 host standby trước, sau đó mới áp dụng cho các host còn lại. Kế hoạch vá lỗi Vul hệ điều hành cơ sở dữ liệu Oracle Loyalty Ngày 24/04, từ 01:00 AM đến 03:00 AM, thực hiện cập nhật các bản vá lỗ hổng hệ điều hành trên Oracle Standby và không gây downtime cho dịch vụ. Ngày 25/04 từ 01:00 AM đến 03:00 AM,hực hiện cập nhật các bản vá lỗ hổng hệ điều hành trên Oracle Primary và có gây donwtime dịch vụ trong khoảng thời gian thực hiện (thời gian downtime dự kiến &lt;=2h)</t>
  </si>
  <si>
    <t>[OMD][TMS][PROD] Fix vulns cho hệ thống Database Oracle TMS (oracle-standby,oracle-primary) project onedc-tms-prod</t>
  </si>
  <si>
    <t>2026-04-10T17:33:39.257+0700</t>
  </si>
  <si>
    <t>2026-04-15T09:43:58.736+0700</t>
  </si>
  <si>
    <t>Thông tin Qualys_Vulns của team ANBM gửi:  OM ALL VULNERABILITY   Cần thực hiện Fix Vulns cho các VM database oracle TMS thuộc  project onedc-tms-prod 10.255.24.170 oracle-primary.asia-east1-b.c.onedc-tms-prod.internal CentOS Linux 7.9.2009 onedc-tms-prod database Critical 1 51 26 34 112 10.255.24.171 oracle-standby.asia-east1-b.c.onedc-tms-prod.internal CentOS Linux 7.9.2009 onedc-tms-prod database Critical 1 51 26 34 112 Các Vulns cần fix liên quan đến: Linux Kernel Update Linux Package Update (chi tiết trong file của team ANBM)   Quy tắc thực hiện: Kernel update yêu cầu REBOOT =&gt; cần phối hợp với dự án để thống nhất thời gian thực hiện,  thực hiện ban đêm, giờ thấp điểm Snapshot VM trước khi thực hiện Xác nhận không có batch job / scheduled task quan trọng chạy trong thời gian update VM Xác định package + version cụ thể từ tab Qualys_Vulns (cột Results) Snapshot VM trước khi thực hiện Test update trên 1 host standby trước, sau đó mới áp dụng cho các host còn lại. ==&gt; Ngày thực hiện thực hiện 22h00 ngày 13-Apr-26 (Đối với database oracle TMS standby) ==&gt; Ngày thực hiện thực hiện 22h00 ngày 14-Apr-26 (Đối với database oracle TMS primary)</t>
  </si>
  <si>
    <t>2026-04-10T16:23:52.651+0700</t>
  </si>
  <si>
    <t>2026-04-10T16:25:58.551+0700</t>
  </si>
  <si>
    <t>IP (Host):   ces-production.crcykac8kxtw.ap-southeast-1.rds.amazonaws.com Port:  3306 DB Name:  ces_mh_mpm Command:   INSERT INTO hrm_contractor(id, code, name, tenant_id, created_date, created_by, deleted)
VALUES
    (UUID(), 'VERTICAL', 'Công ty TNHH Tư vấn Thiết kế Xây Dựng VERTICAL STUDIO', '51488fa2-c938-4fcc-a53f-a34f338d49aa', now(), 'admin', 0),
    (UUID(), 'RANKINEHILL', 'CÔNG TY TNHH RANKINE &amp; HILL (VIỆT NAM)', '51488fa2-c938-4fcc-a53f-a34f338d49aa', now(), 'admin', 0),
    (UUID(), 'JRP', 'CÔNG TY TNHH J ROGER PRESTON VIỆT NAM', '51488fa2-c938-4fcc-a53f-a34f338d49aa', now(), 'admin', 0),
    (UUID(), 'HBA', 'Hirsch Bedner Associates', '51488fa2-c938-4fcc-a53f-a34f338d49aa', now(), 'admin', 0),
    (UUID(), 'LJGROUP', 'CÔNG TY TNHH LJ-GROUP', '51488fa2-c938-4fcc-a53f-a34f338d49aa', now(), 'admin', 0),
    (UUID(), 'MH', 'CÔNG TY CỔ PHẦN KIẾN TRÚC MH', '51488fa2-c938-4fcc-a53f-a34f338d49aa', now(), 'admin', 0),
    (UUID(), 'P&amp;T', 'CÔNG TY TNHH TƯ VẤN P&amp;T (VIỆT NAM)', '51488fa2-c938-4fcc-a53f-a34f338d49aa', now(), 'admin', 0),
    (UUID(), 'GREENMEP', 'CÔNG TY TNHH THIẾT KẾ CƠ ĐIỆN XANH', '51488fa2-c938-4fcc-a53f-a34f338d49aa', now(), 'admin', 0),
    (UUID(), 'TTT', 'CÔNG TY CỔ PHẦN THIẾT KẾ TTT ARCHITECTS', '51488fa2-c938-4fcc-a53f-a34f338d49aa', now(), 'admin', 0),
    (UUID(), 'COOPERSHILL', 'COOPERS HILL LIMITED', '51488fa2-c938-4fcc-a53f-a34f338d49aa', now(), 'admin', 0),
    (UUID(), 'FORG', 'CÔNG TY TNHH FORG ARCHITECTS', '51488fa2-c938-4fcc-a53f-a34f338d49aa', now(), 'admin', 0),
    (UUID(), 'ACONS', 'CÔNG TY TNHH KỸ THUẬT &amp; CÔNG NGHỆ XÂY DỰNG ACONS', '51488fa2-c938-4fcc-a53f-a34f338d49aa', now(), 'admin', 0),
    (UUID(), 'KTV', 'Công Ty Cổ Phần Kiến Trúc Việt', '51488fa2-c938-4fcc-a53f-a34f338d49aa', now(), 'admin', 0),
    (UUID(), 'EDSA', 'Edward Durell Stone Jr. and Associates', '51488fa2-c938-4fcc-a53f-a34f338d49aa', now(), 'admin', 0),
    (UUID(), 'TWASIA', 'CÔNG TY TNHH TW-ASIA CONSULTANTS', '51488fa2-c938-4fcc-a53f-a34f338d49aa', now(), 'admin', 0),
    (UUID(), 'PME', 'CÔNG TY CỔ PHẦN PME', '51488fa2-c938-4fcc-a53f-a34f338d49aa', now(), 'admin', 0),
    (UUID(), 'DP', 'CÔNG TY TNHH KIẾN TRÚC DP VIỆT NAM', '51488fa2-c938-4fcc-a53f-a34f338d49aa', now(), 'admin', 0),
    (UUID(), '10DESIGN', 'CÔNG TY CỔ PHẦN ĐẦU TƯ 10 DESIGN', '51488fa2-c938-4fcc-a53f-a34f338d49aa', now(), 'admin', 0),
    (UUID(), 'RICCA', 'Ricca Design Studios', '51488fa2-c938-4fcc-a53f-a34f338d49aa', now(), 'admin', 0),
    (UUID(), 'BPI', 'Brandston Partnership Inc.', '51488fa2-c938-4fcc-a53f-a34f338d49aa', now(), 'admin', 0),
    (UUID(), 'TERAO', 'Terao Asia', '51488fa2-c938-4fcc-a53f-a34f338d49aa', now(), 'admin', 0),
    (UUID(), 'EUROWINDOW', 'CÔNG TY CỔ PHẦN EUROWINDOW', '51488fa2-c938-4fcc-a53f-a34f338d49aa', now(), 'admin', 0),
    (UUID(), 'EAA', 'EAA Consultants Co., Ltd.', '51488fa2-c938-4fcc-a53f-a34f338d49aa', now(), 'admin', 0),
    (UUID(), 'MAESTROWORKS', 'CÔNG TY TNHH MAESTROWORKS', '51488fa2-c938-4fcc-a53f-a34f338d49aa', now(), 'admin', 0),
    (UUID(), 'LWD', 'Linksworkz Design Studio (LWD)', '51488fa2-c938-4fcc-a53f-a34f338d49aa', now(), 'admin', 0),
    (UUID(), 'NT', 'Công ty TNHH NT Architecture &amp; Design', '51488fa2-c938-4fcc-a53f-a34f338d49aa', now(), 'admin', 0),
    (UUID(), 'TYLIN', 'TYLin (T.Y. Lin International)', '51488fa2-c938-4fcc-a53f-a34f338d49aa', now(), 'admin', 0),
    (UUID(), 'LANDSCULPTOR', 'CÔNG TY TNHH LAND SCULPTOR STUDIO VIỆT NAM', '51488fa2-c938-4fcc-a53f-a34f338d49aa', now(), 'admin', 0),
    (UUID(), 'SIRHALO', 'Công ty TNHH Halo Design Việt Nam (SirHalo)', '51488fa2-c938-4fcc-a53f-a34f338d49aa', now(), 'admin', 0),
    (UUID(), 'ASP', 'Công Ty TNHH Tư Vấn Thiết Kế ASP', '51488fa2-c938-4fcc-a53f-a34f338d49aa', now(), 'admin', 0),
    (UUID(), 'VCC', 'Công ty Cổ phần tư vấn XD Công nghiệp và Đô thị VN (VCC)', '51488fa2-c938-4fcc-a53f-a34f338d49aa', now(), 'admin', 0),
    (UUID(), 'CONINCO', 'Công ty CP Tư vấn CN, thiết bị và Kiểm định XD - CONINCO', '51488fa2-c938-4fcc-a53f-a34f338d49aa', now(), 'admin', 0),
    (UUID(), 'VAT', 'CÔNG TY CỔ PHẦN XÂY DỰNG VẠN AN THỊNH', '51488fa2-c938-4fcc-a53f-a34f338d49aa', now(), 'admin', 0),
    (UUID(), 'HAIDUONG', 'CÔNG TY CỔ PHẦN TƯ VẤN QH VÀ TK XÂY DỰNG HẢI DƯƠNG', '51488fa2-c938-4fcc-a53f-a34f338d49aa', now(), 'admin', 0),
    (UUID(), 'ALPHAHOUSE', 'CÔNG TY TNHH TƯ VẤN TK KIẾN TRÚC NỘI THẤT ALPHA HOUSE', '51488fa2-c938-4fcc-a53f-a34f338d49aa', now(), 'admin', 0),
    (UUID(), 'PAN', 'CÔNG TY TNHH TƯ VẤN THIẾT KẾ VÀ XÂY DỰNG P.A.N', '51488fa2-c938-4fcc-a53f-a34f338d49aa', now(), 'admin', 0),
    (UUID(), 'D&amp;B', 'CÔNG TY CỔ PHẦN TƯ VẤN VÀ THIẾT KẾ D&amp;B', '51488fa2-c938-4fcc-a53f-a34f338d49aa', now(), 'admin', 0),
    (UUID(), 'CCD', 'CCD Cheng Chung Design', '51488fa2-c938-4fcc-a53f-a34f338d49aa', now(), 'admin', 0),
    (UUID(), 'ZOO', 'ZOO Studio Design', '51488fa2-c938-4fcc-a53f-a34f338d49aa', now(), 'admin', 0),
    (UUID(), 'KKA', 'CÔNG TY CỔ PHẦN TẬP ĐOÀN KKA VÀ CỘNG SỰ', '51488fa2-c938-4fcc-a53f-a34f338d49aa', now(), 'admin', 0),
    (UUID(), 'HOLM', 'HOLM DESIGN CO.,LTD', '51488fa2-c938-4fcc-a53f-a34f338d49aa', now(), 'admin', 0),
    (UUID(), 'ASIAME', 'Công ty Cổ phần Cơ điện Asia (ASIAME JSC)', '51488fa2-c938-4fcc-a53f-a34f338d49aa', now(), 'admin', 0),
    (UUID(), 'AURECON', 'CÔNG TY TNHH AURECON VIỆT NAM', '51488fa2-c938-4fcc-a53f-a34f338d49aa', now(), 'admin', 0),
    (UUID(), 'DISHES', 'DISHES T&amp;I CO,. LTD', '51488fa2-c938-4fcc-a53f-a34f338d49aa', now(), 'admin', 0),
    (UUID(), 'KORN', 'KORN Design Group', '51488fa2-c938-4fcc-a53f-a34f338d49aa', now(), 'admin', 0),
    (UUID(), 'NAGECCO', 'Công ty cổ phần tư vân xây dựng tổng hợp (Nagecco)', '51488fa2-c938-4fcc-a53f-a34f338d49aa', now(), 'admin', 0),
    (UUID(), 'SDC', 'Công ty TNHH Kỹ thuật SDC (SDC Engineering)', '51488fa2-c938-4fcc-a53f-a34f338d49aa', now(), 'admin', 0),
    (UUID(), 'GSG', 'Công ty Cổ phần Galaxy Sài Gòn', '51488fa2-c938-4fcc-a53f-a34f338d49aa', now(), 'admin', 0),
    (UUID(), 'SNF', 'Công ty TNHH Sinh Nam Façade', '51488fa2-c938-4fcc-a53f-a34f338d49aa', now(), 'admin', 0),
    (UUID(), 'TDI', 'Công ty CP tập đoàn TDI', '51488fa2-c938-4fcc-a53f-a34f338d49aa', now(), 'admin', 0);</t>
  </si>
  <si>
    <t>[OM][ChamCong][PROD] Fix vulns MSSQL thuộc project vinid-incubator-prod</t>
  </si>
  <si>
    <t>2026-04-10T16:11:25.660+0700</t>
  </si>
  <si>
    <t>2026-04-10T17:22:08.070+0700</t>
  </si>
  <si>
    <t>Thông tin Qualys_Vulns của team ANBM gửi:    Cần thực hiện Fix Vulns cho các VM mongodb thuộc project vinid-incubator-prod IP Hostname OS Cloud Project Tier Top Severity Critical High Medium Low Total 10.255.15.32 db-cham-cong.asia-east1-c.c.vinid-incubator-prod.internal CentOS Linux 7.9.2009 vinid-incubator-prod app High 0 1 79 31 111 Các Vulns cần fix liên quan đến: Linux Kernel Update Linux Package Update (chi tiết trong file của team ANBM)   Quy tắc thực hiện: Kernel update yêu cầu REBOOT =&gt; cần phối hợp với dự án để thống nhất thời gian thực hiện,  thực hiện ban đêm, giờ thấp điểm Snapshot VM trước khi thực hiện Xác nhận không có batch job / scheduled task quan trọng chạy trong thời gian update VM Xác định package + version cụ thể từ tab Qualys_Vulns (cột Results) Snapshot VM trước khi thực hiện Test update trên 1 host standby trước, sau đó mới áp dụng cho các host còn lại.</t>
  </si>
  <si>
    <t>[OM][UPP][PROD] Fix vulns MongoDB thuộc project vinid-risk-fraud-prod</t>
  </si>
  <si>
    <t>2026-04-10T15:10:50.451+0700</t>
  </si>
  <si>
    <t>2026-04-11T00:29:17.495+0700</t>
  </si>
  <si>
    <t>Thông tin Qualys_Vulns của team ANBM gửi:    Cần thực hiện Fix Vulns cho các VM mongodb thuộc project vinid-risk-fraud-prod IP Hostname OS Cloud Project Tier Top Severity Critical High Medium Low Total 10.255.24.20 mongo-ops-2.asia-east1-b.c.vinid-app-monitor-prod.internal CentOS Linux 7.9.2009 vinid-app-monitor-prod database Critical 1 32 27 31 91 10.255.24.21 mongo-ops-3.asia-east1-b.c.vinid-app-monitor-prod.internal CentOS Linux 7.9.2009 vinid-app-monitor-prod database Critical 1 32 27 31 91 10.255.24.19 mongo-ops-1.asia-east1-b.c.vinid-app-monitor-prod.internal CentOS Linux 7.9.2009 vinid-app-monitor-prod database Critical 1 32 27 31 91 10.255.24.24 mongos-02.asia-east1-c.c.vinid-risk-fraud-prod.internal CentOS Linux 7.9.2009 vinid-risk-fraud-prod database Critical 1 32 20 25 78 10.255.24.25 mongod-01.asia-east1-a.c.vinid-risk-fraud-prod.internal CentOS Linux 7.9.2009 vinid-risk-fraud-prod database Critical 1 32 20 25 78 10.255.24.23 mongos-01.asia-east1-b.c.vinid-risk-fraud-prod.internal CentOS Linux 7.9.2009 vinid-risk-fraud-prod database Critical 1 32 20 25 78 10.255.24.26 mongod-02.asia-east1-b.c.vinid-risk-fraud-prod.internal CentOS Linux 7.9.2009 vinid-risk-fraud-prod database Critical 1 32 20 25 78 10.255.24.27 mongod-03.asia-east1-c.c.vinid-risk-fraud-prod.internal CentOS Linux 7.9.2009 vinid-risk-fraud-prod database Critical 1 32 20 25 78 Các Vulns cần fix liên quan đến: Linux Kernel Update Linux Package Update (chi tiết trong file của team ANBM) Quy tắc thực hiện: Kernel update yêu cầu REBOOT =&gt; cần phối hợp với dự án để thống nhất thời gian thực hiện,  thực hiện ban đêm, giờ thấp điểm Snapshot VM trước khi thực hiện Xác nhận không có batch job / scheduled task quan trọng chạy trong thời gian update VM Xác định package + version cụ thể từ tab Qualys_Vulns (cột Results) Snapshot VM trước khi thực hiện Test update trên 1 host standby trước, sau đó mới áp dụng cho các host còn lại.</t>
  </si>
  <si>
    <t>[UPay][PROD] Hỗ trợ cấu hình nguồn tiền TCB Direct ngày 8/4/2026</t>
  </si>
  <si>
    <t>2026-04-10T13:43:04.304+0700</t>
  </si>
  <si>
    <t>2026-04-10T13:43:17.553+0700</t>
  </si>
  <si>
    <t>Dear team DBA, 22h tối 8/4 team cần Bật/tắt cấu hình dịch vụ TCB Direct để hỗ trợ OMC test dịch vụ, nhờ anh/em support ạ Thông tin DB:  vinpay-sql-onehub-master.int.vinid.net:3306/pay_payment_gateway Lệnh bật cấu hình: UPDATE pay_payment_gateway.PROVIDER SET IS_ACTIVE=1 WHERE provider_id='41';
UPDATE pay_payment_gateway.MERCHANT_SOURCE_OF_FUND set is_active=true where merchant_id=172 and source_of_fund_id=3; Lệnh tắt cấu hình: UPDATE pay_payment_gateway.PROVIDER SET IS_ACTIVE=0 WHERE provider_id='41';  </t>
  </si>
  <si>
    <t>[Saitama] [SmartPOS] [PROD] Chạy script migrate dữ liệu cho các trường hợp Merchant Service ACTIVE_FAIL môi trường PROD nghiệp vụ 1 merchant onboard nhiều STK</t>
  </si>
  <si>
    <t>2026-04-10T13:42:07.180+0700</t>
  </si>
  <si>
    <t>2026-04-10T13:42:18.160+0700</t>
  </si>
  <si>
    <t>Hi anh Dũng. Nhờ anh chạy giúp em script dưới đây nhằm migrate dữ liệu cho các trường hợp merchant service active failed dịch vụ SmartPOS, môi trường  PRODUCTION  theo thông tin dưới đây ạ: Thời gian chạy script: vào lúc  22h00p ngày 08/04/2026   - khi team thông báo. Thông tin database:  jdbc:mysql://pay-tidb.int.onemount.com:4000/saas_tpay Script:  20260408_sync_merchant_service_active_fail.sq  ạ. Script đính kèm bên dưới ạ.</t>
  </si>
  <si>
    <t>[OMD][Kafka][Prod] Tạo kafka topic cho bảng nguồn Merchant Fiscal phục vụ dự án MerchantHub</t>
  </si>
  <si>
    <t>2026-04-10T10:32:42.197+0700</t>
  </si>
  <si>
    <t>2026-04-10T10:32:58.953+0700</t>
  </si>
  <si>
    <t>Hiện tại OMD đang có nhu cầu kéo dữ liệu các bảng sau nhờ anh Linh tạo kafka topic ở môi trường PROD giúp team để kéo data về DP. PROD: IP host: 172.31.4.36:5432 Schema: mhpos_fiscal Table list: address</t>
  </si>
  <si>
    <t>Hỗ trợ chạy Script cho hệ thoogns Bravo</t>
  </si>
  <si>
    <t>2026-04-09T18:07:07.457+0700</t>
  </si>
  <si>
    <t>2026-04-09T18:07:22.851+0700</t>
  </si>
  <si>
    <t xml:space="preserve">Dear Hưng, Nghĩa,  Nhờ team hỗ trợ chạy scrip cho Bravo theo file đính kèm giúp a với nhé </t>
  </si>
  <si>
    <t>2026-04-09T17:31:36.770+0700</t>
  </si>
  <si>
    <t>2026-04-09T17:32:14.188+0700</t>
  </si>
  <si>
    <t>Hỗ trợ lấy danh sách accept challenge cho campaign TCB Host:  172.31.4.75 DB: promo_gamezone Query: SELECT 
    u.customer_id, 
    ac.created_at,
    ac.user_id
FROM 
    `accept_challenge` ac
JOIN 
    `users` u ON ac.user_id = u.id
WHERE 
    ac.campaign_id = 119 AND ac.created_at &gt;= '2026-04-04 00:00:00' AND ac.created_at &lt; '2026-04-09 00:00:00';; Theo yêu cầu vận hành Techcombank</t>
  </si>
  <si>
    <t>2026-04-09T16:20:04.860+0700</t>
  </si>
  <si>
    <t>2026-04-09T16:20:36.436+0700</t>
  </si>
  <si>
    <t>Dear  @Đào Công Nghĩa  , nhờ em chạy giúp anh script sau với. -- DB: 172.31.1.21:3306
INSERT INTO mtp_martech_profile.mtp_anonymous_profile_segmentation_job
	(`id`, `segmentation_id`, `status`, `hash`, `properties`, `external_properties`, `created_at`, `display_name`, `display_order`)
VALUES 
-- OneU --
(
    '80e2450a-3472-4aa3-b9ec-e922c2762fb5',
    'f83a1b2542cd4e7b9a8c7fd638e2oskj',
    '',
    '31811800cfe74edd0606075293ee0d1c9274f00e789e1a18c2d90776285137e6',
    '{}',
    '{"AND":[{"data_type":"DATE","label_code":"hv_tt_apps_txn","label_value":"","operator":"","operator_expr":"CAST(hv_tt_apps_txn AS DATE) &gt;= DATE_FORMAT(CURDATE(), ''%Y-%m-01'')"}]}',
    NOW(),
    'SEGMENT ĐỘNG MTU TRONG THÁNG',
    0
),
(
    '368b1fc4-8ccb-459a-97b8-06b3897f72c7',
    'f83a1b2542cd4e7b9a8c7fd638e2oskj',
    '',
    'd81d4c81f33df7d5320e66816e421300015ebc14d94650bd585fdf3be1308dee',
    '{}',
    '{"AND":[{"data_type":"DATE","label_code":"hv_tt_apps_txn","label_value":"","operator":"","operator_expr":"CAST(hv_tt_apps_txn AS DATE) &lt; DATE_FORMAT(CURDATE(), ''%Y-%m-01'')"}]}',
    NOW(),
    'SEGMENT ĐỘNG NON MTU TRONG THÁNG',
    0
); Best regards Dinh Quang Nguyen</t>
  </si>
  <si>
    <t>[OMC][MTP] Hỗ trợ golive Audience &amp; Segmentation</t>
  </si>
  <si>
    <t>2026-04-09T16:17:29.224+0700</t>
  </si>
  <si>
    <t>2026-04-09T16:19:06.436+0700</t>
  </si>
  <si>
    <t>Dear anh  @Nguyễn Văn Dũng  ,  @Đào Công Nghĩa  , nhờ a/e chạy giúp em script sau với ạ: Thời gian chạy 10h 2026/03/31 -- TiDB OMC
-- Schema: omc_mtp_user_profile
ALTER TABLE omc_mtp_user_profile.loyalty_cus 
ADD COLUMN tier_start_date DATE,
ADD COLUMN tier_end_date DATE; Best regards Dinh Quang Nguyen</t>
  </si>
  <si>
    <t>Update LINK_SURVEY for GIFT_PROGRAM_CUSTOMER table</t>
  </si>
  <si>
    <t>2026-04-09T15:37:50.137+0700</t>
  </si>
  <si>
    <t>2026-04-09T15:41:49.066+0700</t>
  </si>
  <si>
    <t>portal</t>
  </si>
  <si>
    <t xml:space="preserve">Host :  portal-prod-mariadb.crcykac8kxtw.ap-southeast-1.rds.amazonaws.com Port: 3306 DB name:  portal_prod Table name:  GIFT_PROGRAM_CUSTOMER File SQL: </t>
  </si>
  <si>
    <t>[DB][GiaBinh][ManMac] Run Script Database</t>
  </si>
  <si>
    <t>2026-04-09T14:52:14.089+0700</t>
  </si>
  <si>
    <t>2026-04-09T14:57:55.278+0700</t>
  </si>
  <si>
    <t>Type: Postgres DB Name: sitegate_app_server Nhờ anh  @Đào Công Nghĩa  chạy giúp em script sau cho môi trường Non-Prod</t>
  </si>
  <si>
    <t>2026-04-09T10:57:03.247+0700</t>
  </si>
  <si>
    <t>2026-04-09T11:01:16.173+0700</t>
  </si>
  <si>
    <t>Dear Hưng, Nghĩa Nhờ team hỗ trợ chạy file SQL script trên môi trường Production của Bravo DB: B10_Mobifone_MDP</t>
  </si>
  <si>
    <t>[OMD][Kafka][Prod] Tạo kafka topic cho bảng nguồn mobile_next_affiliate</t>
  </si>
  <si>
    <t>2026-04-08T17:44:32.702+0700</t>
  </si>
  <si>
    <t>2026-04-09T22:56:06.247+0700</t>
  </si>
  <si>
    <t>Hiện tại OMD đang có nhu cầu kéo dữ liệu bảng sau nhờ anh Linh tạo kafka topic ở môi trường PROD giúp team để kéo data về DP. PROD: IP host:  172.31.3.55 :5432 Schema: mobile_next_affiliate Table list: track_events
shorten_links</t>
  </si>
  <si>
    <t>[OM][OMD][PROD] Fix vulns MongoDB thuộc project vinid-b2b-platform-prod OMD</t>
  </si>
  <si>
    <t>2026-04-08T17:28:20.832+0700</t>
  </si>
  <si>
    <t>2026-04-10T15:11:07.374+0700</t>
  </si>
  <si>
    <t>Thông tin Qualys_Vulns của team ANBM gửi:    Cần thực hiện Fix Vulns cho các VM mongodb thuộc project vinid-b2b-platform-prod IP Hostname OS Cloud Project Tier Top Severity Critical High Medium Low Total 10.255.32.24 b2b-mongo-manager-prod-01.asia-east1-b.c.vinid-b2b-platform-prod.internal CentOS Linux 7.8.2003 vinid-b2b-platform-prod database Critical 1 39 29 36 105 10.255.32.21 b2b-mongo-prod-2.asia-east1-b.c.vinid-b2b-platform-prod.internal CentOS Linux 7.8.2003 vinid-b2b-platform-prod database Critical 1 38 27 36 102 10.255.32.20 b2b-mongo-prod-1.asia-east1-b.c.vinid-b2b-platform-prod.internal CentOS Linux 7.8.2003 vinid-b2b-platform-prod database Critical 1 38 27 36 102 10.255.32.22 b2b-mongo-prod-3.asia-east1-b.c.vinid-b2b-platform-prod.internal CentOS Linux 7.8.2003 vinid-b2b-platform-prod database Critical 1 38 27 36 102 10.255.32.23 b2b-mongo-prod-4.asia-east1-b.c.vinid-b2b-platform-prod.internal CentOS Linux 7.8.2003 vinid-b2b-platform-prod database Critical 1 38 27 36 102 10.255.32.53 b2b-mongo-ilb-prod-1.asia-east1-b.c.vinid-b2b-platform-prod.internal CentOS Linux 7.9.2009 vinid-b2b-platform-prod database Critical 1 28 15 21 65 10.255.32.54 b2b-mongo-ilb-prod-2.asia-east1-b.c.vinid-b2b-platform-prod.internal CentOS Linux 7.9.2009 vinid-b2b-platform-prod database Critical 1 28 15 21 65 Các Vulns cần fix liên quan đến: Linux Kernel Update Linux Package Update (chi tiết trong file của team ANBM) Quy tắc thực hiện: Kernel update yêu cầu REBOOT =&gt; cần phối hợp với dự án để thống nhất thời gian thực hiện,  thực hiện ban đêm, giờ thấp điểm Snapshot VM trước khi thực hiện Xác nhận không có batch job / scheduled task quan trọng chạy trong thời gian update VM Xác định package + version cụ thể từ tab Qualys_Vulns (cột Results) Snapshot VM trước khi thực hiện Test update trên 1 host standby trước, sau đó mới áp dụng cho các host còn lại.</t>
  </si>
  <si>
    <t>[Merchant-OM] Hỗ trợ cập nhật/query dữ liệu 20260408</t>
  </si>
  <si>
    <t>2026-04-08T17:16:34.802+0700</t>
  </si>
  <si>
    <t>2026-04-08T17:19:24.533+0700</t>
  </si>
  <si>
    <t>Dear team, Nhờ team chạy giúp câu lệnh bên dưới ạ. Thông tin database https://console.cloud.google.com/sql/instances/main/overview?inv=1&amp;invt=Abqw_w&amp;project=vinid-merchant-prod DB_MYSQL_HOST=172.31.1.44
DB_MYSQL_DATABASE=merchant_service Câu lệnh UPDATE address
SET
	`type` = 'warehouse_address',
	default_delivery_address = 0
WHERE
	id = 39911;</t>
  </si>
  <si>
    <t>[OMC][MTP][PROD] Clear dữ liệu TiDB OMC tháng 2/2026 và migrate redis VM</t>
  </si>
  <si>
    <t>2026-04-08T14:39:48.374+0700</t>
  </si>
  <si>
    <t>2026-04-08T14:40:22.812+0700</t>
  </si>
  <si>
    <t>Clear dữ liệu MTP TiDB OMC tháng 2/2026 -- OMC
use omc_mtp_tracking_events;
ALTER TABLE omc_mtp_tracking_events.mtp_tracking_events_omc  DROP INDEX idx_u_message_id;
ALTER TABLE omc_mtp_tracking_events.mtp_tracking_events_omc DROP PARTITION p20260201;
ALTER TABLE omc_mtp_tracking_events.mtp_tracking_events_omc DROP PARTITION p20260202;
ALTER TABLE omc_mtp_tracking_events.mtp_tracking_events_context_omc DROP PARTITION p20260201;
ALTER TABLE omc_mtp_tracking_events.mtp_tracking_events_context_omc DROP PARTITION p20260202;
ALTER TABLE omc_mtp_tracking_events.mtp_tracking_event_sessions DROP PARTITION p2026_02;
use omc_mtp_martech_activation;
ALTER TABLE omc_mtp_martech_activation.mtp_ads_events DROP PARTITION p2026_02;
ALTER TABLE omc_mtp_martech_activation.mtp_push_events DROP PARTITION p2026_02;
ALTER TABLE omc_mtp_martech_activation.mtp_tracking_email_events DROP PARTITION p2026_02;
ALTER TABLE omc_mtp_martech_activation.mtp_tracking_email_notifications DROP PARTITION p2026_02;
ALTER TABLE omc_mtp_martech_activation.mtp_tracking_fcm_messages DROP PARTITION p2026_02;
ALTER TABLE omc_mtp_martech_activation.mtp_tracking_push_notifications DROP PARTITION p2026_02;
-- OMRE
use omre_mtp_tracking_events;
ALTER TABLE omre_mtp_tracking_events.mtp_tracking_events_omre  DROP INDEX idx_u_message_id;
ALTER TABLE omre_mtp_tracking_events.mtp_tracking_events_omre drop partition p20260201;
ALTER TABLE omre_mtp_tracking_events.mtp_tracking_events_omre drop partition p20260202;
ALTER TABLE omre_mtp_tracking_events.mtp_tracking_events_context_omre DROP PARTITION p20260201;
ALTER TABLE omre_mtp_tracking_events.mtp_tracking_events_context_omre DROP PARTITION p20260202;
-- create global index
use omc_mtp_tracking_events;
ALTER TABLE omc_mtp_tracking_events.mtp_tracking_events_omc ADD UNIQUE INDEX idx_u_message_id (message_id) GLOBAL;
use omre_mtp_tracking_events;
ALTER TABLE omre_mtp_tracking_events.mtp_tracking_events_omre ADD UNIQUE INDEX idx_u_message_id (message_id) GLOBAL; 2. Migrate data redis VM từ  10.255.6.130  sang  10.255.6.200  để fix vul # đối với service redis-6379 phải copy thủ công do dbzie lớn
#thực hiện trên node cũ : 10.255.6.130
gcloud compute scp /var/lib/redis/dump-6379.rdb crm-prod-redis-martech:/tmp/a --zone=asia-east1-b --internal-ip
#thực hiện trên instance mới : 10.255.6.200
systemctl stop redis-6379.service
grep -nE '^(dir|dbfilename|appendonly|replicaof)' /etc/redis/redis-6379.conf
rm -f /var/lib/redis/dump-6379.rdb
cp -f /tmp/a /var/lib/redis/dump-6379.rdb
chown redis:redis /var/lib/redis/dump-6379.rdb
chmod 660 /var/lib/redis/dump-6379.rdb
ls -lh /var/lib/redis/dump-6379.rdb
systemctl start redis-6379.service --no-pager
systemctl status redis-6379.service --no-pager
redis-cli -p 6379 INFO replication | egrep 'role|master_host|master_link_status'
redis-cli -p 6379 INFO keyspace
redis-cli -p 6379 DBSIZE
# chờ load key vì db to 281 triệu key
# đối với service redis-6380 và redis-6381 thì sẽ ngắt luồng đồng bộ replica promote lên làm master
# service 6380
redis-cli -p 6380 INFO replication | egrep 'role|master_host|master_port|master_link_status|master_sync_in_progress|slave_repl_offset|master_last_io_seconds_ago'
redis-cli -p 6380 REPLICAOF NO ONE
redis-cli -p 6380 INFO replication | egrep 'role|connected_slaves|master_host|master_link_status'
sed -i '/^replicaof 10\.255\.6\.130 6380$/d' /etc/redis/redis-6380.conf
grep -n '^replicaof' /etc/redis/redis-6380.conf || true
redis-cli -p 6380 INFO keyspace
redis-cli -p 6380 DBSIZE
# service 6381
redis-cli -p 6381 INFO replication | egrep 'role|master_host|master_port|master_link_status|master_sync_in_progress|slave_repl_offset|master_last_io_seconds_ago'
redis-cli -p 6381 REPLICAOF NO ONE
redis-cli -p 6381 INFO replication | egrep 'role|connected_slaves|master_host|master_link_status'
sed -i '/^replicaof 10\.255\.6\.130 6381$/d' /etc/redis/redis-6381.conf
grep -n '^replicaof' /etc/redis/redis-6381.conf || true
redis-cli -p 6381 INFO keyspace
redis-cli -p 6381 DBSIZE</t>
  </si>
  <si>
    <t>[OMC][TiDB OMC] Build table cho tính năng recommendation voucher-tags trên TiDB OMC - Nonprod</t>
  </si>
  <si>
    <t>2026-04-08T14:32:02.044+0700</t>
  </si>
  <si>
    <t>2026-04-08T14:36:01.899+0700</t>
  </si>
  <si>
    <t>Nhờ anh em DBA tạo giúp schema và chạy script sau: – DB: tidb.int.onemount.dev:4000 – Schema: dp_omc_data_application – Tên bảng: user_best_price_distance CREATE TABLE user_best_price_distance ( user_id varchar(50) COLLATE utf8mb4_unicode_ci NOT NULL, user_opt_price  DECIMAL(10,7)  DEFAULT NULL, user_location_weight  DECIMAL(10,7)  DEFAULT NULL, updated_at  datetime DEFAULT NULL, PRIMARY KEY (user_id) /*T![clustered_index] CLUSTERED */, KEY idx_user_id (user_id) ) ENGINE=InnoDB DEFAULT CHARSET=utf8mb4 COLLATE=utf8mb4_unicode_ci;</t>
  </si>
  <si>
    <t>[Merchant-TCB] Hỗ trợ cập nhật dữ liệu 20260408</t>
  </si>
  <si>
    <t>2026-04-08T14:09:31.164+0700</t>
  </si>
  <si>
    <t>2026-04-08T14:10:01.496+0700</t>
  </si>
  <si>
    <t>Dear team, Nhờ team chạy giúp câu lệnh bên dưới ạ. Thông tin database https://console.cloud.google.com/sql/instances/merchant-tcb/overview?inv=1&amp;invt=AbsndA&amp;project=vinid-merchant-prod DB_MYSQL_HOST=172.31.4.108
DB_MYSQL_DATABASE=merchant_service_tcb Câu lệnh UPDATE tpay_store
SET
	industry = '5812'
WHERE
	id IN (1485292, 1486383);</t>
  </si>
  <si>
    <t>[OMD][TCB-MerchantHUB][PROD] Update dữ liệu trên bảng onboarding_profile</t>
  </si>
  <si>
    <t>2026-04-08T12:08:22.314+0700</t>
  </si>
  <si>
    <t>2026-04-08T12:35:38.627+0700</t>
  </si>
  <si>
    <t>Nhờ anh/chị chạy câu SQL update sau giúp e với ạ: update onboarding_profile set status_onboarding_pos = 'WAITING_FOR_CA_PASSCODE' where merchant_id = 4047727809431173708; instance: mhpos-common-prod-postgres - 172.31.4.36 DB: mhpos_fiscal Em cảm ơn anh/chị ạ!</t>
  </si>
  <si>
    <t>[Saitama][SmartPOS]  chạy script alter các bảng và migrate dữ liệu môi trường PROD nghiệp vụ 1 merchant onboard nhiều STK</t>
  </si>
  <si>
    <t>2026-04-08T10:48:15.793+0700</t>
  </si>
  <si>
    <t>2026-04-10T09:46:41.406+0700</t>
  </si>
  <si>
    <t>Hi anh Dũng. Nhờ anh chạy giúp em script dưới đây nhằm alter các bảng và migrate dữ liệu, môi trường  PRODUCTION  theo thông tin dưới đây ạ: Thời gian chạy script: Khi team thông báo. Thông tin database:  jdbc:mysql://pay-tidb.int.onemount.com:4000/saas_tpay Note : a rồi chạy  20260408_sync_master_account.sql  ạ. Script đính kèm bên dưới ạ.</t>
  </si>
  <si>
    <t>[UPP] [PROD] Xin cấp quyền view cho database tidb_ods trên dremio môi trường PROD</t>
  </si>
  <si>
    <t>2026-04-07T20:15:13.369+0700</t>
  </si>
  <si>
    <t>2026-04-07T20:15:26.216+0700</t>
  </si>
  <si>
    <t>Hi các anh/chị team DBA, Để phục vụ mục đích để check dữ liệu trên production khi golive và sau golive, nhờ team cấp quyền tương ứng với thông tin cụ thể sau ạ: Account:  truong.pham3@onemount.com Database:  tidb_ods Schema:  saas_tpay</t>
  </si>
  <si>
    <t>[OMC][TiDB OMC] Build table cho tính năng recommendation voucher-tags trên TiDB OMC</t>
  </si>
  <si>
    <t>2026-04-07T18:06:23.265+0700</t>
  </si>
  <si>
    <t>2026-04-07T18:06:46.015+0700</t>
  </si>
  <si>
    <t>Nhờ anh em DBA tạo giúp schema và chạy script sau: – DB:  omc-mtp-tidb.int.onemount.com:4000 – Schema: dp_omc_data_application – Tên bảng: user_best_price_distance CREATE TABLE  user_best_price_distance  ( user_id  varchar(50) COLLATE utf8mb4_unicode_ci DEFAULT NULL, user_opt_price   DECIMAL(10,7)  DEFAULT NULL, user_location_weight   DECIMAL(10,7)  DEFAULT NULL, updated_at   datetime DEFAULT NULL, PRIMARY KEY ( user_id ) /*T![clustered_index] CLUSTERED */, KEY  idx_user_id  ( user_id ) ) ENGINE=InnoDB DEFAULT CHARSET=utf8mb4 COLLATE=utf8mb4_unicode_ci;</t>
  </si>
  <si>
    <t>V/v tạo thêm bảng mới trong db cp_scm_uat</t>
  </si>
  <si>
    <t>2026-04-07T18:03:27.973+0700</t>
  </si>
  <si>
    <t>2026-04-07T18:03:51.617+0700</t>
  </si>
  <si>
    <t>Dear DBA,  Tôi cần chạy sql này để thêm bảng mới trong db:  cp_scm_uat  để phục vụ cho website Gia Bình. SAD:    Thông tin db: Nonprod: Project vinid-app-common-dev DB:  cp_scm_uat/qc IP:  172.31.0.16 Port:  3306 SQL: -- ============================================================================
-- GBIA — Full Database Migration
-- ============================================================================
-- Consolidated from individual GBIA_*.sql files.
-- Run order respects foreign key dependencies.
--
-- Tables created:
--   1. partner_inquiries
--   2. candidate_applications
--   3. referral_submissions
--   4. cv_export_logs
--   5. cv_export_items              (FK → cv_export_logs, candidate_applications)
--   6. export_logs_partner
--   7. export_items_partner         (FK → export_logs_partner, partner_inquiries)
--
-- Post-create migration:
--   8. TCW-8628: referral cv_file → cv_files, cv_export_logs nullable columns
-- ============================================================================
-- ─── 1. partner_inquiries ────────────────────────────────────────────────────
CREATE TABLE IF NOT EXISTS `partner_inquiries` (
    `id`                 VARCHAR(36)  NOT NULL,
    `full_name`          VARCHAR(255) NOT NULL,
    `company`            VARCHAR(255) NOT NULL,
    `job_title`          VARCHAR(255) NOT NULL,
    `business_email`     VARCHAR(255) NOT NULL,
    `phone`              VARCHAR(50)  DEFAULT NULL,
    `partner_type`       VARCHAR(100) NOT NULL,
    `area_of_interest`   VARCHAR(255) NOT NULL,
    `company_website`    VARCHAR(500) DEFAULT NULL,
    `country`            VARCHAR(100) DEFAULT NULL,
    `additional_message` TEXT         DEFAULT NULL,
    `consent_agreed`     TINYINT(1)   NOT NULL DEFAULT 0,
    `ip_address`         VARCHAR(45)  DEFAULT NULL,
    `submitted_at`       BIGINT       NOT NULL,
    `status`             ENUM('new','reviewed','archived') NOT NULL DEFAULT 'new',
    PRIMARY KEY (`id`),
    INDEX `idx_partner_inquiries_email` (`business_email`),
    INDEX `idx_partner_inquiries_status` (`status`),
    INDEX `idx_partner_inquiries_submitted_at` (`submitted_at`)
) ENGINE=InnoDB DEFAULT CHARSET=utf8mb4 COLLATE=utf8mb4_unicode_ci;
-- ─── 2. candidate_applications ───────────────────────────────────────────────
CREATE TABLE IF NOT EXISTS `candidate_applications` (
    `id`                 VARCHAR(36)  NOT NULL,
    `full_name`          VARCHAR(255) NOT NULL,
    `email`              VARCHAR(255) NOT NULL,
    `phone`              VARCHAR(50)  NOT NULL,
    `location`           VARCHAR(255) NOT NULL,
    `applied_position`   JSON         NOT NULL,
    `cv_files`           JSON         NOT NULL,
    `link`               VARCHAR(500) DEFAULT NULL,
    `additional_message` TEXT         DEFAULT NULL,
    `consent_agreed`     TINYINT(1)   NOT NULL DEFAULT 0,
    `ip_address`         VARCHAR(45)  DEFAULT NULL,
    `submitted_at`       BIGINT       NOT NULL,
    `status`             ENUM('new','reviewed','shortlisted','rejected') NOT NULL DEFAULT 'new',
    PRIMARY KEY (`id`),
    INDEX `idx_candidate_applications_email` (`email`),
    INDEX `idx_candidate_applications_status` (`status`),
    INDEX `idx_candidate_applications_submitted_at` (`submitted_at`)
) ENGINE=InnoDB DEFAULT CHARSET=utf8mb4 COLLATE=utf8mb4_unicode_ci;
-- ─── 3. referral_submissions ─────────────────────────────────────────────────
CREATE TABLE IF NOT EXISTS `referral_submissions` (
    `id`                  VARCHAR(36)  NOT NULL,
    `referrer_full_name`  VARCHAR(255) NOT NULL,
    `referrer_email`      VARCHAR(255) NOT NULL,
    `referrer_phone`      VARCHAR(50)  DEFAULT NULL,
    `candidate_full_name` VARCHAR(255) NOT NULL,
    `candidate_email`     VARCHAR(255) NOT NULL,
    `candidate_phone`     VARCHAR(50)  NOT NULL,
    `cv_files`            JSON         DEFAULT NULL COMMENT 'Array of uploaded CV PDF files (gcs_path, original_filename, file_size, mime_type)',
    `link`                VARCHAR(500) DEFAULT NULL,
    `target_opening`      VARCHAR(255) DEFAULT NULL,
    `referral_note`       TEXT         DEFAULT NULL,
    `consent_agreed`      TINYINT(1)   NOT NULL DEFAULT 0,
    `ip_address`          VARCHAR(45)  DEFAULT NULL,
    `submitted_at`        BIGINT       NOT NULL,
    `status`              ENUM('new','reviewed','processed') NOT NULL DEFAULT 'new',
    PRIMARY KEY (`id`),
    INDEX `idx_referral_submissions_referrer_email` (`referrer_email`),
    INDEX `idx_referral_submissions_candidate_email` (`candidate_email`),
    INDEX `idx_referral_submissions_status` (`status`),
    INDEX `idx_referral_submissions_submitted_at` (`submitted_at`)
) ENGINE=InnoDB DEFAULT CHARSET=utf8mb4 COLLATE=utf8mb4_unicode_ci;
-- ─── 4. cv_export_logs ───────────────────────────────────────────────────────
CREATE TABLE IF NOT EXISTS `cv_export_logs` (
    `id`          VARCHAR(36)   NOT NULL,
    `exported_by` VARCHAR(255)  NOT NULL COMMENT 'HR user who triggered the export',
    `filters`     JSON          NULL     COMMENT 'JSON snapshot of filters used at export time',
    `total_count` INT           NOT NULL DEFAULT 0,
    `gcs_path`    VARCHAR(1024) NULL     DEFAULT NULL COMMENT 'GCS object path of exported CSV',
    `signed_url`  TEXT          NULL              COMMENT 'Pre-signed download URL (GCS V4 URLs can exceed 500 chars)',
    `exported_at` BIGINT        NOT NULL COMMENT 'Unix timestamp (seconds)',
    PRIMARY KEY (`id`),
    INDEX `idx_cv_export_logs_exported_by` (`exported_by`),
    INDEX `idx_cv_export_logs_exported_at` (`exported_at`)
) ENGINE=InnoDB DEFAULT CHARSET=utf8mb4 COLLATE=utf8mb4_unicode_ci;
-- ─── 5. cv_export_items (FK → cv_export_logs, candidate_applications) ────────
CREATE TABLE IF NOT EXISTS `cv_export_items` (
    `id`             BIGINT       NOT NULL AUTO_INCREMENT,
    `export_log_id`  VARCHAR(36)  NOT NULL,
    `application_id` VARCHAR(36)  NOT NULL,
    PRIMARY KEY (`id`),
    UNIQUE KEY `uq_application_exported` (`application_id`),
    INDEX `idx_cv_export_items_log` (`export_log_id`),
    CONSTRAINT `fk_cv_export_items_log`
        FOREIGN KEY (`export_log_id`) REFERENCES `cv_export_logs` (`id`) ON DELETE CASCADE,
    CONSTRAINT `fk_cv_export_items_application`
        FOREIGN KEY (`application_id`) REFERENCES `candidate_applications` (`id`) ON DELETE CASCADE
) ENGINE=InnoDB DEFAULT CHARSET=utf8mb4 COLLATE=utf8mb4_unicode_ci;
-- ─── 6. export_logs_partner ──────────────────────────────────────────────────
CREATE TABLE IF NOT EXISTS `export_logs_partner` (
    `id`              VARCHAR(36)   NOT NULL,
    `exported_by`     VARCHAR(255)  NOT NULL COMMENT 'BD/Sales user who triggered the export',
    `filters_applied` JSON          NULL     COMMENT 'JSON snapshot of filters used at export time',
    `total_records`   INT           NOT NULL DEFAULT 0,
    `file_name`       VARCHAR(255)  NULL     DEFAULT NULL COMMENT 'CSV filename (e.g. partner_inquiries_20260406_&lt;uuid&gt;.csv)',
    `gcs_path`        VARCHAR(1024) NULL     DEFAULT NULL COMMENT 'GCS object path of exported CSV',
    `signed_url`      TEXT          NULL              COMMENT 'Pre-signed download URL (GCS V4 URLs can exceed 500 chars)',
    `exported_at`     BIGINT        NOT NULL COMMENT 'Unix timestamp (seconds)',
    PRIMARY KEY (`id`),
    INDEX `idx_export_logs_partner_exported_by` (`exported_by`),
    INDEX `idx_export_logs_partner_exported_at` (`exported_at`)
) ENGINE=InnoDB DEFAULT CHARSET=utf8mb4 COLLATE=utf8mb4_unicode_ci;
-- ─── 7. export_items_partner (FK → export_logs_partner, partner_inquiries) ───
CREATE TABLE IF NOT EXISTS `export_items_partner` (
    `id`             BIGINT       NOT NULL AUTO_INCREMENT,
    `export_log_id`  VARCHAR(36)  NOT NULL,
    `inquiry_id`     VARCHAR(36)  NOT NULL,
    PRIMARY KEY (`id`),
    UNIQUE KEY `uq_inquiry_exported` (`inquiry_id`),
    INDEX `idx_export_items_partner_log` (`export_log_id`),
    CONSTRAINT `fk_export_items_partner_log`
        FOREIGN KEY (`export_log_id`) REFERENCES `export_logs_partner` (`id`) ON DELETE CASCADE,
    CONSTRAINT `fk_export_items_partner_inquiry`
        FOREIGN KEY (`inquiry_id`) REFERENCES `partner_inquiries` (`id`) ON DELETE CASCADE
) ENGINE=InnoDB DEFAULT CHARSET=utf8mb4 COLLATE=utf8mb4_unicode_ci;</t>
  </si>
  <si>
    <t xml:space="preserve"> Tạo schema Posgres</t>
  </si>
  <si>
    <t>2026-04-07T17:27:56.130+0700</t>
  </si>
  <si>
    <t>2026-04-07T17:52:34.274+0700</t>
  </si>
  <si>
    <t>ORME</t>
  </si>
  <si>
    <t>Dear a Nam anh Hưng, em nhờ các a approve và tạo giúp e 2 schema cho dự án jvaluation-core. Em gửi lại các thông tin  instance:  sm-rim-np-postgres  - 172.31.0.80 schema và user tương ứng: sm_rim_j_core_qc_write, sm_rim_j_core_qc_read sm_rim_j_core_uat_write, sm_rim_j_core_uat_read</t>
  </si>
  <si>
    <t>[OM][OMC][PROD] Fix vulns MongoDB BasePlatform thuộc project omc-base-platform-prod OMC</t>
  </si>
  <si>
    <t>2026-04-07T15:40:06.508+0700</t>
  </si>
  <si>
    <t>2026-04-08T14:38:34.669+0700</t>
  </si>
  <si>
    <t>Thông tin Qualys_Vulns của team ANBM gửi:    Cần thực hiện Fix Vulns cho các VM mongodb thuộc project omc-base-platform-prod Các Vulns cần fix liên quan đến: Linux Kernel Update Linux Package Update (chi tiết trong file của team ANBM) -- 3 VM mongo BasePlatform: https://console.cloud.google.com/compute/instancesDetail/zones/asia-east1-b/instances/base-platform-mongod-01?project=omc-base-platform-prod base-platform-mongod-01.asia-east1-b.c.omc-base-platform-prod.internal	10.255.24.146 base-platform-mongod-02.asia-east1-a.c.omc-base-platform-prod.internal 	10.255.24.147 base-platform-mongod-03.asia-east1-c.c.omc-base-platform-prod.internal 	10.255.24.148 IP Hostname OS Cloud Project Tier Top Severity Critical High Medium Low Total Primary 10.255.24.148 base-platform-mongod-03.asia-east1-c.c.omc-base-platform-prod.internal CentOS Linux 7.9.2009 omc-base-platform-prod database Critical 1 30 19 21 71   10.255.24.147 base-platform-mongod-02.asia-east1-a.c.omc-base-platform-prod.internal CentOS Linux 7.9.2009 omc-base-platform-prod database Critical 1 30 19 21 71   10.255.24.146 base-platform-mongod-01.asia-east1-b.c.omc-base-platform-prod.internal CentOS Linux 7.9.2009 omc-base-platform-prod database Critical 1 30 19 21 71 P Các Vulns cần fix liên quan đến: Linux Kernel Update Linux Package Update (chi tiết trong file của team ANBM) Quy tắc thực hiện: Kernel update yêu cầu REBOOT =&gt; cần phối hợp với dự án để thống nhất thời gian thực hiện,  thực hiện ban đêm, giờ thấp điểm Snapshot VM trước khi thực hiện Xác nhận không có batch job / scheduled task quan trọng chạy trong thời gian update VM Xác định package + version cụ thể từ tab Qualys_Vulns (cột Results) Snapshot VM trước khi thực hiện Test update trên 1 host standby trước, sau đó mới áp dụng cho các host còn lại.</t>
  </si>
  <si>
    <t>[OMC][PROD] Fix vul mssql hệ thống loyalty project oneid-loyalty-core-prod</t>
  </si>
  <si>
    <t>2026-04-07T14:24:40.496+0700</t>
  </si>
  <si>
    <t>2026-04-10T09:21:14.547+0700</t>
  </si>
  <si>
    <t>Fix vul mssql hệ thống loyalty project oneid-loyalty-core-prod Tiến hành fix vul 2 server  project:  oneid-loyalty-core-prod VM instance:  10.255.23.237  oe-extended-service 10.255.23.242  oe-ms-sql Thời gian thực hiện ngày 9/4/2025: 10:00PM-&gt; 12:00PM</t>
  </si>
  <si>
    <t>[AI] - Create database cho litellm ai-proxy service</t>
  </si>
  <si>
    <t>2026-04-07T12:19:25.588+0700</t>
  </si>
  <si>
    <t>2026-04-07T12:20:21.705+0700</t>
  </si>
  <si>
    <t>AIGuard</t>
  </si>
  <si>
    <t xml:space="preserve">Hi  @Nguyễn Văn Dũng   Tạo giúp anh database name litellm tại instance Postgres bên dưới nhé. Project Instance name IP Database name vinid-security om-security-postgres-prod-litellm 172.31.4.120 litellm ticket liên quan: </t>
  </si>
  <si>
    <t>2026-04-07T10:20:56.698+0700</t>
  </si>
  <si>
    <t>2026-04-07T10:23:02.834+0700</t>
  </si>
  <si>
    <t>Nhờ các a chạy câu SQL update giúp e với ạ: update onboarding_profile set status_onboarding_pos = 'WAITING_FOR_TAX_DECLARATION_SUBMISSION' where merchant_id in (5551255831191520733,8807236324152761953) ; instance: mhpos-common-prod-postgres - 172.31.4.36 DB: mhpos_fiscal</t>
  </si>
  <si>
    <t>[Merchant-TCB] Hỗ trợ cập nhật dữ liệu 20260407</t>
  </si>
  <si>
    <t>2026-04-07T10:17:35.506+0700</t>
  </si>
  <si>
    <t>2026-04-07T10:18:44.364+0700</t>
  </si>
  <si>
    <t>Dear team, Nhờ team chạy giúp câu lệnh bên dưới ạ. Thông tin database https://console.cloud.google.com/sql/instances/merchant-tcb/overview?inv=1&amp;invt=AbsndA&amp;project=vinid-merchant-prod DB_MYSQL_HOST=172.31.4.108
DB_MYSQL_DATABASE=merchant_service_tcb Câu lệnh UPDATE tpay_store
SET
	industry = '5812'
WHERE
	id IN (1481946);</t>
  </si>
  <si>
    <t>[OMC][ONEU] [Prod] Hỗ trợ truy vấn dữ liệu prod</t>
  </si>
  <si>
    <t>2026-04-07T09:34:38.212+0700</t>
  </si>
  <si>
    <t>2026-04-07T09:35:26.034+0700</t>
  </si>
  <si>
    <t>Dear team DBA, Nhờ team chạy giúp em các câu lệnh sau để hỗ trợ điều tra issue trên production ạ DB Type: Postgresql project: omc-base-platform-prod db: omc_bp_authentication ip: 172.31.3.40 instances: omc-authentication select * from users_vinid where id = 20851603 DB Type: Mysql Project: vinid-service-platform-prod IP: 172.31.1.12 DB name: account_profile_service SELECT decrypt_data_aes_cbc_mode_fn(cipher_phone_number) as phone_number
FROM user_profile
WHERE user_id = 20851603;</t>
  </si>
  <si>
    <t xml:space="preserve">[UPAY] Tác động database hỗ trợ tính phí </t>
  </si>
  <si>
    <t>2026-04-07T08:04:51.285+0700</t>
  </si>
  <si>
    <t>2026-04-07T08:05:04.751+0700</t>
  </si>
  <si>
    <t>Hi anh Dũng. Team có thực hiện update thông tin cho merchant. Nhờ anh hỗ trợ giúp team với ạ Thông tin database jdbc:mysql://pay-tidb.int.onemount.com:4000/saas_tpay Thời gian thực thi: Ngay sau khi được approval   script ALTER TABLE FEE_SETTLEMENT
MODIFY merchant_name VARCHAR(255) COLLATE utf8mb4_unicode_ci DEFAULT NULL,
MODIFY store_name VARCHAR(255) COLLATE utf8mb4_unicode_ci DEFAULT NULL,
MODIFY terminal_name VARCHAR(255) COLLATE utf8mb4_unicode_ci DEFAULT NULL;</t>
  </si>
  <si>
    <t>Hỗ trợ cập nhật treo trạng thái wave kho MAG03</t>
  </si>
  <si>
    <t>2026-04-06T18:18:57.436+0700</t>
  </si>
  <si>
    <t>2026-04-06T18:19:37.458+0700</t>
  </si>
  <si>
    <t>Hi DBA team, Hiện tại kho M053 cần fix lỗi dữ liệu, nhờ team DBA hỗ trợ cập nhật theo thông tin dưới đây Project : vinid-b2b-platform-prod Instance/IP : main (read-write): 172.31.4.59 Port : 3306 Database : omd_wms_mag update wave_order_item woi 
join wave_order_header woh on woh.id = woi.header_id
set woi.status = 'FULFILLED',
woi.reserved_quantity = 0,
woi.picked_quantity = woi.requested_quantity,
woh.status = 'FULFILLED'
where woh.id in (108, 109);</t>
  </si>
  <si>
    <t>[VCM] Cập nhật thông tin số lượng serial trên hệ thống OneVC</t>
  </si>
  <si>
    <t>2026-04-06T15:54:11.345+0700</t>
  </si>
  <si>
    <t>2026-04-06T15:55:10.294+0700</t>
  </si>
  <si>
    <t>Hiện tại số lượng serial trên hệ thống OneVC đang không khớp với dữ liệu từ Voucher Distribution. Nhờ team DBA hỗ trợ thực hiện chạy script migrate bên dưới nhằm cập nhật và đồng bộ lại dữ liệu. Thông tin database: IP:  172.31.4.126 Database:  onevc_vwm_prod ,  onevc_vsm_prod Script migrate: UPDATE
	onevc_vsm_prod.distribute_lock d
SET
	d.total_stock = 9000
WHERE
	d.sale_code = 'VD_VC_1761039702550';
UPDATE
	onevc_vsm_prod.sale s
SET
	s.total_stock = 9000
WHERE
	s.code = 'VD_VC_1761039702550';
UPDATE
	onevc_vwm_prod.warehouse w
SET
	w.capacity = 9000
WHERE
	w.code = 'VD_WH_1761039702459';
UPDATE
	onevc_vsm_prod.distribute_lock d
SET
	d.total_stock = 6550
WHERE
	d.sale_code = 'VD_VC_1756376236202';
UPDATE
	onevc_vsm_prod.sale s
SET
	s.total_stock = 6550
WHERE
	s.code = 'VD_VC_1756376236202';
UPDATE
	onevc_vwm_prod.warehouse w
SET
	w.capacity = 6550
WHERE
	w.code = 'VD_WH_1756376236059';</t>
  </si>
  <si>
    <t>[OMD][TCB-MerchantHUB][PROD] Update dữ liệu trên bảng e_invoice_registrations</t>
  </si>
  <si>
    <t>2026-04-06T15:52:58.379+0700</t>
  </si>
  <si>
    <t>2026-04-06T15:55:44.597+0700</t>
  </si>
  <si>
    <t>Em chào anh Dũng ạ! Nhờ anh chạy giúp câu SQL update này với ạ: UPDATE e_invoice_registrations SET tax_authority_code = '1140865' WHERE id = 'd5191eef-ffab-4242-9d1b-128eb8113c88'; instance: mhpos-common-prod-postgres - 172.31.4.36 DB: mhpos_fiscal Em cảm ơn anh ạ!</t>
  </si>
  <si>
    <t>[OM][PROD]Fix vulns VM OEM</t>
  </si>
  <si>
    <t>2026-04-06T15:44:55.499+0700</t>
  </si>
  <si>
    <t>2026-04-07T15:38:29.574+0700</t>
  </si>
  <si>
    <t>Fix vulns cho máy OEM: https://console.cloud.google.com/compute/instancesDetail/zones/asia-east1-b/instances/oracle-oem?project=vinid-app-monitor-prod 10.255.24.128 oracle-oem.asia-east1-b.c.vinid-app-monitor-prod.internal oracle-oem</t>
  </si>
  <si>
    <t>[Merchant-TCB] Hỗ trợ cập nhật dữ liệu 20260406</t>
  </si>
  <si>
    <t>2026-04-06T15:04:05.548+0700</t>
  </si>
  <si>
    <t>2026-04-06T15:10:11.804+0700</t>
  </si>
  <si>
    <t>Dear team, Nhờ team chạy giúp câu lệnh bên dưới ạ. Thông tin database https://console.cloud.google.com/sql/instances/merchant-tcb/overview?inv=1&amp;invt=AbsndA&amp;project=vinid-merchant-prod DB_MYSQL_HOST=172.31.4.108
DB_MYSQL_DATABASE=merchant_service_tcb Câu lệnh UPDATE tpay_store
SET
	industry = '5812'
WHERE
	id IN (1478714, 1482922, 1483656);</t>
  </si>
  <si>
    <t>[OMD][Kafka][NONPROD] Update config kafka topic cho nguồn mhpos_payment</t>
  </si>
  <si>
    <t>2026-04-06T14:28:08.728+0700</t>
  </si>
  <si>
    <t>2026-04-07T12:05:59.887+0700</t>
  </si>
  <si>
    <t>Dữ liệu kafka nguồn mhpos_payment đang không đẩy về message mới, nhờ anh Linh config lại ak. db:  172.31.0.93 :5432? mhpos_payment_qc</t>
  </si>
  <si>
    <t>[OMD][Kafka][NONPROD] Update config kafka topic cho nguồn mhpos_catalog</t>
  </si>
  <si>
    <t>2026-04-06T14:28:03.987+0700</t>
  </si>
  <si>
    <t>2026-04-07T11:20:31.160+0700</t>
  </si>
  <si>
    <t>Dữ liệu kafka nguồn mhpos_catalog đang không đẩy về message mới, nhờ anh Linh config lại ak. db:  172.31.0.93 :5432? mhpos_catalog_qc</t>
  </si>
  <si>
    <t>[OMD][Kafka][NONPROD] Update config kafka topic cho nguồn mhpos_oms</t>
  </si>
  <si>
    <t>2026-04-06T14:27:58.658+0700</t>
  </si>
  <si>
    <t>2026-04-07T11:45:16.030+0700</t>
  </si>
  <si>
    <t>Dữ liệu kafka nguồn mhpos_oms đang không đẩy về message mới, nhờ anh Linh config lại ak. db:  172.31.0.93 :5432? mhpos_oms_qc</t>
  </si>
  <si>
    <t>[OMD][Kafka][NONPROD] Tạo kafka topic cho bảng nguồn mhpos_payment</t>
  </si>
  <si>
    <t>2026-04-06T14:27:00.319+0700</t>
  </si>
  <si>
    <t>2026-04-07T12:03:28.581+0700</t>
  </si>
  <si>
    <t>Hiện tại OMD đang có nhu cầu kéo dữ liệu bảng sau nhờ anh Linh tạo kafka topic ở môi trường NONPROD giúp team để kéo data về DP. PROD: IP host:  172.31.0.93 :5432 Schema: mhpos_payment_qc Table list: payment_info</t>
  </si>
  <si>
    <t>[OMD][Kafka][NONPROD] Update config kafka topic cho nguồn mhpos_fiscal</t>
  </si>
  <si>
    <t>2026-04-06T14:19:16.000+0700</t>
  </si>
  <si>
    <t>2026-04-07T20:01:31.489+0700</t>
  </si>
  <si>
    <t>Dữ liệu kafka nguồn mhpos_fiscal đang không đẩy về message mới, nhờ anh Linh config lại ak. db:  172.31.0.93 :5432? mhpos_fiscal_qc</t>
  </si>
  <si>
    <t>Dựng database nonprod cho app Sao Moc Policy Agent</t>
  </si>
  <si>
    <t>2026-04-06T13:09:19.664+0700</t>
  </si>
  <si>
    <t>2026-04-07T17:27:29.142+0700</t>
  </si>
  <si>
    <t>Nhờ team DBA cấp giúp em db postgres (+extension vector) nonprod nhé ạ: database: sm-policy-agent Cấu hình: 1 vCPU, 3.75 GiB RAM, 10 GiB HDD Ticket SRE:  https://onemount.atlassian.net/browse/SRE-16582?focusedCommentId=1875298&amp;sourceType=mention Tạo giúp em  username: saomoc   Phân quyền DML, DDL cho user giúp em nhé ạ. Em cảm ơn.</t>
  </si>
  <si>
    <t>2026-04-06T10:33:22.323+0700</t>
  </si>
  <si>
    <t>2026-04-07T17:27:24.252+0700</t>
  </si>
  <si>
    <t>Dear Support Team, Nhờ tạo giúp em database Non-Prod trên RDS trên hạ tâng MAG AWS theo thông tin sau  fins-platform-core-dev fins-platform-core-qc fins-platform-core-uat fins-platform-cashflow-dev fins-platform-cashflow-qc fins-platform-cashflow-uat</t>
  </si>
  <si>
    <t>[Saitama][SmartPOS] Release 04/04/2026: chạy script alter các bảng và migrate dữ liệu môi trường PROD nghiệp vụ 1 merchant onboard nhiều STK</t>
  </si>
  <si>
    <t>2026-04-05T09:58:03.754+0700</t>
  </si>
  <si>
    <t>2026-04-06T11:07:07.723+0700</t>
  </si>
  <si>
    <t>Hi anh Dũng. Nhờ anh chạy giúp em script dưới đây nhằm alter các bảng và migrate dữ liệu, môi trường  PRODUCTION  theo thông tin dưới đây ạ: Thời gian chạy script: Vào lúc  23h59p ngày 04/04/2026   - Khi team thông báo. Thông tin database:  jdbc:mysql://pay-tidb.int.onemount.com:4000/saas_tpay Note : anh thực hiện chạy script theo thứ tự  20260306_schema_changes.sql  trước, rồi chạy  20260306_sync_master_account.sql  ạ. Script đính kèm bên dưới ạ.</t>
  </si>
  <si>
    <t>2026-04-04T12:11:16.298+0700</t>
  </si>
  <si>
    <t>2026-04-04T12:11:22.873+0700</t>
  </si>
  <si>
    <t>Nhờ các anh chạy câu SQL update sau giúp e với ạ: update e_invoice_registrations set tax_id = citizen_id_number
where merchant_id in (7782500654935528649,4811313021643482493,7502843770320696515,960587246667815614,7782500654935528649,5642140815153974327,210123650671931085); instance: mhpos-common-prod-postgres - 172.31.4.36 DB: mhpos_fiscal</t>
  </si>
  <si>
    <t>[LP][Core] - Tạo table cho database Oneloyalty Budget</t>
  </si>
  <si>
    <t>2026-04-04T10:58:09.640+0700</t>
  </si>
  <si>
    <t>2026-04-04T11:00:37.798+0700</t>
  </si>
  <si>
    <t>Dear DBA, Nhờ team chạy các scripts file đính kèm sau để init table cho module Oneloyalty Budget. Note: Chạy theo thứ tự file   000002   , 000003 ,  000004 Thông tin DB: IP : 172.31.4.101 Database: oneloyalty_budget Thanks!</t>
  </si>
  <si>
    <t>2026-04-04T10:07:09.703+0700</t>
  </si>
  <si>
    <t>2026-04-04T10:07:14.019+0700</t>
  </si>
  <si>
    <t xml:space="preserve">Hỗ trợ lấy danh sách accept challenge cho campaign TCB Host:  172.31.4.75 DB: promo_gamezone Query: SELECT 
    u.customer_id, 
    ac.created_at,
    ac.user_id
FROM 
    `accept_challenge` ac
JOIN 
    `users` u ON ac.user_id = u.id
WHERE 
    ac.campaign_id = 119 AND ac.created_at &gt;= '2026-03-31 00:00:00' AND ac.created_at &lt; '2026-04-04 00:00:00';; Theo yêu cầu vận hành Techcombank </t>
  </si>
  <si>
    <t>[DB][GiaBinh][ManMac] Migrate Schema Database</t>
  </si>
  <si>
    <t>2026-04-04T08:24:27.049+0700</t>
  </si>
  <si>
    <t>2026-04-04T08:25:15.313+0700</t>
  </si>
  <si>
    <t xml:space="preserve">Type: Postgres DB Name: sitegate_app_server Nhờ anh  @Đào Công Nghĩa  chạy giúp em script sau cho môi trường Non-Prod </t>
  </si>
  <si>
    <t>2026-04-04T08:24:04.659+0700</t>
  </si>
  <si>
    <t>2026-04-04T08:25:05.762+0700</t>
  </si>
  <si>
    <t>[OMC][LP][Core] - Tạo database mới cho Budget module</t>
  </si>
  <si>
    <t>2026-04-03T18:47:54.419+0700</t>
  </si>
  <si>
    <t>2026-04-03T19:13:45.291+0700</t>
  </si>
  <si>
    <t>Dear DBA, Nhờ team tạo mới database và user theo thông tin sau; DB Instance:  https://console.cloud.google.com/sql/instances/oneloyalty-background/overview?project=vinid-loyalty-prod Database: oneloyalty_budget user: oneloyalty_budget Thanks!</t>
  </si>
  <si>
    <t>[Prod] migrate dữ liệu store applied</t>
  </si>
  <si>
    <t>2026-04-03T18:29:53.619+0700</t>
  </si>
  <si>
    <t>2026-04-03T18:31:21.681+0700</t>
  </si>
  <si>
    <t>IP: 172.31.1.41  Database: vincart_mm_product query UPDATE apply_stores SET merchant_id = 372704 WHERE id = 48467;</t>
  </si>
  <si>
    <t>Cập nhật thông tin tỷ lệ quy đổi khi thực hiện tạo nhiệm vụ cất hàng kho M016</t>
  </si>
  <si>
    <t>2026-04-03T15:16:27.476+0700</t>
  </si>
  <si>
    <t>2026-04-03T15:16:53.605+0700</t>
  </si>
  <si>
    <t>Description Description Hi DBA team, Hiện tại nghiệp vụ có nhu cầu cập nhật  thông tin tỷ lệ quy đổi khi thực hiện tạo nhiệm vụ cất hàng kho M016 Câu query đánh giá là không ảnh hưởng đến vận hành hệ thống nên mong muốn chạy luôn Cụm WMS Project : vinid-b2b-platform-prod Instance/IP : main (read-write): 172.31.4.59 Port : 3306 Database : omd_wms_mag Script update order_item oi 
set oi.transaction_qty = oi.orig_qty * oi.pc_per_ctn,
oi.last_modified_date = UTC_TIMESTAMP
where oi.order_hdr_id = 1387 and oi.order_item_id not in (20533, 20539, 20540, 20534);</t>
  </si>
  <si>
    <t>[UPay][PROD] Hỗ trợ cấu hình nguồn tiền TCB Direct ngày 25/3/2026</t>
  </si>
  <si>
    <t>2026-04-03T14:13:43.012+0700</t>
  </si>
  <si>
    <t>2026-04-03T14:13:52.984+0700</t>
  </si>
  <si>
    <t>Dear team DBA, 22h tối 2/4 team cần Bật/tắt cấu hình dịch vụ TCB Direct để hỗ trợ OMC test dịch vụ, nhờ anh/em support ạ Thông tin DB:  vinpay-sql-onehub-master.int.vinid.net:3306/pay_payment_gateway Lệnh bật cấu hình: UPDATE pay_payment_gateway.PROVIDER SET IS_ACTIVE=1 WHERE provider_id='41';
UPDATE pay_payment_gateway.MERCHANT_SOURCE_OF_FUND set is_active=true where merchant_id=172 and source_of_fund_id=3; Lệnh tắt cấu hình: UPDATE pay_payment_gateway.PROVIDER SET IS_ACTIVE=0 WHERE provider_id='41';  </t>
  </si>
  <si>
    <t>[OMD CDP][Prod] Thêm cột mới cho bảng DP_GT_LABEL_LIFETIME</t>
  </si>
  <si>
    <t>2026-04-03T11:03:53.360+0700</t>
  </si>
  <si>
    <t>2026-04-03T11:04:18.753+0700</t>
  </si>
  <si>
    <t xml:space="preserve">Để phục vụ việc phát triển OMD CDP trên môi trường prod nhằm mục đích tạo nhãn GT ZONE (theo ticket  DWHV2-12785 ) , nhờ team hỗ trợ giúp em trên TiDB  omd-tidb.int.onemount.com:4000 : Database: omd_cdp_data_from_dp Review script và tạo bảng dữ liệu  omd_cdp_data_from_dp.DP_GT_LABEL_LIFETIME : Dự kiến insert trong lần đầu chạy: 2611530 bản ghi Script: ALTER TABLE omd_cdp_data_from_dp.DP_GT_LABEL_LIFETIME ADD gt_zone varchar(12); Em cảm ơn team ạ! cc anh  @Trần Nguyên Anh  , anh  @Bùi Văn Lực  </t>
  </si>
  <si>
    <t>2026-04-03T10:24:13.622+0700</t>
  </si>
  <si>
    <t>2026-04-03T11:48:03.949+0700</t>
  </si>
  <si>
    <t>IP (Host):   ces-production.crcykac8kxtw.ap-southeast-1.rds.amazonaws.com Port:  3306 DB Name:  ces_mh_mpm Command:   INSERT INTO hrm_contractor(id, code, name, tenant_id, created_date, created_by, deleted)
VALUES (UUID(), 'APAVE', 'Công ty TNHH Apave Châu Á - TBD', '51488fa2-c938-4fcc-a53f-a34f338d49aa', now(), 'admin', 0),
       (UUID(), 'HMG', 'Công ty TNHH HanmiGlobal Vietnam', '51488fa2-c938-4fcc-a53f-a34f338d49aa', now(), 'admin', 0),
       (UUID(), 'CORE', 'Công ty TNHH Quản lý dự án CORE ASIA', '51488fa2-c938-4fcc-a53f-a34f338d49aa', now(), 'admin',
        0),
       (UUID(), 'TACHENG', 'CÔNG TY TNHH KIM LOẠI TACHENG', '51488fa2-c938-4fcc-a53f-a34f338d49aa', now(), 'admin', 0),
       (UUID(), 'CTD', 'COTECCONS - CTD', '51488fa2-c938-4fcc-a53f-a34f338d49aa', now(), 'admin', 0),
       (UUID(), 'FOUNTECH', 'Công ty Cổ phần Fountech', '51488fa2-c938-4fcc-a53f-a34f338d49aa', now(), 'admin', 0),
       (UUID(), 'LGF', 'Công ty cổ phần xây dựng nền móng Long Giang', '51488fa2-c938-4fcc-a53f-a34f338d49aa', now(),
        'admin', 0),
       (UUID(), 'ECOBA', 'CÔNG TY CỔ PHẦN ECOBA VIỆT NAM', '51488fa2-c938-4fcc-a53f-a34f338d49aa', now(), 'admin', 0),
       (UUID(), 'KAI', 'CÔNG TY CP XD VÀ TM KAI VIỆT NAM', '51488fa2-c938-4fcc-a53f-a34f338d49aa', now(), 'admin', 0),
       (UUID(), 'HBC', 'CÔNG TY CỔ PHẦN ĐẦU TƯ TM VẢ KT HÒA BÌNH', '51488fa2-c938-4fcc-a53f-a34f338d49aa', now(),
        'admin', 0),
       (UUID(), 'REICH', 'CÔNG TY CỔ PHẦN REICH', '51488fa2-c938-4fcc-a53f-a34f338d49aa', now(), 'admin', 0),
       (UUID(), 'WOODSLAND', 'CÔNG TY CỔ PHẦN WOODSLAND', '51488fa2-c938-4fcc-a53f-a34f338d49aa', now(), 'admin', 0),
       (UUID(), 'DELTA', 'CÔNG TY TNHH TẬP ĐOÀN XÂY DỰNG DELTA', '51488fa2-c938-4fcc-a53f-a34f338d49aa', now(), 'admin',
        0),
       (UUID(), 'SCHINDLER', 'CÔNG TY TNHH SCHINDLER VIỆT NAM', '51488fa2-c938-4fcc-a53f-a34f338d49aa', now(), 'admin',
        0),
       (UUID(), 'DPCONS', 'CÔNG TY TNHH KỸ THUẬT XÂY DỰNG ĐỒNG PHONG (VIỆT NAM)',
        '51488fa2-c938-4fcc-a53f-a34f338d49aa', now(), 'admin', 0),
       (UUID(), 'PTCONS', 'CÔNG TY CỔ PHẦN XÂY DỰNG PHƯỚC THÀNH ', '51488fa2-c938-4fcc-a53f-a34f338d49aa', now(),
        'admin', 0),
       (UUID(), 'DNES', 'CÔNG TY TNHH GIẢI PHÁP VÀ MÔI TRƯỜNG ĐẠI NAM', '51488fa2-c938-4fcc-a53f-a34f338d49aa', now(),
        'admin', 0),
       (UUID(), 'LONGBIEN', 'CN CÔNG TY CPĐT LONG BIÊN', '51488fa2-c938-4fcc-a53f-a34f338d49aa', now(), 'admin', 0),
       (UUID(), 'LKTECH', 'Công ty TNHH Công Nghệ Long Khang', '51488fa2-c938-4fcc-a53f-a34f338d49aa', now(), 'admin',
        0),
       (UUID(), 'ALUMAX', 'Công ty CP Alumax Việt Nam', '51488fa2-c938-4fcc-a53f-a34f338d49aa', now(), 'admin', 0),
       (UUID(), 'PTWOOD', 'Công ty TNHH Chế Biến Gỗ Phương Trung', '51488fa2-c938-4fcc-a53f-a34f338d49aa', now(),
        'admin', 0),
       (UUID(), 'LSB', 'CÔNG TY CỔ PHẦN LUCKY STEEL BUILDINGS', '51488fa2-c938-4fcc-a53f-a34f338d49aa', now(), 'admin',
        0),
       (UUID(), 'TAFCO', 'CÔNG TY CỔ PHẦN TAFCO HÀ NỘI', '51488fa2-c938-4fcc-a53f-a34f338d49aa', now(), 'admin', 0),
       (UUID(), 'HCTT', 'Công ty cổ phần Kiểm định và kỹ thuật xây dựng Hà Nội', '51488fa2-c938-4fcc-a53f-a34f338d49aa',
        now(), 'admin', 0),
       (UUID(), 'NEWTECONS', 'CÔNG TY CỔ PHẦN ĐẦU TƯ XÂY DỰNG NEWTECONS', '51488fa2-c938-4fcc-a53f-a34f338d49aa', now(),
        'admin', 0),
       (UUID(), 'BMW', 'Công ty cổ phần BM WINDOWS', '51488fa2-c938-4fcc-a53f-a34f338d49aa', now(), 'admin', 0),
       (UUID(), 'GEC', 'Công ty TNHH General E&amp;C (GEC)', '51488fa2-c938-4fcc-a53f-a34f338d49aa', now(), 'admin', 0),
       (UUID(), 'TKE', 'Công ty TK Elevator Việt Nam', '51488fa2-c938-4fcc-a53f-a34f338d49aa', now(), 'admin', 0),
       (UUID(), 'TSSTONE', 'Công ty Cổ phần đá Granite &amp; Marble tự nhiên Thiên Sơn',
        '51488fa2-c938-4fcc-a53f-a34f338d49aa', now(), 'admin', 0),
       (UUID(), 'ALC', 'Công ty cổ phần thương mại dịch vụ Đất Mới - ALC CORP', '51488fa2-c938-4fcc-a53f-a34f338d49aa',
        now(), 'admin', 0),
       (UUID(), 'CENTRAL', 'Công ty cổ phần xây dựng CENTRAL', '51488fa2-c938-4fcc-a53f-a34f338d49aa', now(), 'admin',
        0),
       (UUID(), 'SOLEC', 'CÔNG TY CỔ PHẦN ĐẦU TƯ XÂY DỰNG SOL E&amp;C', '51488fa2-c938-4fcc-a53f-a34f338d49aa', now(),
        'admin', 0),
       (UUID(), 'TERRACONS', 'Công Ty TNHH Đầu Tư và Xây Dựng Terracons', '51488fa2-c938-4fcc-a53f-a34f338d49aa', now(),
        'admin', 0),
       (UUID(), 'FERROLI', 'Công ty TNHH Ferroli Asean', '51488fa2-c938-4fcc-a53f-a34f338d49aa', now(), 'admin', 0),
       (UUID(), 'TRUONGLOC', 'Công Ty Cổ Phần Xây Lắp và Thương Mại Trường Lộc', '51488fa2-c938-4fcc-a53f-a34f338d49aa',
        now(), 'admin', 0),
       (UUID(), 'GOLDENBEE', 'Công Ty TNHH MTV Kiến trúc Xây dựng Ong vàng', '51488fa2-c938-4fcc-a53f-a34f338d49aa',
        now(), 'admin', 0),
       (UUID(), 'VNEXIM', 'Công ty cổ phần kinh doanh thương mại xuất nhập khẩu Việt Nam',
        '51488fa2-c938-4fcc-a53f-a34f338d49aa', now(), 'admin', 0),
       (UUID(), 'HAFELE', 'Công ty TNHH Hafele Việt Nam', '51488fa2-c938-4fcc-a53f-a34f338d49aa', now(), 'admin', 0),
       (UUID(), 'H2VN', 'CÔNG TY CỔ PHẦN ĐẦU TƯ XÂY DỰNG VÀ THƯƠNG MẠI H2 VIỆT NAM',
        '51488fa2-c938-4fcc-a53f-a34f338d49aa', now(), 'admin', 0);</t>
  </si>
  <si>
    <t>[OMC][MTP] Hỗ trợ migrate dữ liệu user-tags</t>
  </si>
  <si>
    <t>2026-04-03T10:11:47.719+0700</t>
  </si>
  <si>
    <t>2026-04-03T10:12:43.240+0700</t>
  </si>
  <si>
    <t>tagging</t>
  </si>
  <si>
    <t>Dear anh  @Nguyễn Văn Dũng  ,  @Đào Công Nghĩa  , Nhờ a/e hỗ trợ team migrate dữ liệu user-tags. Chi tiết script sẽ bổ sung trong comment nhé ạ. Best regards Dao Quang Cong</t>
  </si>
  <si>
    <t>[OM][NonProd] shrink disk instance main-mysql-8-2</t>
  </si>
  <si>
    <t>2026-04-03T00:05:15.542+0700</t>
  </si>
  <si>
    <t>2026-04-03T07:48:40.102+0700</t>
  </si>
  <si>
    <t>hiện tại team đang thấy instance  main-mysql-8-2 có tăng đột biến bất thường về disk lên 60TB nên tối nay 2026-04-02 team sẽ phối hợp với SRE team để shrink disk về đúng với thực trạng sử dụng việc shrink sẽ mất khoảng 5 tiếng bắt đầu từ 22h https://chat.google.com/room/AAAAcHNpZ7U/UqfsKa3nSRs/UqfsKa3nSRs?cls=10</t>
  </si>
  <si>
    <t>[OMC][MFT][Flash Sale TCB] Scale down resource 01/04/2026</t>
  </si>
  <si>
    <t>2026-04-02T16:57:56.874+0700</t>
  </si>
  <si>
    <t>2026-04-02T16:58:14.246+0700</t>
  </si>
  <si>
    <t>Nhờ team DBA hỗ trợ thực hiện hạ cấu hình database sau khi đã như thông tin bên dưới  Database IP TO Cấu hình CPU Cấu hình CPU sau hạ main 172.31.1.41 @Nguyễn Ngọc Thạch @Nguyễn Tá Lợi 32 vCPUs 64 GB RAM 16 vCPUs 32 GB RAM Thời gian thực hiện : 1AM 01/04/2026 Xem thêm :    Em cám ơn</t>
  </si>
  <si>
    <t>[OMD][TCB-MerchantHUB][PROD] Cấp quyền read dữ liệu trên database mhpos_catalog, mhpos_fiscal</t>
  </si>
  <si>
    <t>2026-04-02T16:27:06.896+0700</t>
  </si>
  <si>
    <t>2026-04-02T16:27:14.198+0700</t>
  </si>
  <si>
    <t>Hiện tại, OMD dùng user  dataplatform_ingestion  để ingest dữ liệu về data platform. User hiện tại đã xin quyền đọc read all tables. Tuy nhiên đang gặp trường hợp, dữ liệu nguồn có nhưng user không read được dữ liệu. (quyền RLS) db: 172.31.4.29:5432?mhpos_catalog  db: 172.31.4.36:5432?mhpos_payment Nhờ anh Linh hỗ trợ thêm quyền liên quan đến RLS giúp ạ.</t>
  </si>
  <si>
    <t>[OMD][TCB-MerchantHUB][PROD] Cấp quyền read dữ liệu trên database MHPOS</t>
  </si>
  <si>
    <t>2026-04-02T15:55:47.127+0700</t>
  </si>
  <si>
    <t>2026-04-02T16:12:02.525+0700</t>
  </si>
  <si>
    <t>Hiện tại, OMD dùng user  dataplatform_ingestion, dbzadmin  để ingest và CDC dữ liệu về data platform. User hiện tại đã xin quyền đọc read all tables. Tuy nhiên đang gặp trường hợp, dữ liệu nguồn có nhưng user không read được dữ liệu. (quyền RLS) db: 172.31.4.29:5432?mhpos_catalog  db: 172.31.4.36:5432?mhpos_payment db: 172.31.4.37:5432?mhpos_oms db: 172.31.4.36:5432?mhpos_fiscal Nhờ anh Linh hỗ trợ thêm quyền liên quan đến RLS giúp ạ.</t>
  </si>
  <si>
    <t>2026-04-02T15:53:57.631+0700</t>
  </si>
  <si>
    <t>2026-04-02T15:54:45.803+0700</t>
  </si>
  <si>
    <t>Nhờ a Dũng chạy 2 câu SQL update sau giúp e với ạ: update onboarding_profile
set  status_onboarding_pos = 'WAITING_FOR_CA_PASSCODE'
where merchant_id = 1917890630683202570;
update onboarding_profile
set  status_onboarding_pos = 'WAITING_FOR_TAX_DECLARATION_SUBMISSION'
where merchant_id in (260630354969195049,3471692743349863526) ; instance: mhpos-common-prod-postgres - 172.31.4.36 DB: mhpos_fiscal</t>
  </si>
  <si>
    <t>2026-04-02T12:10:25.353+0700</t>
  </si>
  <si>
    <t>2026-04-02T12:18:48.158+0700</t>
  </si>
  <si>
    <t>Trường thông tin Nội dung mẫu IP (Host) ces-production.crcykac8kxtw.ap-southeast-1.rds.amazonaws.com Port 3306 DB Name ces_mh_mpm **code trong attachment</t>
  </si>
  <si>
    <t>[PROD] update thông tin sản phẩm</t>
  </si>
  <si>
    <t>2026-04-02T11:09:49.341+0700</t>
  </si>
  <si>
    <t>2026-04-02T11:11:02.209+0700</t>
  </si>
  <si>
    <t>Dear DBA team, Nhờ team hỗ  trợ chạy giúp script: Thông tin DB: IP: 172.31.1.41
Database: vincart_mm_product Lệnh update: UPDATE entity_attributes_values
SET value = replace(value, '"merchant_name":"SAI GON SMILE"', '"merchant_name":"Saigon Smile Medical"')
WHERE name = 'voucher_accepted_merchants'
  and entity_id in (1078244, 1078243)
  and type = 'VARIANT';</t>
  </si>
  <si>
    <t>2026-04-02T09:14:28.429+0700</t>
  </si>
  <si>
    <t>2026-04-02T09:14:51.131+0700</t>
  </si>
  <si>
    <t>Dear DBA team, Nhờ team hỗ  trợ chạy giúp script: Thông tin DB: IP: 172.31.1.41
Database: vincart_mm_product Lệnh update: UPDATE entity_attributes_values
SET value = replace(value, '"merchant_name":"Saigon Smile"', '"merchant_name":"Saigon Smile Medical"')
WHERE name = 'voucher_accepted_merchants'
  and entity_id in (1078244, 1078243)
  and type = 'VARIANT';</t>
  </si>
  <si>
    <t>2026-04-01T17:59:58.103+0700</t>
  </si>
  <si>
    <t>2026-04-01T18:00:46.911+0700</t>
  </si>
  <si>
    <t>Dear a  @Nguyễn Văn Dũng ,  @Đào Công Nghĩa  , nhờ anh em chạy giúp em script sau với ạ. -- DB: 172.31.1.21:3306
-- Schema: mtp_martech_profile
INSERT INTO mtp_martech_profile.mtp_anonymous_profile_segmentation_job
	(`id`, `segmentation_id`, `status`, `hash`, `properties`, `external_properties`, `created_at`, `display_name`, `display_order`)
VALUES 
-- OneU --
-- Inspire Truly - New to tier
(
    'fc071f5b-e401-41be-9afe-00ab6e468309',
    'f83a1b2542cd4e7b9a8c7fd638e2oskj',
    '',
    '0bab1ef764940ba9fa1eb15ec639b00070b4efb031afddd8e65b4b1071578faf',
    '{"AND":[{"attribute":"tier_start_date","operator":"","data_type":"","value":"","operator_expr":"tier_start_date &gt;= DATE_FORMAT(CURDATE(), ''%Y-%m-01'')"},{"attribute":"cst_tier_program","operator":"IN","data_type":"STRING","value":["TP_001","TP_008","TP_012","TP_015","TP_016","TP_029","TP_033","TP_034","TP_035"]},{"attribute":"cst_loyalty_tier","operator":"=","data_type":"STRING","value":"INS"}]}',
    '{}',
    NOW(),
    'Inspire Truly - New to tier',
    0
),
-- Inspire Non Truly - New to tier
(
    '11664a89-8750-4d5d-9986-ca1465d4875e',
    'f83a1b2542cd4e7b9a8c7fd638e2oskj',
    '',
    '71ad010c58b5cf91f3951ab785d9d3b173836b8c678c781687a11271dc15cf1b',
    '{"AND":[{"attribute":"tier_start_date","operator":"","data_type":"","value":"","operator_expr":"tier_start_date &gt;= DATE_FORMAT(CURDATE(), ''%Y-%m-01'')"},{"attribute":"cst_tier_program","operator":"NOT IN","data_type":"STRING","value":["TP_001","TP_008","TP_012","TP_015","TP_016","TP_029","TP_033","TP_034","TP_035"]},{"attribute":"cst_loyalty_tier","operator":"=","data_type":"STRING","value":"INS"}]}',
    '{}',
    NOW(),
    'Inspire Non Truly - New to tier',
    0
),
-- TCBM
-- Inspire Truly - New to tier
(
    'd0db6fa6-1cb0-43ec-a62f-d69cca924262',
    'f83a1b2542cd4e7b9a8c7fd638e2oskf',
    '',
    '0bab1ef764940ba9fa1eb15ec639b00070b4efb031afddd8e65b4b1071578faf',
    '{"AND":[{"attribute":"tier_start_date","operator":"","data_type":"","value":"","operator_expr":"tier_start_date &gt;= DATE_FORMAT(CURDATE(), ''%Y-%m-01'')"},{"attribute":"cst_tier_program","operator":"IN","data_type":"STRING","value":["TP_001","TP_008","TP_012","TP_015","TP_016","TP_029","TP_033","TP_034","TP_035"]},{"attribute":"cst_loyalty_tier","operator":"=","data_type":"STRING","value":"INS"}]}',
    '{}',
    NOW(),
    'Inspire Truly - New to tier',
    0
),
-- Inspire Non Truly - New to tier
(
    '71e1cea0-8533-494e-9dc4-82c3d34d8396',
    'f83a1b2542cd4e7b9a8c7fd638e2oskf',
    '',
    '71ad010c58b5cf91f3951ab785d9d3b173836b8c678c781687a11271dc15cf1b',
    '{"AND":[{"attribute":"tier_start_date","operator":"","data_type":"","value":"","operator_expr":"tier_start_date &gt;= DATE_FORMAT(CURDATE(), ''%Y-%m-01'')"},{"attribute":"cst_tier_program","operator":"NOT IN","data_type":"STRING","value":["TP_001","TP_008","TP_012","TP_015","TP_016","TP_029","TP_033","TP_034","TP_035"]},{"attribute":"cst_loyalty_tier","operator":"=","data_type":"STRING","value":"INS"}]}',
    '{}',
    NOW(),
    'Inspire Non Truly - New to tier',
    0
),
-- Inspire Truly - Remain to tier
(
    'f76b5f0d-b550-4da8-8735-47ae18b43594',
    'f83a1b2542cd4e7b9a8c7fd638e2oskf',
    '',
    '1dd7ea7ea67e548c9378221cf861d04bb31ab003b9b7012188b0656f2a219734',
    '{"AND":[{"attribute":"tier_start_date","operator":"","data_type":"","value":"","operator_expr":"tier_start_date &lt; DATE_FORMAT(CURDATE(), ''%Y-%m-01'')"},{"attribute":"cst_tier_program","operator":"IN","data_type":"STRING","value":["TP_001","TP_008","TP_012","TP_015","TP_016","TP_029","TP_033","TP_034","TP_035"]},{"attribute":"cst_loyalty_tier","operator":"=","data_type":"STRING","value":"INS"}]}',
    '{}',
    NOW(),
    'Inspire Truly - Remain to tier',
    0
),
-- Inspire Nontruly - Remain to tier
(
    '59430563-6d77-4306-8af3-5d5c344f4dae',
    'f83a1b2542cd4e7b9a8c7fd638e2oskf',
    '',
    '018d5922bc700cc46b9b92ae2fe9d38a866627f0e077a964ba7159514ae8775f',
    '{"AND":[{"attribute":"tier_start_date","operator":"","data_type":"","value":"","operator_expr":"tier_start_date &lt; DATE_FORMAT(CURDATE(), ''%Y-%m-01'')"},{"attribute":"cst_tier_program","operator":"NOT IN","data_type":"STRING","value":["TP_001","TP_008","TP_012","TP_015","TP_016","TP_029","TP_033","TP_034","TP_035"]},{"attribute":"cst_loyalty_tier","operator":"=","data_type":"STRING","value":"INS"}]}',
    '{}',
    NOW(),
    'Inspire Nontruly - Remain to tier',
    0
),
-- TCBM
-- LOCVANGANKHANG_INS_UP2TR
(
    '0213851f-eee1-4fe1-af3b-5e0578f306cf',
    'f83a1b2542cd4e7b9a8c7fd638e2oskf',
    '',
    '39aaaa5aeaa26b0d12e2a339ab536de5dd57610c0e33586f67869c628e033e7a',
    '{"AND":[{"attribute":"cst_target_group","operator":"","data_type":"","value":"","operator_expr":"JSON_CONTAINS(cst_target_group, ''[\\"LOCVANGANKHANG_INS_UP2TR\\"]'')"}]}',
    '{}',
    NOW(),
    'LOCVANGANKHANG_INS_UP2TR',
    0
),
-- LOCVANGANKHANG_INS_UP500K
(
    '11abff47-418c-44f2-aa37-7cd4e9c7fce9',
    'f83a1b2542cd4e7b9a8c7fd638e2oskf',
    '',
    '6ae8080346d559e67a8a6b625e5f8a903a449c64146903e0cd398a024541d0fc',
    '{"AND":[{"attribute":"cst_target_group","operator":"","data_type":"","value":"","operator_expr":"JSON_CONTAINS(cst_target_group, ''[\\"LOCVANGANKHANG_INS_UP500K\\"]'')"}]}',
    '{}',
    NOW(),
    'LOCVANGANKHANG_INS_UP500K',
    0
),
-- LOCVANGANKHANG_INS_UP7TR
(
    'b523539c-d239-4556-b857-460c80e6bcf5',
    'f83a1b2542cd4e7b9a8c7fd638e2oskf',
    '',
    'd202531fa3975c612c34e7d4787f102de9d95d032fa88ebd0721d96114610731',
    '{"AND":[{"attribute":"cst_target_group","operator":"","data_type":"","value":"","operator_expr":"JSON_CONTAINS(cst_target_group, ''[\\"LOCVANGANKHANG_INS_UP7TR\\"]'')"}]}',
    '{}',
    NOW(),
    'LOCVANGANKHANG_INS_UP7TR',
    0
),
-- LOCVANGANKHANG_PRI_UP10TR
(
    'd3abdd94-0a7e-4d16-9d56-32fabac2ee7d',
    'f83a1b2542cd4e7b9a8c7fd638e2oskf',
    '',
    'bc952a60b3c92cbb57b9f1405c3edf83dd405aed9e5f5b701db775cc0347aad3',
    '{"AND":[{"attribute":"cst_target_group","operator":"","data_type":"","value":"","operator_expr":"JSON_CONTAINS(cst_target_group, ''[\\"LOCVANGANKHANG_PRI_UP10TR\\"]'')"}]}',
    '{}',
    NOW(),
    'LOCVANGANKHANG_PRI_UP10TR',
    0
),
-- LOCVANGANKHANG_PRI_UP2TR
(
    '9fe7b4e3-944b-408e-b472-9d56e444b1e8',
    'f83a1b2542cd4e7b9a8c7fd638e2oskf',
    '',
    '44fc864d8a276c3684ce1cc8d05b246b9926abb1d41767cee5ec12a71921493e',
    '{"AND":[{"attribute":"cst_target_group","operator":"","data_type":"","value":"","operator_expr":"JSON_CONTAINS(cst_target_group, ''[\\"LOCVANGANKHANG_PRI_UP2TR\\"]'')"}]}',
    '{}',
    NOW(),
    'LOCVANGANKHANG_PRI_UP2TR',
    0
),
-- LOCVANGANKHANG_PRI_UP7TR
(
    'cc5ebe79-8275-475e-981e-5de8b811446f',
    'f83a1b2542cd4e7b9a8c7fd638e2oskf',
    '',
    'd71757e1dfb044e0e2c6cd4bbfaec5821767057322d84ac47127f164c32c43e3',
    '{"AND":[{"attribute":"cst_target_group","operator":"","data_type":"","value":"","operator_expr":"JSON_CONTAINS(cst_target_group, ''[\\"LOCVANGANKHANG_PRI_UP7TR\\"]'')"}]}',
    '{}',
    NOW(),
    'LOCVANGANKHANG_PRI_UP7TR',
    0
),
-- OneU
-- LOCVANGANKHANG_INS_UP2TR
(
    '56777dd3-79bc-4659-bbd1-bf0d3607ba52',
    'f83a1b2542cd4e7b9a8c7fd638e2oskj',
    '',
    '39aaaa5aeaa26b0d12e2a339ab536de5dd57610c0e33586f67869c628e033e7a',
    '{"AND":[{"attribute":"cst_target_group","operator":"","data_type":"","value":"","operator_expr":"JSON_CONTAINS(cst_target_group, ''[\\"LOCVANGANKHANG_INS_UP2TR\\"]'')"}]}',
    '{}',
    NOW(),
    'LOCVANGANKHANG_INS_UP2TR',
    0
),
-- LOCVANGANKHANG_INS_UP500K
(
    'edfe388f-8b5c-4427-a037-713214cd9f19',
    'f83a1b2542cd4e7b9a8c7fd638e2oskj',
    '',
    '6ae8080346d559e67a8a6b625e5f8a903a449c64146903e0cd398a024541d0fc',
    '{"AND":[{"attribute":"cst_target_group","operator":"","data_type":"","value":"","operator_expr":"JSON_CONTAINS(cst_target_group, ''[\\"LOCVANGANKHANG_INS_UP500K\\"]'')"}]}',
    '{}',
    NOW(),
    'LOCVANGANKHANG_INS_UP500K',
    0
),
-- LOCVANGANKHANG_INS_UP7TR
(
    'c4f47343-1133-423c-8dfc-c6e4e0aa96c6',
    'f83a1b2542cd4e7b9a8c7fd638e2oskj',
    '',
    'd202531fa3975c612c34e7d4787f102de9d95d032fa88ebd0721d96114610731',
    '{"AND":[{"attribute":"cst_target_group","operator":"","data_type":"","value":"","operator_expr":"JSON_CONTAINS(cst_target_group, ''[\\"LOCVANGANKHANG_INS_UP7TR\\"]'')"}]}',
    '{}',
    NOW(),
    'LOCVANGANKHANG_INS_UP7TR',
    0
),
-- LOCVANGANKHANG_PRI_UP10TR
(
    '832cc452-9a33-4ac7-a3c2-d3568d13fee6',
    'f83a1b2542cd4e7b9a8c7fd638e2oskj',
    '',
    'bc952a60b3c92cbb57b9f1405c3edf83dd405aed9e5f5b701db775cc0347aad3',
    '{"AND":[{"attribute":"cst_target_group","operator":"","data_type":"","value":"","operator_expr":"JSON_CONTAINS(cst_target_group, ''[\\"LOCVANGANKHANG_PRI_UP10TR\\"]'')"}]}',
    '{}',
    NOW(),
    'LOCVANGANKHANG_PRI_UP10TR',
    0
),
-- LOCVANGANKHANG_PRI_UP2TR
(
    'f829430c-3d19-40f0-b5da-a34d25fdbd6a',
    'f83a1b2542cd4e7b9a8c7fd638e2oskj',
    '',
    '44fc864d8a276c3684ce1cc8d05b246b9926abb1d41767cee5ec12a71921493e',
    '{"AND":[{"attribute":"cst_target_group","operator":"","data_type":"","value":"","operator_expr":"JSON_CONTAINS(cst_target_group, ''[\\"LOCVANGANKHANG_PRI_UP2TR\\"]'')"}]}',
    '{}',
    NOW(),
    'LOCVANGANKHANG_PRI_UP2TR',
    0
),
-- LOCVANGANKHANG_PRI_UP7TR
(
    '7da75ded-641a-4012-8c36-d6e37696ae7d',
    'f83a1b2542cd4e7b9a8c7fd638e2oskj',
    '',
    'd71757e1dfb044e0e2c6cd4bbfaec5821767057322d84ac47127f164c32c43e3',
    '{"AND":[{"attribute":"cst_target_group","operator":"","data_type":"","value":"","operator_expr":"JSON_CONTAINS(cst_target_group, ''[\\"LOCVANGANKHANG_PRI_UP7TR\\"]'')"}]}',
    '{}',
    NOW(),
    'LOCVANGANKHANG_PRI_UP7TR',
    0
); Best regards Dinh Quang Nguyen</t>
  </si>
  <si>
    <t>[OMD][Merchant Hub][NonProd] Triển khai hạ tầng MongoDB Atlas cho dự án Merchant Hub môi trường NonProduction</t>
  </si>
  <si>
    <t>2026-04-01T17:45:22.867+0700</t>
  </si>
  <si>
    <t>2026-04-01T18:30:55.393+0700</t>
  </si>
  <si>
    <t>Hi team DBA, Team dự án Merchant Hub đang deploy service trên môi trường  nonprod , cần sử dụng MongoDB, do đó cần tạo hạ tầng Mongo Atlas để thực hiện. Nhờ team DBA tạo và setup hạ tầng Mongo Atlas với cấu hình default, trong quá trình chạy khi nào cần tăng cấu hình em sẽ comment thêm tại ticket này. Nhờ team tạo giúp em các schema sau (tên user trùng với tên schema) mhpos_catalog_dev mhpos_catalog_qc mhpos_catalog_uat mhpos_oms_dev mhpos_oms_qc mhpos_oms_uat Em cảm ơn team.</t>
  </si>
  <si>
    <t>[VCM] Thêm dữ liệu stores cho các Voucher Offline</t>
  </si>
  <si>
    <t>2026-04-01T17:23:49.086+0700</t>
  </si>
  <si>
    <t>2026-04-01T17:24:17.915+0700</t>
  </si>
  <si>
    <t>Hiện tại có những Voucher Offline chưa có danh sách stores nên nhờ team DBA hỗ trợ team thực hiện migrate theo các thôn tin dưới đây với ạ. Thông tin database Thông tin database VCM: IP:  172.31.1.41 Database:  vincart_mm_product Ở các bước export dữ liệu ra và import dữ liệu vào bảng tạm, nếu team DBA không tiện làm thì nhờ team DBA gửi lại cho team dữ liệu đã export ra, team VCM sẽ thực hiện tạo câu lệnh insert để team DBA thuận tiện cho việc insert ạ. Do team VCM cần các dữ liệu đã export ra để phục vụ cho việc đồng bộ dữ liệu lên ES nên trong quá trình thực hiện nhờ team DBA đính kèm các dữ liệu ra để import vào ticket này để team VCM tiện trong việc xử lý đồng bộ lên ES ạ. Các bước cần thực hiện: -- B1: Export danh sách variant và thông tin merchant với các variant có  applied_channel = OFFLINE SELECT
	DISTINCT
    t.entity_id,
	jt.merchant_id,
	jt.merchant_code
FROM
	(
	SELECT
		eav.entity_id,
		eav.value
	FROM
		(
		SELECT
			eav.entity_id AS variant_id
		FROM
			vincart_mm_product.entity_attributes_values eav
		WHERE
			eav.name = 'applied_channel'
			AND eav.value = 'OFFLINE'
			AND NOT EXISTS (
			SELECT
				1
			FROM
				vincart_mm_product.variant_apply_store_mapping vasm
			WHERE
				vasm.variant_id = eav.entity_id
            )
    ) temp_tb
	LEFT JOIN vincart_mm_product.entity_attributes_values eav
        ON
		temp_tb.variant_id = eav.entity_id
		AND eav.name = 'voucher_accepted_merchants'
	WHERE
		JSON_VALID(eav.value)
) t
JOIN JSON_TABLE(
    CAST(t.value AS JSON),
    '$[*]' COLUMNS (
        merchant_id INT PATH '$.merchant_id',
        merchant_code VARCHAR(100) PATH '$.merchant_code'
    )
) jt
WHERE
	jt.merchant_id IS NOT NULL
	AND jt.merchant_code IS NOT NULL; -- B2: Tạo table để lưu thông tin đã export ra từ B1 CREATE TABLE vincart_mm_product.variant_merchant_extract_info_31032026 (
  id bigint unsigned NOT NULL AUTO_INCREMENT,
  entity_id bigint NOT NULL,
  merchant_id bigint unsigned NOT NULL,
merchant_code varchar(255) COLLATE utf8mb4_unicode_ci NOT NULL,
  PRIMARY KEY (id)
) ENGINE = InnoDB AUTO_INCREMENT = 12514 DEFAULT CHARSET = utf8mb4 COLLATE = utf8mb4_unicode_ci; -- B2.1: Import dữ liệu export từ B1 vào table variant_merchant_extract_info_31032026 -- B3: Lấy danh sách store theo merchant đã export từ B1 và insert vào table variant_merchant_extract_info_31032026 ở B2 SELECT
	DISTINCT s.merchant_id,
	v.merchant_code,
	s.code as store_code,
	s.status
FROM
	vincart_mm_product.variant_merchant_extract_info_31032026 v
INNER JOIN vincart_mm_merchant.stores s ON
	v.merchant_id = s.merchant_id
	AND s.status = 'ACTIVE'; -- B4: Tạo bảng để lưu thông tin store đã lấy được từ B3 CREATE TABLE vincart_mm_product.merchant_store_info_31032026 (
  id bigint unsigned NOT NULL AUTO_INCREMENT,
  merchant_id bigint unsigned NOT NULL,
merchant_code varchar(255) COLLATE utf8mb4_unicode_ci NOT NULL,
store_code varchar(255) COLLATE utf8mb4_unicode_ci NOT NULL,
status varchar(10) COLLATE utf8mb4_unicode_ci NOT NULL,
  PRIMARY KEY (id)
) ENGINE = InnoDB AUTO_INCREMENT = 12514 DEFAULT CHARSET = utf8mb4 COLLATE = utf8mb4_unicode_ci; -- B4.1: Import dữ liệu export từ B3 vào table merchant_store_info_31032026 -- B5: Insert các store chưa tồn tại trong table apply_stores INSERT
	INTO
	vincart_mm_product.apply_stores (merchant_code,
	store_code,
	status)
SELECT
	ms.merchant_code,
	ms.store_code,
	ms.status
FROM
	vincart_mm_product.merchant_store_info_31032026 ms
LEFT JOIN vincart_mm_product.apply_stores a ON
	ms.merchant_code = a.merchant_code
	AND ms.store_code = a.store_code
WHERE
	a.id IS NULL; -- B6: Thêm dữ liệu vào table variant_apply_store_mapping INSERT
	INTO
	vincart_mm_product.variant_apply_store_mapping(variant_id,
	apply_store_id)
SELECT
	vme.entity_id,
	a.id
FROM
	vincart_mm_product.variant_merchant_extract_info_31032026 vme
INNER JOIN vincart_mm_product.apply_stores a ON
	vme.merchant_code = a.merchant_code; -- B7: Xóa các table tạm DROP TABLE IF EXISTS vincart_mm_product.variant_merchant_extract_info_31032026;
DROP TABLE IF EXISTS vincart_mm_product.merchant_store_info_31032026;</t>
  </si>
  <si>
    <t>[PROD] [BO] Cập nhật cấu hình điều chỉnh bút toán hạch toán hoa hồng- YG</t>
  </si>
  <si>
    <t>2026-04-01T16:31:53.544+0700</t>
  </si>
  <si>
    <t>2026-04-01T16:32:16.935+0700</t>
  </si>
  <si>
    <t>Hi a  @Nguyễn Văn Dũng @Đào Công Nghĩa  , nhờ a chạy giúp e script bên dưới với ạ Thông tin database:  172.31.1.133:3306/bo UPDATE 
  TRANS_BUSINESS 
SET 
  CATEGORY = 'REV012' 
where 
  TRANSACTION_ID = 'P824' 
  and TRANSACTION_INDICATOR = 'CR';
UPDATE 
  ACCT_MAP_COA 
SET 
  ID = 'VN0010099.P824.REV012...' 
where 
  ID like ('VN0010099.P824.REV003%');</t>
  </si>
  <si>
    <t>[OMC][MCL][PROD] Hỗ trợ cập nhật database - MTP Audience Segment</t>
  </si>
  <si>
    <t>2026-04-01T15:08:14.018+0700</t>
  </si>
  <si>
    <t>2026-04-01T15:08:37.182+0700</t>
  </si>
  <si>
    <t>Dear anh  @Đào Công Nghĩa  , Team em có nhu cầu cập nhật dữ liệu config, nhờ anh chạy script dưới ạ. DB:   172.31.3.49:5432   - mtp_audience_management UPDATE public.segments SET segment_config = '{"AND": [{"operator": "=", "data_type": "STRING", "label_code": "customer_tcb_member_type", "label_value": "NTB"}, {"operator": "&gt;=", "data_type": "DATE", "label_code": "hv_tt_link_acc_days", "label_value": "2025-12-17"}]}'
WHERE id = 801;
UPDATE public.segments SET segment_config = '{"AND": [{"operator": "=", "data_type": "STRING", "label_code": "customer_tcb_member_type", "label_value": "ETB"}, {"operator": "&gt;=", "data_type": "DATE", "label_code": "hv_tt_link_acc_days", "label_value": "2025-12-17"}, {"operator": "=", "data_type": "STRING", "label_code": "customer_tcb_tier", "label_value": "INS"}]}'
WHERE id = 805;
UPDATE public.segments SET segment_config = '{"OR": [{"operator": "IS_NOT_EMPTY", "data_type": "STRING", "label_code": "ttcn_eco_sys"}, {"operator": "IS_NOT_EMPTY", "data_type": "STRING", "label_code": "ttcn_eco_org"}]}'
WHERE id = 807;
UPDATE public.segments SET segment_config = '{"AND": [{"operator": "&gt;=", "data_type": "DATE", "label_code": "hv_tt_apps_open_first", "value_expr": "DATE_SUB(CURDATE(), INTERVAL 30 DAY)"}, {"operator": "&lt;=", "data_type": "DATE", "label_code": "hv_tt_apps_open_first", "value_expr": "CURDATE()"}]}'
WHERE id = 823;
UPDATE public.segments SET segment_config = '{"AND": [{"AND": [{"operator": "&lt;", "data_type": "DATE", "label_code": "hv_tt_link_acc_days", "label_value": "2025-12-17"}]}, {"OR": [{"operator": "!=", "data_type": "STRING", "label_code": "customer_tcb_member_type", "label_value": "NTB"}, {"operator": "!=", "data_type": "STRING", "label_code": "customer_tcb_tier", "label_value": "INS"}]}]}'
WHERE id = 829;
UPDATE public.segments SET segment_config = '{"AND": [{"AND": [{"operator": "&lt;", "data_type": "DATE", "label_code": "hv_tt_link_acc_days", "label_value": "2025-12-17"}]}, {"OR": [{"operator": "!=", "data_type": "STRING", "label_code": "customer_tcb_member_type", "label_value": "NTB"}, {"operator": "!=", "data_type": "STRING", "label_code": "customer_tcb_tier", "label_value": "INS"}]}]}'
WHERE id = 832;
UPDATE public.segments SET segment_config = '{"AND": [{"operator": "IS_NOT_EMPTY", "data_type": "STRING", "label_code": "ttcn_eco_org"}]}'
WHERE id = 835;
UPDATE public.segments SET segment_config = '{"AND": [{"operator": "=", "data_type": "STRING", "label_code": "customer_tcb_member_type", "label_value": "NTB"}, {"operator": "&lt;", "data_type": "DATE", "label_code": "hv_tt_link_acc_days", "label_value": "2025-12-17"}]}'
WHERE id = 838;
UPDATE public.segments SET segment_config = '{"AND": [{"operator": "=", "data_type": "STRING", "label_code": "customer_tcb_member_type", "label_value": "ETB"}, {"operator": "&lt;", "data_type": "DATE", "label_code": "hv_tt_link_acc_days", "label_value": "2025-12-17"}, {"operator": "=", "data_type": "STRING", "label_code": "customer_tcb_tier", "label_value": "INS"}]}'
WHERE id = 852;
UPDATE public.segments SET segment_config = '{"AND": [{"operator": "=", "data_type": "STRING", "label_code": "customer_tcb_member_type", "label_value": "NTB"}, {"operator": "&lt;", "data_type": "DATE", "label_code": "hv_tt_link_acc_days", "label_value": "2025-12-17"}]}'
WHERE id = 878; Thanks anh, Thành An.</t>
  </si>
  <si>
    <t>[PROD][OMC][LP][Core] Hỗ trợ Migrate tem cũ theo tỉ lệ quy đổi mới cho GT</t>
  </si>
  <si>
    <t>2026-04-01T11:25:14.046+0700</t>
  </si>
  <si>
    <t>2026-04-01T11:26:18.618+0700</t>
  </si>
  <si>
    <t>Hi team, nhờ team DBA chạy script này trên môi trường PROD của DB Loyalty Oracle giúp team Loyalty ạ. Link CR:    Database information IP: 10.255.23.119 Service name: oneloyaltydb Port: 1521 Schema app: OLOYALTY Time Run ticket: Thời gian 01/04/2026, 00:00 Mô tả chi tiết yêu cầu: Thực hiện back up bảng  ACCOUNT_BALANCE  và  POINT_TRANSACTION_BLOCKING -- Backup ACCOUNT_BALANCE rows before update
CREATE TABLE OLOYALTY.ACCOUNT_BALANCE_BAK_20260331 AS
SELECT *
FROM OLOYALTY.ACCOUNT_BALANCE ab
WHERE ab.BUSINESS_ID = 128000
    AND ab.PROGRAM_ID = 466
    AND ab.POOL_ID = 406
    AND ab.BALANCE IS NOT NULL
    AND ab.BALANCE &lt;&gt; 0;
-- Backup POINT_TRANSACTION_BLOCKING rows before update
CREATE TABLE OLOYALTY.POINT_TRANSACTION_BLOCKING_BAK_20260331 AS
SELECT *
FROM OLOYALTY.POINT_TRANSACTION_BLOCKING ptb
WHERE ptb.AMOUNT IS NOT NULL
    AND ptb.AMOUNT &lt;&gt; 0
    AND ptb.POOL_ID = 406; Sum balance trước khi update -- Sum ACCOUNT_BALANCE before update
SELECT SUM(ab.BALANCE) AS TOTAL_BALANCE_BEFORE
FROM OLOYALTY.ACCOUNT_BALANCE ab
WHERE ab.BUSINESS_ID = 128000
    AND ab.PROGRAM_ID = 466
    AND ab.POOL_ID = 406
    AND ab.BALANCE IS NOT NULL
    AND ab.BALANCE &lt;&gt; 0;
-- Sum POINT_TRANSACTION_BLOCKING before update
SELECT SUM(ptb.AMOUNT) AS TOTAL_AMOUNT_BEFORE
FROM OLOYALTY.POINT_TRANSACTION_BLOCKING ptb
WHERE ptb.AMOUNT IS NOT NULL
    AND ptb.AMOUNT &lt;&gt; 0
    AND ptb.POOL_ID = 406; Chạy script UPDATE OLOYALTY.ACCOUNT_BALANCE ab
SET BALANCE = ab.BALANCE * 100
WHERE ab.BUSINESS_ID = 128000
	AND ab.PROGRAM_ID = 466
	AND ab.POOL_ID = 406
	AND ab.BALANCE IS NOT NULL
	AND ab.BALANCE &lt;&gt; 0;
UPDATE OLOYALTY.POINT_TRANSACTION_BLOCKING ptb
SET AMOUNT = ptb.AMOUNT * 100
WHERE ptb.AMOUNT IS NOT NULL
    AND ptb.AMOUNT &lt;&gt; 0
    AND ptb.POOL_ID = 406; Sum balance sau khi update -- Sum ACCOUNT_BALANCE after update
SELECT SUM(ab.BALANCE) AS TOTAL_BALANCE_AFTER
FROM OLOYALTY.ACCOUNT_BALANCE ab
WHERE ab.BUSINESS_ID = 128000
    AND ab.PROGRAM_ID = 466
    AND ab.POOL_ID = 406
    AND ab.BALANCE IS NOT NULL
    AND ab.BALANCE &lt;&gt; 0;
-- Sum POINT_TRANSACTION_BLOCKING after update
SELECT SUM(ptb.AMOUNT) AS TOTAL_AMOUNT_AFTER
FROM OLOYALTY.POINT_TRANSACTION_BLOCKING ptb
WHERE ptb.AMOUNT IS NOT NULL
    AND ptb.AMOUNT &lt;&gt; 0
    AND ptb.POOL_ID = 406; So sánh balance trước và sau khi update TOTAL_BALANCE_BEFORE = TOTAL_BALANCE_AFTER / 100  và  TOTAL_AMOUNT_BEFORE = TOTAL_AMOUNT_AFTER / 100 , thực hiện: COMMIT; TOTAL_BALANCE_BEFORE != TOTAL_BALANCE_AFTER / 100  và  TOTAL_AMOUNT_BEFORE != TOTAL_AMOUNT_AFTER / 100 , thực hiện rollback: -- Rollback ACCOUNT_BALANCE
UPDATE OLOYALTY.ACCOUNT_BALANCE ab
SET ab.BALANCE = (
    SELECT bak.BALANCE
    FROM OLOYALTY.ACCOUNT_BALANCE_BAK_20260331 bak
    WHERE bak.ACCOUNT_ID = ab.ACCOUNT_ID AND bak.ID = ab.ID
)
WHERE EXISTS (
    SELECT 1
    FROM OLOYALTY.ACCOUNT_BALANCE_BAK_20260331 bak
    WHERE bak.ACCOUNT_ID = ab.ACCOUNT_ID AND bak.ID = ab.ID
);
-- Rollback POINT_TRANSACTION_BLOCKING
UPDATE OLOYALTY.POINT_TRANSACTION_BLOCKING ptb
SET ptb.AMOUNT = (
    SELECT bak.AMOUNT
    FROM OLOYALTY.POINT_TRANSACTION_BLOCKING_BAK_20260331 bak
    WHERE bak.ACCOUNT_ID = ptb.ACCOUNT_ID AND bak.ID = ptb.ID
)
WHERE EXISTS (
    SELECT 1
    FROM OLOYALTY.POINT_TRANSACTION_BLOCKING_BAK_20260331 bak
    WHERE bak.ACCOUNT_ID = ptb.ACCOUNT_ID AND bak.ID = ptb.ID
); Export data cho vận hành sau khi migrate, định dạng file csv SELECT
    m.MEMBER_CODE,
    bak.BALANCE AS BALANCE_BEFORE,
    ab.BALANCE AS BALANCE_AFTER
FROM OLOYALTY.ACCOUNT_BALANCE ab
INNER JOIN OLOYALTY.ACCOUNT_BALANCE_BAK_20260331 bak ON bak.ACCOUNT_ID = ab.ACCOUNT_ID AND bak.ID = ab.ID 
INNER JOIN OLOYALTY.POINT_ACCOUNT pa ON ab.ACCOUNT_ID = pa.ID
INNER JOIN OLOYALTY.USER_PROFILE up ON up.POINT_ACCOUNT_NO = pa.ACCOUNT_NO
INNER JOIN OLOYALTY."MEMBER" m ON m.USER_PROFILE_ID = up.ID
INNER JOIN OLOYALTY.POOL p ON ab.POOL_ID = p.ID
WHERE up.BUSINESS_ID = 128000
    AND m.PROGRAM_ID = 466
    AND p.CODE = 'TEMPOOL'
ORDER BY m.MEMBER_CODE ASC;</t>
  </si>
  <si>
    <t>[Merchant-OM] Hỗ trợ cập nhật dữ liệu 20260401</t>
  </si>
  <si>
    <t>2026-04-01T11:03:54.195+0700</t>
  </si>
  <si>
    <t>2026-04-01T11:05:19.131+0700</t>
  </si>
  <si>
    <t>Dear team, Nhờ team chạy giúp câu lệnh bên dưới ạ. Thông tin database https://console.cloud.google.com/sql/instances/main/overview?inv=1&amp;invt=Abqw_w&amp;project=vinid-merchant-prod DB_MYSQL_HOST=172.31.1.44
DB_MYSQL_DATABASE=merchant_service Câu lệnh UPDATE
	merchant
SET
	parent_id = 356035,
	is_sap_debt = 1
WHERE
	id = 387940;
UPDATE
	merchant
SET
	parent_id = 330679,
	is_sap_debt = 1
WHERE
	id = 387788;</t>
  </si>
  <si>
    <t>[OMC][Kafka][PRD] Hỗ trợ tạo kafka topic DB vincart_mm_order</t>
  </si>
  <si>
    <t>2026-03-31T18:44:01.638+0700</t>
  </si>
  <si>
    <t>2026-04-01T18:59:28.025+0700</t>
  </si>
  <si>
    <t>Dear anh Linh, Phục vụ phân tích thông tin liên quan của đơn hàng voucher, nhờ anh tạo giúp em topic cho bảng sau: IP:  172.31.1.41 DB:  vincart_mm_order Tables:  attributes Em cảm ơn ạ.</t>
  </si>
  <si>
    <t>[OMD][Kafka][Prod] Tạo kafka topic cho bảng nguồn mhpos_payment</t>
  </si>
  <si>
    <t>2026-03-31T18:43:27.614+0700</t>
  </si>
  <si>
    <t>2026-04-03T16:42:25.600+0700</t>
  </si>
  <si>
    <t>Hiện tại OMD đang có nhu cầu kéo dữ liệu bảng sau nhờ anh Linh tạo kafka topic ở môi trường PROD giúp team để kéo data về DP. PROD: IP host: 172.31.4.36:5432 Schema: mhpos_payment Table list: payment_info</t>
  </si>
  <si>
    <t>Team MHP nhờ chạy lệnh SQL update dữ liệu</t>
  </si>
  <si>
    <t>2026-03-31T18:22:17.587+0700</t>
  </si>
  <si>
    <t>2026-03-31T18:22:22.266+0700</t>
  </si>
  <si>
    <t>Nhờ các a chạy giúp e câu lệnh update data này với ạ: UPDATE e_invoice_registrations
SET
    contact_person_name = 'Nguyễn Thị Kim Cúc',
    legal_representative_name = 'Nguyễn Thị Kim Cúc'
WHERE id = '484a79c7-bc37-4f45-a002-d0962a71510d'; Thông tin DB: instance: mhpos-common-prod-postgres - 172.31.4.36 mhpos_fiscal</t>
  </si>
  <si>
    <t>2026-03-31T16:26:15.095+0700</t>
  </si>
  <si>
    <t>2026-03-31T16:26:33.719+0700</t>
  </si>
  <si>
    <t>2026-03-31T15:44:42.086+0700</t>
  </si>
  <si>
    <t>2026-03-31T15:44:45.698+0700</t>
  </si>
  <si>
    <t>Hi anh Dũng. Team có thực hiện update thông tin cho merchant. Nhờ anh hỗ trợ giúp team với ạ Thông tin database jdbc:mysql://pay-tidb.int.onemount.com:4000/saas_tpay   script UPDATE UNIFIED_MERCHANT_SERVICE SET partner_id = 'OMSMARTPOS' WHERE merchant_code = '20639639' and service_code in ('SMARTPOS_QR', 'SMARTPOS_CARD') ;</t>
  </si>
  <si>
    <t>[PROD] [VCM] Setting merchant Free batch 30/03</t>
  </si>
  <si>
    <t>2026-03-31T14:39:01.634+0700</t>
  </si>
  <si>
    <t>2026-03-31T14:41:00.829+0700</t>
  </si>
  <si>
    <t>Dear DBA Team, Nhờ a/e support hỗ trợ chay migration  Thời gian dự kiến:  31/03/2026 IP: 172.31.1.41
Database: vincart_mm_merchant INSERT INTO settings (merchant_id, setting_key, setting_value, name, status)
SELECT m.id, 'VOUCHER_DISPLAY_TYPES' as setting_key,
        'Free' as setting_value, 'Loại voucher hiển thị' as name, 'active' as status
from merchants m
where m.code in ('BRBB202511Z6P','DOTCB25354qkN','DOTCB25358ny4','DOTCB260290ml','DOTCB26029z2o',
'DOTCB26035dH0','DOTCB26035xo2','DOTCB26041I8w','DOTCB26064122','DOTCB260644wI','DOTCB26065dWf',
'DOTCB26065wFi','DOTCB26065XLR','DOTCB26066ezq','DOTCB26068REa','DOTCB26069dJE','DOTCB26069XyR',
'DOTCB26070u27','DOTCB260715zD','DOTCB26071OJl','DOTCB26071Znl','DOTCB26072jff','DOTCB26072qjg',
'DOTCB26072rlk','DOTCB26072yb1','DOTCB26073K5T','DOTCB26073rkH','DOTCB260771bS','DOTCB26077dFl',
'DOTCB26077DQu','DOTCB26077KtO','DOTCB26077Rej','DOTCB26077V8N','DOTCB260793hZ','DOTCB26079AHD',
'DOTCB26079ih8','DOTCB26079LgO','DOTCB26079xiY','DOTCB26079xPb','DOTCB26079ZbI','DOTCB260801Qz',
'DOTCB2608052s','DOTCB26080exd','DOTCB26080IIL','DOTCB26080iYQ','DOTCB26080PVu','DOTCB26080UIB',
'DOTCB260821Ha','DOTCB260821Kc','DOTCB260821O6','DOTCB26082bOv','DOTCB26082FFl','DOTCB26082hNh',
'DOTCB26082kwp','DOTCB26082ld8','DOTCB26082mpu','DOTCB26082p3N','DOTCB26082Ybn','DOTCB26082ZPr',
'DOTCB260850JK','DOTCB260850La','DOTCB260850T3','DOTCB260850WI','DOTCB260851B9','DOTCB260851HK',
'DOTCB260851sO','DOTCB260851vB','DOTCB260853c9','DOTCB260855nZ','DOTCB260856yB','DOTCB26085cCA',
'DOTCB26085cwE','DOTCB26085EDU','DOTCB26085en9','DOTCB26085fra','DOTCB26085FzA','DOTCB26085GL2',
'DOTCB26085HDJ','DOTCB26085Ibl','DOTCB26085M02','DOTCB26085mTU','DOTCB26085O9l','DOTCB26085OgU',
'DOTCB26085ooc','DOTCB26085P9h','DOTCB26085PFr','DOTCB26085PTM','DOTCB26085PZn','DOTCB26085QQh',
'DOTCB26085rU9','DOTCB26085sbU','DOTCB26085sj6','DOTCB26085SrO','DOTCB26085TII','DOTCB26085tvS',
'DOTCB26085VHG','DOTCB26085vtr','DOTCB26085vu6','DOTCB26085VUT','DOTCB26085vv9','DOTCB26085wkY',
'DOTCB26085x2N','DOTCB26085xBP','DOTCB26085Xsd','DOTCB26085yxK','DOTCB26085zhY','DOTCB260866fK',
'DOTCB26086c3b','DOTCB26086f98','DOTCB26086fCb','DOTCB26086HxB','DOTCB26086N3Y','DOTCB26086Nxm',
'DOTCB26086Rww','DOTCB26086S0N','DOTCB26086uE0','DOTCB26086Yet','HRC0020432_17','MCL06NP35NP79',
'MCL0FZDKKS9IE'); Thanks team.</t>
  </si>
  <si>
    <t>2026-03-31T14:38:44.669+0700</t>
  </si>
  <si>
    <t>2026-03-31T14:44:48.851+0700</t>
  </si>
  <si>
    <t>Hỗ trợ lấy danh sách accept challenge cho campaign TCB Host:  172.31.4.75 DB: promo_gamezone Query: SELECT 
    u.customer_id, 
    ac.created_at,
    ac.user_id
FROM 
    `accept_challenge` ac
JOIN 
    `users` u ON ac.user_id = u.id
WHERE 
    ac.campaign_id = 119 AND ac.created_at &lt; '2026-03-31 00:00:00'; Theo yêu cầu vận hành Techcombank</t>
  </si>
  <si>
    <t>[UPAY][PROD] Update DB AuthOM support OMC config sms v2</t>
  </si>
  <si>
    <t>2026-03-31T14:37:53.398+0700</t>
  </si>
  <si>
    <t>2026-03-31T14:37:58.176+0700</t>
  </si>
  <si>
    <t>authOM</t>
  </si>
  <si>
    <t>Thông tin db authom ạ: project: onemg-general-prod instance: auth-om Master IP: 172.31.4.103 DB: auth_om Script update: UPDATE OTPSetting o SET o.config = '{"config":{"debug":false,"limit":3,"expiry":180,"length":6,"pattern":"[0-9]{6}","using_sms_v2":true,"disable_signup":false,"link_db_connection":null,"disable_linking_database":null},"sender":null,"template":{"template_id":"570ace44-a95e-4168-b371-bc176b48e1b9"},"brand_name":null,"sender_name":null}' WHERE o.id = '31991' AND o.otp_type = 'SignIn/SMS';
UPDATE OTPSetting o SET o.config = '{"config":{"debug":false,"limit":3,"expiry":180,"length":6,"pattern":"[0-9]{6}","using_sms_v2":true,"disable_signup":false,"link_db_connection":null,"disable_linking_database":null},"sender":null,"template":{"template_id":"570ace44-a95e-4168-b371-bc176b48e1b9"},"brand_name":null,"sender_name":null}' WHERE o.id = '31992' AND o.otp_type = 'SignUp/SMS';
UPDATE OTPSetting o SET o.config = '{"config":{"debug":false,"limit":3,"expiry":180,"length":6,"pattern":"[0-9]{6}","using_sms_v2":true,"disable_signup":false,"link_db_connection":null,"disable_linking_database":null},"sender":null,"template":{"template_id":"3794f63f-76f2-441b-9fc5-3aeec895da34"},"brand_name":"VINID.net","sender_name":null}' WHERE o.id = '31999' AND o.otp_type = 'SignIn/SMS';
UPDATE OTPSetting o SET o.config = '{"config":{"debug":false,"limit":3,"expiry":180,"length":6,"pattern":"[0-9]{6}","using_sms_v2":true,"disable_signup":false,"link_db_connection":null,"disable_linking_database":null},"sender":null,"template":{"template_id":"3794f63f-76f2-441b-9fc5-3aeec895da34"},"brand_name":null,"sender_name":null}' WHERE o.id = '32000' AND o.otp_type = 'SignUp/SMS';</t>
  </si>
  <si>
    <t>Hỗ trợ cập nhật trạng thái wave bị treo kho M053</t>
  </si>
  <si>
    <t>2026-03-31T11:36:43.043+0700</t>
  </si>
  <si>
    <t>2026-03-31T11:41:31.110+0700</t>
  </si>
  <si>
    <t>Hi DBA team, Hiện tại kho M053 cần fix lỗi dữ liệu, nhờ team DBA hỗ trợ cập nhật theo thông tin dưới đây Project : vinid-b2b-platform-prod Instance/IP : main (read-write): 172.31.4.59 Port : 3306 Database : omd_wms_mag update wave_order_item woi 
join wave_order_header woh on woh.id = woi.header_id
set woi.status = 'FULFILLED',
woh.status = 'FULFILLED'
where woh.id in (143);</t>
  </si>
  <si>
    <t>2026-03-31T11:06:08.604+0700</t>
  </si>
  <si>
    <t>2026-04-01T12:16:41.499+0700</t>
  </si>
  <si>
    <t>Dear DBA Team, Nhờ team thực hiện insert data phục vụ campaign MKT 022026, theo các bước sau: Thông tin database: IP: 10.255.23.119 Service name: oneloyaltydb Port: 1521 schema app: OLOYALTY Bước 1: Tạo bảng tạm CREATE TABLE OLOYALTY.CST_TARGET_GROUP_042026
(
    "ID"             NUMBER(10,0) GENERATED BY DEFAULT ON NULL AS IDENTITY,
    "LOYALTY_ID"           VARCHAR2(32 BYTE) DEFAULT NULL,
    "CST_TARGET_GROUP"           VARCHAR2(256 BYTE) DEFAULT NULL,
    PRIMARY KEY ("ID")
); Bước 02: Load dữ liệu 01 file đính kèm vào bảng tạm   https://drive.google.com/file/d/1IHPYPRAkmUbAYSpaFUBhnWqqsiz-J5Sy/view?usp=drive_link https://drive.google.com/file/d/1Bzc1S55s4X2-B4C_4oaPTvJIrflQZ5zc/view?usp=drive_link https://drive.google.com/file/d/1mR-Wd0hhWmF4wqs6H8tQJgKjoFIo_fQ9/view?usp=drive_link https://drive.google.com/file/d/1767zHScNxvKdRnI-NaTBBFEuhaTwBZBi/view?usp=drive_link https://drive.google.com/file/d/1N61wX-tTM3lQkWVPmywcSHHhuK8jdi-p/view?usp=drive_link https://drive.google.com/file/d/1hcav4u7RO20WfQHYywjiegUQQjOQsjNH/view?usp=drive_link   Bước 03: Insert data vào bảng Member Attribute từ bảng bảng tạm 3.1. Kiểm số row bảng   CST_TARGET_GROUP_042026 SELECT /*+ parallel(16) */ count(*) FROM OLOYALTY.CST_TARGET_GROUP_042026; 3.2 Kiểm tra trùng ,  báo lại dự án nếu có SELECT /*+ parallel(16) */ LOYALTY_ID,count(*) FROM OLOYALTY.CST_TARGET_GROUP_042026 GROUP BY LOYALTY_ID HAVING count(*) &gt; 1; 3.3 Kiểm tra số dòng dự kiến insert, báo lại dự án nếu số dòng khác với số dòng của bảng   CST_TARGET_GROUP_042026 .   Note: Có thể bỏ qua nếu câu lệnh chạy quá lâu SELECT /*+ parallel(16) */ count(*) FROM OLOYALTY.MEMBER m JOIN OLOYALTY.CST_TARGET_GROUP_042026 b ON m.PARTNER_CUSTOMER_ID = b.LOYALTY_ID WHERE m.PROGRAM_ID = 426; 3.4 Chạy lệnh insert INSERT INTO OLOYALTY.MEMBER_ATTRIBUTE (PROGRAM_ID, MEMBER_ID, PROGRAM_ATTRIBUTE_ID, VALUE, STATUS,CREATED_BY)
SELECT 426,
    m.id AS MEMBER_ID,
    423 AS PROGRAM_ATTRIBUTE_ID,
    REPLACE(b.CST_TARGET_GROUP, CHR(13) ,'') AS VALUE,
    'A' AS STATUS,
    'MKT_022026_01'
FROM OLOYALTY.MEMBER m JOIN OLOYALTY.CST_TARGET_GROUP_042026 b ON m.PARTNER_CUSTOMER_ID = b.LOYALTY_ID WHERE m.PROGRAM_ID = 426
; 3.5 Kiểm tra kết quả cuối cùng SELECT /*+ parallel(16) */ count(*) FROM OLOYALTY.MEMBER_ATTRIBUTE ma</t>
  </si>
  <si>
    <t>Xin quyền read only trên portal cloud</t>
  </si>
  <si>
    <t>2026-03-31T09:39:20.017+0700</t>
  </si>
  <si>
    <t>2026-03-31T09:39:36.988+0700</t>
  </si>
  <si>
    <t>Xin quyền access vào portal database trên cloud</t>
  </si>
  <si>
    <t>[DB][Non-Prod][Man-Mac] Hỗ trợ tạo schema, table trên DB postgres</t>
  </si>
  <si>
    <t>2026-03-31T09:33:24.678+0700</t>
  </si>
  <si>
    <t>2026-03-31T09:33:47.702+0700</t>
  </si>
  <si>
    <t>Instance:  gb-sandbox-postgres Phía dự án nhờ các a hỗ trợ reset toàn bộ data và tạo lại theo file schema dưới đây ạ.</t>
  </si>
  <si>
    <t>[CLM][MAG] Init data script for Data Contract Lifecycle Management</t>
  </si>
  <si>
    <t>2026-03-30T18:33:11.513+0700</t>
  </si>
  <si>
    <t>2026-03-30T18:33:35.090+0700</t>
  </si>
  <si>
    <t xml:space="preserve">Dear Team @Nguyễn Văn Dũng   @Phạm Hồng Quang   CLM - Contract Lifecycle Management là dự án mới lên prod, sau khi code lên và init database xong thì nhờ team chạy script dưới để update một số config cho hệ thống Sau khi  @Phạm Hồng Quang   deploy xong báo DBA chạy giúp anh Database: project gcp: onemg-integration-platform-prd instance(IP):  main  (172.31.1.118) Database name: clm_prod_mysql Script: cc  @Trịnh Trung Thành  </t>
  </si>
  <si>
    <t>[OM][UPAY][PROD] Test Fix vulns VM redhat 7 cài DB EWALLET thuộc project vinpay-prod</t>
  </si>
  <si>
    <t>2026-03-30T16:40:15.488+0700</t>
  </si>
  <si>
    <t>2026-04-10T15:12:06.481+0700</t>
  </si>
  <si>
    <t>Thông tin Qualys_Vulns của team ANBM gửi:    Cần thực hiện Fix Vulns cho  VM  ewallet-oracle-19c-primary  thuộc project  vinpay-prod IP Hostname OS Cloud Project Tier Top Severity Critical High Medium Low Total Primary 10.255.24.152 ewallet-oracle-19c-primary.asia-east1-b.c.vinpay-prod.internal Red Hat Enterprise Linux Server 7.9 vinpay-prod database Critical 1 47 29 20 97 P Các Vulns cần fix liên quan đến: Linux Kernel Update Linux Package Update (chi tiết trong file của team ANBM) Quy tắc thực hiện: Kernel update yêu cầu REBOOT =&gt; cần phối hợp với dự án để thống nhất thời gian thực hiện,  thực hiện ban đêm, giờ thấp điểm Snapshot VM trước khi thực hiện Xác nhận không có batch job / scheduled task quan trọng chạy trong thời gian update VM Xác định package + version cụ thể từ tab Qualys_Vulns (cột Results) Snapshot VM trước khi thực hiện Test update trên 1 host standby trước, sau đó mới áp dụng cho các host còn lại.</t>
  </si>
  <si>
    <t>[PROD] [BO] Cập nhật cấu hình cho đơn thiếu bút toán YO</t>
  </si>
  <si>
    <t>2026-03-30T14:36:38.564+0700</t>
  </si>
  <si>
    <t>2026-03-30T14:36:43.357+0700</t>
  </si>
  <si>
    <t>Hi a  @Nguyễn Văn Dũng , nhờ a chạy giúp e script bên dưới với ạ Thông tin database:  172.31.1.133:3306/bo UPDATE SAP_TRANS_SUM
SET
    POSTING_KEY   = '40',
    ACCOUNT_GROUP = 'GL'
WHERE ID IN (
    '2702208529829493258',
    '2702208529829496330',
    '2702208770247599114',
    '2702208770272949258'
);
UPDATE SAP_TRANS_SUM
SET
    POSTING_KEY   = '50',
    ACCOUNT_GROUP = 'GL'
WHERE ID IN (
    '2702208529829494282',
    '2702208770349389834'
);
UPDATE SAP_TRANS_DETAIL
SET POSTING_KEY = '40',
    ACCOUNT_GROUP = 'GL'
WHERE DOC_ACCOUNTING_ID = '3605326259' and DOC_TYPE = 'YO' AND TRANS_LINE_ID = '1';
UPDATE SAP_TRANS_DETAIL
SET POSTING_KEY = '50',
    ACCOUNT_GROUP = 'GL'
WHERE DOC_ACCOUNTING_ID = '3605326259' and DOC_TYPE = 'YO' AND TRANS_LINE_ID = '2';</t>
  </si>
  <si>
    <t>[UPP] [TPay] Hỗ trợ chạy script alter các bảng và migrate dữ liệu môi trường STAGING phục vụ test phần 1 merchant nhiều số TK</t>
  </si>
  <si>
    <t>2026-03-30T14:18:08.417+0700</t>
  </si>
  <si>
    <t>2026-03-30T14:18:18.889+0700</t>
  </si>
  <si>
    <t>Hi anh Dũng. Nhờ anh chạy giúp em script dưới đây nhằm alter các bảng và migrate dữ liệu, môi trường  STAGING   ngày 28/03/2026  hôm nay ạ. Thông tin database: jdbc:mysql://tidb.int.onemount.com:4000/vinpay_saas_tpay_staging Anh thực hiện chạy script theo thứ tự  20260306_schema_changes.sql  trước, rồi chạy  20260306_sync_master_account.sql  ạ. Script đính kèm bên dưới.</t>
  </si>
  <si>
    <t>[omd][clms][prod] Xin cấp mongodb cho hệ thống clms môi trường production</t>
  </si>
  <si>
    <t>2026-03-30T11:24:31.390+0700</t>
  </si>
  <si>
    <t>2026-03-30T15:01:14.964+0700</t>
  </si>
  <si>
    <t>Hi anh Linh Dự án Contract LifeCycle Management chuẩn bị golive production và có sử dụng mongo Nhờ anh cấp giúp em 1 database mới cho dự án này anh nhé Host ( ILB): 10.255.32.55 Database name: omd_clms Thanks anh ạ!</t>
  </si>
  <si>
    <t>2026-03-30T11:24:18.942+0700</t>
  </si>
  <si>
    <t>2026-03-30T11:36:41.596+0700</t>
  </si>
  <si>
    <t>IP (Host):   ces-production.crcykac8kxtw.ap-southeast-1.rds.amazonaws.com Port:  3306 DB Name:  ces_mh_mpm Command:   INSERT INTO mtr_material_units (id, name, created_by, created_date, deleted)
VALUES
    (UUID(), 'm3', 'admin', NOW(), 0),
    (UUID(), 'tấn', 'admin', NOW(), 0),
    (UUID(), 'tạ', 'admin', NOW(), 0),
    (UUID(), 'yến', 'admin', NOW(), 0),
    (UUID(), 'kg', 'admin', NOW(), 0),
    (UUID(), 'cái', 'admin', NOW(), 0),
    (UUID(), 'm', 'admin', NOW(), 0),
    (UUID(), 'm2', 'admin', NOW(), 0),
    (UUID(), 'cây (ống/thanh)', 'admin', NOW(), 0),
    (UUID(), 'tấm', 'admin', NOW(), 0),
    (UUID(), 'bộ', 'admin', NOW(), 0),
    (UUID(), 'cuộn', 'admin', NOW(), 0),
    (UUID(), 'viên', 'admin', NOW(), 0)
;</t>
  </si>
  <si>
    <t>[OMC][MFT][Flash Sale TCB] Scale up resource 28/03/2026</t>
  </si>
  <si>
    <t>2026-03-30T09:21:18.986+0700</t>
  </si>
  <si>
    <t>2026-03-30T09:21:38.227+0700</t>
  </si>
  <si>
    <t>Để phục vụ chạy campaign voucher tháng 3/2026 cho app TCB, nhờ team DBA hỗ trợ thực hiện nâng cấu hình database như thông tin bên dưới  Database IP TO Cấu hình CPU (hiện tại trên PROD) Cấu hình CPU sau tăng (phục vụ campaign) main 172.31.1.41 @Nguyễn Ngọc Thạch @Nguyễn Tá Lợi 16 vCPUs 32 GB RAM 32 vCPUs 64 GB RAM Thời gian thực hiện : 1AM 28/03/2026 Xem thêm :    Em cám ơn</t>
  </si>
  <si>
    <t>[BO] Update size column table  SAP_TRANS_SUM</t>
  </si>
  <si>
    <t>2026-03-30T08:32:54.436+0700</t>
  </si>
  <si>
    <t>2026-03-30T08:33:02.595+0700</t>
  </si>
  <si>
    <t>Hi a  @Nguyễn Văn Dũng , nhờ a đánh giá thời gian chạy giúp e script bên dưới với ạ Thông tin database:  172.31.1.133:3306/bo Script: ALTER TABLE SAP_TRANS_SUM
MODIFY COLUMN FILE_NAME VARCHAR(255);</t>
  </si>
  <si>
    <t>2026-03-28T19:56:02.014+0700</t>
  </si>
  <si>
    <t>2026-03-28T19:56:24.542+0700</t>
  </si>
  <si>
    <t>[TPAY][NON-PROD] Tạo tài khoản SFTP cho merchant OMNI lấy file báo cáo đối soát</t>
  </si>
  <si>
    <t>2026-03-27T18:25:02.481+0700</t>
  </si>
  <si>
    <t>2026-03-27T18:25:06.042+0700</t>
  </si>
  <si>
    <t>Dự án Tpay cần cấp tài khoản và 1 thư mục con trong thư mục trong thư mục tpay dành cho đối tác  OMNI  để đọc file từ sFTP server. Thông tin sFTP server cần kết nối đến: Non-prod:  35.229.130.107:2022 Nhờ team support tạo server và cấp account cho dự án. Em tên thư mục và folder ạ. Account: omniuat Folder: omniuat</t>
  </si>
  <si>
    <t>Hỗ trợ xóa data bị sai ở table GIFT_PROGRAM_CUSTOMER cho chương trình Quà Sinh Nhật Tháng 4-2026</t>
  </si>
  <si>
    <t>2026-03-27T18:05:00.925+0700</t>
  </si>
  <si>
    <t>2026-03-31T09:40:08.546+0700</t>
  </si>
  <si>
    <t>DELETE FROM portal.GIFT_PROGRAM_CUSTOMER
WHERE GIFT_PROGRAM_ID = 57 AND IS_REDEEM = 0;</t>
  </si>
  <si>
    <t>[OMC][MTP] Cập nhật và thêm user vào segments cho MKT</t>
  </si>
  <si>
    <t>2026-03-27T16:59:37.661+0700</t>
  </si>
  <si>
    <t>2026-03-27T17:00:18.989+0700</t>
  </si>
  <si>
    <t>segments</t>
  </si>
  <si>
    <t>Dear anh  @Nguyễn Văn Dũng  ,  @Đào Công Nghĩa  , nhờ a/e chạy giúp e script sau với. -- tidb_omc 
INSERT INTO dp_omc_semantic_omc_bsi_cdp.f_customer_label (pk, customer_id, label_code, label_value) VALUES
('127812918fc0cb37d458435c11ed6e9e','1435901','mtp_upload_07733934_8e2a_4cf3_a00b_1a6fa5d6a4d7','1'),
('e31a52548fdfb43ffdf4f38926da56f3','10013270','mtp_upload_07733934_8e2a_4cf3_a00b_1a6fa5d6a4d7','1'),
('0f20a1129e3e162a5aac183ed7ca4ecd','1350472','mtp_upload_07733934_8e2a_4cf3_a00b_1a6fa5d6a4d7','1'),
('a28ceb69a4e329c83538f104095d4fd2','5274651','mtp_upload_07733934_8e2a_4cf3_a00b_1a6fa5d6a4d7','1'),
('86f1c599215d72204b3d4f72c8984b45','7631808','mtp_upload_07733934_8e2a_4cf3_a00b_1a6fa5d6a4d7','1');
UPDATE dp_omc_semantic_omc_bsi_cdp.d_label dl 
SET label_code = 'mtp_upload_07733934_8e2a_4cf3_a00b_1a6fa5d6a4d7'
WHERE label_code = 'mtp_upload_07733934-8e2a-4cf3-a00b-1a6fa5d6a4d7';
UPDATE dp_omc_semantic_omc_bsi_cdp.f_customer_label fcl 
SET label_code = 'mtp_upload_07733934_8e2a_4cf3_a00b_1a6fa5d6a4d7'
WHERE label_code = 'mtp_upload_07733934-8e2a-4cf3-a00b-1a6fa5d6a4d7';
-- DB: 172.31.1.21:3306
-- Schema: mtp_martech_profile
UPDATE mtp_martech_profile.mtp_anonymous_profile_segmentation_job
SET external_properties = '{"AND":[{"data_type":"STRING","label_code":"mtp_upload_07733934_8e2a_4cf3_a00b_1a6fa5d6a4d7","label_value":"1","operator":"="}]}'
WHERE id = '4275abd3-bf8e-4a15-b74e-920c97c049ed'; Best regards Dinh Quang Nguyen</t>
  </si>
  <si>
    <t xml:space="preserve">[PROD] Tác động database update thông tin merchant </t>
  </si>
  <si>
    <t>2026-03-27T16:03:38.804+0700</t>
  </si>
  <si>
    <t>2026-03-27T16:03:52.920+0700</t>
  </si>
  <si>
    <t>Dear a Dũng,  Nhờ anh Dũng chạy câu lệnh sau giúp team với ạ  Thời gian : ngay sau khi được approval  Thông tin database : jdbc:mysql://pay-tidb.int.onemount.com:4000/saas_tpay   UPDATE UNIFIED_MERCHANT_SERVICE SET status = 'INACTIVE' WHERE merchant_code = 'CIBGBVNTP' AND service_code  = 'SMARTPOS_QR' AND tcb_merchant_id  = 'M14400633076395';</t>
  </si>
  <si>
    <t xml:space="preserve">[PROD] xoá dữ liệu segments đang lỗi </t>
  </si>
  <si>
    <t>2026-03-27T14:49:21.994+0700</t>
  </si>
  <si>
    <t>2026-03-27T14:49:43.246+0700</t>
  </si>
  <si>
    <t>IP: 172.31.4.9 Database: ecom_promotion Xoá dữ liệu đang gây lỗi production  Backup:  SELECT * FROM segments WHERE reference_id = '4275abd3-bf8e-4a15-b74e-920c97c049ed'; SQL:  DELETE FROM segments WHERE reference_id = '4275abd3-bf8e-4a15-b74e-920c97c049ed';</t>
  </si>
  <si>
    <t xml:space="preserve">[UPAY] Hỗ trợ export data soundbox pro </t>
  </si>
  <si>
    <t>2026-03-27T11:06:32.971+0700</t>
  </si>
  <si>
    <t>2026-03-27T11:06:46.888+0700</t>
  </si>
  <si>
    <t>Hi a  @Nguyễn Văn Dũng   nhờ a chạy giúp em ticket sau nhé ạ. Thời gian chạy:  ngay sau khi được approval   Thông tin database  saas_tpay:   tidb.int.onemount.com:4000/saas_tpay Export data theo script sau  WITH latest AS (
    SELECT transaction_id,
           device_serial_number,
           MAX(updated_at) AS max_updated_at
    FROM SOUNDBOX_NOTIFICATION
    WHERE connector_received_at &gt;= '2026-03-25 00:00:00'
      AND connector_received_at &lt;  '2026-03-26 00:00:00'
    GROUP BY transaction_id, device_serial_number
)
SELECT s.transaction_id        AS "Số FT",
       s.device_serial_number  AS "Mã số thiết bị",
       s.transaction_date_ts   AS "Ngày giao dịch",
       s.qr_store              AS "Mã QR cửa hàng",
       s.status                AS "Trạng thái thông báo",
       s.error_message         AS "Lý do noti thất bại",
       s.connector_received_at AS "Thời gian OM nhận thông báo",
       s.sent_at               AS "Thời gian OM gửi thông báo tới MQTT",
       s.mqtt_received_at      AS "Thời gian thiết bị phản hồi thông báo"
FROM SOUNDBOX_NOTIFICATION s
JOIN latest l
  ON s.transaction_id = l.transaction_id
 AND s.device_serial_number = l.device_serial_number
 AND s.updated_at = l.max_updated_at
ORDER BY s.created_at DESC;</t>
  </si>
  <si>
    <t>Xin quyền vào Database SAP dev</t>
  </si>
  <si>
    <t>2026-03-27T10:58:13.082+0700</t>
  </si>
  <si>
    <t>2026-05-19T15:40:06.808+0700</t>
  </si>
  <si>
    <t>Kính gửi anh Phương, Mong anh hỗ trợ cấp quyền truy cập vào cơ sở dữ liệu SAP Dev ( b1dev.masterisehomes.com ) cho em. Việc được cấp quyền truy cập sẽ giúp em có thể thực hiện và hoàn thành tốt các công việc được giao, đảm bảo tiến độ và chất lượng theo yêu cầu. Em rất mong nhận được sự hỗ trợ từ anh. Nếu cần bổ sung thêm thông tin hoặc hoàn thiện thủ tục theo quy trình, em xin sẵn sàng phối hợp. Em xin trân trọng cảm ơn anh. Kính trọng.</t>
  </si>
  <si>
    <t>[OMC][[ONEU] Chạy script phục vụ golive 26/03/2026</t>
  </si>
  <si>
    <t>2026-03-27T09:55:57.896+0700</t>
  </si>
  <si>
    <t>2026-03-27T09:56:33.916+0700</t>
  </si>
  <si>
    <t>Dear team DBA Team ONEU cần chạy script sau để golive nhờ team hỗ trợ ạ. Thời gian thực hiện 22h ngày 26/3/2026 project:  omc-base-platform-prod db:  omc_bp_authentication ip:  172.31.3.40 instances:  omc-authentication CR:  create index idx_users_vinid_app_id_phone_number_is_onboarded
    on users_vinid (app_id, phone_number, is_onboarded);
select '2026-03-23 00:00:00' as created_at, '2026-03-23 00:00:00' as updated_at, id as user_id
from users_vinid
where app_id in ('mBTvKSJfjzaLbtZ', 'updOMeRVjaRzLNT') and
    phone_number is not null
  and is_onboarded = false; Lấy kết quả của câu lệnh trên import vào bảng  user_reminders   Project: vinid-service-platform-prod IP: 172.31.1.12 DB name: oneu_user_onboarding</t>
  </si>
  <si>
    <t>[BO] Cập nhật cấu hình cho đơn thiếu bút toán YO</t>
  </si>
  <si>
    <t>2026-03-26T22:24:28.442+0700</t>
  </si>
  <si>
    <t>2026-03-26T22:25:46.682+0700</t>
  </si>
  <si>
    <t>Hi a  @Nguyễn Văn Dũng , nhờ a chạy giúp e script bên dưới với ạ Thông tin database:  172.31.1.133:3306/bo Script: UPDATE SAP_TRANS_DETAIL SET POSTING_KEY = 01 and ACCOUNT_GROUP = 'CUSTOMER' where DOC_ACCOUNTING_ID = '3605326259' and DOC_TYPE = 'YO';
UPDATE SAP_TRANS_SUM SET POSTING_KEY = 01 and ACCOUNT_GROUP = 'CUSTOMER' where DOC_ACCOUNTING_ID = '3605326259' and DOC_TYPE = 'YO';</t>
  </si>
  <si>
    <t>2026-03-26T18:02:36.381+0700</t>
  </si>
  <si>
    <t>2026-03-26T18:03:07.334+0700</t>
  </si>
  <si>
    <t>Do yêu cầu nghiệp vụ nên TMS Driver app cần cập nhật dữ liệu một số lý do hẹn|hủy giao Nhờ team thực hiện migration sql 21h - 22h ngày 26/03/2026 cho các database sau: Databasse:  omd_tms_onedriver_prod (SQL instance tms-mysql-01 (Private IP: 172.31.4.129)  https://console.cloud.google.com/sql/instances/tms-mysql-01/overview?project=onedc-tms-prod ): Update OD DB 26-03-2026.sql</t>
  </si>
  <si>
    <t>[Sao Mộc][NonProd] Hỗ trợ cấp user và schema cho dự án RIM</t>
  </si>
  <si>
    <t>2026-03-26T17:09:36.136+0700</t>
  </si>
  <si>
    <t>2026-03-26T17:10:04.884+0700</t>
  </si>
  <si>
    <t>Hi team DBA, dự án RIM của Sao Mộc bắt đầu deploy lên môi trường nonprod, nhờ các anh tạo account và cấp quyền giúp team theo thông tin sau ạ: Instance:  omre-cbp-mysql8  - 172.31.0.67 User và schema: sm_rim_jvaluation_core_qc sm_rim_jvaluation_core_uat sm_rim_jvaluation_partner_qc sm_rim_jvaluation_partner_uat Em cảm ơn team!</t>
  </si>
  <si>
    <t>2026-03-26T14:42:45.115+0700</t>
  </si>
  <si>
    <t>2026-03-26T15:26:26.812+0700</t>
  </si>
  <si>
    <t>Dear team DBA, 22h tối 25/3 team cần Bật/tắt cấu hình dịch vụ TCB Direct để hỗ trợ OMC test dịch vụ, nhờ anh/em support ạ Thông tin DB:  vinpay-sql-onehub-master.int.vinid.net:3306/pay_payment_gateway Lệnh bật cấu hình: UPDATE pay_payment_gateway.PROVIDER SET IS_ACTIVE=1 WHERE provider_id='41'; Lệnh tắt cấu hình: UPDATE pay_payment_gateway.PROVIDER SET IS_ACTIVE=0 WHERE provider_id='41';  </t>
  </si>
  <si>
    <t>[OMC][LinkAccount] Support thêm data golive 26/03/2026 - Link Account</t>
  </si>
  <si>
    <t>2026-03-26T14:31:29.743+0700</t>
  </si>
  <si>
    <t>2026-03-26T14:31:54.066+0700</t>
  </si>
  <si>
    <t>Dear team, Nhờ team chạy query insert thêm usecase trên LinkAccount: Thông tin: Instance ID:  https://console.cloud.google.com/sql/instances/postgres-01/overview?authuser=1&amp;project=vinid-service-platform-prod Database name:  sp_postgres_link_account Query:  INSERT INTO PARTNERS (id, name, code, kong_id, public_key, status, created_at, updated_at)
values (2, 'IVIE', 'ivie', 'ivie_user_kong_id', 'ivie-public-key', 'active', now(), now()); E cảm ơn!</t>
  </si>
  <si>
    <t>2026-03-26T14:26:32.989+0700</t>
  </si>
  <si>
    <t>2026-03-26T14:30:56.706+0700</t>
  </si>
  <si>
    <t>Dear team DBA Team ONEU cần chạy script sau để golive nhờ team hỗ trợ ạ. Có thể chạy ngay khi được approve Project: vinid-service-platform-prod IP: 172.31.1.12 DB name: oneu_user_onboarding CR:    create table user_reminders
(
    id           BIGINT      NOT NULL AUTO_INCREMENT PRIMARY KEY,
    created_at   DATETIME    NOT NULL DEFAULT CURRENT_TIMESTAMP,
    updated_at   DATETIME    NOT NULL DEFAULT CURRENT_TIMESTAMP ON UPDATE CURRENT_TIMESTAMP,
    user_id      BIGINT(50)  NOT NULL,
    reminder_id  BIGINT(50),
    status       VARCHAR(20) NOT NULL DEFAULT 'PENDING',
    is_onboarded BOOL                 DEFAULT false,
    UNIQUE INDEX idx_user_id (user_id),
    INDEX idx_status_is_onboarded_updated_at (status, is_onboarded, updated_at)
);</t>
  </si>
  <si>
    <t>Hỗ trợ cập nhật trạng thái lệch tồn vật lý kho thuanphong2</t>
  </si>
  <si>
    <t>2026-03-26T14:12:32.877+0700</t>
  </si>
  <si>
    <t>2026-03-26T14:13:05.213+0700</t>
  </si>
  <si>
    <t>Hi DBA team, Hiện tại kho thuanphong2 cần fix lỗi dữ liệu bị lệch số lượng tồn, nhờ team DBA hỗ trợ cập nhật theo thông tin dưới đây Project : vinid-b2b-platform-prod Instance/IP : main (read-write): 172.31.4.59 Port : 3306 Database : omd_wms_thuanphong2 DELETE from agg_inventory_aggregator aia where aia.id = 871228;
update agg_product_inventory api set api.last_modified_date = UTC_TIMESTAMP 
where api.id = 39416;</t>
  </si>
  <si>
    <t xml:space="preserve">[OMC][Loyalty MFT] VCM - Cập nhật thông tin Nguồn hạch toán &amp; Loại hạch toán của voucher </t>
  </si>
  <si>
    <t>2026-03-26T11:32:57.971+0700</t>
  </si>
  <si>
    <t>2026-03-26T11:38:12.086+0700</t>
  </si>
  <si>
    <t>loyalty</t>
  </si>
  <si>
    <t>Theo yêu cầu từ phía đội vận hành CR   , cần cập nhật lại thông tin thông tin Nguồn hạch toán &amp; Loại hạch toán của voucher, nhờ team hỗ trợ với ạ,  thời gian chạy : 11h ngày 26/03/2026 One Voucher - GCP project  vinid-loyalty-prod
- Instance name : onevoucher
- Instance IP : 172.31.4.126
- Database : onevc_vwm_prod Query UPDATE onevc_vwm_prod.warehouse w
SET
	w.postpaid_type = 'PAY_AT_REDEEM',
	w.voucher_payment_type = 'POSTPAID'
WHERE
	w.merchant_warehouse_code IN (
	'MAA_AHAMOVE_SF10559_NTB','MAA_AHAMOVE_SF10561_NTB','MAA_VINWONDERS_SF10576',
	'MAA_GONGCHA_SF10541','MAA_AHAMOVE_SF10561','MAA_AHAMOVE_SF10559',
	'MAA_CHANGMODERNTHAICUISINE_SF10570','MAA_THEPIZZACOMPANY_SF10569','MAA_MATCHAVIBE_SF10539',
	'MAA_HOMEFARM_SF10578','MAA_HIGHLANDCOFFEE_SF10581','MAA_HIGHLANDCOFFEE_SF10581_TAOLAI'
	);   Voucher Distribution - GCP project  vinid-loyalty-prod
- Instance name : voucher-distribution
- Instance IP : 172.31.4.82
- Database : b2b_voucher_distribution Query UPDATE b2b_voucher_distribution.purchase_order po
INNER JOIN b2b_voucher_distribution.purchase_order_voucher pov ON pov.purchase_order_id = po.id
INNER JOIN b2b_voucher_distribution.voucher v ON v.id = pov.voucher_id
SET
	po.client_postpaid_type = 'PAY_AT_REDEEM',
	po.client_voucher_payment_type = 'POSTPAID'
WHERE
	v.code IN (
	'MAA_AHAMOVE_SF10559_NTB','MAA_AHAMOVE_SF10561_NTB','MAA_VINWONDERS_SF10576',
	'MAA_GONGCHA_SF10541','MAA_AHAMOVE_SF10561','MAA_AHAMOVE_SF10559',
	'MAA_CHANGMODERNTHAICUISINE_SF10570','MAA_THEPIZZACOMPANY_SF10569','MAA_MATCHAVIBE_SF10539',
	'MAA_HOMEFARM_SF10578','MAA_HIGHLANDCOFFEE_SF10581','MAA_HIGHLANDCOFFEE_SF10581_TAOLAI'
	);   Em cảm ơn.</t>
  </si>
  <si>
    <t>[PROD] [VCM] Setting merchant Free</t>
  </si>
  <si>
    <t>2026-03-26T10:47:34.632+0700</t>
  </si>
  <si>
    <t>2026-03-26T10:47:53.685+0700</t>
  </si>
  <si>
    <t>Dear DBA Team, Nhờ a/e support hỗ trợ chay migration  Thời gian dự kiến:  10h 26/03/2026 IP: 172.31.1.41
Database: vincart_mm_merchant INSERT INTO settings (merchant_id, setting_key, setting_value, name, status)
SELECT m.id, 'VOUCHER_DISPLAY_TYPES' as setting_key,
        'Free' as setting_value, 'Loại voucher hiển thị' as name, 'active' as status
from merchants m
where m.code in ('BRBB202161CG6',
'DOTCB26016Luw',
'DOTCB26019288',
'DOTCB26030QB9',
'DOTCB26034uo4',
'DOTCB26035gFX',
'DOTCB26041AXX',
'DOTCB26041rP4',
'DOTCB26042dQg',
'DOTCB26043l0B',
'DOTCB260558Id',
'DOTCB26055oPd',
'DOTCB26058ajH',
'DOTCB26058KQO',
'DOTCB26061hvy',
'DOTCB26061JiD',
'DOTCB260635fH',
'DOTCB26063Buc',
'DOTCB26063DVj',
'DOTCB26063hNE',
'DOTCB26063rWu',
'DOTCB26063Zhd',
'DOTCB26064gKh',
'DOTCB26064MwT',
'DOTCB26064W3i',
'DOTCB260656jC',
'DOTCB260656qE',
'DOTCB26065Eyp',
'DOTCB26065gGF',
'DOTCB26065H3q',
'DOTCB26065NMz',
'DOTCB26065THK',
'DOTCB26065uhW',
'DOTCB26065wqE',
'DOTCB26066cYW',
'DOTCB26066OBu',
'DOTCB26066SX3',
'DOTCB26066wSt',
'DOTCB26066YR7',
'DOTCB260684w4',
'DOTCB26068xD7',
'DOTCB26069aY0',
'DOTCB26069Bno',
'DOTCB26069iCQ',
'DOTCB26069n6E',
'DOTCB26069PVa',
'DOTCB26069qb4',
'DOTCB260701oi',
'DOTCB26070AHV',
'DOTCB26070deh',
'DOTCB26070Hqc',
'DOTCB26070KXm',
'DOTCB26070Nw4',
'DOTCB26070TBj',
'DOTCB26070UzH',
'DOTCB26070Z2N',
'DOTCB26070Z5M',
'DOTCB26071beT',
'DOTCB26071dTj',
'DOTCB26071jMo',
'DOTCB26071RSc',
'DOTCB26071sAr',
'DOTCB26071TxZ',
'DOTCB260720xB',
'DOTCB260721Fz',
'DOTCB260721ys',
'DOTCB26072582',
'DOTCB260727nG',
'DOTCB26072HKe',
'DOTCB26072iTg',
'DOTCB26072jbR',
'DOTCB26072lDx',
'DOTCB26072MEP',
'DOTCB26072MZt',
'DOTCB26072qzj',
'DOTCB26072ryH',
'DOTCB26072sx7',
'DOTCB26072WNw',
'DOTCB26072xXE',
'DOTCB26072Zqe',
'DOTCB26073EO3',
'DOTCB26073gPq',
'DOTCB26075Cng',
'DOTCB26075Gsh',
'DOTCB26075pM6',
'DOTCB26075vo0',
'DOTCB26075Wwm',
'DOTCB26075Y4u',
'DOTCB26075YZ7',
'DOTCB260770sF',
'DOTCB2607724w',
'DOTCB26077707',
'DOTCB26077bfB',
'DOTCB26077e7z',
'DOTCB26077HbN',
'DOTCB26077hIG',
'DOTCB26077iKS',
'DOTCB26077IRg',
'DOTCB26077jHJ',
'DOTCB26077L5e',
'DOTCB26077lU1',
'DOTCB26077LWJ',
'DOTCB26077mOy',
'DOTCB26077nqU',
'DOTCB26077NrE',
'DOTCB26077NV0',
'DOTCB26077pDP',
'DOTCB26077QL6',
'DOTCB26077rJV',
'DOTCB26077SOj',
'DOTCB26077TQD',
'DOTCB26077TVk',
'DOTCB26077uDZ',
'DOTCB26077vtq',
'DOTCB26077wDS',
'DOTCB26077Wor',
'DOTCB26077Z1N',
'DOTCB260792FK',
'DOTCB260799Dm',
'DOTCB26079a1j',
'DOTCB26079aNz',
'DOTCB26079B7V',
'DOTCB26079ciN',
'DOTCB26079GBe',
'DOTCB26079I7p',
'DOTCB26079Jtq',
'DOTCB26079m0w',
'DOTCB26079q6b',
'DOTCB26079uiN',
'DOTCB26079w7F',
'DOTCB26079WUN',
'DOTCB26079yua',
'DOTCB260803Ww',
'DOTCB260806KP',
'DOTCB26080eXe',
'DOTCB26080IYa',
'DOTCB26080s0k',
'DOTCB26080vmf',
'DOTCB260822Vt',
'DOTCB260826Nu',
'DOTCB26082FM1',
'DOTCB26082rRR',
'DOTCB26082tuy',
'DOTCB26082z4z',
'MCL016EXK5TD0',
'MCL06AUQM2N1L',
'MCL0MSJFK76FS',
'MCL0RY7GX5CTF',
'MCL0WBJ05U8TX',
'MCL0WV01CWR36')</t>
  </si>
  <si>
    <t xml:space="preserve">[OMD] [Workflow] Cấp quyền view cho tài khoản trên dremio </t>
  </si>
  <si>
    <t>2026-03-26T10:22:57.860+0700</t>
  </si>
  <si>
    <t>2026-03-26T10:25:15.735+0700</t>
  </si>
  <si>
    <t>Dear Dũng nhờ em phân quyền giúp a tài khoản dremio  dremio_camunda_bpm_qc Trên bảng camunda_bpm_qc-172_31_1_12/public.bpm_log cloud:  https://console.cloud.google.com/sql/instances/main-postgres/databases?project=vinid-app-common-dev</t>
  </si>
  <si>
    <t>[OMC][GAMI][PS2][Prod] Hỗ trợ update thử thách cho campagin BASES0126_CARD_ACTIVE</t>
  </si>
  <si>
    <t>2026-03-26T10:00:35.932+0700</t>
  </si>
  <si>
    <t>2026-03-26T10:02:03.617+0700</t>
  </si>
  <si>
    <t>Hỗ trợ update thử thách cho campagin BASES0126_CARD_ACTIVE theo yêu cầu vận hành Techcombank, do campaign đã start nên bị chặn từ portal, cần update thông qua DB Host:  172.31.4.75 DB: promo_gamezone Query: trong file đính kèm Mail yêu cầu từ vận hành Techcombank được đính kèm</t>
  </si>
  <si>
    <t>Xóa bản ghi trùng lặp trong file_process_records</t>
  </si>
  <si>
    <t>2026-03-26T04:55:07.075+0700</t>
  </si>
  <si>
    <t>2026-03-26T04:55:15.351+0700</t>
  </si>
  <si>
    <t>SQL Script DELETE src
FROM file_process_records src
JOIN file_process_records keep
    ON src.storage_file_path = keep.storage_file_path
    AND src.id &lt; keep.id;</t>
  </si>
  <si>
    <t>[OneNexus x OneHub] Request access vào MySQL non-prod của CBP</t>
  </si>
  <si>
    <t>2026-03-26T04:54:31.104+0700</t>
  </si>
  <si>
    <t>2026-03-26T04:54:44.687+0700</t>
  </si>
  <si>
    <t>Hi team, Nhờ team  bổ sung quyền  cho worker của OneNexus connect qua MySQL DB non-prod của CBP như sau: Mysql (172.31.0.67): Môi trường: dev, qc, uat User hiện tại:  onx_dp_cdp_onehub_readonly Schema Table omre_cbp_transaction_{qc,uat} income_ledgers omre_cbp_agent_core_{qc,uat} department_members omre_cbp_agent_core_{qc,uat} departments Xin cảm ơn!</t>
  </si>
  <si>
    <t>[MAG][IOTek][MCM][PROD] alter table và tạo index</t>
  </si>
  <si>
    <t>2026-03-25T17:52:26.579+0700</t>
  </si>
  <si>
    <t>2026-03-25T18:29:50.175+0700</t>
  </si>
  <si>
    <t>Backup table  ces_mcm_storage.dc_documents  trước khi thực hiện script Trường thông tin Nội dung mẫu IP (Host) ces-production.crcykac8kxtw.ap-southeast-1.rds.amazonaws.com Port 3306 DB Name ces_mcm_storage ALTER TABLE ces_mcm_storage.dc_documents MODIFY COLUMN path varchar(768) CHARACTER SET utf8mb4 COLLATE utf8mb4_unicode_ci NULL;
CREATE INDEX idx_document_path ON ces_mcm_storage.dc_documents(path);</t>
  </si>
  <si>
    <t xml:space="preserve">[OMC][GAMI][PS2][Prod] Hỗ trợ update thử thách cho campagin BASES0126_CARD_ACTIVE </t>
  </si>
  <si>
    <t>2026-03-25T17:21:35.098+0700</t>
  </si>
  <si>
    <t>2026-03-25T17:21:51.826+0700</t>
  </si>
  <si>
    <t xml:space="preserve">Hỗ trợ update thử thách cho campagin BASES0126_CARD_ACTIVE theo yêu cầu vận hành Techcombank, do campaign đã start nên bị chặn từ portal, cần update thông qua DB Host:  172.31.4.75 DB: promo_gamezone Query: do câu lệnh update config nên quá dài, ace lấy từ link này nhé    Mail yêu cầu từ vận hành Techcombank được đính kèm </t>
  </si>
  <si>
    <t>[OneNexus x OneHub] Request access vào các DB prod của CBP</t>
  </si>
  <si>
    <t>2026-03-25T16:15:39.300+0700</t>
  </si>
  <si>
    <t>2026-03-26T04:55:50.762+0700</t>
  </si>
  <si>
    <t>ONX-CDP</t>
  </si>
  <si>
    <t>Hi team, Nhằm phục vụ cho project CDP của OneHub, phía worker của OneNexus cần connect qua các DB non-prod của CBP như sau: MongoDB ( omre-cbp-prod-shard-00-00.8j11t.mongodb.net:27017 omre-cbp-prod-shard-00-01.8j11t.mongodb.net:27017 omre-cbp-prod-shard-00-02.8j11t.mongodb.net:27017 omre-cbp-prod.8j11t.mongodb.net:27017 ): Môi trường: prod Permission: read-only List schema và table: Schema Table omre_cbp_listing listings Mysql (172.31.4.127): Môi trường: prod Permission: read-only List schema và table: Schema Table omre_cbp_collab inq_inquiries omre_cbp_collab inq_inquiry_participants omre_cbp_collab inq_inquiry_demands omre_cbp_collab dlr_deal_rooms omre_cbp_collab dlr_deal_room_inquiries omre_cbp_collab dlr_deal_room_participants omre_cbp_collab dlr_agreements omre_cbp_collab dlr_offers omre_cbp_calendar evt_events omre_cbp_calendar evt_event_relations omre_cbp_transaction transactions omre_cbp_transaction transaction_phase_statuses omre_cbp_transaction transaction_tasks omre_cbp_transaction transaction_cpra_rules omre_cbp_agent_core agents omre_cbp_agent_core branches omre_cbp_agent_core master_agents   Nhờ team hỗ trợ cấp quyền để access nhé! Trân trọng cám ơn!</t>
  </si>
  <si>
    <t>[OMC][MTP] Clear dữ liệu tracking tháng 1/2026</t>
  </si>
  <si>
    <t>2026-03-25T15:51:49.271+0700</t>
  </si>
  <si>
    <t>2026-03-25T15:52:11.811+0700</t>
  </si>
  <si>
    <t>Dear anh  @Nguyễn Văn Dũng  ,  @Đào Công Nghĩa  , nhờ anh em chạy giúp script sau: -- OMC
use omc_mtp_tracking_events;
ALTER TABLE omc_mtp_tracking_events.mtp_tracking_events_omc  DROP INDEX idx_u_message_id;
ALTER TABLE omc_mtp_tracking_events.mtp_tracking_events_omc DROP PARTITION p20260101;
ALTER TABLE omc_mtp_tracking_events.mtp_tracking_events_omc DROP PARTITION p20260102;
ALTER TABLE omc_mtp_tracking_events.mtp_tracking_events_context_omc DROP PARTITION p20260101;
ALTER TABLE omc_mtp_tracking_events.mtp_tracking_events_context_omc DROP PARTITION p20260102;
ALTER TABLE omc_mtp_tracking_events.mtp_tracking_event_sessions DROP PARTITION p2026_01;
use omc_mtp_martech_activation;
ALTER TABLE omc_mtp_martech_activation.mtp_ads_events DROP PARTITION p2026_01;
ALTER TABLE omc_mtp_martech_activation.mtp_push_events DROP PARTITION p2026_01;
ALTER TABLE omc_mtp_martech_activation.mtp_tracking_email_events DROP PARTITION p2026_01;
ALTER TABLE omc_mtp_martech_activation.mtp_tracking_email_notifications DROP PARTITION p2026_01;
ALTER TABLE omc_mtp_martech_activation.mtp_tracking_fcm_messages DROP PARTITION p2026_01;
ALTER TABLE omc_mtp_martech_activation.mtp_tracking_push_notifications DROP PARTITION p2026_01;
-- OMRE
use omre_mtp_tracking_events;
ALTER TABLE omre_mtp_tracking_events.mtp_tracking_events_omre  DROP INDEX idx_u_message_id;
ALTER TABLE omre_mtp_tracking_events.mtp_tracking_events_omre drop partition p20260101;
ALTER TABLE omre_mtp_tracking_events.mtp_tracking_events_omre drop partition p20260102;
ALTER TABLE omre_mtp_tracking_events.mtp_tracking_events_context_omre DROP PARTITION p20260101;
ALTER TABLE omre_mtp_tracking_events.mtp_tracking_events_context_omre DROP PARTITION p20260102;
-- create global index
use omc_mtp_tracking_events;
ALTER TABLE omc_mtp_tracking_events.mtp_tracking_events_omc ADD UNIQUE INDEX idx_u_message_id (message_id) GLOBAL;
use omre_mtp_tracking_events;
ALTER TABLE omre_mtp_tracking_events.mtp_tracking_events_omre ADD UNIQUE INDEX idx_u_message_id (message_id) GLOBAL; Best regards Dinh Quang Nguyen</t>
  </si>
  <si>
    <t>2026-03-25T15:50:56.903+0700</t>
  </si>
  <si>
    <t>2026-03-25T15:52:02.742+0700</t>
  </si>
  <si>
    <t>2026-03-25T14:09:20.370+0700</t>
  </si>
  <si>
    <t>2026-03-25T14:09:46.460+0700</t>
  </si>
  <si>
    <t>Do yêu cầu nghiệp vụ nên TMS Driver app cần cập nhật dữ liệu một số lý do hẹn|hủy giao  Nhờ team thực hiện migration sql 21h - 22h ngày 24/03/2026 cho các database sau: Databasse:  omd_tms_onedriver_prod (SQL instance tms-mysql-01 (Private IP: 172.31.4.129)  https://console.cloud.google.com/sql/instances/tms-mysql-01/overview?project=onedc-tms-prod ): Update OD DB 24-03-2026.sql</t>
  </si>
  <si>
    <t>[OMRE][CBP][Virtual Tour] Tạo DB môi trường UAT</t>
  </si>
  <si>
    <t>2026-03-25T12:32:48.157+0700</t>
  </si>
  <si>
    <t>2026-03-25T15:17:27.226+0700</t>
  </si>
  <si>
    <t xml:space="preserve">Nhờ ae tạo cho schema như sau: Host :172.31.0.67 Schema : omre_cbp_virtual_tour_uat User : omre_cbp_virtual_tour_uat Nếu schema và User này đã tồn tại, nhờ ae reset lại password lại nhé. Thanks a/e DBA. cc:  @Nguyễn Đức Anh  </t>
  </si>
  <si>
    <t>[OMC][GAMI][PS2][Prod] Hỗ trợ update trạng thái cho khách hàng campaign Challenge</t>
  </si>
  <si>
    <t>2026-03-25T12:02:34.004+0700</t>
  </si>
  <si>
    <t>2026-03-25T12:03:08.005+0700</t>
  </si>
  <si>
    <t>Hỗ trợ update trạng thái cho khách hàng campaign Challenge Hiện tại theo ghi nhận log và portal thì khách hàng đã thực hiện đủ 5 lần nhiệm vụ, hệ thống bị miss 1 record Cần update lại thông tin đúng cho khách, theo yêu cầu vận hành Host:  172.31.4.75 DB: promo_quest Query:  UPDATE `campaign_values` SET `amount`=5,`updated_at`='2026-03-25 10:00:00',`is_finish`=1, `finish_time`='2026-03-25 10:00:00'
WHERE campaign_id=106 AND customer_id='1006024104' AND mission_id='Mission_BASES0326_ETB_TAB2_GROUP1_5QR_1@688d5c98-65a2-45c2-a126-9016064de4c2'; Thông tin vận hành TCB gửi đính kèm</t>
  </si>
  <si>
    <t>Hỗ trợ cập nhật trạng thái đơn xuất hàng bị treo kho 8124</t>
  </si>
  <si>
    <t>2026-03-25T11:55:07.891+0700</t>
  </si>
  <si>
    <t>2026-03-25T11:56:38.088+0700</t>
  </si>
  <si>
    <t>Hi DBA team, Hiện tại kho 8124 cần fix lỗi dữ liệu, nhờ team DBA hỗ trợ cập nhật theo thông tin dưới đây Project : vinid-b2b-platform-prod Instance/IP : main (read-write): 172.31.4.59 Port : 3306 Database : omd_wms_8115 update order_hdr oh 
join order_item oi on oi.order_hdr_id = oh.order_hdr_id
set oh.order_status = 'SHIPPED',
    oi.item_status = 'SHIPPED',
    oh.last_modified_date = UTC_TIMESTAMP,
    oi.last_modified_date = UTC_TIMESTAMP
where oh.order_hdr_id in (412690, 412067, 412691, 411580, 412677, 408538, 412675, 408946, 
412676, 411965, 412673, 408560, 412682, 408192, 412681, 411154, 412687, 411078, 
412684,  411097, 412669, 407018, 412667, 409781, 412666, 408199, 412664, 410281,
412663, 409468) and oi.item_status != 'SHIPPED';  </t>
  </si>
  <si>
    <t>[OMD][Kafka][Prod] Tạo kafka topic cho các bảng nguồn merchant payment phục vụ dự án MerchantHub</t>
  </si>
  <si>
    <t>2026-03-25T11:54:39.665+0700</t>
  </si>
  <si>
    <t>2026-03-25T14:30:20.096+0700</t>
  </si>
  <si>
    <t>Hiện tại OMD đang có nhu cầu kéo dữ liệu các bảng sau nhờ anh Linh tạo kafka topic ở môi trường PROD giúp team để kéo data về DP. PROD: IP host: 172.31.4.36:5432 Schema: mhpos_payment Table list: address
country
district
merchant
payment_method
payment_transaction
province
street
ward
warehouse</t>
  </si>
  <si>
    <t>[OMD][Kafka][Prod] Tạo kafka topic cho các bảng nguồn Merchant Catalog phục vụ dự án MerchantHub</t>
  </si>
  <si>
    <t>2026-03-25T11:54:28.531+0700</t>
  </si>
  <si>
    <t>2026-03-25T14:11:30.128+0700</t>
  </si>
  <si>
    <t>Hiện tại OMD đang có nhu cầu kéo dữ liệu các bảng sau nhờ anh Linh tạo kafka topic ở môi trường PROD giúp team để kéo data về DP. PROD: IP host: 172.31.4.29:5432 Schema: mhpos_catalog Table list: vat_out
variant_attribute_option
variant_attribute
product_modifier_option
product_label
product_customization
product_addon
product
merchant
label
customization_option
customization
category</t>
  </si>
  <si>
    <t>[OMD][Kafka][Prod] Tạo kafka topic cho các bảng nguồn Merchant OMS phục vụ dự án MerchantHub</t>
  </si>
  <si>
    <t>2026-03-25T11:53:12.008+0700</t>
  </si>
  <si>
    <t>2026-03-25T11:53:32.433+0700</t>
  </si>
  <si>
    <t>Hiện tại OMD đang có nhu cầu kéo dữ liệu các bảng sau nhờ anh Linh tạo kafka topic ở môi trường PROD giúp team để kéo data về DP. PROD: IP host: 172.31.4.37:5432 Schema: mhpos_oms Table list: address
country
dining_table
district
merchant
order_adjustment
order_code_sequence
order_item
order_item_add_on
order_type
payment_mode
province
sale_order
store_fee_config
tax_categories
ward
warehouse</t>
  </si>
  <si>
    <t>[Soundbox] Cập nhập thông tin thiết bị SDLTCBY66A1223240414</t>
  </si>
  <si>
    <t>2026-03-25T11:22:09.861+0700</t>
  </si>
  <si>
    <t>2026-03-25T11:22:19.923+0700</t>
  </si>
  <si>
    <t>ops</t>
  </si>
  <si>
    <t>Hi a  @Nguyễn Văn Dũng , nhờ a chạy giúp e script bên dưới với ạ Thông tin database saas_tpay:  pay-tidb.int.onemount.com:4000/saas_tpay Scripts: -- WLB - Trung tâm kinh doanh trực tiếp MB
UPDATE TCB_DEVICE SET device_hub_code = 'TTH', device_hub = 'Thái Thịnh' where device_serial_number = 'SDLTCBY66A1223240414'</t>
  </si>
  <si>
    <t>[Saitama][BO] Release 23/03/2026</t>
  </si>
  <si>
    <t>2026-03-25T10:04:14.100+0700</t>
  </si>
  <si>
    <t>2026-03-25T10:04:27.011+0700</t>
  </si>
  <si>
    <t>Hi a  @Nguyễn Văn Dũng  , nhờ a chạy script theo mô tả  dưới đây ở môi trường PRODUCTION theo thông tin dưới đây ạ: Thời gian chạy script: Vào lúc  21h59p ngày 23/03/2026   - Khi team thông báo Thông tin database:  172.31.1.133:3306/bo Scripts:  ALTER TABLE SAP_TRANS_DETAIL MODIFY COLUMN PAYMENT_TERM VARCHAR(100) COLLATE utf8mb4_general_ci,
                             MODIFY COLUMN REF_KEY_2 VARCHAR(200) COLLATE utf8mb4_general_ci;
ALTER TABLE SAP_TRANS_DETAIL_HIS MODIFY COLUMN PAYMENT_TERM VARCHAR(100) COLLATE utf8mb4_general_ci,
                                 MODIFY COLUMN REF_KEY_2 VARCHAR(200) COLLATE utf8mb4_general_ci;
ALTER TABLE SAP_TRANS_SUM MODIFY COLUMN PAYMENT_TERM VARCHAR(100) COLLATE utf8mb4_general_ci,
                          MODIFY COLUMN REF_KEY_2 VARCHAR(200) COLLATE utf8mb4_general_ci;
-- 32 -&gt; 200
ALTER TABLE FUNDS_TRANSFER MODIFY COLUMN GROUP2 VARCHAR(200) COLLATE utf8mb4_general_ci;
ALTER TABLE FUNDS_TRANSFER_ARCHIVE MODIFY COLUMN GROUP2 VARCHAR(200) COLLATE utf8mb4_general_ci;
ALTER TABLE FUNDS_TRANSFER_HIS MODIFY COLUMN GROUP2 VARCHAR(200) COLLATE utf8mb4_general_ci;
ALTER TABLE FUNDS_TRANSFER_NAU MODIFY COLUMN GROUP2 VARCHAR(200) COLLATE utf8mb4_general_ci;
-- 32 -&gt; 200
ALTER TABLE STMT_ENTRY MODIFY COLUMN GROUP2 VARCHAR(200) COLLATE utf8mb4_general_ci;
ALTER TABLE STMT_ENTRY_ARCHIVE MODIFY COLUMN GROUP2 VARCHAR(200) COLLATE utf8mb4_general_ci;
ALTER TABLE STMT_ENTRY_HIS MODIFY COLUMN GROUP2 VARCHAR(200) COLLATE utf8mb4_general_ci;
ALTER TABLE STMT_ENTRY_NAU MODIFY COLUMN GROUP2 VARCHAR(200)COLLATE utf8mb4_general_ci;
UPDATE CONFIG_POSTING_FLAG SET POSTING_FLAG = 1 where SERVICE_ID ='VN0010010' and TYPE ='REVENUE';
-- Cấu hình sap file rule
UPDATE ACCT_MAP_ACCOUNTING_LINE
SET VALUE_TYPE = 'R',
    VALUE      = 'STMT_ENTRY.GROUP2'
WHERE LINE_ID IN ('AR056','AR057','AR058')
  AND SAP_FIELD_NAME = 'REF_KEY_2';
INSERT INTO ACCT_MAP_ACCOUNTING_LINE(ID, LINE_ID, COMPANY_ID, DOMAIN_ID, SERVICE_ID, SAP_FIELD_NAME, DESCRIPTION, DATA_TYPE, VALUE_TYPE, VALUE, INSERT_DATETIME)
VALUES (44444, 'AR056', 'VN0010002',  'VN0010006', 'VN0010010', 'ZTERM', 'Payment term', 2, 'R', 'STMT_ENTRY.GROUP1', CURRENT_TIMESTAMP),
       (44445, 'AR057', 'VN0010002',  'VN0010006', 'VN0010010', 'ZTERM', 'Payment term', 2, 'R', 'STMT_ENTRY.GROUP1', CURRENT_TIMESTAMP),
       (44446, 'AR058', 'VN0010002',  'VN0010006', 'VN0010010', 'ZTERM', 'Payment term', 2, 'R', 'STMT_ENTRY.GROUP1', CURRENT_TIMESTAMP)
;</t>
  </si>
  <si>
    <t>[Prod] migrate data</t>
  </si>
  <si>
    <t>2026-03-25T09:22:47.533+0700</t>
  </si>
  <si>
    <t>2026-03-25T09:23:13.536+0700</t>
  </si>
  <si>
    <t>Hi anh  @Nguyễn Văn Dũng  nhờ anh chạy giúp thông tin dưới đây: IP/Host:  172.31.4.9 Database:   ecom_configuration Script INSERT INTO refund_rule_configurations
(created_at, updated_at, provider_code, payment_scope, `type`, value, status)
VALUES('2025-06-25 04:02:16', '2026-03-24 15:39:21', 'TCB_DIRECT', 'INTERNATIONAL', 'AFTER_ORDER_CREATED', '{"after_time":"","delay_duration":360}', 'ACTIVE');
INSERT INTO refund_rule_configurations
(created_at, updated_at, provider_code, payment_scope, `type`, value, status)
VALUES('2025-06-25 04:02:16', '2026-03-24 15:39:28', 'TCB_DIRECT', 'DOMESTIC', 'AFTER_ORDER_CREATED', '{"after_time":"","delay_duration":360}', 'ACTIVE');</t>
  </si>
  <si>
    <t>[UPay][PROD] Hỗ trợ cấu hình nguồn tiền TCB Direct</t>
  </si>
  <si>
    <t>2026-03-25T08:36:46.742+0700</t>
  </si>
  <si>
    <t>2026-03-25T08:36:57.256+0700</t>
  </si>
  <si>
    <t>Dear team DBA, 22h tối 24/3 team cần Bật/tắt cấu hình dịch vụ TCB Direct để hỗ trợ OMC test dịch vụ, nhờ anh/em support ạ Thông tin DB:  vinpay-sql-onehub-master.int.vinid.net:3306/pay_payment_gateway Lệnh bật cấu hình: UPDATE pay_payment_gateway.PROVIDER SET IS_ACTIVE=1 WHERE provider_id='41'; Lệnh tắt cấu hình: UPDATE pay_payment_gateway.PROVIDER SET IS_ACTIVE=0 WHERE provider_id='41';  </t>
  </si>
  <si>
    <t>[PROD] [VCM] Update voucher merchant accepted</t>
  </si>
  <si>
    <t>2026-03-24T17:54:13.197+0700</t>
  </si>
  <si>
    <t>2026-03-24T18:01:21.627+0700</t>
  </si>
  <si>
    <t>Dear DBA team, Do thông tin logo, merchant id bị thiếu.  Cần update bổ xung thêm. Nhờ a/e hỗ trợ chạy script sau: Thông tin db MYSQL: IP: 172.31.1.41
Database name: vincart_mm_product UPDATE vincart_mm_product.entity_attributes_values 
SET 
    value = '[{"logo_url": "https://cdn-merchant.vinid.net/mpops/1767685905_HALACOFFEE.png", "merchant_id": 381667, "merchant_code": "DOOPS25360O3G", "merchant_name": "HALA COFFEE - PHAN XÍCH LONG", "merchant_name_en": "Hala Coffee - Phan Xich Long"}]'
WHERE
    id IN (551402 , 553615);
    UPDATE vincart_mm_product.entity_attributes_values 
SET 
    value = '[{"logo_url": "https://cdn-merchant.vinid.net/mpops/1767685958_HALACOFFEE.png", "merchant_id": 381710, "merchant_code": "DOOPS25360OKl", "merchant_name": "HALA COFFEE - NAM KỲ KHỞI NGHĨA", "merchant_name_en": "Hala Coffee - Nam Ky Khoi Nghia"}]'
WHERE
    id IN (551423 , 553616);
update vincart_mm_product.apply_stores set merchant_id = 381710 where id =47399;</t>
  </si>
  <si>
    <t>[OMD][Kafka][Prod] Tạo kafka topic cho các bảng nguồn Merchant Fiscal phục vụ dự án MerchantHub</t>
  </si>
  <si>
    <t>2026-03-24T17:48:16.066+0700</t>
  </si>
  <si>
    <t>2026-03-25T14:44:47.154+0700</t>
  </si>
  <si>
    <t>Hiện tại OMD đang có nhu cầu kéo dữ liệu các bảng sau nhờ anh Linh tạo kafka topic ở môi trường PROD giúp team để kéo data về DP. PROD: IP host: 172.31.4.36:5432 Schema: mhpos_fiscal Table list: e_invoice
e_invoice_integration_status
e_invoice_management_account
e_invoice_registrations
e_invoice_registrations_template
e_invoice_series
e_invoice_settings
merchant
onboarding_profile
onboarding_service
tax_authority
tax_categories</t>
  </si>
  <si>
    <t>2026-03-24T17:15:54.567+0700</t>
  </si>
  <si>
    <t>2026-03-24T17:16:22.628+0700</t>
  </si>
  <si>
    <t>Hỗ trợ lấy danh sách accept challenge cho campaign TCB Host:  172.31.4.75 DB: promo_gamezone Query: SELECT DISTINCT user_id FROM `accept_challenge` WHERE campaign_id = 119; Theo yêu cầu vận hành campaign TCB</t>
  </si>
  <si>
    <t>[OMD][TCB-MerchantHUB][PROD] Xin cấp tài khoản readonly trên DB của merchant-hub pos</t>
  </si>
  <si>
    <t>2026-03-24T16:01:44.882+0700</t>
  </si>
  <si>
    <t>2026-03-24T16:55:22.059+0700</t>
  </si>
  <si>
    <t>Hi anh  @Phạm Tuấn Linh   Phía dự án cần 1 tài khoản readonly để thuận tiện cho việc check data trong quá trình phát triển  Nhờ anh cấp giúp dự án 1 tk readonly anh nhé gcp project: omd-merchant-hub-prod 1. instance: mhpos-catalog-prod-postgres - DB name:  mhpos_catalog user: mhpos_catalog_readonly 2. instance: mhpos-order-prod-postgres - DB name: mhpos_oms  user: mhpos_oms_readonly 3. instance: mhpos-common-prod-postgres - DB name: mhpos_customer user: mhpos_customer_readonly 4. instance: mhpos-common-prod-postgres - DB name: mhpos_payment user: mhpos_payment_readonly 5. instance: mhpos-common-prod-postgres - DB name:  mhpos_fiscal user: mhpos_fiscal_readonly Em cảm ơn ạ</t>
  </si>
  <si>
    <t>[OMRE][Non-Prod][Sao-Mộc][RIM] Tạo DB nonprod cho j-core service</t>
  </si>
  <si>
    <t>2026-03-24T15:07:54.524+0700</t>
  </si>
  <si>
    <t>2026-03-24T15:20:24.292+0700</t>
  </si>
  <si>
    <t xml:space="preserve">Dear a/e DBA. Nhờ a/e tạo giúp 2 schema: Host: Host:172.31.0.67 Schema Name đặt giống với User QC:  sm_rim_j_core_qc UAT:  sm_rim_j_core_uat Thanks a/e.  cc:  @Nguyễn Đức Anh  </t>
  </si>
  <si>
    <t>[MAG][PROD][Keycloak] Tạo Database cho Keycloak</t>
  </si>
  <si>
    <t>2026-03-24T14:42:13.245+0700</t>
  </si>
  <si>
    <t>2026-03-24T14:44:26.974+0700</t>
  </si>
  <si>
    <t>Keycloak</t>
  </si>
  <si>
    <t>Nhờ team DBA hỗ trợ tạo Database cho Keycloak Production trên AWS cho MAG. Thông tin cấu hình: Database type: PostgreSQL Database name: mag_keycloak username: mag_keycloak Ticket triển khai Keycloak:  https://onemount.atlassian.net/browse/SP-11861 cc anh  @Trần Thế Chinh  ,  @Triệu Trang Tòng  ntt</t>
  </si>
  <si>
    <t>V/v  Triển khai luồng đồng bộ SKR từ IVI về ODS dev</t>
  </si>
  <si>
    <t>2026-03-24T14:35:36.369+0700</t>
  </si>
  <si>
    <t>2026-03-24T14:38:11.270+0700</t>
  </si>
  <si>
    <t>Đồng bộ luồng báo cáo SKR từ IVI về ODS dev(Postgresql → TiDB) CDC dữ liệu các table về ODS: DATABASE SCHEMA TABLE stable_sakura his nb_dich_vu     nb_dich_vu2     nb_dv_ky_thuat     dm_dich_vu     nb_phieu_thu     dm_dv_ky_thuat     nb_dv_xet_nghiem     nb_dv_cdha_tdcn_pt_tt     nb_dv_kham_ket_luan     dm_phong     dm_khoa     dm_nhom_dich_vu_cap2     dm_nhom_dich_vu_cap3     dm_ma_may     nb_phieu_doi_tra     nb_dot_dieu_tri     dm_dv_gia     nb_dv_kho     kho_phieu_nhap_xuat</t>
  </si>
  <si>
    <t>[OMC][GAMI][PS2][Prod] Thực hiện Shrink DB cụm gami cho PS2</t>
  </si>
  <si>
    <t>2026-03-24T14:29:15.864+0700</t>
  </si>
  <si>
    <t>2026-03-24T14:32:25.577+0700</t>
  </si>
  <si>
    <t>Gami</t>
  </si>
  <si>
    <t>Thực hiện Shrink DB cụm gami cho PS2. Hiện tại DB đang xử dụng 16TB, sau khi thực hiện optimize và xóa các data không dùng nữa đang ở mức 2.3TB Thời gian: 1h - 9h ngày 22/3/2026 DB cloud:  https://console.cloud.google.com/sql/instances/promotion/overview?project=vinid-loyalty-prod CR:    Mình sẽ đi chung CR với Techcombank cùng ngày, theo như gửi mail trước đó, sẽ có kịch bản cho chăm sóc khách hàng khi hệ thống downtime.</t>
  </si>
  <si>
    <t>[OMD][Account][Prod] Tạo tài khoản ingest dữ liệu nguồn merchant POS phục vụ dự án MERCHANT HUB</t>
  </si>
  <si>
    <t>2026-03-24T14:20:19.193+0700</t>
  </si>
  <si>
    <t>2026-03-24T14:51:49.431+0700</t>
  </si>
  <si>
    <t>Hiện tại OMD đang có nhu cầu kéo dữ liệu các database chi tiết như bên dưới, nhờ anh Linh tạo Account Ingest ở môi trường PROD giúp team để kéo data về DP. User:  dataplatform_ingestion Permission: read all tables on database IP/PORT Database 172.31.4.29:5432 mhpos_catalog 172.31.4.37:5432 mhpos_oms 172.31.4.36:5432 mhpos_customer mhpos_fiscal mhpos_payment</t>
  </si>
  <si>
    <t>2026-03-24T12:27:50.433+0700</t>
  </si>
  <si>
    <t>2026-03-24T12:28:36.430+0700</t>
  </si>
  <si>
    <t>Dear Linh, Em tạo giúp anh topic cho các bảng sau với nhé: Loyalty: oloyalty. loyalty_noti_template Gami: - promo_gamezone . noti_configs Host:   172.31.4.75   Port : 3306</t>
  </si>
  <si>
    <t>[OMRE][CBP][NonProd] Xóa hạ tầng MongoDB Atlas phục vụ chạy PT trên môi trường NonProduction</t>
  </si>
  <si>
    <t>2026-03-24T10:35:15.494+0700</t>
  </si>
  <si>
    <t>2026-03-24T15:08:30.121+0700</t>
  </si>
  <si>
    <t>Hiện tại dự án không còn nhu cầu sử dụng môi trường mongoDB Atlas nonprod này nữa: OMRE-CBP-PT-nonprod omre-cbp-pt-nonprod.avepd.mongodb.net omre-cbp-pt-nonprod-shard-00-00.avepd.mongodb.net:27017 omre-cbp-pt-nonprod-shard-00-01.avepd.mongodb.net:27017 omre-cbp-pt-nonprod-shard-00-02.avepd.mongodb.net:27017 Instance cũng đã ở trạng thái stop 2 tháng rồi. Thông tin thread chat:  https://chat.google.com/room/AAQAMFgg0kE/ZXTecCdQes4/ZXTecCdQes4?cls=10 Team DBA sẽ thực hiện xóa instance mongoDB Atlas này, vào ngày 23Mar26</t>
  </si>
  <si>
    <t>2026-03-24T10:20:01.790+0700</t>
  </si>
  <si>
    <t>2026-03-24T10:21:28.961+0700</t>
  </si>
  <si>
    <t>Dear anh  @Nguyễn Văn Dũng  ,  @Đào Công Nghĩa  , nhờ a/e hỗ trợ team migrate dữ liệu user-tags. Chi tiết script sẽ bổ sung trong comment Best regards Dinh Quang Nguyen</t>
  </si>
  <si>
    <t>[OMC][Nonprod] Tạo mới DB llm context engine</t>
  </si>
  <si>
    <t>2026-03-23T23:40:45.862+0700</t>
  </si>
  <si>
    <t>2026-03-23T23:41:07.866+0700</t>
  </si>
  <si>
    <t>Dear anh  @Đào Công Nghĩa  , Nhờ anh hỗ trợ team tạo db dưới nonprod với các thông tin sau: IP: 10.255.134.139 DB name:  omc_llm_context_engine User name:  omc_llm_context_engine Anh cần thêm thông tin nào thì nhờ anh comment giúp em nhé ạ. Em cảm ơn anh.</t>
  </si>
  <si>
    <t>[VCM] Cập nhật thông tin expired_time theo request từ team vận hành</t>
  </si>
  <si>
    <t>2026-03-23T22:36:41.506+0700</t>
  </si>
  <si>
    <t>2026-03-23T22:37:19.260+0700</t>
  </si>
  <si>
    <t>Theo yêu cầu từ team vận hành, team thực hiện theo task  https://onemount.atlassian.net/browse/TCW-8402  để thực hiện migrate data. Nhờ team DBA support thực hiện migrate theo yêu câu sau: Thông tin database: IP:  172.31.4.126 DB:  onevc_vsm_prod CR:     Các bước thực hiện: Tạo table tạm theo câu sql: CREATE TABLE ticket_migrate_23032026 (
  id BIGINT AUTO_INCREMENT PRIMARY KEY,
  user_id BIGINT,
  code VARCHAR(255),
  ticket_status VARCHAR(255),
  processed TINYINT DEFAULT 0,
  INDEX idx_lookup (user_id, code)
); Thêm dữ liệu vào bảng tạm thông qua file  ticket_migrate_23032026_202603231451.sql  (trong mục đính kèm). Thực hiện migrate bằng câu sql UPDATE ticket t
JOIN ticket_migrate_23032026 m
  ON t.user_id = m.user_id
 AND t.code = m.code
SET t.expired_time = '2026-03-23 23:59:59'
WHERE t.deleted = 0
  AND t.ticket_status = m.ticket_status; Xóa bảng tạm bằng câu sql: DROP TABLE IF EXISTS ticket_migrate_23032026;</t>
  </si>
  <si>
    <t>2026-03-23T18:25:06.646+0700</t>
  </si>
  <si>
    <t>2026-03-23T18:25:10.497+0700</t>
  </si>
  <si>
    <t>Hi anh Dũng. Team có thực hiện update thông tin cho merchant. Nhờ anh hỗ trợ giúp team với ạ Thông tin database jdbc:mysql://pay-tidb.int.onemount.com:4000/saas_tpay script update UNIFIED_MERCHANT_SERVICE set tcb_merchant_id = 'M09147522164073'  where merchant_code = '28274525' and service_code = 'SMARTPOS_QR';
 update UNIFIED_MERCHANT_SERVICE set tcb_merchant_id = 'OMSP001217'  where merchant_code = '28274525' and service_code = 'SMARTPOS_CARD';
UPDATE SMARTPOS_MERCHANT_CONTRACT SET STATUS = 'WAITING_ACTIVE' where id = '5665' and merchant_code = 'NCCSA47C';</t>
  </si>
  <si>
    <t>[Non Prod][Upay][Uppay] Tạo schema và user tương ứng cho môi trường qc/uat</t>
  </si>
  <si>
    <t>2026-03-23T16:51:23.025+0700</t>
  </si>
  <si>
    <t>2026-03-23T16:51:28.626+0700</t>
  </si>
  <si>
    <t>Dear DBA team, Nhờ team support dự án tạo các schema và user tương ứng cho môi trường qc và uat như sau: Hạ tầng: DB Mysql của Upay Các schema sau: payment_core_qc/uat , user:  uppay_payment_core_qc/uat . Quyền  Read ,  Write transaction_reporting_qc/uat , user:  uppay_transaction_reporting_qc/uat . Quyền  Read ,  Write   SAD:  SAD_Tài liệu thiết kế tổng thể GIT:  https://gitlab.id.vin/fintech/uppay</t>
  </si>
  <si>
    <t>2026-03-23T16:42:25.034+0700</t>
  </si>
  <si>
    <t>2026-03-23T17:11:25.311+0700</t>
  </si>
  <si>
    <t>Hi  @Đào Công Nghĩa  , nhờ bạn tạo giúp mình các database postgresqk sau cho các trang cms của Masterisehomes brandedlivingsummit2026_prod_postgres brandedlivingtalk2026_prod_postgres chatsonghanghieu2026_prod_postgres user là strapi và gán full quyền vào các databases này. Cảm ơn bạn nha.</t>
  </si>
  <si>
    <t>[PROD] [VCM] Merge tag merchant cho voucher</t>
  </si>
  <si>
    <t>2026-03-23T15:53:21.925+0700</t>
  </si>
  <si>
    <t>2026-03-23T15:53:39.834+0700</t>
  </si>
  <si>
    <t>Dear DBA Team, Nhờ Team hỗ chạy script migrate add tag merchant vào voucher. Do lệnh chạy hôm 20 đang bị sai chưa split line tags. Đang để trên 1 dòng. Lệnh dưới sửa lại để tách tag ra nhiều dòng rồi insert. Thời gian chạy:  15h 23/03/2026 IP: 172.31.1.41
Database: vincart_mm_product File script chạy.</t>
  </si>
  <si>
    <t>CS Portal Truy cập 5 bảng CRM database</t>
  </si>
  <si>
    <t>2026-03-23T15:03:20.808+0700</t>
  </si>
  <si>
    <t>2026-05-19T15:39:13.970+0700</t>
  </si>
  <si>
    <t>Access_Permission</t>
  </si>
  <si>
    <t>Để phcụ vụ luồng mở bán dự án mới, CS Portal cần truy cập db các bảng sau: common_project bank_bankmapsconfig listings_landlotstackingplan listings_listingmarketpriceviewproject config_configsystem Chỉ select, insert, update</t>
  </si>
  <si>
    <t>2026-03-23T14:59:05.334+0700</t>
  </si>
  <si>
    <t>2026-03-23T14:59:42.980+0700</t>
  </si>
  <si>
    <t>Dear Linh, Em tạo giúp anh topic cho bảng sau với nhé: vincart_mm_product.voucher_init_display</t>
  </si>
  <si>
    <t>[OMD][Kafka][Prod] Tạo kafka topic cho các bảng nguồn merchant_service_tcb phục vụ dự án MerchantHub</t>
  </si>
  <si>
    <t>2026-03-23T14:10:55.817+0700</t>
  </si>
  <si>
    <t>2026-03-25T18:55:43.738+0700</t>
  </si>
  <si>
    <t>Hiện tại OMD đang có nhu cầu kéo dữ liệu các bảng sau nhờ anh Linh tạo kafka topic ở môi trường PROD giúp team để kéo data về DP. PROD: IP host: 172.31.4.108:3306 (mysql) Schema: merchant_service_tcb Table list: tpay_request_merchant
tpay_request_merchant_bank
tpay_request_physical_store
tpay_request_role
tpay_request_staff
tpay_request_staff_role
tpay_request_store
tpay_request_terminal
tpay_request_user
tpay_role
tpay_role_permission
tpay_sector
tpay_service
tpay_staff
tpay_staff_permission
tpay_staff_role
tpay_staff_role_permission
tpay_store
tpay_store_service
tpay_store_terminal_permission
tpay_terminal
tpay_terminal_service
tpay_user
tpay_user_branch
tpay_user_role
sub_plans
sub_subscriptions
sub_invoices
tpay_physical_store
tpay_industry
tpay_branch
tpay_physical_store_service
sub_payment_transactions
tcb_address_master Thanks and regards! giap.nguyen</t>
  </si>
  <si>
    <t>[omd][clms][prod] Xin cấp DB cho dự án Contract LifeCycle Management môi trường Production</t>
  </si>
  <si>
    <t>2026-03-23T12:06:12.129+0700</t>
  </si>
  <si>
    <t>2026-03-25T15:06:04.493+0700</t>
  </si>
  <si>
    <t>CLM</t>
  </si>
  <si>
    <t>Hi  @Đoàn Việt Hưng   Nhờ Hưng cấp giúp mình Database mới cho dự án CLM trên production nhé SAD:    ticket Nonprod:    Thông tin cần tạo trên prod project gcp: onemg-integration-platform-prd instance(IP):  main  (172.31.1.118) Database name: clm_prod_mysql</t>
  </si>
  <si>
    <t>[MAG][IOTek][MCM][PROD] Hỗ trợ Update dữ liệu cho hệ thống MCM</t>
  </si>
  <si>
    <t>2026-03-23T11:25:50.047+0700</t>
  </si>
  <si>
    <t>2026-03-23T11:28:38.945+0700</t>
  </si>
  <si>
    <t>IP (Host):   ces-production.crcykac8kxtw.ap-southeast-1.rds.amazonaws.com Port:   3306 DB Name:  ces_mh_mpm Command:   update mtr_requests
set approval_status = 'PENDING_APPROVAL'
where id = '568f1090-18be-4950-baa1-c47fad5658ca';</t>
  </si>
  <si>
    <t>[Saitama] Release Soundbox Pro 21/03/2026</t>
  </si>
  <si>
    <t>2026-03-23T11:07:44.896+0700</t>
  </si>
  <si>
    <t>2026-03-23T11:07:51.678+0700</t>
  </si>
  <si>
    <t>Hi a  @Nguyễn Văn Dũng  nhờ a chạy script theo mô tả  dưới đây ở môi trường PRODUCTION theo thông tin dưới đây ạ: Thời gian chạy script: Vào lúc  23h59p ngày 21/03/2026   - Khi team thông báo Thông tin database saas_tpay:  pay-tidb.int.onemount.com:4000/saas_tpay CR Ticket:    Script:  1. DDL:  -- PB-28572
CREATE TABLE IF NOT EXISTS UNIFIED_MERCHANT_CONTRACT
(
    ID            BIGINT AUTO_INCREMENT PRIMARY KEY,
    MERCHANT_CODE VARCHAR(100) COLLATE utf8mb4_unicode_ci NOT NULL,
    SERVICE       VARCHAR(100) COLLATE utf8mb4_unicode_ci NOT NULL,
    CONTRACT_NO   VARCHAR(100) COLLATE utf8mb4_unicode_ci NULL,
    STATUS        VARCHAR(100) COLLATE utf8mb4_unicode_ci NULL,
    CREATED_AT    TIMESTAMP DEFAULT CURRENT_TIMESTAMP     NULL,
    CREATED_BY    VARCHAR(100) COLLATE utf8mb4_unicode_ci NULL,
    UPDATED_AT    TIMESTAMP DEFAULT CURRENT_TIMESTAMP     NULL ON UPDATE CURRENT_TIMESTAMP,
    UPDATED_BY    VARCHAR(100) COLLATE utf8mb4_unicode_ci NULL
) ENGINE = InnoDB
  DEFAULT CHARSET = utf8mb4
  COLLATE = utf8mb4_unicode_ci AUTO_ID_CACHE=1;
-- PB-28579
CREATE TABLE MERCHANT_FILE
(
    ID            BIGINT AUTO_INCREMENT PRIMARY KEY,
    MERCHANT_CODE VARCHAR(64) COLLATE utf8mb4_unicode_ci  NOT NULL,
    SERVICE       VARCHAR(64) COLLATE utf8mb4_unicode_ci  NOT NULL,
    TYPE          VARCHAR(128) COLLATE utf8mb4_unicode_ci NOT NULL,
    FILE_NAME     VARCHAR(128) COLLATE utf8mb4_unicode_ci NOT NULL,
    URI           TEXT COLLATE utf8mb4_unicode_ci         NOT NULL,
    REFERENCE_ID  TEXT COLLATE utf8mb4_unicode_ci         NOT NULL,
    LINK          TEXT COLLATE utf8mb4_unicode_ci         NOT NULL,
    CREATED_BY    VARCHAR(128) COLLATE utf8mb4_unicode_ci NULL,
    CREATED_AT    TIMESTAMP DEFAULT CURRENT_TIMESTAMP     NOT NULL,
    UPDATED_BY    VARCHAR(128) COLLATE utf8mb4_unicode_ci NULL,
    UPDATED_AT    TIMESTAMP DEFAULT CURRENT_TIMESTAMP     NULL
) ENGINE = InnoDB
  DEFAULT CHARSET = utf8mb4
  COLLATE = utf8mb4_unicode_ci AUTO_ID_CACHE=1;
-- PB-28572
ALTER TABLE UNIFIED_STORE ADD COLUMN recipient_id_card_number VARCHAR(20) COLLATE utf8mb4_unicode_ci NULL;
ALTER TABLE UNIFIED_TERMINAL ADD COLUMN device_model VARCHAR(100) COLLATE utf8mb4_unicode_ci NULL;
-- PB-28565
ALTER TABLE SESSION
ADD COLUMN SERVICE VARCHAR(10) COLLATE utf8mb4_unicode_ci;
ALTER TABLE SESSION_HISTORY
ADD COLUMN service VARCHAR(10) COLLATE utf8mb4_unicode_ci;
-- cuongnv add config
alter table FEE_PROFILE add transaction_type varchar(255) null after group_fee;
alter table FEE_PROFILE add column_name varchar(255) null after transaction_type; 2. DML: File đính kèm</t>
  </si>
  <si>
    <t>[PROD] [VCM] Xin quyền view vào database</t>
  </si>
  <si>
    <t>2026-03-23T10:57:09.952+0700</t>
  </si>
  <si>
    <t>2026-03-23T10:58:55.635+0700</t>
  </si>
  <si>
    <t>Dear DBA Team, Để tiện cho việc tra cưu và hỗ trợ vận hành nhanh hơn. Nhờ anh em DBA cấp thêm quyền  View  các database bên dưới của các dịch vụ  VCM  vào tài khoản  readonly_ecom Database :  MYSQL IP  : 172.31.4.9 DB name: ecom_context ecom_rule_engine</t>
  </si>
  <si>
    <t>2026-03-23T10:28:46.087+0700</t>
  </si>
  <si>
    <t>2026-03-23T10:29:30.216+0700</t>
  </si>
  <si>
    <t>Dear anh  @Nguyễn Văn Dũng ,  @Đào Công Nghĩa  , nhờ a/e chạy giúp e script sau: -- DB: 172.31.1.21:3306
-- Schema: mtp_martech_profileINSERT INTO mtp_martech_profile.mtp_anonymous_profile_segmentation_job
    (`id`, `segmentation_id`, `status`, `hash`, `properties`, `external_properties`, `created_at`, `display_name`, `display_order`)
VALUES 
-- OneU --
-- Re-active churn OneU x
(
    'eef03041-a7a7-4a2a-9b7a-98886574e13b',
    'f83a1b2542cd4e7b9a8c7fd638e2oskj',
    '',
    '1c72e4bc00a7afe2e69d9b4b2c8ef3d0304c0fd5f1009d80be42b3f7529dc8e8',
    '{}',
    '{"AND":[{"data_type":"STRING","label_code":"ddkh","label_value":"["Churn","Lost (hard churn)","Learner","Silent learner", "Upper Learner"]","operator":"IN"},{"data_type":"STRING","label_code":"hv_tt_link_acc","label_value":"1","operator":"="}]}',
    NOW(),
    'Re-active churn OneU',
    0
); Best regards Dinh Quang Nguyen</t>
  </si>
  <si>
    <t>[Tpay] [Reconcile] [PROD] Hỗ trợ update certificate base64 trong Database Production các tenant OME, OMEPL, OMEWCM</t>
  </si>
  <si>
    <t>2026-03-22T01:55:01.493+0700</t>
  </si>
  <si>
    <t>2026-03-22T01:55:29.916+0700</t>
  </si>
  <si>
    <t>Hi anh Dũng. Team có thực hiện thay certificate theo yêu cầu từ TCB trên môi trường  PROD . Vậy nhờ anh backup dữ liệu theo câu lệnh sau, sau đó update giá trị cert theo câu lệnh trong script bên dưới ạ. Thông tin database: jdbc:mysql://pay-tidb.int.onemount.com:4000/saas_tpay Câu lệnh backup: SELECT tenant, cert_public_key_base64 FROM TENANT WHERE tenant in ('OME', 'OMEPL', 'OMEWCM'); Script update trong file đính kèm ạ</t>
  </si>
  <si>
    <t>[OMD][TCB-MerchantHUB][PROD] INSERT data production DB merchant hub</t>
  </si>
  <si>
    <t>2026-03-21T23:21:43.344+0700</t>
  </si>
  <si>
    <t>2026-03-25T09:05:14.027+0700</t>
  </si>
  <si>
    <t>Nhờ anh chạy giúp e file SQL dưới cho DB theo thông tin sau: DB OMS instance: mhpos-order-prod-postgres - 172.31.4.37
user &amp; db name: mhpos_oms SQL (và 1 file em đính kèm vì dài quá) UPDATE province
            SET dvhc_version = CASE
                                   WHEN id IN (
                                       SELECT p.id
                                       FROM province p
                                                JOIN district d ON d.province_id = p.id
                                       WHERE d.iso_code LIKE CONCAT(p.iso_code, '%111')
                                         AND p.active = true
                                         AND d.active = true
                                   ) THEN 2
                                   ELSE 1
                END;
            UPDATE district
            SET dvhc_version = CASE
                                   WHEN iso_code LIKE (
                                       SELECT CONCAT(p.iso_code, '%111')
                                       FROM province p
                                       WHERE p.id = district.province_id
                                         AND p.active = true
                                   ) THEN 2
                                   ELSE 1
                END
            WHERE active = true;
            UPDATE ward
            SET dvhc_version = CASE
                                   WHEN id IN (
                                       SELECT w.id
                                       FROM ward w
                                                JOIN district d ON w.district_id = d.id
                                                JOIN province p ON d.province_id = p.id
                                       WHERE d.iso_code LIKE CONCAT(p.iso_code, '%111')
                                         AND w.active = true
                                         AND d.active = true
                                         AND p.active = true
                                   ) THEN 2
                                   ELSE 1
                END
            WHERE active = true; DB FISCAL instance: mhpos-common-prod-postgres - 172.31.4.36
user &amp; db name: mhpos_fiscal SQL UPDATE province
            SET dvhc_version = CASE
                                   WHEN id IN (
                                       SELECT p.id
                                       FROM province p
                                                JOIN district d ON d.province_id = p.id
                                       WHERE d.iso_code LIKE CONCAT(p.iso_code, '%111')
                                         AND p.active = true
                                         AND d.active = true
                                   ) THEN 2
                                   ELSE 1
                END;
            UPDATE district
            SET dvhc_version = CASE
                                   WHEN iso_code LIKE (
                                       SELECT CONCAT(p.iso_code, '%111')
                                       FROM province p
                                       WHERE p.id = district.province_id
                                         AND p.active = true
                                   ) THEN 2
                                   ELSE 1
                END
            WHERE active = true;
            UPDATE ward
            SET dvhc_version = CASE
                                   WHEN id IN (
                                       SELECT w.id
                                       FROM ward w
                                                JOIN district d ON w.district_id = d.id
                                                JOIN province p ON d.province_id = p.id
                                       WHERE d.iso_code LIKE CONCAT(p.iso_code, '%111')
                                         AND w.active = true
                                         AND d.active = true
                                         AND p.active = true
                                   ) THEN 2
                                   ELSE 1
                END
            WHERE active = true;
INSERT INTO tenant_integration (
    id,
    code,
    name,
    auth_type,
    auth_username,
    auth_password,
    created_by,
    created_at,
    version,
    deleted
) VALUES (
    '550e8400-e29b-41d4-a716-446655441111',
    'FPTCA',
    'fptca',
    'BASIC',
    'admin',
    'se8~h3#G4P%/pEPg9t7',
    'system',
    NOW(),
    0,
    FALSE
);</t>
  </si>
  <si>
    <t>[PROD] VCM 2026.03.21 migrate data</t>
  </si>
  <si>
    <t>2026-03-21T22:27:12.304+0700</t>
  </si>
  <si>
    <t>2026-03-23T09:16:13.458+0700</t>
  </si>
  <si>
    <t>MigrateDS</t>
  </si>
  <si>
    <t xml:space="preserve">IP: 172.31.1.41 database: vincart_mm_product Các bước thực hiện:  Tạo index để migrate an toàn CREATE INDEX idx_campaign_variant_product_id
ON campaign_variant(product_id); Migrate script SET SESSION TRANSACTION ISOLATION LEVEL READ COMMITTED;
START TRANSACTION;
UPDATE campaign_variant cv
JOIN products p
  ON p.id = cv.product_id
SET
  cv.sku = COALESCE(cv.sku, p.code),
  cv.uom_code = COALESCE(cv.uom_code, p.base_uom)
WHERE
  (cv.sku IS NULL OR cv.uom_code IS NULL)
  AND p.code IS NOT NULL
  AND p.base_uom IS NOT NULL;
SELECT ROW_COUNT() AS updated_rows;
COMMIT; Kiểm tra lại xem còn dữ liệu nào null ko SELECT COUNT(*) AS still_null
FROM campaign_variant
WHERE sku IS NULL
   OR uom_code IS NULL;  </t>
  </si>
  <si>
    <t>[LP][Core][TCB] - Insert data phục vụ campaign MKT 032026</t>
  </si>
  <si>
    <t>2026-03-21T13:20:56.636+0700</t>
  </si>
  <si>
    <t>2026-03-21T13:21:29.442+0700</t>
  </si>
  <si>
    <t>Dear DBA Team, Nhờ team thực hiện insert data phục vụ campaign MKT 032026, theo các bước sau: Thông tin database: IP: 10.255.23.119 Service name: oneloyaltydb Port: 1521 schema app: OLOYALTY Bước 1: Tạo bảng tạm CREATE TABLE OLOYALTY.CST_TIER_220326
(
    "ID"                  NUMBER(10,0) GENERATED BY DEFAULT ON NULL AS IDENTITY,
    "MEMBER_ID"           NUMBER(10,0) DEFAULT NULL,
    "TIER_CODE"           VARCHAR2(256 BYTE) DEFAULT NULL,
    PRIMARY KEY ("ID")
); Bước 02: Load dữ liệu vào bảng tạm INSERT INTO OLOYALTY.CST_TIER_220326(MEMBER_ID,TIER_CODE)
SELECT m.ID AS MEMBER_ID, cp.CST_TIER AS TIER_CODE 
	FROM OLOYALTY.CUSTOMER_PROFILE cp JOIN OLOYALTY.MEMBER m ON cp.LOYALTY_CUS_ID = m.PARTNER_CUSTOMER_ID 
	LEFT JOIN OLOYALTY.MEMBER_ATTRIBUTE ma ON m.ID = ma.MEMBER_ID AND ma.PROGRAM_ATTRIBUTE_ID = 141 AND ma.STATUS = 'A'
WHERE cp.CST_TIER IS NOT NULL AND ma.ID IS NULL; Bước 03: Kiểm tra số liệu bảng tạm 3.1. Kiểm số row bảng   CST_TIER_220326 SELECT /*+ parallel(16) */ count(*) FROM OLOYALTY.CST_TIER_220326; 3.2 Kiểm tra trùng ,  báo lại dự án nếu có SELECT /*+ parallel(16) */ MEMBER_ID,count(*) FROM OLOYALTY.CST_TIER_220326 GROUP BY MEMBER_ID HAVING count(*) &gt; 1; Bước 04: Chạy lệnh Insert INSERT INTO OLOYALTY.MEMBER_ATTRIBUTE (PROGRAM_ID, MEMBER_ID, PROGRAM_ATTRIBUTE_ID, VALUE, STATUS,CREATED_BY)
SELECT 426,
    a.MEMBER_ID AS MEMBER_ID,
    141 AS PROGRAM_ATTRIBUTE_ID,
    a.TIER_CODE AS VALUE,
    'A' AS STATUS,
    'MKT_032026_01'
FROM OLOYALTY.CST_TIER_220326 a</t>
  </si>
  <si>
    <t>[Merchant-TCB] Hỗ trợ cập nhật dữ liệu 20260320</t>
  </si>
  <si>
    <t>2026-03-21T09:10:13.231+0700</t>
  </si>
  <si>
    <t>2026-03-21T09:56:37.515+0700</t>
  </si>
  <si>
    <t>Merchant_OPS, TCB</t>
  </si>
  <si>
    <t>Dear team, Nhờ team chạy giúp câu lệnh bên dưới ạ. Thông tin database https://console.cloud.google.com/sql/instances/merchant-tcb/overview?inv=1&amp;invt=AbsndA&amp;project=vinid-merchant-prod DB_MYSQL_HOST=172.31.4.108
DB_MYSQL_DATABASE=merchant_service_tcb Câu lệnh INSERT INTO `tpay_permission` (`created_at`, `updated_at`, `module`, `code`, `name`, `description`) VALUES
('2026-03-21 15:00:00', '2026-03-21 15:00:00', 'SoundPOS_Yêu cầu đăng ký dịch vụ', 'view:requestservice_newsign_soundpos', 'SoundPOS_Yêu cầu ký mới', 'List/view yêu cầu ký mới'),
('2026-03-21 15:00:00', '2026-03-21 15:00:00', 'SoundPOS_Yêu cầu đăng ký dịch vụ', 'export:contract_soundpos', 'SoundPOS_Tải hợp đồng', 'Tải hợp đồng'),
('2026-03-21 15:00:00', '2026-03-21 15:00:00', 'SoundPOS_Yêu cầu đăng ký dịch vụ', 'approve:assessing_maker_soundpos', 'SoundPOS_Thẩm định hồ sơ NTB_Maker', 'Thẩm định hồ sơ NTB_Maker'),
('2026-03-21 15:00:00', '2026-03-21 15:00:00', 'SoundPOS_Yêu cầu đăng ký dịch vụ', 'approve:assessing_checker_soundpos', 'SoundPOS_Thẩm định hồ sơ NTB_checker', 'Thẩm định hồ sơ NTB_checker'),
('2026-03-21 15:00:00', '2026-03-21 15:00:00', 'SoundPOS_Yêu cầu đăng ký dịch vụ', 'sign:requestservice_newsign_soundpos', 'SoundPOS_Ký số', 'show button ký số'),
('2026-03-21 15:00:00', '2026-03-21 15:00:00', 'MP_Quản lý cửa hàng vật lý', 'view:mp_physical_store', 'Quản lý cửa hàng vật lý', 'View list + chi tiết cửa hàng vật lý'),
('2026-03-21 15:00:00', '2026-03-21 15:00:00', 'MP_Quản lý gói dịch vụ', 'view:mp_subscription_transaction', 'Xem danh sách giao dịch mua gói', 'View danh sách+chi tiết danh sách giao dịch mua gói'),
('2026-03-21 15:00:00', '2026-03-21 15:00:00', 'MP_Quản lý gói dịch vụ', 'view:mp_subscription', 'Xen danh sách đăng ký gói dịch vụ ', 'View danh sách+ chi tiết danh sách đăng ký gói dịch vụ');
INSERT INTO `tpay_service` (`created_at`, `updated_at`, `name`, `code`, `type`, `mid_required`, `sid_required`, `tid_required`, `tcb_service_type`, `tcb_service_code`) VALUES
('2026-03-21 15:00:00', '2026-03-21 15:00:00', 'SOUNDPOS_QR', 'SOUNDPOS_QR', 'SOUNDPOS', 1, 1, 1, 'SOUNDPOS', 'QR'),
('2026-03-21 15:00:00', '2026-03-21 15:00:00', 'SOUNDPOS_CARD', 'SOUNDPOS_CARD', 'SOUNDPOS', 1, 0, 1, 'SOUNDPOS', 'CARD'),
('2026-03-21 15:00:00', '2026-03-21 15:00:00', 'TCBM_QR', 'TCBM_QR', 'TCBM_QR', 1, 1, 1, 'TCBM', 'QR'),
('2026-03-21 15:00:00', '2026-03-21 15:00:00', 'PMBH_FNB', 'PMBH_FNB', 'PMBH', 1, 1, 0, '', ''),
('2026-03-21 15:00:00', '2026-03-21 15:00:00', 'OM_FOOD_DELIVERY', 'OM_FOOD_DELIVERY', 'FOOD_DELIVERY', 1, 1, 0, '', ''),
('2026-03-21 15:00:00', '2026-03-21 15:00:00', 'Chữ ký số bởi FPT', 'CKS_FPT', 'DIGITAL_SIGNATURE', 1, 0, 0, '', ''),
('2026-03-21 15:00:00', '2026-03-21 15:00:00', 'Hóa đơn điện tử bởi FPT', 'HDDT_FPT', 'EINVOICE', 1, 0, 0, '', '');
UPDATE tpay_document
SET service_types = CONCAT(service_types, ',SOUNDPOS')
WHERE code IN ('contract', 'store_front_image', 'identity', 'business_license', 'authorization', 'assessment'); INSERT INTO `tpay_staff_permission` (`created_at`, `updated_at`, `module`, `code`, `name`, `description`) VALUES
('2026-03-21 15:00:00', '2026-03-21 15:00:00', 'TSHOP Tabbar', 'view:app_tabbar_home', 'Xem tab Home', 'Xem tab Home'),
('2026-03-21 15:00:00', '2026-03-21 15:00:00', 'TSHOP Tabbar', 'view:app_tabbar_order', 'Xem tab Đơn hàng', 'Xem tab Đơn hàng'),
('2026-03-21 15:00:00', '2026-03-21 15:00:00', 'TSHOP Tabbar', 'view:app_tabbar_profile', 'Xem tab Cài đặt', 'Xem tab Cài đặt'),
('2026-03-21 15:00:00', '2026-03-21 15:00:00', 'TSHOP Tabbar', 'view:app_tabbar_invoice', 'Xem tab Invoice', 'Xem tab Invoice'),
('2026-03-21 15:00:00', '2026-03-21 15:00:00', 'TSHOP Tabbar', 'view:app_tabbar_menu', 'Xem tab Thực đơn', 'Xem tab Thực đơn'),
('2026-03-21 15:00:00', '2026-03-21 15:00:00', 'TSHOP Cửa hàng vật lý', 'create:app_physical_store', 'Cửa hàng vật lý', 'Tạo, thêm mới cửa hàng vật lý'),
('2026-03-21 15:00:00', '2026-03-21 15:00:00', 'TSHOP Cửa hàng vật lý', 'view:app_physical_store', 'Cửa hàng vật lý', 'Xem danh sách cửa hàng vật lý được phân quyền'),
('2026-03-21 15:00:00', '2026-03-21 15:00:00', 'TSHOP Cửa hàng vật lý', 'edit:app_physical_store', 'Cửa hàng vật lý', 'Sửa thông tin cửa hàng vật lý được phân quyền'),
('2026-03-21 15:00:00', '2026-03-21 15:00:00', 'TSHOP Cửa hàng vật lý', 'lock/unlock:app_physical_store', 'Cửa hàng vật lý', 'Khóa/ Mở khóa cửa hàng vật lý'),
('2026-03-21 15:00:00', '2026-03-21 15:00:00', 'TSHOP Cài đặt', 'view:app_section_physical_store', 'Xem section CHVL ở tab Profile', 'Xem section cửa hàng vật lý ở tab Profile'),
('2026-03-21 15:00:00', '2026-03-21 15:00:00', 'TSHOP Cài đặt', 'view:app_section_printer_device', 'Xem section Thiết bị ngoại vi ở tab Profile', 'Xem section thiết bị ngoại vi ở tab Profile'),
('2026-03-21 15:00:00', '2026-03-21 15:00:00', 'TSHOP Cài đặt', 'view:app_section_staff', 'Xem section Nhân viên ở tab Profile', 'Xem section nhân viên ở tab Profile'),
('2026-03-21 15:00:00', '2026-03-21 15:00:00', 'TSHOP Cài đặt', 'view:app_section_service', 'Xem section Dịch vụ/Tiện ích ở tab Profile', 'Xem section dịch vụ/tiện ích ở tab Profile bao gồm cả inform widget'),
('2026-03-21 15:00:00', '2026-03-21 15:00:00', 'TSHOP Cài đặt', 'view:app_section_other_feature', 'Xem section Tính năng khác', 'Xem section tính năng khác ở tab Profile'),
('2026-03-21 15:00:00', '2026-03-21 15:00:00', 'TSHOP Cài đặt', 'view:app_section_sale_setting', 'Xem section Cài đặt bán hàng ở tab Profile', 'Xem section cài đặt bán hàng ở tab Profile'),
('2026-03-21 15:00:00', '2026-03-21 15:00:00', 'TSHOP Cài đặt', 'view:app_section_tax_fee_invoice', 'Xem section Thuế, phí, Hóa đơn ở tab Profile', 'Xem section thuế, phí, hóa đơn ở tab Profile'),
('2026-03-21 15:00:00', '2026-03-21 15:00:00', 'TSHOP Cài đặt', 'view:app_section_login_biometric', 'Xem section Đăng nhập sinh trắc học ở tab Profile', 'Xem section đăng nhập sinh trắc học ở tab Profile'),
('2026-03-21 15:00:00', '2026-03-21 15:00:00', 'TSHOP Cài đặt', 'edit:app_section_login_biometric', 'Cài đặt Đăng nhập sinh trắc học ở tab Profile', 'Cài đặt đăng nhập sinh trắc học ở tab Profile'),
('2026-03-21 15:00:00', '2026-03-21 15:00:00', 'TSHOP Cài đặt', 'view:app_section_change_password', 'Xem section Đổi mật khẩu ở tab Profile', 'Xem section đổi mật khẩu ở tab Profile'),
('2026-03-21 15:00:00', '2026-03-21 15:00:00', 'TSHOP Cài đặt', 'view:app_section_account_info', 'Xem section Thông tin tài khoản ở tab Profile', 'Xem section thông tin tài khoản ở tab Profile'),
('2026-03-21 15:00:00', '2026-03-21 15:00:00', 'TSHOP Cài đặt', 'view:app_content_account_info', 'Xem nội dung Thông tin tài khoản ở tab Profile', 'Xem nội dung thông tin tài khoản ở tab Profile'),
('2026-03-21 15:00:00', '2026-03-21 15:00:00', 'TSHOP Cài đặt', 'edit:app_content_account_info', 'Chỉnh sửa thông tin tài khoản', 'Chỉnh sửa thông tin tài khoản'),
('2026-03-21 15:00:00', '2026-03-21 15:00:00', 'TSHOP Cài đặt', 'view:app_section_faq', 'Xem section Câu hỏi thường gặp ở tab Profile', 'Xem section câu hỏi thường gặp ở tab Profile'),
('2026-03-21 15:00:00', '2026-03-21 15:00:00', 'TSHOP Cài đặt', 'view:app_content_faq', 'Xem nội dung Câu hỏi thường gặp ở tab Profile', 'Xem nội dung câu hỏi thường gặp ở tab Profile'),
('2026-03-21 15:00:00', '2026-03-21 15:00:00', 'TSHOP Cài đặt', 'view:app_section_tnc', 'Xem section Điều khoản &amp; Chính sách ở tab Profile', 'Xem section điều khoản &amp; chính sách ở tab Profile'),
('2026-03-21 15:00:00', '2026-03-21 15:00:00', 'TSHOP Cài đặt', 'view:app_content_tnc', 'Xem nội dung Điều khoản &amp; Chính sách ở tab Profile', 'Xem nội dung điều khoản &amp; chính sách ở tab Profile'),
('2026-03-21 15:00:00', '2026-03-21 15:00:00', 'TSHOP Cài đặt', 'view:app_section_contact_info', 'Xem section Thông tin liên hệ ở tab Profile', 'Xem section thông tin liên hệ ở tab Profile'),
('2026-03-21 15:00:00', '2026-03-21 15:00:00', 'TSHOP Cài đặt', 'view:app_content_contact_info', 'Xem nội dung thông tin liên hệ ở tab Profile', 'Xem nội dung thông tin liên hệ ở tab Profile'),
('2026-03-21 15:00:00', '2026-03-21 15:00:00', 'TSHOP Nhân viên', 'create:app_staff', 'Nhân viên T-SHOP', 'Tạo nhân viên T-SHOP'),
('2026-03-21 15:00:00', '2026-03-21 15:00:00', 'TSHOP Nhân viên', 'edit:app_staff', 'Nhân viên T-SHOP', 'Sửa nhân viên T-SHOP'),
('2026-03-21 15:00:00', '2026-03-21 15:00:00', 'TSHOP Nhân viên', 'view:app_staff', 'Nhân viên T-SHOP', 'Xem thông tin nhân viên T-SHOP'),
('2026-03-21 15:00:00', '2026-03-21 15:00:00', 'TSHOP Đăng ký gói dịch vụ', 'view:pos_service_list', 'Xem danh sách các dịch vụ', 'Xem danh sách các dịch vụ chưa đăng ký tại màn Khám phá tiện ích'),
('2026-03-21 15:00:00', '2026-03-21 15:00:00', 'TSHOP Đăng ký gói dịch vụ', 'view:pos_subscription_list', 'Xem danh sách gói dịch vụ', 'Xem danh sách các gói dịch vụ chưa đăng ký tại màn DS gói dv'),
('2026-03-21 15:00:00', '2026-03-21 15:00:00', 'TSHOP Đăng ký gói dịch vụ', 'create:pos_subscription', 'Mua Gói dịch vụ', 'Nhấn btn Mua ngay để mua gói dịch vụ đã chọn'),
('2026-03-21 15:00:00', '2026-03-21 15:00:00', 'TSHOP Đăng ký gói dịch vụ', 'view:pos_service_info', 'Xem thông tin gói dịch vụ', 'Xem thông tin các gói dịch vụ đã mua'),
('2026-03-21 15:00:00', '2026-03-21 15:00:00', 'PMBH_Cài đặt bán hàng', 'view:pos_setting_sale_page', 'Xem trang Cài đặt bán hàng', 'Xem các cấu hình ở trang Cài đặt bán hàng bao gồm: chọn hình thức phục vụ, thanh toán trước khi phục vụ, quản lý đơn hàng theo bàn, thiết lập bàn, hình thức thanh toán'),
('2026-03-21 15:00:00', '2026-03-21 15:00:00', 'PMBH_Cài đặt bán hàng', 'edit:pos_setting_service_type', 'Update Hình thức phục vụ', 'Tắt/bật Hình thức phục vụ'),
('2026-03-21 15:00:00', '2026-03-21 15:00:00', 'PMBH_Cài đặt bán hàng', 'edit:pos_setting_payment_before_serve', 'On/off toggle thanh toán trước khi phục vụ', 'On/off toggle thanh toán trước khi phục vụ tại màn Cài đặt bán hàng'),
('2026-03-21 15:00:00', '2026-03-21 15:00:00', 'PMBH_Cài đặt bán hàng', 'edit:pos_setting_manage_table', 'Cập nhật on/off toggle QL bàn', 'On/off toggle Quản lý đơn hàng theo bàn'),
('2026-03-21 15:00:00', '2026-03-21 15:00:00', 'PMBH_Cài đặt bán hàng', 'create:pos_setting_table', 'Cài đặt bàn', 'Nhấn vào btn + tại màn Danh sách bàn để đi tạo bàn'),
('2026-03-21 15:00:00', '2026-03-21 15:00:00', 'PMBH_Cài đặt bán hàng', 'edit:pos_setting_table', 'Cài đặt bàn', 'Sửa tên bàn &amp; sức chứa, thêm bàn'),
('2026-03-21 15:00:00', '2026-03-21 15:00:00', 'PMBH_Cài đặt bán hàng', 'cancel:pos_setting_table', 'Cài đặt bàn', 'Xóa bàn khỏi danh sách'),
('2026-03-21 15:00:00', '2026-03-21 15:00:00', 'PMBH_Thuế, phí, Hóa đơn', 'view:pos_setting_tax_fee_invoice', 'Quản lý thuế', 'View màn Thuế, phí &amp; Hóa đơn bao gồm các setting: toggle Áp dụng thuế, Thiết lập thuế, Thiết lập phí và phụ thu, Cài đặt xuất HĐ'),
('2026-03-21 15:00:00', '2026-03-21 15:00:00', 'PMBH_Thuế, phí, Hóa đơn', 'edit:pos_manage_tax', 'Quản lý thuế', 'Cập nhật QL thuế &amp; thông tin thuế bao gồm: On/off toggle &amp; Chỉnh sửa thông tin thuế'),
('2026-03-21 15:00:00', '2026-03-21 15:00:00', 'PMBH_Thuế, phí, Hóa đơn', 'create:pos_manage_tax', 'Quản lý thuế', 'Tạo mới thông tin thuế'),
('2026-03-21 15:00:00', '2026-03-21 15:00:00', 'PMBH_Thuế, phí, Hóa đơn', 'create:pos_manage_fee', 'Thêm mới phụ phí', 'Thêm mới phụ phí'),
('2026-03-21 15:00:00', '2026-03-21 15:00:00', 'PMBH_Thuế, phí, Hóa đơn', 'edit:pos_manage_fee', 'Chỉnh sửa trạng thái phụ phí', 'Chỉnh sửa phụ phí bao gồm: On/off toggle để apply hoặc ko apply'),
('2026-03-21 15:00:00', '2026-03-21 15:00:00', 'PMBH_Thuế, phí, Hóa đơn', 'edit:pos_content_fee', 'Chỉnh sửa thông tin phụ phí', 'Chỉnh sửa thông tin phụ phí'),
('2026-03-21 15:00:00', '2026-03-21 15:00:00', 'PMBH_Thuế, phí, Hóa đơn', 'edit:pos_manage_release_invoice', 'Cập nhật các cài đặt XHĐ &amp; gửi CQT', 'Cập nhật, bao gồm: On/off toggle Tự động XHĐ, Config thời gian gửi CQT &amp; Tự động XHD'),
('2026-03-21 15:00:00', '2026-03-21 15:00:00', 'PMBH_Liên kết MQR', 'view:pos_mqr_list', 'Xem danh sách MQR', 'Xem ds MQR đã liên kết thành công tại màn hình Mã QR cửa hàng'),
('2026-03-21 15:00:00', '2026-03-21 15:00:00', 'PMBH_Liên kết MQR', 'edit:pos_link_mqr', 'Liên kết mqr', 'Liên kết mqr đã có với CHVL'),
('2026-03-21 15:00:00', '2026-03-21 15:00:00', 'PMBH_Liên kết MQR', 'create:pos_create_mqr', 'Tạo mới mqr để liên kết', 'Tạo mới mqr để liên kết với CHVL'),
('2026-03-21 15:00:00', '2026-03-21 15:00:00', 'PMBH_Thiết bị ngoại vi', 'view:pos_printer_page', 'View màn Thiết bị ngoại vi', 'Xem trang thiết bị ngoại vi'),
('2026-03-21 15:00:00', '2026-03-21 15:00:00', 'PMBH_Thiết bị ngoại vi', 'create:pos_printer_connect', 'Kết nối máy in mới', 'Kết nối máy in mới'),
('2026-03-21 15:00:00', '2026-03-21 15:00:00', 'PMBH_Thiết bị ngoại vi', 'edit:pos_printer_info', 'Cài đặt máy in', 'Cài đặt máy in'),
('2026-03-21 15:00:00', '2026-03-21 15:00:00', 'PMBH_Thiết bị ngoại vi', 'view:pos_printer_info', 'Xem thông tin cài đặt máy in', 'Xem thông tin cài đặt máy in'),
('2026-03-21 15:00:00', '2026-03-21 15:00:00', 'PMBH_Tạo và quản lý đơn hàng', 'view:pos_ordering', 'Đơn hàng', 'Người dùng có thể: Xem được danh sách đơn, Lọc tìm kiếm đơn, Xem thông tin chi tiết đơn'),
('2026-03-21 15:00:00', '2026-03-21 15:00:00', 'PMBH_Tạo và quản lý đơn hàng', 'create:pos_order', 'Đơn hàng', 'Người dùng có thể: Tạo mới đơn, Chọn loại đơn, Xem danh sách bàn, Chọn bàn, Xem danh sách món, Chọn món vào đơn hàng, Lưu đơn tạo mới'),
('2026-03-21 15:00:00', '2026-03-21 15:00:00', 'PMBH_Tạo và quản lý đơn hàng', 'edit:pos_order', 'Đơn hàng', 'Người dùng có thể: Sửa thông tin đơn, Lưu thông tin đã sửa'),
('2026-03-21 15:00:00', '2026-03-21 15:00:00', 'PMBH_Tạo và quản lý đơn hàng', 'cancel:pos_draft_order', 'Hủy đơn hàng chưa lưu', 'Người dùng có thể nhìn thấy nút hủy và thao tác hủy với những đơn hàng chưa lưu'),
('2026-03-21 15:00:00', '2026-03-21 15:00:00', 'PMBH_Tạo và quản lý đơn hàng', 'cancel:pos_order', 'Hủy đơn hàng đã lưu', 'Người dùng có thể nhìn thấy nút hủy và thao tác hủy với những đơn hàng đã lưu'),
('2026-03-21 15:00:00', '2026-03-21 15:00:00', 'PMBH_Tạo và quản lý đơn hàng', 'approve:pos_order', 'Đơn hàng', 'Người dùng có thể nhìn thấy nút hoàn thành đơn và thao tác hoàn thành với những đơn hàng đã thanh toán'),
('2026-03-21 15:00:00', '2026-03-21 15:00:00', 'PMBH_Lịch sử đơn hàng', 'view:pos_order_history', 'Xem thông tin lịch sử đơn hàng', 'Người dùng có thể: Xem được danh sách lịch sử đơn, Lọc tìm kiếm đơn, Xem thông tin chi tiết lịch sử đơn'),
('2026-03-21 15:00:00', '2026-03-21 15:00:00', 'PMBH_Luồng thanh toán', 'create:pos_pay_request_payment', 'Tiến hành thanh toán', 'Người dùng có thể: Nhìn thấy nút Thanh toán trên: Danh sách đơn đang phục vụ, Chi tiết đơn, Thực hiện tiến hành thanh toán, Nhìn thấy các hình thức thanh toán, Lựa chọn hình thức thanh toán, Nhìn thấy nút Thanh toán ngay, Tiến hành yêu cầu thanh toán'),
('2026-03-21 15:00:00', '2026-03-21 15:00:00', 'PMBH_Luồng thanh toán', 'create:pos_pay_enter_discount', 'Nhập giảm giá', 'Người dùng có thể: Chọn phương thức giảm giá, Nhập giá trị giảm, Áp dụng giảm giá vào đơn hàng'),
('2026-03-21 15:00:00', '2026-03-21 15:00:00', 'PMBH_Luồng thanh toán', 'create:pos_pay_select_fee', 'Chọn phụ phí', 'Người dùng có thể: Xem danh sách phụ phí, Chọn xóa phụ phí áp dụng vào đơn hàng'),
('2026-03-21 15:00:00', '2026-03-21 15:00:00', 'PMBH_Luồng thanh toán', 'create:pos_pay_enter_shipping_fee', 'Nhập phí giao hàng', 'Người dùng có thể nhập phí giao hàng'),
('2026-03-21 15:00:00', '2026-03-21 15:00:00', 'PMBH_Luồng thanh toán', 'create:pos_pay_print_temp_bill', 'In tạm tính', 'Người dùng có thể: Nhìn thấy nút In tạm tính, Thực hiện in tạm tính'),
('2026-03-21 15:00:00', '2026-03-21 15:00:00', 'PMBH_Luồng thanh toán', 'create:pos_pay_print_bill', 'In hóa đơn bán hàng', 'Người dùng có thể: Nhìn thấy nút In hóa đơn, Thực hiện in hóa đơn (auto/manual)'),
('2026-03-21 15:00:00', '2026-03-21 15:00:00', 'PMBH_Luồng phát hành hóa đơn điện tử', 'view:pos_einvoice', 'Xem thông tin hóa đơn', 'Người dùng có thể: Xem được danh sách hóa đơn, Lọc tìm kiếm hóa đơn, Xem thông tin chi tiết hóa đơn, Xem bản PDF (nếu có)'),
('2026-03-21 15:00:00', '2026-03-21 15:00:00', 'PMBH_Luồng phát hành hóa đơn điện tử', 'create:pos_einvoice_infomation', 'Thêm thông tin xuất hóa đơn', 'Người dùng có thể thêm nhập lưu sửa thông tin xuất hóa đơn đích danh'),
('2026-03-21 15:00:00', '2026-03-21 15:00:00', 'PMBH_Luồng phát hành hóa đơn điện tử', 'create:pos_draft_einvoice', 'Yêu cầu xem hóa đơn nháp', 'Yêu cầu xem hóa đơn nháp'),
('2026-03-21 15:00:00', '2026-03-21 15:00:00', 'PMBH_Luồng phát hành hóa đơn điện tử', 'create:pos_issue_einvoice', 'Yêu cầu xuất hóa đơn', 'Yêu cầu xuất hóa đơn'),
('2026-03-21 15:00:00', '2026-03-21 15:00:00', 'PMBH_Onboarding CKS, HDDT', 'create:pos_register_einvoice_esign', 'Đăng ký sử dụng hóa đơn điện tử, chữ ký số', 'Người dùng có thể: Nhìn thấy nút đăng ký sử dụng, Tiến hành thực hiện các bước đăng ký nhập thông tin upload dữ liệu theo các bước onboarding, Xem được toàn bộ thông tin của luồng tracking hành trình onboarding'),
('2026-03-21 15:00:00', '2026-03-21 15:00:00', 'PMBH_Xem báo cáo doanh thu', 'view:pos_sales_report', 'Xem báo cáo bán hàng', 'Người dùng có thể: Xem thông tin doanh thu đơn hàng sản phẩm, Lọc dữ liệu theo khoảng thời gian hình thức phục vụ phương thức thanh toán chuỗi cửa hàng'),
('2026-03-21 15:00:00', '2026-03-21 15:00:00', 'PMBH_Xem báo cáo doanh thu', 'view:pos_revenue_report', 'Xem báo cáo doanh thu chuyên sâu', 'Người dùng có thể: Xem thông tin báo cáo doanh thu chuyên sâu, Lọc dữ liệu theo khoảng thời gian'),
('2026-03-21 15:00:00', '2026-03-21 15:00:00', 'PMBH_Tạo và quản lý sản phẩm', 'view:pos_customization', 'Danh sách tuỳ chỉnh', 'Người dùng có thể: Xem danh sách tuỳ chỉnh, Search filter tuỳ chỉnh'),
('2026-03-21 15:00:00', '2026-03-21 15:00:00', 'PMBH_Tạo và quản lý sản phẩm', 'view:pos_product', 'Danh sách sản phẩm', 'Người dùng có thể: Xem danh sách món bán kèm, Search filter món bán kèm'),
('2026-03-21 15:00:00', '2026-03-21 15:00:00', 'PMBH_Tạo và quản lý sản phẩm', 'view:pos_category', 'Danh sách category', 'Người dùng có thể: Xem danh sách danh mục trong menu'),
('2026-03-21 15:00:00', '2026-03-21 15:00:00', 'PMBH_Tạo và quản lý sản phẩm', 'create:pos_product', 'Danh sách sản phẩm', 'Người dùng có thể: Tạo mới sản phẩm, bán kèm'),
('2026-03-21 15:00:00', '2026-03-21 15:00:00', 'PMBH_Tạo và quản lý sản phẩm', 'create:pos_customization', 'Danh sách tuỳ chỉnh', 'Người dùng có thể: Tạo mới tuỳ chỉnh'),
('2026-03-21 15:00:00', '2026-03-21 15:00:00', 'PMBH_Tạo và quản lý sản phẩm', 'create:pos_category', 'Danh sách category', 'Người dùng có thể: Tạo mới danh mục'),
('2026-03-21 15:00:00', '2026-03-21 15:00:00', 'PMBH_Tạo và quản lý sản phẩm', 'edit:pos_product', 'Danh sách sản phẩm', 'Cập nhật sản phẩm, bán kèm'),
('2026-03-21 15:00:00', '2026-03-21 15:00:00', 'PMBH_Tạo và quản lý sản phẩm', 'edit:pos_customization', 'Danh sách tuỳ chỉnh', 'Cập nhật tuỳ chỉnh'),
('2026-03-21 15:00:00', '2026-03-21 15:00:00', 'PMBH_Tạo và quản lý sản phẩm', 'edit:pos_category', 'Danh sách category', 'Cập nhật danh mục'),
('2026-03-21 15:00:00', '2026-03-21 15:00:00', 'PMBH_Tạo và quản lý sản phẩm', 'create:pos_images', 'Upload ảnh sản phẩm', 'Upload ảnh sản phẩm'),
('2026-03-21 15:00:00', '2026-03-21 15:00:00', 'PMBH_Xem báo cáo doanh thu', 'view:pos_revenue_all_stores', 'Xem báo cáo sales Tổng quan của chuỗi', 'Cho phép xem section Tổng quan chuỗi');</t>
  </si>
  <si>
    <t>[BO] Cập nhật cấu hình bút toán hạch toán phải thu NAPAS</t>
  </si>
  <si>
    <t>2026-03-20T22:37:49.300+0700</t>
  </si>
  <si>
    <t>2026-03-20T22:37:55.059+0700</t>
  </si>
  <si>
    <t>Hi a  @Nguyễn Văn Dũng , nhờ a chạy giúp e script bên dưới với ạ Thông tin database:  172.31.1.133:3306/bo Script: -- BO_CUSTOMER_ID = MC_ID -&gt; 10000049
UPDATE CONFIG_POSTING_FLAG SET BO_CUSTOMER_ID = '10000049' where SERVICE_ID ='VN0010050'and PAYMENT_METHOD_CODE in ('VISA', 'ATM');</t>
  </si>
  <si>
    <t>[PROD] [VCM] Xóa store applied</t>
  </si>
  <si>
    <t>2026-03-20T15:35:45.931+0700</t>
  </si>
  <si>
    <t>2026-03-20T15:37:24.352+0700</t>
  </si>
  <si>
    <t>Nhờ a/e hỗ trợ chạy  luôn giúp lệnh xóa store applied co voucher. IP: 172.31.1.41
Database: vincart_mm_product Lệnh: delete
from variant_apply_store_mapping
where variant_id in (select id
                     from variants
                     where code in ("VD_VC_1759399892479",
"VD_VC_1761632157934",
"VD_VC_1761638002116",
"VD_VC_1761639269823",
"VD_VC_1761704361404",
"VD_VC_1761704364344",
"VD_VC_1761728950732",
"VD_VC_1761816977980",
"VD_VC_1761816984712",
"VD_VC_1761881891595",
"VD_VC_1761881901610",
"VD_VC_1761964380866",
"VD_VC_1762142259789",
"VD_VC_1762142270399",
"VD_VC_1762229129083",
"VD_VC_1762229135785",
"VD_VC_1762229139203",
"VD_VC_1762336091227",
"VD_VC_1762512716563",
"VD_VC_1762512717768",
"VD_VC_1762772574695",
"VD_VC_1762852516669",
"VD_VC_1762852523796",
"VD_VC_1762921316709",
"VD_VC_1763113978294",
"VD_VC_1763113979635",
"VD_VC_1763357675395",
"VD_VC_1763449372286",
"VD_VC_1763449379659",
"VD_VC_1763529535350",
"VD_VC_1763717668071",
"VD_VC_1763780774722",
"VD_VC_1763981010745",
"VD_VC_1763981011972",
"VD_VC_1763982101835",
"VD_VC_1763982102873",
"VD_VC_1764143180135",
"VD_VC_1764143435314",
"VD_VC_1764143438414",
"VD_VC_1764143441399",
"VD_VC_1764143446884",
"VD_VC_1764148652577",
"VD_VC_1764148658393",
"VD_VC_1764148671986",
"VD_VC_1764158221141",
"VD_VC_1764239615219",
"VD_VC_1764242707591",
"VD_VC_1764324141726",
"VD_VC_1764647913869",
"VD_VC_1764667023270",
"VD_VC_1764717985004",
"VD_VC_1764738413607",
"VD_VC_1764841065026",
"VD_VC_1764841070490",
"VD_VC_1765454143103",
"VD_VC_1765508492693",
"VD_VC_1765508510757",
"VD_VC_1765531510873",
"VD_VC_1765531512753",
"VD_VC_1765606454772",
"VD_VC_1765965058303",
"VD_VC_1765965059736",
"VD_VC_1766046625547",
"VD_VC_1766046627226",
"VD_VC_1766046628443",
"VD_VC_1766050199950",
"VD_VC_1766050201477",
"VD_VC_1766050202715",
"VD_VC_1766137163297",
"VD_VC_1766137164699",
"VD_VC_1766328631987",
"VD_VC_1766328633591",
"VD_VC_1766328635001",
"VD_VC_1766402636641",
"VD_VC_1766402643119",
"VD_VC_1766564151410",
"VD_VC_1766566288089",
"VD_VC_1766566291940",
"VD_VC_1766659524129",
"VD_VC_1766719235619",
"VD_VC_1766722182478",
"VD_VC_1766733797376",
"VD_VC_1766993084941",
"VD_VC_1766993090067",
"VD_VC_1766993091232",
"VD_VC_1767148125955",
"VD_VC_1767148140231",
"VD_VC_1767148147703",
"VD_VC_1767149554940",
"VD_VC_1767193003957",
"VD_VC_1767193012635",
"VD_VC_1767605299703",
"VD_VC_1767782188172",
"VD_VC_1767782200256",
"VD_VC_1767782211025",
"VD_VC_1767782244911",
"VD_VC_1767864608883",
"VD_VC_1767864610962",
"VD_VC_1767864612719",
"VD_VC_1768794513049",
"VD_VC_1770432926363",
"VD_VC_1773052033326",
"VD_VC_1773657899779",
));</t>
  </si>
  <si>
    <t>[OMD] [OPSAPI] add thêm  allow CORS cho DC portal</t>
  </si>
  <si>
    <t>2026-03-20T14:16:28.337+0700</t>
  </si>
  <si>
    <t>2026-03-20T14:16:50.864+0700</t>
  </si>
  <si>
    <t>Dear  @Nguyễn Văn Dũng   Nhờ update giúp anh nhé UPDATE omd_b2b_ops_api_prod.CorsConfiguration
SET  valueContext='https://b2b.vinshop.vn https://doitac.vinshop.vn https://backoffice-b2b.vinshop.vn https://b2b.oneshop.vn https://doitac.oneshop.vn https://backoffice-b2b.oneshop.vn https://dc.oneshop.vn'
WHERE appContext='ops-ext-api', keyContext='allowedOrigins'
and id=6; https://console.cloud.google.com/sql/instances/main/overview?project=vinid-b2b-platform-prod IP: 172.31.4.59 b2b_ops_api_prod</t>
  </si>
  <si>
    <t>2026-03-20T10:49:02.195+0700</t>
  </si>
  <si>
    <t>2026-03-20T11:01:49.310+0700</t>
  </si>
  <si>
    <t>Dear DBA Team, Nhờ Team hỗ chạy script migrate add tag merchant vào 2 database product và merchant. Thời gian chạy:  10h 20/03/2026 IP: 172.31.1.41
Database: vincart_mm_product Chạy lệnh file  llm_master_hashtag.sql  sau: IP: 172.31.1.41
Database: vincart_mm_merchant Chạy file  merchant_tag_1403 .sql</t>
  </si>
  <si>
    <t>[OM][OMD][PROD] Fix vulns MongoDB vinshop-cms thuộc project vinid-merchant-prod</t>
  </si>
  <si>
    <t>2026-03-20T10:31:48.304+0700</t>
  </si>
  <si>
    <t>2026-04-04T23:01:16.970+0700</t>
  </si>
  <si>
    <t>Thông tin Qualys_Vulns của team ANBM gửi:    Cần thực hiện Fix Vulns cho các VM mongodb thuộc project  vinid-merchant-prod IP Hostname OS Cloud Project Tier Top Severity Critical High Medium Low Total Primary 10.255.24.65 vinshop-cms-mongod-03.asia-east1-c.c.vinid-merchant-prod.internal CentOS Linux 7.9.2009 vinid-merchant-prod database Critical 1 29 19 19 68 10.255.24.63 vinshop-cms-mongod-01.asia-east1-a.c.vinid-merchant-prod.internal CentOS Linux 7.9.2009 vinid-merchant-prod database Critical 1 29 19 19 68 10.255.24.64 vinshop-cms-mongod-02.asia-east1-b.c.vinid-merchant-prod.internal CentOS Linux 7.9.2009 vinid-merchant-prod database Critical 1 29 19 19 68 P Các Vulns cần fix liên quan đến: - Linux Kernel Update - Linux Package Update (chi tiết trong file của team ANBM) Quy tắc thực hiện: Kernel update yêu cầu REBOOT =&gt; cần phối hợp với dự án để thống nhất thời gian thực hiện,  thực hiện ban đêm, giờ thấp điểm Snapshot VM trước khi thực hiện Xác nhận không có batch job / scheduled task quan trọng chạy trong thời gian update VM Xác định package + version cụ thể từ tab Qualys_Vulns (cột Results) Snapshot VM trước khi thực hiện Test update trên 1 host standby trước, sau đó mới áp dụng cho các host còn lại.</t>
  </si>
  <si>
    <t>[OM][OM][PROD] Fix vul hệ thống ODS tidb project onemg-dp-prod (2026-03-19)</t>
  </si>
  <si>
    <t>2026-03-20T10:02:36.352+0700</t>
  </si>
  <si>
    <t>2026-03-27T09:40:19.083+0700</t>
  </si>
  <si>
    <t>Fix Vul hệ thống tidb ODS  Project: onemg-dp-prod   server os old patch new patch 10.255.24.137 centos 8 10.255.24.62 centos 8 10.255.24.66 centos 8 10.255.24.68 centos 8 10.255.24.124 centos 8 10.255.24.125 centos 8 10.255.24.126 centos 8 10.255.24.120 centos 8 10.255.24.121 centos 8 10.255.24.122 centos 8 10.255.24.149 centos 8 10.255.24.192 centos 8 10.255.24.189 centos 8 10.255.24.198 centos 8 10.255.24.217 centos 8 10.255.24.18 centos 8 10.255.24.29 centos 8 10.255.24.118 centos 8 openssh-clients-8.0p1-24.el8.x86_64 openssh-8.0p1-24.el8.x86_64 openssh-server-8.0p1-24.el8.x86_64</t>
  </si>
  <si>
    <t>Hỗ trợ update database hệ thống ERP BRAVO MT Production</t>
  </si>
  <si>
    <t>2026-03-20T09:57:15.670+0700</t>
  </si>
  <si>
    <t>2026-03-31T14:38:53.641+0700</t>
  </si>
  <si>
    <t>MDPCDP</t>
  </si>
  <si>
    <t>Dear Hưng, Nghĩa Nhờ team hỗ trợ chạy file SQL script trên môi trường Production của Bravo DB: B10_Mobifone_MDP Chạy theo thứ tự đã được đánh dấu từ 1, 2,… của các files đính kèm Em nhờ chị Hương duyệt giúp em ạ, đây là TR để chỉnh sửa một số báo cáo chuẩn của Bravo, thêm trường thông tin: Bảng kê thuế GTGT đầu vào Bảng kê thuế GTGT đầu ra Báo cáo chi phí phân bổ 242 Báo cáo công nợ khách hàng theo tuổi nợ Báo cáo công nợ phải trả theo tuổi nợ Báo cáo khấu hao tài sản Trân trọng,</t>
  </si>
  <si>
    <t>[OM][OMD][PROD] Fix vul hệ thống CDP tidb project vinid-b2b-platform-prod (2026-03-19)</t>
  </si>
  <si>
    <t>2026-03-20T09:47:10.075+0700</t>
  </si>
  <si>
    <t>2026-03-20T22:36:42.662+0700</t>
  </si>
  <si>
    <t>Fix Vul hệ thống tidb CDP  Project: vinid-b2b-platform-prod   server os old patch new patch 10.255.24.228 centos 9 Linux omd-cdp-timonitor 5.14.0-514.el9.x86_64 #1 SMP PREEMPT_DYNAMIC Mon Sep 30 14:56:52 UTC 2024 x86_64 x86_64 x86_64 GNU/Linux Linux omd-cdp-timonitor 5.14.0-687.el9.x86_64 #1 SMP PREEMPT_DYNAMIC Mon Feb 23 11:11:46 UTC 2026 x86_64 x86_64 x86_64 GNU/Linux 10.255.24.220 centos 9 Linux omd-cdp-tipd-2 5.14.0-514.el9.x86_64 #1 SMP PREEMPT_DYNAMIC Mon Sep 30 14:56:52 UTC 2024 x86_64 x86_64 x86_64 GNU/Linux Linux omd-cdp-tipd-2 5.14.0-687.el9.x86_64 #1 SMP PREEMPT_DYNAMIC Mon Feb 23 11:11:46 UTC 2026 x86_64 x86_64 x86_64 GNU/Linux 10.255.24.221 centos 9 Linux omd-cdp-tipd-3 5.14.0-514.el9.x86_64 #1 SMP PREEMPT_DYNAMIC Mon Sep 30 14:56:52 UTC 2024 x86_64 x86_64 x86_64 GNU/Linux Linux omd-cdp-tipd-3 5.14.0-687.el9.x86_64 #1 SMP PREEMPT_DYNAMIC Mon Feb 23 11:11:46 UTC 2026 x86_64 x86_64 x86_64 GNU/Linux 10.255.24.222 centos 9 Linux omd-cdp-tipd-1 5.14.0-514.el9.x86_64 #1 SMP PREEMPT_DYNAMIC Mon Sep 30 14:56:52 UTC 2024 x86_64 x86_64 x86_64 GNU/Linux Linux omd-cdp-tipd-1 5.14.0-687.el9.x86_64 #1 SMP PREEMPT_DYNAMIC Mon Feb 23 11:11:46 UTC 2026 x86_64 x86_64 x86_64 GNU/Linux 10.255.24.218 centos 9 Linux omd-cdp-tidb-1 5.14.0-514.el9.x86_64 #1 SMP PREEMPT_DYNAMIC Mon Sep 30 14:56:52 UTC 2024 x86_64 x86_64 x86_64 GNU/Linux Linux omd-cdp-tidb-1 5.14.0-687.el9.x86_64 #1 SMP PREEMPT_DYNAMIC Mon Feb 23 11:11:46 UTC 2026 x86_64 x86_64 x86_64 GNU/Linux 10.255.24.219 centos 9 Linux omd-cdp-tidb-2 5.14.0-514.el9.x86_64 #1 SMP PREEMPT_DYNAMIC Mon Sep 30 14:56:52 UTC 2024 x86_64 x86_64 x86_64 GNU/Linux Linux omd-cdp-tidb-2 5.14.0-687.el9.x86_64 #1 SMP PREEMPT_DYNAMIC Mon Feb 23 11:11:46 UTC 2026 x86_64 x86_64 x86_64 GNU/Linux 10.255.24.249 centos 9 Linux omd-cdp-tiflash-1 5.14.0-527.el9.x86_64 #1 SMP PREEMPT_DYNAMIC Wed Nov 6 13:28:51 UTC 2024 x86_64 x86_64 x86_64 GNU/Linux Linux omd-cdp-tiflash-1 5.14.0-687.el9.x86_64 #1 SMP PREEMPT_DYNAMIC Mon Feb 23 11:11:46 UTC 2026 x86_64 x86_64 x86_64 GNU/Linux 10.255.25.193 centos 9 Linux omd-cdp-tiflash-2 5.14.0-527.el9.x86_64 #1 SMP PREEMPT_DYNAMIC Wed Nov 6 13:28:51 UTC 2024 x86_64 x86_64 x86_64 GNU/Linux Linux omd-cdp-tiflash-2 5.14.0-687.el9.x86_64 #1 SMP PREEMPT_DYNAMIC Mon Feb 23 11:11:46 UTC 2026 x86_64 x86_64 x86_64 GNU/Linux 10.255.24.252 centos 9 Linux omd-cdp-tikv-3 5.14.0-527.el9.x86_64 #1 SMP PREEMPT_DYNAMIC Wed Nov 6 13:28:51 UTC 2024 x86_64 x86_64 x86_64 GNU/Linux Linux omd-cdp-tikv-3 5.14.0-687.el9.x86_64 #1 SMP PREEMPT_DYNAMIC Mon Feb 23 11:11:46 UTC 2026 x86_64 x86_64 x86_64 GNU/Linux 10.255.24.253 centos 9 Linux omd-cdp-tikv-1 5.14.0-527.el9.x86_64 #1 SMP PREEMPT_DYNAMIC Wed Nov 6 13:28:51 UTC 2024 x86_64 x86_64 x86_64 GNU/Linux Linux omd-cdp-tikv-1 5.14.0-687.el9.x86_64 #1 SMP PREEMPT_DYNAMIC Mon Feb 23 11:11:46 UTC 2026 x86_64 x86_64 x86_64 GNU/Linux 10.255.24.254 centos 9 Linux omd-cdp-tikv-2 5.14.0-527.el9.x86_64 #1 SMP PREEMPT_DYNAMIC Wed Nov 6 13:28:51 UTC 2024 x86_64 x86_64 x86_64 GNU/Linux Linux omd-cdp-tikv-2 5.14.0-687.el9.x86_64 #1 SMP PREEMPT_DYNAMIC Mon Feb 23 11:11:46 UTC 2026 x86_64 x86_64 x86_64 GNU/Linux 10.255.25.194 centos 9 Linux omd-cdp-tiproxy-4 5.14.0-527.el9.x86_64 #1 SMP PREEMPT_DYNAMIC Wed Nov 6 13:28:51 UTC 2024 x86_64 x86_64 x86_64 GNU/Linux Linux omd-cdp-tiproxy-4 5.14.0-687.el9.x86_64 #1 SMP PREEMPT_DYNAMIC Mon Feb 23 11:11:46 UTC 2026 x86_64 x86_64 x86_64 GNU/Linux 10.255.25.195 centos 9 Linux omd-cdp-tiproxy-3 5.14.0-527.el9.x86_64 #1 SMP PREEMPT_DYNAMIC Wed Nov 6 13:28:51 UTC 2024 x86_64 x86_64 x86_64 GNU/Linux Linux omd-cdp-tiproxy-3 5.14.0-687.el9.x86_64 #1 SMP PREEMPT_DYNAMIC Mon Feb 23 11:11:46 UTC 2026 x86_64 x86_64 x86_64 GNU/Linux</t>
  </si>
  <si>
    <t>[OM][UPAY][PROD] Fix vul hệ thống pay tidb project vinpay-prod (2026-03-19)</t>
  </si>
  <si>
    <t>2026-03-20T09:41:12.745+0700</t>
  </si>
  <si>
    <t>2026-03-23T09:06:52.564+0700</t>
  </si>
  <si>
    <t>Fix Vul hệ thống tidb PAY Project: vinpay-prod   server os old patch new patch 10.255.24.247 centos 8 Linux ti-monitor 4.18.0-540.el8.x86_64 #1 SMP Fri Feb 9 14:58:00 UTC 2024 x86_64 x86_64 x86_64 GNU/Linux 10.255.24.240 centos 8 Linux tipd-2 4.18.0-540.el8.x86_64 #1 SMP Fri Feb 9 14:58:00 UTC 2024 x86_64 x86_64 x86_64 GNU/Linux 10.255.24.244 centos 8 Linux tipd-1 4.18.0-540.el8.x86_64 #1 SMP Fri Feb 9 14:58:00 UTC 2024 x86_64 x86_64 x86_64 GNU/Linux 10.255.24.245 centos 8 Linux tipd-3 4.18.0-540.el8.x86_64 #1 SMP Fri Feb 9 14:58:00 UTC 2024 x86_64 x86_64 x86_64 GNU/Linux 10.255.24.196 centos 8 Linux tidb-2 4.18.0-540.el8.x86_64 #1 SMP Fri Feb 9 14:58:00 UTC 2024 x86_64 x86_64 x86_64 GNU/Linux 10.255.24.236 centos 8 Linux tidb-3 4.18.0-540.el8.x86_64 #1 SMP Fri Feb 9 14:58:00 UTC 2024 x86_64 x86_64 x86_64 GNU/Linux 10.255.24.237 centos 8 Linux tidb-1 4.18.0-540.el8.x86_64 #1 SMP Fri Feb 9 14:58:00 UTC 2024 x86_64 x86_64 x86_64 GNU/Linux 10.255.24.250 centos 8 Linux tiflash-2 4.18.0-544.el8.x86_64 #1 SMP Thu Feb 22 21:29:23 UTC 2024 x86_64 x86_64 x86_64 GNU/Linux 10.255.24.251 centos 8 Linux tiflash-3 4.18.0-544.el8.x86_64 #1 SMP Thu Feb 22 21:29:23 UTC 2024 x86_64 x86_64 x86_64 GNU/Linux 10.255.24.238 centos 8 Linux tikv-3 4.18.0-540.el8.x86_64 #1 SMP Fri Feb 9 14:58:00 UTC 2024 x86_64 x86_64 x86_64 GNU/Linux 10.255.24.241 centos 8 Linux tikv-2 4.18.0-540.el8.x86_64 #1 SMP Fri Feb 9 14:58:00 UTC 2024 x86_64 x86_64 x86_64 GNU/Linux 10.255.24.243 centos 8 Linux tikv-1 4.18.0-540.el8.x86_64 #1 SMP Fri Feb 9 14:58:00 UTC 2024 x86_64 x86_64 x86_64 GNU/Linux 10.255.24.235 centos 8 Linux tiproxy-2 4.18.0-540.el8.x86_64 #1 SMP Fri Feb 9 14:58:00 UTC 2024 x86_64 x86_64 x86_64 GNU/Linux 10.255.24.242 centos 8 Linux tiproxy-1 4.18.0-540.el8.x86_64 #1 SMP Fri Feb 9 14:58:00 UTC 2024 x86_64 x86_64 x86_64 GNU/Linux</t>
  </si>
  <si>
    <t>[OM][OMC][PROD] Fix vul hệ thống OMC tidb project vinid-crm-salesforce-prod (2026-03-19)</t>
  </si>
  <si>
    <t>2026-03-20T09:00:00.291+0700</t>
  </si>
  <si>
    <t>2026-03-20T09:05:14.736+0700</t>
  </si>
  <si>
    <t>Fix Vul hệ thống tidb OMC Project: vinid-crm-salesforce-prod   server os old patch new patch 10.255.25.235 rocky 9.5 Linux tidb-monitor 5.14.0-503.19.1.el9_5.cloud.1.0.x86_64 #1 SMP PREEMPT_DYNAMIC Thu Jan 16 19:14:30 UTC 2025 x86_64 x86_64 x86_64 GNU/Linux Linux tidb-monitor 5.14.0-611.36.1.el9_7.cloud.1.0.1.0.x86_64 #1 SMP PREEMPT_DYNAMIC Thu Mar 5 15:02:27 UTC 2026 x86_64 x86_64 x86_64 GNU/Linux 10.255.25.226 rocky 9.5 Linux tidb-tipd-metadata-01 5.14.0-503.19.1.el9_5.cloud.1.0.x86_64 #1 SMP PREEMPT_DYNAMIC Thu Jan 16 19:14:30 UTC 2025 x86_64 x86_64 x86_64 GNU/Linux Linux tidb-tipd-metadata-01 5.14.0-611.36.1.el9_7.cloud.1.0.1.0.x86_64 #1 SMP PREEMPT_DYNAMIC Thu Mar 5 15:02:27 UTC 2026 x86_64 x86_64 x86_64 GNU/Linux 10.255.25.227 rocky 9.5 Linux tidb-tipd-metadata-02 5.14.0-503.19.1.el9_5.cloud.1.0.x86_64 #1 SMP PREEMPT_DYNAMIC Thu Jan 16 19:14:30 UTC 2025 x86_64 x86_64 x86_64 GNU/Linux Linux tidb-tipd-metadata-02 5.14.0-611.36.1.el9_7.cloud.1.0.1.0.x86_64 #1 SMP PREEMPT_DYNAMIC Thu Mar 5 15:02:27 UTC 2026 x86_64 x86_64 x86_64 GNU/Linux 10.255.25.228 rocky 9.5 Linux tidb-tipd-metadata-03 5.14.0-503.19.1.el9_5.cloud.1.0.x86_64 #1 SMP PREEMPT_DYNAMIC Thu Jan 16 19:14:30 UTC 2025 x86_64 x86_64 x86_64 GNU/Linux Linux tidb-tipd-metadata-03 5.14.0-611.36.1.el9_7.cloud.1.0.1.0.x86_64 #1 SMP PREEMPT_DYNAMIC Thu Mar 5 15:02:27 UTC 2026 x86_64 x86_64 x86_64 GNU/Linux 10.255.25.224 rocky 9.5 Linux tidb-query-engine-01 5.14.0-503.19.1.el9_5.cloud.1.0.x86_64 #1 SMP PREEMPT_DYNAMIC Thu Jan 16 19:14:30 UTC 2025 x86_64 x86_64 x86_64 GNU/Linux Linux tidb-query-engine-01 5.14.0-611.36.1.el9_7.cloud.1.0.1.0.x86_64 #1 SMP PREEMPT_DYNAMIC Thu Mar 5 15:02:27 UTC 2026 x86_64 x86_64 x86_64 GNU/Linux 10.255.25.225 rocky 9.5 Linux tidb-query-engine-02 5.14.0-503.19.1.el9_5.cloud.1.0.x86_64 #1 SMP PREEMPT_DYNAMIC Thu Jan 16 19:14:30 UTC 2025 x86_64 x86_64 x86_64 GNU/Linux Linux tidb-query-engine-02 5.14.0-611.36.1.el9_7.cloud.1.0.1.0.x86_64 #1 SMP PREEMPT_DYNAMIC Thu Mar 5 15:02:27 UTC 2026 x86_64 x86_64 x86_64 GNU/Linux 10.255.25.232 rocky 9.5 Linux tidb-tiflash-column-store-01 5.14.0-503.19.1.el9_5.cloud.1.0.x86_64 #1 SMP PREEMPT_DYNAMIC Thu Jan 16 19:14:30 UTC 2025 x86_64 x86_64 x86_64 GNU/Linux Linux tidb-tiflash-column-store-01 5.14.0-611.36.1.el9_7.cloud.1.0.1.0.x86_64 #1 SMP PREEMPT_DYNAMIC Thu Mar 5 15:02:27 UTC 2026 x86_64 x86_64 x86_64 GNU/Linux 10.255.25.229 rocky 9.5 Linux tidb-tikv-rowstore-01 5.14.0-503.19.1.el9_5.cloud.1.0.x86_64 #1 SMP PREEMPT_DYNAMIC Thu Jan 16 19:14:30 UTC 2025 x86_64 x86_64 x86_64 GNU/Linux Linux tidb-tikv-rowstore-01 5.14.0-611.36.1.el9_7.cloud.1.0.1.0.x86_64 #1 SMP PREEMPT_DYNAMIC Thu Mar 5 15:02:27 UTC 2026 x86_64 x86_64 x86_64 GNU/Linux 10.255.25.230 rocky 9.5 Linux tidb-tikv-rowstore-02 5.14.0-503.19.1.el9_5.cloud.1.0.x86_64 #1 SMP PREEMPT_DYNAMIC Thu Jan 16 19:14:30 UTC 2025 x86_64 x86_64 x86_64 GNU/Linux Linux tidb-tikv-rowstore-02 5.14.0-611.36.1.el9_7.cloud.1.0.1.0.x86_64 #1 SMP PREEMPT_DYNAMIC Thu Mar 5 15:02:27 UTC 2026 x86_64 x86_64 x86_64 GNU/Linux 10.255.25.231 rocky 9.5 Linux tidb-tikv-rowstore-03 5.14.0-503.19.1.el9_5.cloud.1.0.x86_64 #1 SMP PREEMPT_DYNAMIC Thu Jan 16 19:14:30 UTC 2025 x86_64 x86_64 x86_64 GNU/Linux Linux tidb-tikv-rowstore-03 5.14.0-611.36.1.el9_7.cloud.1.0.1.0.x86_64 #1 SMP PREEMPT_DYNAMIC Thu Mar 5 15:02:27 UTC 2026 x86_64 x86_64 x86_64 GNU/Linux 10.255.25.233 rocky 9.5 LLinux tidb-tiproxy-balance-traffic-01 5.14.0-503.19.1.el9_5.cloud.1.0.x86_64 #1 SMP PREEMPT_DYNAMIC Thu Jan 16 19:14:30 UTC 2025 x86_64 x86_64 x86_64 GNU/Linux Linux tidb-tiproxy-balance-traffic-01 5.14.0-611.36.1.el9_7.cloud.1.0.1.0.x86_64 #1 SMP PREEMPT_DYNAMIC Thu Mar 5 15:02:27 UTC 2026 x86_64 x86_64 x86_64 GNU/Linux 10.255.25.234 rocky 9.5 Linux tidb-tiproxy-balance-traffic-02 5.14.0-503.19.1.el9_5.cloud.1.0.x86_64 #1 SMP PREEMPT_DYNAMIC Thu Jan 16 19:14:30 UTC 2025 x86_64 x86_64 x86_64 GNU/Linux Linux tidb-tiproxy-balance-traffic-02 5.14.0-611.36.1.el9_7.cloud.1.0.1.0.x86_64 #1 SMP PREEMPT_DYNAMIC Thu Mar 5 15:02:27 UTC 2026 x86_64 x86_64 x86_64 GNU/Linux</t>
  </si>
  <si>
    <t>[OM][PROD] Fix vul</t>
  </si>
  <si>
    <t>2026-03-20T08:58:11.717+0700</t>
  </si>
  <si>
    <t>2026-09-11T15:37:22.547+0700</t>
  </si>
  <si>
    <t xml:space="preserve">Fix Vul theo yêu cầu của security ngày 2026-03-18:   </t>
  </si>
  <si>
    <t>2026-03-19T22:37:03.021+0700</t>
  </si>
  <si>
    <t>2026-03-19T22:38:40.022+0700</t>
  </si>
  <si>
    <t>Hi a  @Nguyễn Văn Dũng , Nhờ anh chạy giúp em thông tin script dưới đây: IP/Host:  mysql://pay-tidb.int.onemount.com:4000/osc Database:  OSC_ORDER Scripts: ALTER TABLE OSC_ORDER ADD COLUMN reference_id VARCHAR(100);
ALTER TABLE OSC_ORDER ADD COLUMN source VARCHAR(100);
CREATE INDEX reference_id_osc_order
    ON OSC_ORDER(reference_id);</t>
  </si>
  <si>
    <t>[TPay][Reconcile][PROD] Cập nhật cấu hình giờ chạy job đối soát cho đối tác Maison</t>
  </si>
  <si>
    <t>2026-03-19T16:59:23.845+0700</t>
  </si>
  <si>
    <t>2026-03-19T16:59:51.766+0700</t>
  </si>
  <si>
    <t>Hi team DBA, Nhờ anh/em chạy giúp em script với thông tin bên dưới để cập nhật cấu hình giờ chạy job gửi file đối soát cho merchant Maison Thông tin database saas_tpay: mysql://pay-tidb.int.onemount.com:4000/vinidpay_reconciliation Script: UPDATE UNIFILED_MC_CONFIG SET REPORT_TIME='13:00:00' where id=2;  </t>
  </si>
  <si>
    <t>[Prod] Tạo bảng mới cho release plan 24/03/2026</t>
  </si>
  <si>
    <t>2026-03-19T15:47:56.961+0700</t>
  </si>
  <si>
    <t>2026-03-19T15:48:19.879+0700</t>
  </si>
  <si>
    <t>Hi anh  @Nguyễn Văn Dũng  nhờ anh chạy giúp thông tin dưới đây: IP/Host:  172.31.4.9 Database:   ecom_configuration Script CREATE TABLE IF NOT EXISTS `refund_rule_configurations`
(
    id            BIGINT      NOT NULL AUTO_INCREMENT PRIMARY KEY,
    created_at    DATETIME    NOT NULL DEFAULT CURRENT_TIMESTAMP,
    updated_at    DATETIME    NOT NULL DEFAULT CURRENT_TIMESTAMP ON UPDATE CURRENT_TIMESTAMP,
    provider_code VARCHAR(20) NOT NULL,
    payment_scope VARCHAR(20) NOT NULL,
    type          VARCHAR(20) NOT NULL,
    value         text        NOT NULL,
    status        varchar(20) NOT NULL,
    UNIQUE INDEX provider_code_payment_scope_index(`provider_code`, `payment_scope`)
);</t>
  </si>
  <si>
    <t>[OMC][PROD][MCL] Tạo scheme DB mới và tạo bảng</t>
  </si>
  <si>
    <t>2026-03-19T15:16:37.814+0700</t>
  </si>
  <si>
    <t>2026-03-19T15:23:10.178+0700</t>
  </si>
  <si>
    <t>Dear team, Team em có nhu cầu tạo schema DB mới với các thông tin như sau và câu lệnh tạo bảng trong file script, nhờ team hỗ trợ ạ. DB: omc-mtp-tidb.int.onemount.com:4000
Schema: mtp_game_server
Username: mtp_game_server Nhờ team mail thông tin account đến mail SRE sau ạ:  quang.pham5@onemount.com, trinhdt2@onemount.com . CR : Team em sẽ gửi lại trong chiều nay. Thời gian chạy:   Team chạy luôn giúp em ạ. SAD :  Release plan :    Thanks team, Thành An.</t>
  </si>
  <si>
    <t>2026-03-19T14:34:40.034+0700</t>
  </si>
  <si>
    <t>2026-03-19T14:35:08.104+0700</t>
  </si>
  <si>
    <t>Dear anh  @Nguyễn Văn Dũng  ,  @Đào Công Nghĩa  , nhờ a/e chạy giúp script sau: -- DB: 172.31.1.21:3306
-- Schema: mtp_martech_profile
INSERT INTO mtp_martech_profile.mtp_anonymous_profile_segmentation_job
	(`id`, `segmentation_id`, `status`, `hash`, `properties`, `external_properties`, `created_at`, `display_name`, `display_order`)
VALUES 
-- OneU --
-- OneU link account x
(
    '7f65f2b7-0256-471f-844c-d1d782b9a3d0',
    'f83a1b2542cd4e7b9a8c7fd638e2oskj',
    '',
    '9ee88b2573d0c2edc54b454c08beeb0ee4971f2bbce9a9d6c46ec4f8d9d3ff67',
    '{}',
    '{"AND":[{"data_type":"BOOLEAN","label_code":"is_linking","label_value":"true","operator":"=","operator_expr":"is_linking = true"},{"data_type":"DATE","label_code":"hv_tt_link_acc_days","operator_expr":"CAST(hv_tt_link_acc_days AS DATE) &gt;= DATE \'2026-03-20\' AND CAST(hv_tt_link_acc_days AS DATE) &gt;= CURRENT_DATE  - INTERVAL 30 DAY"}]}',
    NOW(),
    'OneU link account',
    0
);
INSERT INTO mtp_martech_profile.mtp_anonymous_profile_segmentation_job
	(`id`, `segmentation_id`, `status`, `hash`, `properties`, `external_properties`, `created_at`, `display_name`, `display_order`)
VALUES 
-- TCBM --
-- OneU link account x
(
    '4c155c18-5dc1-45bb-805f-6546638615e3',
    'f83a1b2542cd4e7b9a8c7fd638e2oskf',
    '',
    '9ee88b2573d0c2edc54b454c08beeb0ee4971f2bbce9a9d6c46ec4f8d9d3ff67',
    '{}',
    '{"AND":[{"data_type":"BOOLEAN","label_code":"is_linking","label_value":"true","operator":"=","operator_expr":"is_linking = true"},{"data_type":"DATE","label_code":"hv_tt_link_acc_days","operator_expr":"CAST(hv_tt_link_acc_days AS DATE) &gt;= DATE \'2026-03-20\' AND CAST(hv_tt_link_acc_days AS DATE) &gt;= CURRENT_DATE  - INTERVAL 30 DAY"}]}',
    NOW(),
    'OneU link account',
    0
),
-- Inspire_noburn_l30d x
(
    'a6fc2505-feb1-44d3-a781-86449ce8d2cb',
    'f83a1b2542cd4e7b9a8c7fd638e2oskf',
    '',
    '74fa58fc4cee2fcfc733cdd636ea906b1e7a50aa0c038aa20d7e27a7db464506',
    '{"AND":[{"attribute":"cst_loyalty_tier","operator":"=","data_type":"STRING","value":"INS"},{"attribute":"cst_loyalty_mtb_tagging","operator":"IN","data_type":"STRING","value":["1","4"]}]}',
    '{}',
    NOW(),
    'Inspire_noburn_l30d',
    0
); Best regards Dinh Quang Nguyen</t>
  </si>
  <si>
    <t>[Merchant-TCB] Cập nhật terminal tương ứng</t>
  </si>
  <si>
    <t>2026-03-19T11:03:40.474+0700</t>
  </si>
  <si>
    <t>2026-03-19T11:08:37.764+0700</t>
  </si>
  <si>
    <t>Dear team, Nhờ team chạy giúp câu lệnh sau. Thông tin database https://console.cloud.google.com/sql/instances/merchant-tcb/overview?inv=1&amp;invt=AbsndA&amp;project=vinid-merchant-prod DB_MYSQL_HOST=172.31.4.108
DB_MYSQL_DATABASE=merchant_service_tcb Câu lệnh UPDATE tpay_request_terminal
SET status = 'REJECTED'
where tcb_merchant_code = '40141398'
  AND tcb_terminal_code IN
      ('10005', '10014', '10023', '10039', '10049', '14005', '14009', '14012', '14016', '14042', '20002', '20003',
       '20004')
  and status = 'REVIEW';
UPDATE tpay_terminal
set status            = 'INACTIVE',
    tcb_terminal_code = CONCAT(tcb_terminal_code, '_1')
where tcb_merchant_code = '40141398'
  AND tcb_terminal_code IN
      ('10005', '10014', '10023', '10039', '10049', '14005', '14009', '14012', '14016', '14042', '20002', '20003',
       '20004');</t>
  </si>
  <si>
    <t>[PROD] [VCM] Set merchant code product</t>
  </si>
  <si>
    <t>2026-03-19T09:51:59.886+0700</t>
  </si>
  <si>
    <t>2026-03-19T09:52:58.988+0700</t>
  </si>
  <si>
    <t>Dear DBA Team, Nhờ a/e hỗ trợ chạy script  Do bảng đang null giá trị  merchant code. Nên cần update giá trị  cho chạy gen LLM tag IP: 172.31.1.41
Database: vincart_mm_merchant -- Merchant OMCPS2
update products p
set p.merchant_code = 'OMCPS2'
where p.merchant_id = 331872
  and merchant_code is null
  and p.base_uom = 'VOUCHER';
-- Merchant TCBUTPOINT
update products p
set p.merchant_code = 'TCBUTPOINT'
where p.merchant_id = 344615
  and merchant_code is null
  and p.base_uom = 'VOUCHER';</t>
  </si>
  <si>
    <t>[NONPROD][STAGING] Cập nhập cho golive SoundPos 21/3</t>
  </si>
  <si>
    <t>2026-03-19T09:41:57.675+0700</t>
  </si>
  <si>
    <t>2026-03-19T09:42:06.183+0700</t>
  </si>
  <si>
    <t>Hi a  @Nguyễn Văn Dũng ,a chạy giúp e script bên dưới với ạ. Thông tin DB:  tidb.int.onemount.dev:4000 , schema :  vinpay_saas_tpay_staging Scripts: ALTER TABLE TRANSACTION_MASTER
ADD COLUMN is_soundbox_notification_sent TINYINT(1) DEFAULT 0 COMMENT 'Đã gửi thông báo SoundBox hay chưa';
ALTER TABLE TRANSACTION_DETAIL
ADD COLUMN order_amount BIGINT NULL COMMENT 'Số tiền yêu cầu trước khi apply discount';
ALTER TABLE TRANSACTION_MASTER
ADD COLUMN order_amount BIGINT NULL COMMENT 'Số tiền yêu cầu trước khi apply discount';</t>
  </si>
  <si>
    <t>Xin cấp quyền vào các schema liên quan đến BO PROD</t>
  </si>
  <si>
    <t>2026-03-19T09:41:05.766+0700</t>
  </si>
  <si>
    <t>2026-03-19T09:41:15.461+0700</t>
  </si>
  <si>
    <t>Hi a  @Nguyễn Văn Dũng , nhờ a thêm quyền vào các DB sau với ạ. Data source: DB:   "backoffice_172_31_1_133".bo, backoffice_172_31_1_133.reconciliation, dp.om.application.back_office ODS:  omd_vinid_b2b_platform_prod_b2b_commerce_b2b_oms_prod, omc_vinid_topup_prod_main_topup Email:  dai.vu@onemount.com</t>
  </si>
  <si>
    <t>[MAG][IOTek][MCM][PROD] Hỗ trợ update dữ liệu cho hệ thống MCM</t>
  </si>
  <si>
    <t>2026-03-18T23:49:11.350+0700</t>
  </si>
  <si>
    <t>2026-03-19T11:42:55.661+0700</t>
  </si>
  <si>
    <t>IP (Host):   ces-production.crcykac8kxtw.ap-southeast-1.rds.amazonaws.com Port:   3306 DB Name:  ces_mh_mpm Command:  Câu lệnh SQL cần chạy trong file đính kèm</t>
  </si>
  <si>
    <t>2026-03-18T23:46:33.295+0700</t>
  </si>
  <si>
    <t>2026-03-19T11:42:53.576+0700</t>
  </si>
  <si>
    <t>[TPAY] Cập nhập thông tin thông tin terminals của merchant code = 40141398</t>
  </si>
  <si>
    <t>2026-03-18T15:31:30.240+0700</t>
  </si>
  <si>
    <t>2026-03-18T15:32:39.735+0700</t>
  </si>
  <si>
    <t>Hi a  @Nguyễn Văn Dũng , nhờ a chạy giúp e script bên dưới với ạ Thông tin database saas_tpay:  pay-tidb.int.onemount.com:4000/saas_tpay Scripts: UPDATE TERMINAL SET STATUS = 'INACTIVE', TERMINAL_CODE = CONCAT(TERMINAL_CODE, '1') where MERCHANT_CODE = '40141398' and CREATED_AT &gt;= '2026-03-16 11:00:00.000';</t>
  </si>
  <si>
    <t>[PROD] [VCM]  Clean tag  voucher</t>
  </si>
  <si>
    <t>2026-03-18T09:07:40.674+0700</t>
  </si>
  <si>
    <t>2026-03-18T09:09:18.019+0700</t>
  </si>
  <si>
    <t>Dear DBA Team, Nhờ a/e hỗ trợ chạy script. Do bảng  llm_master_hashtag  đang  lưu dulicate tag của voucher sau khi chạy đồng bộ LLM tags. Nên cần clean tag bị trùng. IP: 172.31.1.41
Database: vincart_mm_product Script: CREATE TABLE IF NOT EXISTS llm_master_hashtag_clean like llm_master_hashtag;
-- Insert remove tag duplicate
INSERT INTO llm_master_hashtag_clean(variant_id, product_id, tag, group_name, created_by)
SELECT a.variant_id, a.product_id, a.tag, 'DEFAULT', 'SYSTEM'
FROM llm_master_hashtag a
where a.created_at &gt;= '2026-03-14 04:42:59'
   or a.updated_at &gt;= '2026-03-14 04:42:59'
GROUP BY a.variant_id, a.product_id, a.tag;
-- Backup table llm_master_hashtag
ALTER TABLE llm_master_hashtag RENAME TO llm_master_hashtag_bk20260317;
ALTER TABLE llm_master_hashtag_clean RENAME TO llm_master_hashtag;</t>
  </si>
  <si>
    <t>[SOUNDPOS][STAGING] Cập nhập cho golive SoundPos 21/3</t>
  </si>
  <si>
    <t>2026-03-17T16:15:42.781+0700</t>
  </si>
  <si>
    <t>2026-03-17T16:16:08.143+0700</t>
  </si>
  <si>
    <t xml:space="preserve">Hi a  @Nguyễn Văn Dũng ,a chạy giúp e script bên dưới với ạ. Thông tin DB:  tidb.int.onemount.dev:4000 , schema :  vinpay_saas_tpay_staging Scripts: </t>
  </si>
  <si>
    <t>[PROD] [VCM]  Setting merchant Free</t>
  </si>
  <si>
    <t>2026-03-17T15:59:46.681+0700</t>
  </si>
  <si>
    <t>2026-03-17T16:01:34.515+0700</t>
  </si>
  <si>
    <t>Dear DBA Team, Nhờ a/e support hỗ trợ chay migration  Thời gian dự kiến:  15h 17/03/2026 IP: 172.31.1.41
Database: vincart_mm_merchant INSERT INTO settings (merchant_id, setting_key, setting_value, name, status)
SELECT m.id, 'VOUCHER_DISPLAY_TYPES' as setting_key,
        'Free' as setting_value, 'Loại voucher hiển thị' as name, 'active' as status
from merchants m
where m.code in (
    'DOOPS253150Qd',
'DOTCB25303bkZ',
'DOTCB25303nZm',
'DOTCB25310NrU',
'DOTCB25315fDC',
'DOTCB25316UJf',
'DOTCB25321enD',
'DOTCB25325CLX',
'DOTCB25325ttK',
'DOTCB25328Du7',
'DOTCB25330cud',
'DOTCB25330VvH',
'DOTCB25330wFs',
'DOTCB25331oT2',
'DOTCB25332quq',
'DOTCB25335fXz',
'DOTCB25335GIC',
'DOTCB25335SML',
'DOTCB25338IPL',
'DOTCB25338WZf',
'DOTCB25339eSh',
'DOTCB25340gbl',
'DOTCB25340i5m',
'DOTCB25340kxh',
'DOTCB25342nYe',
'DOTCB253437jX',
'DOTCB25343fS8',
'DOTCB25343KHz',
'DOTCB25343l5J',
'DOTCB25343p6m',
'DOTCB25343rT2',
'DOTCB25343Xum',
'DOTCB253444aQ',
'DOTCB253447Qz',
'DOTCB25344Aqx',
'DOTCB25344HDD',
'DOTCB25344ILi',
'DOTCB25344Qvx',
'DOTCB25344ryo',
'DOTCB25344uZa',
'DOTCB25345lE6',
'DOTCB25345MFL',
'DOTCB25345MVD',
'DOTCB253460ii',
'DOTCB25346iLS',
'DOTCB25346Jvy',
'DOTCB25346PfL',
'DOTCB25346s2r',
'DOTCB25346Xyn',
'DOTCB25346Zkz',
'DOTCB25349gVp',
'DOTCB25349NxT',
'DOTCB25349PHh',
'DOTCB25349PKP',
'DOTCB25349tLz',
'DOTCB253504pS',
'DOTCB25350amD',
'DOTCB25350foy',
'DOTCB25350kgw',
'DOTCB25351eim',
'DOTCB25351icD',
'DOTCB25351mtz',
'DOTCB25351ouz',
'DOTCB25351OZp',
'DOTCB25351rCa',
'DOTCB25351s4c',
'DOTCB25351xZM',
'DOTCB253522SK',
'DOTCB2535263l',
'DOTCB2535292w',
'DOTCB25352IWl',
'DOTCB25352Nkx',
'DOTCB25352QwX',
'DOTCB25352RrI',
'DOTCB25352Ut7',
'DOTCB253533Pp',
'DOTCB25353bIx',
'DOTCB25353eMA',
'DOTCB25353Jf7',
'DOTCB25353WtA',
'DOTCB25354hE3',
'DOTCB25354LAu',
'DOTCB25354OSU',
'DOTCB25354zZd',
'DOTCB253562ir',
'DOTCB2535643g',
'DOTCB25356E70',
'DOTCB25356fIJ',
'DOTCB25356Pfj',
'DOTCB25356VIy',
'DOTCB25357CC3',
'DOTCB25357HJg',
'DOTCB25357jKy',
'DOTCB25357Lkn',
'DOTCB25357r84',
'DOTCB25357ytx',
'DOTCB253585kI',
'DOTCB25358afJ',
'DOTCB25358moB',
'DOTCB253596eA',
'DOTCB25360G4a',
'DOTCB25360X6K',
'DOTCB25361O1E',
'DOTCB253635cY',
'DOTCB25363I3d',
'DOTCB25363iZO',
'DOTCB25363nUf',
'DOTCB25363OKq',
'DOTCB25363olE',
'DOTCB25363Xf1',
'DOTCB25363yeL',
'DOTCB25364OF0',
'DOTCB260069Hp',
'DOTCB26006lDI',
'DOTCB26008aUM',
'DOTCB26008XF8',
'DOTCB260099bg',
'DOTCB26009xsI',
'DOTCB260107pn',
'DOTCB26010cak',
'DOTCB26012cDH',
'DOTCB26012EO9',
'DOTCB26012FU8',
'DOTCB26012GQa',
'DOTCB260137DV',
'DOTCB26014Fll',
'DOTCB26014LBz',
'DOTCB26015c8m',
'DOTCB26015g9E',
'DOTCB260169Z3',
'DOTCB26016dk8',
'DOTCB26016hpq',
'DOTCB26016j1D',
'DOTCB26016num',
'DOTCB26016Wds',
'DOTCB26016ZWf',
'DOTCB26017Eqz',
'DOTCB26017w8E',
'DOTCB26020gbB',
'DOTCB26020GdN',
'DOTCB26020hms',
'DOTCB26020nLC',
'DOTCB26021Bn4',
'DOTCB26021Wd6',
'DOTCB260223HX',
'DOTCB26022aV2',
'DOTCB26022omn',
'DOTCB26022wCE',
'DOTCB26022x5s',
'DOTCB260231xA',
'DOTCB260235Hm',
'DOTCB26023Amy',
'DOTCB26023KHc',
'DOTCB26023lmT',
'DOTCB26024Q5w',
'DOTCB260269aA',
'DOTCB260271xr',
'DOTCB26027AZu',
'DOTCB260283cz',
'DOTCB26028foT',
'DOTCB26028qiZ',
'DOTCB26029CpA',
'DOTCB26029ggG',
'DOTCB26029qIy',
'DOTCB26029rlU',
'DOTCB26029Ths',
'DOTCB260300rJ',
'DOTCB260302FD',
'DOTCB260305O0',
'DOTCB26030Fhq',
'DOTCB26030FIW',
'DOTCB26030lFt',
'DOTCB26030mpi',
'DOTCB26030n9N',
'DOTCB26030rDv',
'DOTCB26030vB7',
'DOTCB26030VH5',
'DOTCB26030ZLI',
'DOTCB260341qb',
'DOTCB2603450I',
'DOTCB26034AZG',
'DOTCB26034ClT',
'DOTCB26034f9d',
'DOTCB26034h20',
'DOTCB26034hO7',
'DOTCB26034JPk',
'DOTCB26034jWs',
'DOTCB26034lcy',
'DOTCB26034ndg',
'DOTCB26034q91',
'DOTCB26034vBI',
'DOTCB26034vFB',
'DOTCB26034VVt',
'DOTCB26034wio',
'DOTCB26034WMR',
'DOTCB26034zvH',
'DOTCB26035ejC',
'DOTCB26035JpM',
'DOTCB26035UAN',
'DOTCB260372Nm',
'DOTCB260374qm',
'DOTCB260374R0',
'DOTCB260374rN',
'DOTCB26037bC3',
'DOTCB26037DWA',
'DOTCB26037HK6',
'DOTCB26037IKV',
'DOTCB26037JuI',
'DOTCB26037lTp',
'DOTCB26037NtM',
'DOTCB26037PYz',
'DOTCB26037TQd',
'DOTCB26037Vqo',
'DOTCB260414Ar',
'DOTCB260418Dw',
'DOTCB260419nt',
'DOTCB26041HUi',
'DOTCB26041JEq',
'DOTCB26041Lf7',
'DOTCB26041sHj',
'DOTCB26041Ux9',
'DOTCB26041vwf',
'DOTCB26041xbM',
'DOTCB26041XOT',
'DOTCB26042gfd',
'DOTCB26042gqS',
'DOTCB26042jVR',
'DOTCB26042myx',
'DOTCB26042pTc',
'DOTCB26042ReK',
'DOTCB26042XuY',
'DOTCB26042zeb',
'DOTCB26043tqs',
'DOTCB26043xaD',
'DOTCB26055D81',
'DOTCB26055PSv',
'DOTCB26055wnG',
'DOTCB2605636y',
'DOTCB2605654t',
'DOTCB26056GYm',
'DOTCB26056mrK',
'DOTCB260589Ai',
'DOTCB26058AtV',
'DOTCB26058b75',
'DOTCB26058Ch0',
'DOTCB26058wY4',
'DOTCB26058XQN',
'DOTCB260614dy',
'DOTCB26061DfV',
'DOTCB26061flP',
'DOTCB26061FVj',
'DOTCB26061G1e',
'DOTCB26061KRA',
'DOTCB26061Pdk',
'DOTCB26061QeP',
'DOTCB26061qrz',
'DOTCB26061rq3',
'DOTCB26061tXW',
'DOTCB26061VaP',
'DOTCB260639oU',
'DOTCB26063ahw',
'DOTCB26063BPT',
'DOTCB26063el3',
'DOTCB26063GVN',
'DOTCB26063h3j',
'DOTCB26063Kpb',
'DOTCB26063XTF',
'DOTCB26063Zvp',
'DOTCB260643kJ',
'DOTCB26064buX',
'DOTCB26064CLS',
'DOTCB26064fJV',
'DOTCB26064fSp',
'DOTCB26064gKX',
'DOTCB26064hpj',
'DOTCB26064SsS',
'DOTCB26064uSB',
'DOTCB26064VnX',
'DOTCB26064vq5',
'DOTCB26064Wnx',
'DOTCB26064X5q',
'DOTCB26064YGy',
'DOTCB260659YG',
'DOTCB26065fNu',
'DOTCB26065G3V',
'DOTCB26065hSE',
'DOTCB26065I1c',
'DOTCB26065KnL',
'DOTCB26065og7',
'DOTCB26065t2T',
'DOTCB260664BH',
'DOTCB26066hGF',
'DOTCB26066nWw',
'DOTCB26066oF2',
'DOTCB26066q6B',
'DOTCB26066zdR',
'DOTCB26068dsR',
'DOTCB26068e2q',
'DOTCB26068hgN',
'DOTCB26068pjS',
'DOTCB26068Rii',
'DOTCB26068XTH',
'DOTCB26069abm',
'DOTCB26069B2u',
'DOTCB26069BQo',
'DOTCB26069h5a',
'DOTCB26069Nuu',
'DOTCB26069zpr',
'DOTCB260700Lx',
'DOTCB26070G3o',
'DOTCB26070HMi',
'DOTCB26070jUg',
'DOTCB26070oIe',
'DOTCB26070qmG',
'DOTCB26070QWA',
'DOTCB26070rYG',
'DOTCB26070UzH',
'DOTCB26071Acp',
'DOTCB26071oRm',
'DOTCB260720eK',
'DOTCB260729nV',
'DOTCB26072cmM',
'DOTCB26072mp1',
'DOTCB26073Tw1',
'MCL02HB350E4V',
'MCL0803DHUHL4',
'MCL09AJS1O0DT',
'MCL0A2XLTZ6F7',
'MCL0BN5OSXC1Z',
'MCL0FPJT02A2S',
'MCL0N6VTTTE4Y',
'MCL0YSMH3CPWP',
'TCBSB1263'
    );</t>
  </si>
  <si>
    <t>[OMC][MCL][PROD] Hỗ trợ cập nhật database - Activation Center</t>
  </si>
  <si>
    <t>2026-03-17T14:18:28.976+0700</t>
  </si>
  <si>
    <t>2026-03-17T14:18:42.690+0700</t>
  </si>
  <si>
    <t>Dear team, Team em có nhu cầu tạo mới bảng và cập nhật dữ liệu sau, nhờ team chạy script giúp em ạ.  Release Plan :    CR : Team em sẽ gửi lại trong chiều nay ạ. Thứ tự chạy:  Team chạy script nào trước cũng được ạ. Thời gian chạy:   Team chạy luôn giúp em ạ. Thông tin DB MySQL:  172.31.4.192/martech_notification_prod CREATE TABLE martech_notification_prod.mcms_push_notification (
  `id` bigint NOT NULL AUTO_INCREMENT,
  `app_id` varchar(36) CHARACTER SET utf8mb4 COLLATE utf8mb4_general_ci NOT NULL,
  `message_id` varchar(36) CHARACTER SET utf8mb4 COLLATE utf8mb4_general_ci DEFAULT NULL,
  `category_id` bigint DEFAULT NULL,
  `timestamp` bigint NOT NULL,
  `message_data` text CHARACTER SET utf8mb4 COLLATE utf8mb4_general_ci NOT NULL,
  `user_id` varchar(50) CHARACTER SET utf8mb4 COLLATE utf8mb4_general_ci NOT NULL,
  `created_at` timestamp NULL DEFAULT CURRENT_TIMESTAMP,
  `read_at` timestamp NULL DEFAULT NULL,
  `deleted_at` timestamp NULL DEFAULT NULL,
  `updated_at` timestamp NULL DEFAULT CURRENT_TIMESTAMP ON UPDATE CURRENT_TIMESTAMP,
  `request_id` varchar(128) CHARACTER SET utf8mb4 COLLATE utf8mb4_general_ci DEFAULT NULL,
  `template_id` varchar(128) CHARACTER SET utf8mb4 COLLATE utf8mb4_general_ci DEFAULT NULL,
  `campaign_id` varchar(50) CHARACTER SET utf8mb4 COLLATE utf8mb4_general_ci DEFAULT NULL,
  `campaign_name` varchar(256) CHARACTER SET utf8mb4 COLLATE utf8mb4_general_ci DEFAULT NULL,
  `master_code` varchar(256) CHARACTER SET utf8mb4 COLLATE utf8mb4_general_ci DEFAULT NULL,
  `bu` int DEFAULT NULL,
  `data_source_id` int DEFAULT NULL,
  `es` varchar(48) CHARACTER SET utf8mb4 COLLATE utf8mb4_general_ci DEFAULT NULL,
  `template_name` varchar(128) CHARACTER SET utf8mb4 COLLATE utf8mb4_general_ci DEFAULT NULL,
  `client_name` varchar(128) CHARACTER SET utf8mb4 COLLATE utf8mb4_general_ci DEFAULT NULL,
  PRIMARY KEY (`id`),
  KEY `mcms_push_notification_idx1` (`user_id`,`app_id`,`category_id`),
  KEY `mcms_push_notification_fk2` (`category_id`),
  KEY `mcms_push_notification_fk1` (`app_id`),
  KEY `mcms_push_notification_campaign_id_created_at_index` (`campaign_id`,`created_at`),
  KEY `mcms_idx_created_at` (`created_at`)
) ENGINE=InnoDB DEFAULT CHARSET=utf8mb4 COLLATE=utf8mb4_general_ci; Thông tin DB TIDB:   omc-mtp-tidb.int.onemount.com:4000   / omc_merchant_loyalty update omc_merchant_loyalty.contract set reviewer = 'tuyet.vu3@onemount.com', hidden_signed_at = approved_at where id in (27691,26236,25069,24678,23247,14155,978,29021); Thanks team.</t>
  </si>
  <si>
    <t>[OMC][ONEU] [Prod] Bổ sung index cho bảng vincart_mm_order.shipments</t>
  </si>
  <si>
    <t>2026-03-17T12:13:40.805+0700</t>
  </si>
  <si>
    <t>2026-03-17T12:13:58.295+0700</t>
  </si>
  <si>
    <t xml:space="preserve">Dear team DBA Nhờ team chạy giúp em các câu lệnh sau để phục vụ golive 17/03/2026 ạ Có thể chạy ngay khi được approve project: vincart-prod instance: main ip: 172.31.1.41 DB: vincart_mm_order drop index shipment_reference_status_created_at_index on shipments;
create index shipping_provider_code_reference_status_created_at_index
    on shipments (shipping_provider_code, reference_status, created_at); CR:   </t>
  </si>
  <si>
    <t>[LP][Core] - Update data</t>
  </si>
  <si>
    <t>2026-03-17T11:53:12.032+0700</t>
  </si>
  <si>
    <t>2026-03-17T11:54:40.027+0700</t>
  </si>
  <si>
    <t>Dear DBA Team, Nhờ team thực hiện chạy các lệnh sau trên Production. Thông tin database: IP: 10.255.23.119 Service name: oneloyaltydb Port: 1521 schema app: OLOYALTY Step 1:  Chạy lệnh sau và thông báo kết quả cho Ticket Owner. SELECT COUNT(*) FROM OLOYALTY.MEMBER_PRODUCT_ACCOUNT mpa WHERE PROGRAM_PRODUCT_ID = 1 AND ACCOUNT_CODE LIKE '0%' AND STATUS = 'I'; Step 2:  Chờ Ticket owner confirm UPDATE OLOYALTY.MEMBER_PRODUCT_ACCOUNT mpa
	SET ACCOUNT_CODE = CONCAT('.',ACCOUNT_CODE)
WHERE PROGRAM_PRODUCT_ID = 1 AND ACCOUNT_CODE LIKE '0%' AND STATUS = 'I'; Thanks!</t>
  </si>
  <si>
    <t>[OneID][Non-prod] Xin quyền cho QC có thể read database OneID từ local trên môi trường non-production</t>
  </si>
  <si>
    <t>2026-03-17T11:41:04.126+0700</t>
  </si>
  <si>
    <t>2026-03-17T11:49:51.130+0700</t>
  </si>
  <si>
    <t>DID</t>
  </si>
  <si>
    <t>QC đang cần view các data trên DB của OneID để trace bug. Nên nhờ team tạo giúp e các acc có quyền READ trên các db sau, tài khoản có thể truy cập qua bashion. E xin cám ơn. GCP Project: om-did-np Instance name: om-did-mysql-service ---DEV DB:simulator_dev user simulator_dev_readonly DB:wallet_dev user: wallet_dev_readonly DB:did_registry_dev user: did_registry_dev_readonly DB:issuer_dev user: issuer_dev_readonly DB:verifier_dev user: verifier_dev_readonly DB:governance_dev user: governance_dev_readonly DB:cloudpds_dev user: cloudpds_dev_readonly — QC DB:simulator_qc user: simulator_qc_readonly DB:wallet_qc user: wallet_qc_readonly DB:did_registry_qc user: did_registry_qc_readonly DB:issuer_qc user: issuer_qc_readonly DB:verifier_qc user: verifier_qc_readonly DB:governance_qc user: governance_qc_readonly DB:cloudpds_qc user: cloudpds_qc_readonly  UAT DB:simulator_uat user: simulator_uat_readonly DB:wallet_uat user: wallet_uat_readonly DB:did_registry_uat user: did_registry_uat_readonly DB:issuer_uat user: issuer_uat_readonly DB:verifier_uat user: verifier_uat_readonly DB:governance_uat user: governance_uat_readonly DB:cloudpds_uat user: cloudpds_uat_readonly Link GCP:  https://console.cloud.google.com/sql/instances/om-did-mysql-service/overview?project=om-did-np</t>
  </si>
  <si>
    <t>[OMC][PS2][Loyalty][PROD] - Thực hiện archive dữ liệu Member Attribute cho DB Loyalty - Tháng 3/2026</t>
  </si>
  <si>
    <t>2026-03-17T11:40:25.089+0700</t>
  </si>
  <si>
    <t>2026-03-17T15:43:01.613+0700</t>
  </si>
  <si>
    <t>Nằm trong phạm vi công việc archive dữ liệu lịch sử của 1 số bảng lớn trong DB LOYALTY, để tối ưu dung lượng lưu trữ data , tránh để data lưu trữ quá lớn trong DB dẫn tới chi phí phần cứng tăng và giảm hiệu suất IO khi truy xuất data lớn. Thực hiện archive dữ liệu bảng của bảng Member Attribute theo đều kiện bản ghi có Status = 'I' Các bước thực hiện. B1: Thông kê số liệu select /*+ parallel(8) */ count(*) from OLOYALTY.MEMBER_ATTRIBUTE where STATUS = 'I'; B2: Delete bản ghi DELETE FROM OLOYALTY.MEMBER_ATTRIBUTE WHERE STATUS = 'I';  (chia nhỏ ra mỗi lệnh delete 1tr bản ghi, và commit lần lượt mỗi lệnh DELETE Lưu ý: Cần thưc hiện backup theo quy trình archive dữ liệu.</t>
  </si>
  <si>
    <t>[OMD][TCB-MerchantHUB][NON-PROD] INSERT DB OMS MERCHANT HUB DEV</t>
  </si>
  <si>
    <t>2026-03-17T11:28:23.030+0700</t>
  </si>
  <si>
    <t>2026-03-17T17:51:08.118+0700</t>
  </si>
  <si>
    <t>Nhờ anh chạy import giúp em file  zip có các file csv vào DB của dự án oms merchant hub theo thông tin sau ạ: gcp project: omd-merchant-hub-np
insance Name/IP:  merchant-hub-np-postgres / 172.31.0.93
module/schema: mhpos_oms_dev</t>
  </si>
  <si>
    <t xml:space="preserve">Cập nhật thông tin trong bảng wave_inventory_order_item và transaction xử lý Wave 24WV00000429 </t>
  </si>
  <si>
    <t>2026-03-17T09:53:05.269+0700</t>
  </si>
  <si>
    <t>2026-03-17T10:11:27.454+0700</t>
  </si>
  <si>
    <t>Hi DBA team,  Câu query đánh giá là không ảnh hưởng đến vận hành hệ thống nên mong muốn chạy luôn Anh  @Hà Văn Vượng  chạy thêm giúp em 2 câu querry này với nhé ạ Cụm WMS - KHO 8115/8121/8124 Project : vinid-b2b-platform-prod Instance/IP :main (read-write): 172.31.4.59 Port : 3306 Database : omd_wms_8115 Script update wave_order_item woi 
join wave_order_header woh on woh.id = woi.header_id
set woi.status = 'FULFILLED',
woi.reserved_quantity = 0,
woi.picked_quantity = woi.requested_quantity,
woh.status = 'FULFILLED'
where woh.id in (12374) and woi.status = 'FULFILLING'; INSERT INTO whse_order_item (created_by, created_date, is_active, last_modified_date, version, batch_id, batch_no, batch_reference_number, do_no, from_loc_id, from_pallet_id, from_stock_status, from_whse_id, from_whse_stock_id, gr_vol, gr_wt, item_status, net_vol, net_wt, order_hdr_id, order_item_id, owner_name, owner_id, pc_per_ctn, pc_per_inner_pack1, pc_per_inner_pack2, pc_per_plt, po_line_no, po_no, po_type, processed_qty, prod_code, prod_desc, so_no, status, to_loc_id, to_stock_status, to_whse_id, trans_qty, vendor_code, wave_inv_item_id, whse_order_hdr_id, picking_uom, dc_code)
SELECT created_by,
       created_date,
       is_active,
       last_modified_date,
       version,
       batch_id,
       batch_no,
       batch_reference_number,
       do_no,
       to_loc_id,
       from_pallet_id,
       from_stock_status,
       from_whse_id,
       to_whse_stock_id,
       gr_vol,
       gr_wt,
       item_status,
       net_vol,
       net_wt,
       order_hdr_id,
       order_item_id,
       owner_name,
       owner_id,
       pc_per_ctn,
       pc_per_inner_pack1,
       pc_per_inner_pack2,
       pc_per_plt,
       po_line_no,
       po_no,
       po_type,
       processed_qty,
       prod_code,
       prod_desc,
       so_no,
       status,
       to_loc_id,
       to_stock_status,
       to_whse_id,
       trans_qty,
       vendor_code,
       wave_inv_item_id,
       318850,
       picking_uom,
       dc_code
FROM whse_order_item woi
WHERE woi.whse_item_id IN
    (SELECT tl.whse_item_id
     FROM
       (SELECT woi.whse_item_id,
               woi.wave_inv_item_id
        FROM whse_order_item woi
        JOIN whse_order_hdr woh ON woh.whse_order_hdr_id = woi.whse_order_hdr_id
        WHERE woi.batch_reference_number = '24WV00000429'
          AND woh.main_instruction_type = 'STAGING_TRANSFER') AS tl
     LEFT JOIN
       (SELECT woi.whse_item_id,
               woi.wave_inv_item_id
        FROM whse_order_item woi
        JOIN whse_order_hdr woh ON woh.whse_order_hdr_id = woi.whse_order_hdr_id
        WHERE woi.batch_reference_number = '24WV00000429'
          AND woh.main_instruction_type = 'SHIPPING_ORDER') AS tr ON tl.wave_inv_item_id = tr.wave_inv_item_id
     WHERE tr.whse_item_id IS NULL);</t>
  </si>
  <si>
    <t>[OMD][TCB-MerchantHUB][PROD] Hỗ trợ tạo database cho dự án merchant hub pos môi trường production</t>
  </si>
  <si>
    <t>2026-03-17T09:16:22.727+0700</t>
  </si>
  <si>
    <t>2026-03-17T17:29:48.789+0700</t>
  </si>
  <si>
    <t xml:space="preserve">Hi team DBA  Dự án merchant hub pos chuẩn bị golive cần db mới, nhờ các anh tạo giúp em các DB cho môi trường Production với các thông tin như dưới ạ: Instance Database &amp; User mhpos-catalog-prod-postgres  - 172.31.4.29 mhpos_catalog mhpos-order-prod-postgres  - 172.31.4.37 mhpos_oms mhpos-common-prod-postgres  - 172.31.4.36 mhpos_customer mhpos_fiscal mhpos_payment GCP Project: omd-merchant-hub-prod SAD dự án:   </t>
  </si>
  <si>
    <t>2026-03-17T09:16:04.627+0700</t>
  </si>
  <si>
    <t>2026-03-17T09:19:58.763+0700</t>
  </si>
  <si>
    <t>IP (Host):   ces-production.crcykac8kxtw.ap-southeast-1.rds.amazonaws.com Port:  3306 DB Name:  ces_mh_mpm Command:  Câu lệnh SQL trong file đính kèm</t>
  </si>
  <si>
    <t>2026-03-16T21:08:44.263+0700</t>
  </si>
  <si>
    <t>2026-03-16T21:10:03.064+0700</t>
  </si>
  <si>
    <t>Dear team DBA, Team dự án cần bật lại cấu hình nguồn tiền TCB Direct để test, sau đó sẽ off luôn, nhờ anh em DBA hỗ trợ ạ Thông tin DB:  vinpay-sql-onehub-master.int.vinid.net:3306/pay_payment_gateway Lệnh bật cấu hình:  UPDATE pay_payment_gateway.PROVIDER SET IS_ACTIVE=1 WHERE provider_id='41'; Lệnh tắt cấu hình: UPDATE pay_payment_gateway.PROVIDER SET IS_ACTIVE=0 WHERE provider_id='41';</t>
  </si>
  <si>
    <t>[IOTEK] XIN TRUY CẬP VÀO HANASTUDIO SAP B1 MAS, MTR, MAG READ ONLY</t>
  </si>
  <si>
    <t>2026-03-16T17:22:24.905+0700</t>
  </si>
  <si>
    <t>2026-03-16T17:22:44.795+0700</t>
  </si>
  <si>
    <t>Access_Permission, MAG</t>
  </si>
  <si>
    <t>Kính gửi anh  @Hoàng Công Nghĩa   CC anh  @Đoàn Việt Hưng , Để phục vụ cho quá trình support và debug các tính năng. Em xin phép được cấp tài khoản truy cập vào hanastudio của hệ thống vận hành bán hàng của MAG với quyền READ-ONLY.  Kính trình anh phê duyệt. Sincerely,</t>
  </si>
  <si>
    <t>2026-03-16T17:00:09.474+0700</t>
  </si>
  <si>
    <t>2026-03-16T17:08:37.264+0700</t>
  </si>
  <si>
    <t>Dear Team, Team đang cần update thông tin eKyc cho User, nên nhờ team run giúp 2 câu lệnh này nhé: INSERT INTO `ekyc` 
(`agent_code`, `agent_uuid`, `dob`, `expire_date`, `full_name`, `gender`, `hometown_address`, `identity_number`, `identity_type`, `issue_date`, `issue_place`, `mrz_line_1`, `mrz_line_2`, `mrz_line_3`, `nationality`, `old_identity_number`, `permanent_address`, `status`, `created_by`, `last_modified_by`) 
VALUES 
(
'1022038826',
'7ffe04ec-36e3-43de-9ad3-992d4637eba6',
'17/12/2022',
'25/04/2031',
'ĐẶNG HOÀNG GIANG',
'NAM',
'TIỀN HẢI THÁI BÌNH',
'034202003629',
'CCCD',
'25/04/2021',
'CỤC TRƯỞNG CỤC CẢNH SÁT QUẢN LÝ HÀNH CHÍNH VỀ TRẬT TỰ XÃ HỘI',
NULL,
NULL,
NULL,
'VIỆT NAM',
NULL,
'TIỀN HẢI THÁI BÌNH',
'DOCUMENT_VERIFIED',
'agent_channel',
'agent_channel'
) UPDATE agents
SET
gender = 'MALE',
name = 'ĐẶNG HOÀNG GIANG',
dob = '1986-05-23 ',
identify_number = '034202003629',
id_card_type = 'CCCD',
update_by = 'DBA',
issue_date = '2021-06-24',
issue_place = 'CỤC TRƯỞNG CỤC CẢNH SÁT QUẢN LÝ HÀNH CHÍNH VỀ TRẬT TỰ XÃ HỘI',
permanent_address = 'TIỀN HẢI THÁI BÌNH'
WHERE code = '1022038826' Thông tin DB : HOST = " 172.31.4.83 " PORT = 3306 DATABASE = "agent-platform" _</t>
  </si>
  <si>
    <t>[MAG][IOTek][MCM][PROD] Cập nhật dữ liệucho hệ thống MCM</t>
  </si>
  <si>
    <t>2026-03-16T16:08:26.009+0700</t>
  </si>
  <si>
    <t>2026-03-16T16:16:41.889+0700</t>
  </si>
  <si>
    <t>IP (Host):   ces-production.crcykac8kxtw.ap-southeast-1.rds.amazonaws.com Port:  3306 DB Name:  ces_mh_mpm Command:  trong file đính kèm</t>
  </si>
  <si>
    <t>[OMC][Loyalty MFT] VCM - Cập nhật thông tin trạng thái ticket</t>
  </si>
  <si>
    <t>2026-03-16T15:37:56.560+0700</t>
  </si>
  <si>
    <t>2026-03-16T16:18:42.230+0700</t>
  </si>
  <si>
    <t>Xuất phát từ  ticket  , nhờ team DBA hỗ trợ cập nhật dữ liệu với thông tin bên dưới Thông tin database - GCP project  vinid-loyalty-prod
- Instance name : onevoucher
- Instance IP : 172.31.4.126
- Database : onevc_vsm_prod Query UPDATE onevc_vsm_prod.ticket AS t
SET t.deleted = 1
WHERE t.code = 'ef39643932d04f4882202c852454e7aa'; Em cảm ơn ạ.</t>
  </si>
  <si>
    <t>2026-03-16T14:49:39.396+0700</t>
  </si>
  <si>
    <t>2026-03-16T14:49:43.486+0700</t>
  </si>
  <si>
    <t>Hi a  @Nguyễn Văn Dũng , nhờ a chạy giúp e script bên dưới với ạ Thông tin database:  172.31.1.133:3306/bo Script: -- BO_CUSTOMER_ID = 10000049 -&gt; MC_ID, BO_CUSTOMER_OFF_ID = 10000049 -&gt; 10000004
UPDATE CONFIG_POSTING_FLAG SET BO_CUSTOMER_ID = 'MC_ID', BO_CUSTOMER_OFF_ID = '10000004' where SERVICE_ID ='VN0010050'and PAYMENT_METHOD_CODE in ('VISA', 'ATM');</t>
  </si>
  <si>
    <t>[OMC][MTP] Update segmentation cho MKT</t>
  </si>
  <si>
    <t>2026-03-16T11:25:56.060+0700</t>
  </si>
  <si>
    <t>2026-03-16T11:27:02.901+0700</t>
  </si>
  <si>
    <t>Dear  @Đào Công Nghĩa  , nhờ em chạy giúp anh script sau với. -- DB: 172.31.1.21:3306
-- Schema: mtp_martech_profile
UPDATE mtp_martech_profile.mtp_anonymous_profile_segmentation_job SET display_name = 'PnP_Nonlink account to OneU' WHERE id IN ('60234c11-88e3-4c84-b37e-b248da30b653', '70099774-fdad-4718-8dc3-da394b6b5319'); Best regards Dinh Quang Nguyen</t>
  </si>
  <si>
    <t>[UPAY] Tác động database hỗ trợ onboard merchant TCH</t>
  </si>
  <si>
    <t>2026-03-16T10:40:47.328+0700</t>
  </si>
  <si>
    <t>2026-03-16T10:40:51.474+0700</t>
  </si>
  <si>
    <t>Hi a  @Nguyễn Văn Dũng  nhờ a chạy giúp em ticket sau nhé ạ.  Thông tin database saas_tpay:  pay-tidb.int.onemount.com:4000/saas_tpay Thời gian chạy: Sau khi được approval Script: INSERT INTO PARTNER (client_id, name, public_key, enable, merchant_code)
VALUES ('ABhVeuTmroiTUYdMVsXWaFizPOQrRJvS', 'CTY CP TM DV TRA CA PHE VN', '-----BEGIN PUBLIC KEY-----
MIICIjANBgkqhkiG9w0BAQEFAAOCAg8AMIICCgKCAgEAwOhjBGmFN4KhcTrrSiQx
HAYzcy7q19DsDhmdlfiguR4X4i9/qSSUKAhGCkXHO5VkKFz41sQ7sCU7w4NJImfh
aZmKjBcy9C9eiX04S150+E3NeLygkSFpot2DuYsVQZ7enKhEtW5qbUYhPJGhNLOg
MOOG5p1+oGjz1KtpsG9YGa+7sdDr1tbSsecdHMlia+h2wdKqTzP620Uvlq9Q6nRZ
kkvIrCrJBU+eWGWASjkE6X737Wt9pgyRMDkIbNfjdCEs2viDRKJ/zIMyGFL8bO2C
iIlbjMI3SBbtfbCkvpLF+31Ics07lPihBSELBdOGknNYDMdFcn6hjE3guyoRg6ps
a4M9jUHxOukAEWrpwuIv2LZN9dErCJqVRW4CKMNVzVxP5Og5fbWgRhMH41M2kSZ9
IYgaaQlbVUN0aow6kPAmEcUyQEYWkNxzlNjB5A5XK5hWVaDId6XUaW/3/4+Mr//N
DrqwXT8Kve9V3DGjg/ofGUoLXC6iBqc1j7K5Xnm6jQpIXE/oJ7zI1u+3fWQ/N2yM
qfznCti48dsUE+XTbjye0/K6QsV0Q53Ose7ZSUzdKuXjq9HGtotYmqPbIjslGGkf
HnL6xgJBEcBM8JownnGRcbuZ04kL1O8jv9Wltm5+NZO3Y5MtH+NBn6lmrlq/8JPv
NYronWHfisPLniMQ5Zkw+Y0CAwEAAQ==
-----END PUBLIC KEY-----', 1, 'TCH');
INSERT INTO MERCHANT_RECONCILE (merchant_code, tenant, enable, sftp_folder, pgp_public_key_base64,
                                pgp_partner_id, days_to_subtract, max_records_per_file)
VALUES ('TCH', 'OME', 1, '/tch',
        'mQINBGmuKbQBEADutF1vl1KfA5s6IOaqGqfJrrtgzRgUF1zMBKpC72USzJVkdGPKmvLSWrYpsuOxH9kKXd1lih8uGfh5nOGSnaZvdHnCXsVNv8RMIB6OjAf4U7GTn0PB39vpBJP1VE+/iDYbDXOZS8PQ9tpeRwpAp/k4ON0D9OuPRZByD1arne1xIgraHDvMweTOxkR4Rc+yUbqotbqZ2mXbNKiuQUItH2UxQwC5dZ2IcvQGEzNAoVxW4kGvWDk2gVsu7kIivyGitB+divR5hrFTzqyPiv+nY3Wh1/srE0rkxNQHfbdoiWE+bwwafJEGApFER4xN9Zm+mpMlivWqkzZMhOvPsYfvO8/JJ0qNyrn7egkkpNswLYj5pbwBuCDXoHUGq2AnDbH0RW9J5LLCHZV3qGgkG0Cu+7KYd/8bsJ/PiDLseRpIj2e1vk6mn6QyH3YynWvwcU6i0XjP/hJCjq0sAwILkLk5ijuKHtvuMmcVEf7elFEw6Ia44cLaM+xj43F7IHpt4apAIJNaDCIG+boXvz+aZ5S530ZS9WF5wtAFdcZMtq2YJTeh3Hqpir5vynXb+crBUMBm+wfe3XsFMVbneujLcWeOxtZjfdmh9cTmK2HC/ZhwOyc/XF8A5PoDKdRyVmk3mH/TltYoxl4Hac57MAihWJCMK30bdBH8YtBrFpfF70nH7GWLoQARAQABtCl0ZWNoY29tYmFuayA8aHVuZy50cmFuQHRoZWNvZmZlZWhvdXNlLnZuPokCUgQTAQgAPBYhBMgs5ROtkFC7Xq7XpAeb1sjUYwV5BQJprim0AxsvBAULCQgHAgIiAgYVCgkICwIEFgIDAQIeBwIXgAAKCRAHm9bI1GMFeUddD/4g9SXK8x6ioHz9CuXo51NLRCRRn5LILI8uPDy4DdGagFwRuh0fIGnK7hDrQyJKVib7IBkK9wBIdnhtf/pqJCLOFwqcegvoxDT7hobJsj17MdSguxk+23z/XuG3cE/4KcgDPsDCK4Aodl9Pwk58MXqGdCHtKytlUyJI/7EBwPCkbD2KQ6R8Bn98X/LUMxhHgSbgc6Zt42emzb4UTqAn8dBZXSZIxgZDGVTWLV8XGo63eDj+BTg9GRoaOysnSuSJzwv+qhZaCQP0BwQ3i+7lfNDbsnEF+mYHES6kU6ElLQK89pNLi6BH6Nm3mAOfG8PfU3CxkL+dli2uvcQTpVg6TfrfRaPPQhc2G7r/ekf84uxc1pbqxmgC5Aogbyry1FW56ElgHN4Jv0OC5JMVSSB3ULDEU9vTY2eXYHhOPP8dhH/tOhPtWk3hDolRBKgbD5x/iomPeU0SQw6Ka8CtKTFMczOtamLql3Cvsa7PlfDei2dXZRr89/ZT9G3nqScjWwM2V+1MT2HviEzpDfTcJ336fqU32JuT2j6SunJCpu2wXGnVIcbzOG/QJUEDIC19jooJqMb05Hw3FP76mgt1VRPQOeExaWMsg2zevOfUYmR9iDQhtLoGpmSo5gxbANxF7wPPVV70FrzY3byynXJs6dt1QLDHjt2sU2D30VsFUKwHVVyywQ==',
        'hung.tran@thecoffeehouse.vn', 1, 10000);</t>
  </si>
  <si>
    <t>[OPS][Production] Thêm quyền cho module mới trong One Loyalty</t>
  </si>
  <si>
    <t>2026-03-14T11:35:54.773+0700</t>
  </si>
  <si>
    <t>2026-03-14T11:35:58.670+0700</t>
  </si>
  <si>
    <t>Dear team DBA, Để thêm quyền cho module mới trong One Loyalty, nhờ team DBA support thực hiện câu SQL query sau: instance:   https://console.cloud.google.com/sql/instances/common/overview?authuser=1&amp;hl=en&amp;inv=1&amp;invt=Ab0bnA&amp;project=vinid-service-platform-prod Dbname: admin_service SQL Query START TRANSACTION;
select @service_id := id
from service
where code = 'one_loyalty';
INSERT INTO module (name, code, service_id)
VALUES ('Config Point Management', 'LoyaltyAccounting_CPM_Config_point_management', @service_id);
SET @module_id = LAST_INSERT_ID();
INSERT INTO permission (code, name, module, module_id, new_code, new_name)
VALUES (1000, 'View', 'LoyaltyAccounting_CPM_Config_point_management', @module_id, 1000, 'View');
INSERT INTO permission (code, name, module, module_id, new_code, new_name)
VALUES (1001, 'Create', 'LoyaltyAccounting_CPM_Config_point_management', @module_id, 1001, 'Create');
INSERT INTO permission (code, name, module, module_id, new_code, new_name)
VALUES (1002, 'Edit', 'LoyaltyAccounting_CPM_Config_point_management', @module_id, 1002, 'Edit');
INSERT INTO permission (code, name, module, module_id, new_code, new_name)
VALUES (1007, 'Approve/Reject', 'LoyaltyAccounting_CPM_Config_point_management', @module_id, 1007, 'Approve/Reject');
COMMIT;</t>
  </si>
  <si>
    <t>2026-03-14T11:11:49.294+0700</t>
  </si>
  <si>
    <t>2026-03-14T11:13:52.614+0700</t>
  </si>
  <si>
    <t>Đội dự án VCM có yêu cầu giảm cấu hình memory cho 2 con redis như thông tin bên dưới 1. Instance VMM GCP project : vincart-prod Instance : vmm IP : 172.31.8.100 Memory hạ từ 8GB xuống còn 5GB Thời gian thực hiện : 1h 12/03/2026 2. Instance onevoucher GCP project : vincart-prod Instance : onevoucher IP : 172.31.0.196 Memory hạ từ 8GB xuống còn 5GB. Lưu ý : cần thực hiện ticket clear key ( ) trước khi hạ cấu hình Thời gian thực hiện : 1h 12/03/2026 Em cám ơn.</t>
  </si>
  <si>
    <t>2026-03-14T10:50:26.617+0700</t>
  </si>
  <si>
    <t>2026-03-16T17:01:02.491+0700</t>
  </si>
  <si>
    <t>Dear DBA team, Nhờ team thực hiện cập nhật thông tin Agent cho OMRE nhé UPDATE ekyc SET issue_date = '30/12/2025' WHERE agent_code = '1029062289'   Thông tin DB : HOST = " 172.31.4.83 " PORT = 3306 DATABASE = "agent-platform"</t>
  </si>
  <si>
    <t>[BO] Sửa cấu hình bút toán cho hạch toán OMD</t>
  </si>
  <si>
    <t>2026-03-14T10:49:22.087+0700</t>
  </si>
  <si>
    <t>2026-03-14T10:49:26.421+0700</t>
  </si>
  <si>
    <t>Hi a  @Nguyễn Văn Dũng , nhờ a chạy giúp e script bên dưới với ạ Thông tin database:  172.31.1.133:3306/bo Script: -- Off P815
UPDATE TRANS_MAP_BUSINESS SET POSTING_FLAG = 0 WHERE ID = '316';
-- POSTING_KEY_DR = 40 -&gt; 01, POSTING_KEY_CR = 50 -&gt; 11, ACCOUNT_GROUP = GL -&gt; CUSTOMER
UPDATE CATEGORY SET POSTING_KEY_DR = '01', POSTING_KEY_CR = 11, ACCOUNT_GROUP = 'CUSTOMER' WHERE ID = 'REV003';</t>
  </si>
  <si>
    <t>2026-03-14T10:43:12.659+0700</t>
  </si>
  <si>
    <t>2026-03-16T17:22:47.257+0700</t>
  </si>
  <si>
    <t>[MAG][IOTek][MCM][PROD] cập nhật quản lý tài liệu</t>
  </si>
  <si>
    <t>2026-03-13T16:21:18.479+0700</t>
  </si>
  <si>
    <t>2026-03-16T09:32:02.624+0700</t>
  </si>
  <si>
    <t>IP (Host) ces-production.crcykac8kxtw.ap-southeast-1.rds.amazonaws.com Port 3306 DB Name csm_mcm_storage INSERT INTO ces_mcm_storage_dev.casbin_rule_test
(id, ptype, v0, v1, v2, v3, v4, v5)
SELECT
    (@rownum := @rownum + 1) + base.max_id AS id,
    'p',
    jt0.v0,
    CONCAT('"', jt1.v1, '"'),
    'write',
    NULL,
    NULL,
    NULL
FROM
(
    SELECT IFNULL(MAX(id),0) AS max_id
    FROM ces_mcm_storage_dev.casbin_rule_test
) base,
(SELECT @rownum := 0) r
CROSS JOIN JSON_TABLE(
'[
  "ebf4cc17-0140-48d3-9e85-e8d658d61d30",
  "c3609abe-5def-4eb3-bb7a-c41bb8084db1",
  "10a31909-dcc6-49d1-b616-74a448598ab7",
  "572f29c9-312f-48a3-b1f1-d339dae13bea",
  "3502ca60-d1cb-4a57-929f-e5eab8144fa0",
  "9a1331fd-3d15-49eb-87ac-eb88633823b7",
  "e9058bcd-f4b9-4b12-8bd4-d430a5a1d226",
  "4b6a8ca9-add5-4b9c-a9b3-bb8ec28cdb17",
  "a23356be-71f7-4577-bdba-d0f33b0b29e8",
  "29b471ef-d22c-4dd2-8be2-3af093a9fae1",
  "1ba4c030-25cd-4856-9641-5aa2157fe959",
  "b1aa8cae-f354-4797-b6a6-9ca7a38d7bf6",
  "d48d54db-d1c5-4255-adbb-7edaa83942fe",
  "084fd976-b1de-4a02-b5fc-d1e80b64e4f3",
  "07daee73-a901-4689-909b-3ff96b6a74a6",
  "1ed59d09-043d-4f2a-bc56-1d935afb4e06",
  "9dade6fe-590f-48eb-a03a-249761a49abc",
  "7eac150c-9793-49f5-bd3d-4f633a7e1536",
  "71d9d7c0-e53e-44b4-b798-c792569f30ba",
  "8ddf3a21-d8ab-4499-a1a6-14b196aa9ff5",
  "39830866-2a55-4cc2-baa4-18d0dcee2ab3",
  "f8c7bf3b-8596-4134-871d-9745eb40c082",
  "05a339c4-bc24-4ca1-920b-dc5292705b99",
  "95de1202-46f4-4666-abe8-50beb52096c5",
  "bec9302b-f027-4c41-874e-580ee2f0ed18",
  "88cc1dbe-81a9-49da-9998-714790a94f80",
  "480e0074-d30a-4938-a561-9672632a3faa",
  "7baa7b70-b9ec-420e-9046-dd11d653e170",
  "522bb567-a3ec-4540-a0b6-5d36062f6759",
  "6b64d0d2-73a1-47b5-a07a-da5624b0a98d",
  "aac15205-8b39-4d86-a942-29a2c6dffa8a",
  "e8f7ccef-ff70-42b0-9ed1-07aa8235c6e5",
  "9cfe25ce-12d9-427b-bbf1-3e2b8cb5cc94",
  "d5427319-72e1-4925-81d4-e4d9abd725db",
  "495f751c-8cfd-4f48-bf37-cd9361205342",
  "6e4c7dc1-25f3-4e49-a85d-8f075d6d85b7",
  "92598eb9-7e9a-4069-a35b-e3f1e4ff12e8",
  "306bb39b-d6f2-40a1-87ec-6b2a7870a4ba",
  "1dfb9f56-04b9-4379-9b04-53aac9df4c98",
  "d554e4f8-0c76-4e7d-a04d-29a8f884d135",
  "2141c747-537a-42ae-ace1-531c22c67d2e",
  "997ae728-a472-428e-b9a2-78897eaadd71",
  "215e5a19-d61b-47c0-ad52-e5f15d40546b",
  "ac50b2fb-e1b0-4c26-a81b-d8cf0b80c509",
  "8ab2d464-5c28-416f-baa9-56b8a3398c16",
  "3d90980c-a1cb-449b-9a56-0566bdf19714",
  "0641aef8-359e-4606-807f-9b321fbce2db",
  "f075ea00-7483-477b-b53c-23b25802c6e0",
  "b2754025-0484-4c26-b5fd-15cc43adf10c",
  "02340777-20f1-4075-8709-00c92732c185",
  "c3b86a4a-3bdb-4e17-be47-e5edafb8cdc0",
  "1ad2d418-f816-4b3a-a51c-b55867a78e8a",
  "257cf93e-0ee0-4e33-858a-dcb6ceacb32a",
  "506110ef-d90d-42d7-b9ac-a1d9436f15cb",
  "52821bdb-951c-4a9c-bba4-1274fb2a1e77",
  "c2b2ac7c-711d-442a-a4d1-0ced40c29520",
  "f3e51709-9459-4e60-a7f4-374f0cfcc4a5",
  "12812a05-ea5d-47ce-8193-a1ad18a20430",
  "ffc71e34-ed24-4b6c-9e42-1bb097af73c1",
  "12812a05-ea5d-47ce-8193-a1ad18a20430",
  "b0f00454-4392-47d6-b314-bab8a7296ecd",
  "dfbf619d-2209-46b3-832f-fb2c007e6b39",
  "680c0ccc-0c17-4c69-972f-f68c451eec07",
  "a414168f-ff8b-4ac2-b0da-8654b0e20d24",
  "07daee73-a901-4689-909b-3ff96b6a74a6",
  "498f074d-0068-4f0f-871c-e4c28a7c4fe9",
  "111a7c6c-cdb1-459f-b32e-53bdee55ee76",
  "752840fd-ad72-4fd9-88da-fb7a1bbb2c85"
]',
'$[*]' COLUMNS (
    v0 VARCHAR(255) PATH '$'
)) jt0
CROSS JOIN JSON_TABLE(
'[
  "Dự án Nhung test docs đừng ai update gì/",
  "MASTERI PARK PLACE/",
  "Lumiere Prime Hills tpHN/",
  "Dự án Mas/",
  "Dự án master/",
  "Dự án MASTERISE/",
  "P-0001.1 Masteri Centre Point (MCP-B6)/",
  "P-0001.2 Lumiere Boulevard-B7/",
  "P0002 Masteri Water Front/",
  "P-0002 Masteri Water Front/",
  "P-0002.1 Masteri Water Front (Hawaii)/",
  "P-0003 Masteri West Height/",
  "P-0004 The Sun/",
  "P-0005 Lumiere East-P52/",
  "P-0006 Lumiere West-P53/",
  "P-0007 GMS-Lux 5/",
  "P-0008 GMS Phase 1 (Bason 1)/",
  "P-0009 The Grand - Crown/",
  "P-0010 The Grand - Heritage/",
  "P-0010.1 TGH – Common Project/",
  "P-0011 D9V/",
  "P-0014 HA LONG XANH/",
  "P-0017 Hai Phong Thuy Nguyen 22 ha (high-rise)/",
  "P-0018 Thanh Da/",
  "P-0019 Lumiere Evergreen (Smart City New)/",
  "P-0020 The Chateau Saigon/",
  "P-0021 Hung Yen 600ha/",
  "P-0022 Ocean Park 1 The Lake (B6 CT01)/",
  "P-0023 Lumiere Orient Pearl Ocean Park 1 (B5 CT02)/",
  "P-0024 Lumiere Orient Pearl Ocean Park 1 (B5 CT03)/",
  "P-0025 Dream City (CT 01)/",
  "P-0026.1 Dream City (CT 02)/",
  "P-0026.2 Dream City (CT 03)/",
  "P-0027 Dream City (CT 04)/",
  "P-0028 Dream City (CT 05)/",
  "P-0029 Dream City (CT 06)/",
  "P-0030.1 Dai An City (CCCT01)/",
  "P-0030.2 Dai An City (CCCT02)/",
  "P-0030.3 Dai An City (CCCT03)/",
  "P-0031 The Global City (TGC Low rise LK)/",
  "P-0032 The Global City (TGC Low rise LV 2)/",
  "P-0033 The Global City (TGC Low rise LV 1)/",
  "P-0034 The Global City (TGC Low Rise BT Villas)/",
  "P-0035 The Global City (TGC INFRASTRUCTURE)/",
  "P-0036 The Global City (TGC High rise CT01)/",
  "P-0037 The Global City (TGC High rise CT02)/",
  "P-0038 The Global City (TGC High rise CT03)/",
  "P-0039 The Global City (TGC High rise CT04)/",
  "P-0040 The Global City (TGC High rise CT05)/",
  "P-0041 The Global City (TGC High rise CT06)/",
  "P-0042 The Global City (TGC High rise CT07)/",
  "P-0043 The Global City (TGC High rise CT08)/",
  "P-0044 The Global City (TGC High rise CT09)/",
  "P-0044.1 The Global City - TGC High rise (Common Project)/",
  "P-0045 The Global City (Shopping Mall)/",
  "P-0047 GMS Phase 2 (Bason 2)/",
  "P-0048 GMS Phase 3 (Bason 3)/",
  "P-0048.1 GMS (Bason) – Common Project/",
  "P-0049 GMS Phase (Landscape, Marine work)/",
  "P-0052 Hai Phong Thuy Nguyen 7.2 ha (low-rise)/",
  "P-0054 ONE CENTRAL/",
  "P-0052.1 The Centric (TM1&amp;2)/",
  "P-0053 Hung Yen My Hao/",
  "P-0057 New Ocean Park (SGSU)/",
  "P-0058 Co Loa - HH-01 (Residential &amp; Office)/",
  "P-0059 Co Loa - HH-02 (Residential)/",
  "P-0060 Co Loa - HH-04 (Office)/",
  "P-0061 Co Loa - A4 - CT01 &amp; CT02 (Residential)/",
  "P-0062 Co Loa - CCDT12.HH (Hotel, Convention Center &amp; Offices)/",
  "P-0063 Dan Phuong (Vinhomes Wonder park) HH2E-2 &amp; HH4-3 (High Rise)/",
  "P-0064 Dan Phuong (Vinhomes Wonder park) HH5 &amp; HH6 (Low rise)/",
  "P-0070 Can Gio - High-rise/",
  "P-0068 Hai Phong Port (HPP607)/",
  "P-0072 Malibu Shop (MSH506)/",
  "P-0071 Cao Xa La (Vinhomes Galaxy - CXL508)/",
  "P-0074 GMS-Lux 4/",
  "P-0075 Hon Mot Island/",
  "P-0076 San bay Gia Binh/",
  "P-0077 Dai hoc Hau can CAND/",
  "P-0067.1 International University – Common Project/",
  "P-9999 Du an khac/",
  "P-0083 CHKQT GB-BT 2 Tai dinh cu/",
  "P-0073 North Office Renovation/",
  "P-0085 CHKQT GB-BT Du an doi ung/",
  "P-0080 New City West HCMC/",
  "P-0079 Quan Toan Hai Phong/",
  "P-0070.1 Can Gio - Chung/",
  "Dự án/",
  "Dự án Nhung Cẩm 25122025/",
  "Dự Án MTR27/",
  "Dự án 1501/",
  "Dự án TruongMobile/",
  "Dự án HueTest/",
  "MO/",
  "[TEST] Dự án Test 2026/",
  "Dự án test CDE/",
  "[TEST] Dự án Test/",
  "k/",
  "DA3086 TGH - RETAIL/",
  "DA3224_BT_CAU CAN GIO/",
  "DA3223_BT_CAU PHU MY 2/",
  "Dự án ẻm Quang bông zua/",
  "P-0030 Dai An TGM (Nha Mau)/",
  "P-0051 Hai Phong Hong Bang/",
  "P-0069 Can Gio - Low-rise (CGV204)/",
  "P-0081 Gia Binh Smart City/",
  "P-0086 Vin Olympic Ngoc Hoi/",
  "P-BT Project/",
  "[TEST] Dự án TEST QLTL/",
  "[TEST] Dự án TEST QLVL/",
  "Dự án Phong test/"
]',
'$[*]' COLUMNS (
    v1 VARCHAR(255) PATH '$'
)) jt1;</t>
  </si>
  <si>
    <t>2026-03-12T18:27:00.956+0700</t>
  </si>
  <si>
    <t>2026-03-12T18:27:04.622+0700</t>
  </si>
  <si>
    <t>Dear anh Nghĩa, Nhờ anh hỗ trợ team chạy câu lệnh SQL với các thông tin sau ạ IP: 172.31.1.3
DB name: vinticket SQL: UPDATE `attendees` SET `user_id` = '20811687' WHERE `attendees`.`user_auth_id` = '0947109456';
UPDATE `attendees` SET `user_id` = '20811262' WHERE `attendees`.`user_auth_id` = '0392198836';
UPDATE `attendees` SET `user_id` = '20811296' WHERE `attendees`.`user_auth_id` = '0345888142';</t>
  </si>
  <si>
    <t>[MAG][IOTek][MCM][PROD] Cập nhật dữ liệu master data cho hệ thống MCM</t>
  </si>
  <si>
    <t>2026-03-12T17:54:42.731+0700</t>
  </si>
  <si>
    <t>2026-03-12T17:59:47.251+0700</t>
  </si>
  <si>
    <t xml:space="preserve">IP (Host):   ces-production.crcykac8kxtw.ap-southeast-1.rds.amazonaws.com Port:   3306 DB Name:  ces_mh_mpm Command:  Câu lệnh SQL cần chạy trong file đính kèm </t>
  </si>
  <si>
    <t>[Soundbox] Cập nhập trạng thái thiết bị về Máy Mất và Đã trả NCC</t>
  </si>
  <si>
    <t>2026-03-12T16:50:14.252+0700</t>
  </si>
  <si>
    <t>2026-03-12T16:50:18.077+0700</t>
  </si>
  <si>
    <t>Hi a  @Nguyễn Văn Dũng , nhờ a chạy giúp e script bên dưới với ạ Thông tin database saas_tpay:  pay-tidb.int.onemount.com:4000/saas_tpay Scripts: UPDATE TCB_DEVICE SET PHYSICAL_STATUS = 'LOST_DEVICE', updated_at = CURRENT_TIMESTAMP WHERE device_serial_number in ('38250523308925','38250523308924','38250523308923','38250523308922','38250523308921','38250602304662','38250602316852','38250727304714', '38250321909823','38250330317946','38250523305568','38250602314072','38250602325121','38250602303888','38250727313347','38250821716473','38250821715267','38250821715271');
-- IMPORTED -&gt; RETURNED
UPDATE TCB_DEVICE SET PHYSICAL_STATUS = 'RETURNED', updated_at = CURRENT_TIMESTAMP WHERE device_serial_number = '38250821744431';</t>
  </si>
  <si>
    <t>[Urgent] Cập  nhật trạng thái Wave và số lượng giữ tồn</t>
  </si>
  <si>
    <t>2026-03-12T16:44:48.312+0700</t>
  </si>
  <si>
    <t>2026-03-12T16:45:06.135+0700</t>
  </si>
  <si>
    <t>Description Hi DBA team, Hiện tại nghiệp vụ có nhu cầu cập nhật lại tên kho  theo nhu cầu vận hành Câu query đánh giá là không ảnh hưởng đến vận hành hệ thống nên mong muốn chạy luôn 1. Cụm WMS - KHO 8115/8121/8124 Project : vinid-b2b-platform-prod Instance/IP :main (read-write): 172.31.4.59 Port : 3306 Database : omd_wms_8115 Script update wave_order_item woi 
join wave_order_header woh on woh.id = woi.header_id
set woi.status = 'FULFILLED',
woi.reserved_quantity = 0,
woi.picked_quantity = woi.requested_quantity,
woh.status = 'FULFILLED'
where woh.id in (12363,12366,12337,12374,12375,12368,12369,12378,12367); 2. Cụm WMS - KHO 8193 Project : vinid-b2b-platform-prod Instance/IP :main (read-write): 172.31.4.59 Port : 3306 Database : omd_wms_8193 Script update wave_order_item woi 
join wave_order_header woh on woh.id = woi.header_id
set woi.status = 'FULFILLED',
woi.reserved_quantity = 0,
woi.picked_quantity = woi.requested_quantity,
woh.status = 'FULFILLED'
where woh.id in (7615, 7616, 7617); 3. Cụm WMS - KHO PHO04 Project : vinid-b2b-platform-prod Instance/IP :main (read-write): 172.31.4.59 Port : 3306 Database : omd_wms_thuanphong2 Script update wave_order_item woi 
join wave_order_header woh on woh.id = woi.header_id
set woi.status = 'FULFILLED',
woi.reserved_quantity = 0,
woi.picked_quantity = woi.requested_quantity,
woh.status = 'FULFILLED'
where woh.id in (9915,9929,9931,9932,9933,9934,9935,9936,9939,9941);</t>
  </si>
  <si>
    <t>2026-03-12T14:50:52.669+0700</t>
  </si>
  <si>
    <t>2026-03-12T15:00:55.651+0700</t>
  </si>
  <si>
    <t>Dear anh  @Đào Công Nghĩa  , Team em có nhu cầu cập nhật dữ liệu, nhờ team chạy script sau giúp em ạ. Thời gian chạy:   Team chạy ngay giúp em ạ. Thông tin DB:   omc-mtp-tidb.int.onemount.com:4000 / omc_merchant_loyalty Script: update omc_merchant_loyalty.contract set attributes = '{"address_district_name": {"value": "Đông Hưng Thuận"}, "address_province_name": {"value": "Hồ Chí Minh"}, "address_street": {"value": "47 Đông Hưng Thuận"}, "address_ward_name": {"value": "Đông Hưng Thuận"}, "bank_account_holder": {"value": "PHAN THI VINH"}, "bank_account_number": {"value": "19037038787014"}, "bank_name": {"value": "Ngân hàng TMCP Kỹ Thương Việt Nam"}, "contract_ref_no": {}, "district_code": {"value": "26791"}, "effective_date": {}, "hotline": {"value": "0399376261"}, "legal_name": {"value": "PHAN THI VINH"}, "legal_representative_email": {"value": "phanthivinh101085@gmail.com"}, "legal_representative_full_name": {"value": "PHAN THI VINH"}, "legal_representative_identity_number": {"value": "046185005737"}, "legal_representative_identity_number_issue_agency": {"value": "Bộ Công An"}, "legal_representative_identity_number_issue_date": {"value": "2025-10-13"}, "legal_representative_phone": {"value": "0399376261"}, "province_code": {"value": "79"}, "short_name": {"value": "Bún Mắm 69", "review_comment":"Tên biển hiệu/Tên thương hiệu viết sai chính tả từ \"Mắn\", đã sửa lại đúng thành Bún Mắm 69"}, "trade_name": {"value": "PHAN THI VINH"}, "ward_code": {"value": "26791"}}' where id = 28424;
update omc_merchant_loyalty.request set thumbnail_url = 'https://cdn-mobile-next.vinid.net/r5pkvhd8szvcaaaa/user_uploaded_images/cHJvZC5lZmRmODgxZjA2ZGM0NjU0ODk0YWYxOGM0OTZiYjAyMg==.jpeg' where id = '3fc547b1-f829-4901-980b-1b6933d92cf7'; Ref :  https://chat.google.com/room/AAQAtRBds7U/bJeQ9XXpix8/bJeQ9XXpix8?cls=10 Thanks anh.</t>
  </si>
  <si>
    <t>[TCB-MerchantHUB] - Tạo kafka topic cho dự án TCB Merchant HUB (Source mhpos_fiscal_qc PostgreSQL)</t>
  </si>
  <si>
    <t>2026-03-12T10:56:36.810+0700</t>
  </si>
  <si>
    <t>2026-03-12T13:01:52.269+0700</t>
  </si>
  <si>
    <t>DataPlatform, Merchant_Hub</t>
  </si>
  <si>
    <t>Dear team DBA, Phục vụ dự án TCB Merchant Platform, nhờ các anh cấu hình giúp kafka topic với thông tin như sau: Database type postgres Host merchant-hub-np-postgres / 172.31.0.93 Port 5432 Database/Schema order: mhpos_fiscal_qc Tables: Schema: mhpos_oms_qc digital_signature_contract
e_invoice_integration_status
e_invoice_series
e_invoice_settings
onboarding_profile
onboarding_service Cảm ơn anh ạ.</t>
  </si>
  <si>
    <t>2026-03-12T10:52:23.683+0700</t>
  </si>
  <si>
    <t>2026-03-12T11:19:04.211+0700</t>
  </si>
  <si>
    <t>Dear DBA team, Nhờ team thực hiện cập nhật thông tin Agent cho OMRE nhé UPDATE ekyc SET issue_date = '30/07/2019' WHERE agent_code = '1029062289'   Thông tin DB : HOST = " 172.31.4.83 " PORT = 3306 DATABASE = "agent-platform"</t>
  </si>
  <si>
    <t>[OMC][PS2][Prod] Thực hiện xóa partition reconcile cũ</t>
  </si>
  <si>
    <t>2026-03-12T10:20:39.516+0700</t>
  </si>
  <si>
    <t>2026-03-12T10:23:05.983+0700</t>
  </si>
  <si>
    <t>Host:  172.31.4.75 DB:  promo_rule_engine Table:  data_reconciliation Thực hiện xóa các partition cũ, chỉ giữ lại từ tháng 2/2026</t>
  </si>
  <si>
    <t>[OMC] Đánh index cho Database</t>
  </si>
  <si>
    <t>2026-03-12T09:33:28.563+0700</t>
  </si>
  <si>
    <t>2026-03-12T09:39:08.686+0700</t>
  </si>
  <si>
    <t>VoucherRec</t>
  </si>
  <si>
    <t>Dear anh  @Nguyễn Văn Dũng ,  @Đào Công Nghĩa  , nhờ anh/em đánh giúp em index sau với. -- DB: 172.31.4.126
-- Schema: onevc_vsm_prod
CREATE INDEX idx_kafka_event_time 
ON onevc_vsm_prod.kafka_message (created_at, event_type); Best regards Dinh Quang Nguyen</t>
  </si>
  <si>
    <t xml:space="preserve">[PROD] xoá dữ liệu không còn sử dụng - bảng backup </t>
  </si>
  <si>
    <t>2026-03-12T09:31:33.191+0700</t>
  </si>
  <si>
    <t>2026-03-12T09:32:34.108+0700</t>
  </si>
  <si>
    <t>CR:    IP: 172.31.4.9 Instance name:  ecom-medium-mysql Database: vincart_rec Table cần xoá: vincart_recommendation_bk hoăc vincart_recommendation_partition_bk ( bảng backup có thể xoá được )</t>
  </si>
  <si>
    <t>[Merchant-OM] Hỗ trợ cập nhật dữ liệu 20260311</t>
  </si>
  <si>
    <t>2026-03-11T17:39:04.987+0700</t>
  </si>
  <si>
    <t>2026-03-11T17:40:48.278+0700</t>
  </si>
  <si>
    <t>Dear team, Nhờ team chạy giúp câu lệnh bên dưới ạ. Thông tin database https://console.cloud.google.com/sql/instances/main/overview?inv=1&amp;invt=Abqw_w&amp;project=vinid-merchant-prod DB_MYSQL_HOST=172.31.1.44
DB_MYSQL_DATABASE=merchant_service Câu lệnh UPDATE
	address
SET
	verification_status = 'VERIFIED'
WHERE
	id = 267617;</t>
  </si>
  <si>
    <t>[UPay][PROD] Hỗ trợ tắt cấu hình nguồn tiền TCB Direct</t>
  </si>
  <si>
    <t>2026-03-11T14:58:08.345+0700</t>
  </si>
  <si>
    <t>2026-03-11T14:58:37.423+0700</t>
  </si>
  <si>
    <t>Dear team DBA, Nhờ các anh chạy script bên dưới để off nguồn tiền TCB Direct Thông tin DB:  vinpay-sql-onehub-master.int.vinid.net:3306/pay_payment_gateway UPDATE pay_payment_gateway.PROVIDER SET IS_ACTIVE=0 WHERE provider_id='41';  </t>
  </si>
  <si>
    <t>[OMC][MTP] Update link store cho App Softpos trên hệ thống Affiliate</t>
  </si>
  <si>
    <t>2026-03-11T14:09:08.432+0700</t>
  </si>
  <si>
    <t>2026-03-11T14:11:39.209+0700</t>
  </si>
  <si>
    <t>affiliate</t>
  </si>
  <si>
    <t>Dear anh  @Nguyễn Văn Dũng  ,  @Đào Công Nghĩa  , nhờ anh/em chạy giúp script sau với: -- DB: 172.31.3.55
-- Schema: mobile_next_affiliate
UPDATE mobile_next_affiliate.public.applications
SET installs_uri = '{"ios_url": "https://apps.apple.com/us/app/techcombank-epos/id6755480393", "android_url": "https://play.google.com/store/apps/details?id=com.techcombank.softpos"}'::jsonb
WHERE id = 'omyfijr'; Best regards Dinh Quang Nguyen</t>
  </si>
  <si>
    <t xml:space="preserve">[MAG][IOTek][MCM][PROD] cập nhật quyền cho user admin </t>
  </si>
  <si>
    <t>2026-03-11T12:05:04.390+0700</t>
  </si>
  <si>
    <t>2026-03-11T12:20:28.224+0700</t>
  </si>
  <si>
    <t>IP (Host) ces-production.crcykac8kxtw.ap-southeast-1.rds.amazonaws.com Port 3306 DB Name mcm_storage command INSERT INTO mcm_storage.casbin_rule 
(id, ptype, v0, v1, v2, v3, v4, v5)
SELECT (MAX(id) + 1), 'p', '7b34f3d7-d81a-4cb7-8b7f-7bcd350d9836', '"*"', 'own', NULL, NULL, NULL 
FROM mcm_storage.casbin_rule;</t>
  </si>
  <si>
    <t>[TPAY][PROD] Tạo tài khoản SFTP cho merchant TCH lấy file báo cáo đối soát</t>
  </si>
  <si>
    <t>2026-03-11T11:13:26.371+0700</t>
  </si>
  <si>
    <t>2026-03-11T11:13:37.248+0700</t>
  </si>
  <si>
    <t>Dự án Tpay cần cấp tài khoản và 1 thư mục con trong thư mục trong thư mục tpay dành cho đối tác TCH để đọc file từ sFTP server. Thông tin sFTP server cần kết nối đến: prod:   34.80.155.156:2022 Nhờ team support tạo server và cấp account cho dự án. Em tên thư mục và folder ạ. Account: tch Folder: tch</t>
  </si>
  <si>
    <t>[OMC][PS2][Loyalty][PROD] - Thực hiện archive dữ liệu Counter History cho DB Loyalty - Tháng 3/2026</t>
  </si>
  <si>
    <t>2026-03-10T16:20:01.381+0700</t>
  </si>
  <si>
    <t>2026-03-16T11:56:56.110+0700</t>
  </si>
  <si>
    <t>Nằm trong phạm vi công việc archive dữ liệu lịch sử của 1 số bảng lớn trong DB LOYALTY, để tối ưu dung lượng lưu trữ data , tránh để data lưu trữ quá lớn trong DB dẫn tới chi phí phần cứng tăng và giảm hiệu suất IO khi truy xuất data lớn. Thực hiện archive dữ liệu bảng của bảng Counter History. Điều kiện xoá dữ liệu bảng Counter History Counter có trạng thái Inactive Counter History có End Date nhỏ hơn 6 tháng so với thời gian hiện tại ( policy data live time 6 months) Lưu ý: Cần thực hiện backup theo quy trình archive dữ liệu Thực rebuild and gather statistics cho bảng sau khi xoá.</t>
  </si>
  <si>
    <t>[Merchant-TCB] Hỗ trợ cập nhật dữ liệu 20260310</t>
  </si>
  <si>
    <t>2026-03-10T16:03:33.088+0700</t>
  </si>
  <si>
    <t>2026-03-10T16:04:04.321+0700</t>
  </si>
  <si>
    <t>Dear team, Nhờ team chạy giúp câu lệnh bên dưới ạ. Thông tin database https://console.cloud.google.com/sql/instances/merchant-tcb/overview?inv=1&amp;invt=AbsndA&amp;project=vinid-merchant-prod DB_MYSQL_HOST=172.31.4.108
DB_MYSQL_DATABASE=merchant_service_tcb Câu lệnh -- cập nhật dữ liệu
UPDATE tpay_branch
SET name = 'Đức Hòa', address = '375C Khu phố 3, xã Đức Hòa, tỉnh Tây Ninh'
WHERE id = 347;
-- xóa dữ liệu trùng lặp
DELETE tpay_branch WHERE id = 348;
-- thêm index tránh trùng code
ALTER TABLE `tpay_branch`
DROP INDEX `idx_tpay_branch_code`,
ADD UNIQUE INDEX `idx_tpay_branch_code` (`code`) USING BTREE;</t>
  </si>
  <si>
    <t>[OneID][Non-prod] Xin quyền alter table cho các tài khoản database cho hệ thống OneID trên môi trường non-production</t>
  </si>
  <si>
    <t>2026-03-10T16:02:53.682+0700</t>
  </si>
  <si>
    <t>2026-03-10T16:14:50.138+0700</t>
  </si>
  <si>
    <t>Do dự án đang trong quá trình phát triển, có nhiều thay đổi nên nhờ team DBA grant thêm quyền alter table cho các tài khoản db trên môi trường non-prod giúp team. Em xin cám ơn.  GCP Project: om-did-np Instance name: om-did-mysql-service ---DEV DB:simulator_dev user simulator_dev DB:wallet_dev user: wallet_dev DB:did_registry_dev user: did_registry_dev DB:issuer_dev user: issuer_dev DB:verifier_dev user: verifier_dev DB:governance_dev user: governance_dev DB:cloudpds_dev user: cloudpds_dev — QC DB:simulator_qc user: simulator_qc DB:wallet_qc user: wallet_qc DB:did_registry_qc user: did_registry_qc DB:issuer_qc user: issuer_qc DB:verifier_qc user: verifier_qc DB:governance_qc user: governance_qc DB:cloudpds_qc user: cloudpds_qc  UAT DB:simulator_uat user: simulator_uat DB:wallet_uat user: wallet_uat DB:did_registry_uat user: did_registry_uat DB:issuer_uat user: issuer_uat DB:verifier_uat user: verifier_uat DB:governance_uat user: governance_uat DB:cloudpds_uat user: cloudpds_uat Link GCP:  https://console.cloud.google.com/sql/instances/om-did-mysql-service/overview?project=om-did-np</t>
  </si>
  <si>
    <t>Xin quyền update bảng vneid_login &amp; vneid_login_log trên DB: 172.31.3.40</t>
  </si>
  <si>
    <t>2026-03-10T10:09:10.862+0700</t>
  </si>
  <si>
    <t>2026-03-10T11:01:54.433+0700</t>
  </si>
  <si>
    <t>Nhờ Linh add quyền giúp team 247 với nhé @Trần Minh Hoàng  confirm giúp anh nha</t>
  </si>
  <si>
    <t>[OMC][[ONEU] Cấp quyền view database</t>
  </si>
  <si>
    <t>2026-03-10T09:41:24.498+0700</t>
  </si>
  <si>
    <t>2026-03-10T10:24:17.032+0700</t>
  </si>
  <si>
    <t>Dear team DBA Team ONEU cần cấp quyền view database mới, nhờ team hỗ trợ ạ. Cụ thể thông tin như sau: Project: vinid-service-platform-prod IP: 172.31.1.12 DB name: oneu_user_onboarding User: oneu_platform_common_readonly Nhờ team gán thêm quyền cho user trên ạ</t>
  </si>
  <si>
    <t xml:space="preserve">[UPAY] Tác động database hỗ trợ onboard merchant TGS </t>
  </si>
  <si>
    <t>2026-03-09T16:08:11.012+0700</t>
  </si>
  <si>
    <t>2026-03-09T16:08:27.103+0700</t>
  </si>
  <si>
    <t>Hi a  @Nguyễn Văn Dũng  nhờ a chạy giúp em ticket sau nhé ạ.  Thông tin database saas_tpay:  pay-tidb.int.onemount.com:4000/saas_tpay Thời gian chạy: Sau khi được approval  Script:  UPDATE PARTNER set merchant_code = '40141398' where client_id = 'PtIUfqqsjuUTLfyCztLrifyZXChLLnQN' and merchant_code = 'TGS';</t>
  </si>
  <si>
    <t>[PROD] Tạo bảng mơí trên mysql vincart_rec</t>
  </si>
  <si>
    <t>2026-03-09T16:07:56.038+0700</t>
  </si>
  <si>
    <t>2026-03-09T16:09:55.422+0700</t>
  </si>
  <si>
    <t>MySQL</t>
  </si>
  <si>
    <t xml:space="preserve">IP: 172.31.4.9 Database: vincart_rec script tạo bảng mơí  CREATE TABLE voucher_rec_partition
(
    user_id VARCHAR(50) NOT NULL,
    item_id VARCHAR(255) NOT NULL,
    channel VARCHAR(10) NOT NULL,
    score DOUBLE NOT NULL,
    user_hash INT UNSIGNED GENERATED ALWAYS AS (CRC32(user_id)) STORED,
    created_at DATETIME NOT NULL DEFAULT CURRENT_TIMESTAMP,
    updated_at DATETIME NOT NULL DEFAULT CURRENT_TIMESTAMP ON UPDATE CURRENT_TIMESTAMP,
    PRIMARY KEY (user_hash, user_id, channel, item_id),
    INDEX idx_user_channel (user_id, channel)
)
    PARTITION BY HASH(user_hash)
PARTITIONS 64; Sciprt tạo bảng mơí nên có thể thực hiện ngay. </t>
  </si>
  <si>
    <t>Hỗ trợ tạo dữ liệu mở kho MES_2D_032 - NPP Đức Trung THT</t>
  </si>
  <si>
    <t>2026-03-09T15:33:57.279+0700</t>
  </si>
  <si>
    <t>2026-03-09T15:34:29.870+0700</t>
  </si>
  <si>
    <t>Hi DBA team, Hiện tại nghiệp vụ có nhu cầu mở mới kho 8118 - Sơn Tây,  nhờ team DBA hỗ trợ cập nhật giá trị theo thông tin dưới đây.   Câu query đánh giá là có thể ảnh hưởng đến vận hành hệ thống nên mong muốn chạy vào thời gian vận hành thấp điểm (từ 22h-2h sáng). Cụm WMS Project : vinid-b2b-platform-prod Instance/IP : main (read-write): 172.31.4.59 Port : 3306 Database : omd_wms_core Script : file  omd_wms_core_mes_2d_032.sql  trong file đính kèm Cum WES Project : vinid-b2b-platform-prod Instance/IP : main (read-write): 172.31.1.143 Port : 3306 Database : wes_master Script : file  wes_master_mes_2d_032.sql  trong file đính kèm</t>
  </si>
  <si>
    <t>[UPAY][non-PROD]  TCB PG x CYBS - Update data validation, data structure &amp; mapping</t>
  </si>
  <si>
    <t>2026-03-09T14:41:47.362+0700</t>
  </si>
  <si>
    <t>2026-03-09T14:53:57.493+0700</t>
  </si>
  <si>
    <t>Hi a  @Nguyễn Văn Dũng  nhờ a chạy script theo mô tả dưới đây ở môi trường non-PRODUCTION theo thông tin dưới đây ạ: Thời gian chạy script:  Khi team thông báo Thông tin database saas_tpay: vinpay_saas_tpay_staging@tidb.int.onemount.dev :4000/ vinpay_saas_tpay_staging script ALTER TABLE SHIPPING_INFO
    MODIFY ship_to_first_name VARCHAR(60),
    MODIFY ship_to_last_name VARCHAR(60),
    MODIFY ship_to_state VARCHAR(80);
ALTER TABLE TRAVEL_INFO
    MODIFY passenger_first_name VARCHAR(60),
    MODIFY passenger_last_name VARCHAR(60),
    MODIFY passenger_email VARCHAR(255),
    MODIFY complete_route VARCHAR(255),
    MODIFY journey_type varchar(32),
    MODIFY passenger_status varchar(32),
    MODIFY  passenger_type varchar(32);
ALTER TABLE RETAIL_INFO
    MODIFY product_code varchar(255),
    MODIFY product_name varchar(255),
    MODIFY product_sku varchar(255);
ALTER TABLE SUB_MERCHANT_INFORMATION
    MODIFY submerchant_url_address varchar(255);</t>
  </si>
  <si>
    <t>[PROD] Get dữ liệu tra cưu tidb omc</t>
  </si>
  <si>
    <t>2026-03-09T14:28:32.352+0700</t>
  </si>
  <si>
    <t>2026-03-09T14:30:40.528+0700</t>
  </si>
  <si>
    <t>tidb</t>
  </si>
  <si>
    <t>Host:  tidb.int.onemount.com DB:  omc_oneu_voucher_recommendation SELECT * FROM oneu_voucher_recommendation WHERE user_id = '343711' ORDER BY updated_at DESC limit 1;</t>
  </si>
  <si>
    <t>[VCM] Bổ sung dữ liệu cho table collection_view_attributes</t>
  </si>
  <si>
    <t>2026-03-09T12:29:31.423+0700</t>
  </si>
  <si>
    <t>2026-03-09T14:02:55.625+0700</t>
  </si>
  <si>
    <t>Sau đợt golive ngày 7/3, hệ thống phát sinh thêm 1 attribute mới nên nhờ DBA support team chạy script sau để thêm dữ liệu mới vào với ạ. Thông tin database Thông tin database VCM: IP:  172.31.1.41 Database:  vincart_mm_product Script cần chạy: INSERT INTO collection_view_attributes
            (attribute_key,
             operator,
             attribute_value,
             status)
VALUES      ('KEYWORD',
             'IN | NOT IN',
             '["Fulltext search"]',
             'ACTIVE');</t>
  </si>
  <si>
    <t>[SOFTPOS] Cập nhập thông tin DDKD  trên merchant portal</t>
  </si>
  <si>
    <t>2026-03-09T09:59:54.097+0700</t>
  </si>
  <si>
    <t>2026-03-09T10:00:02.474+0700</t>
  </si>
  <si>
    <t>Hi a  @Nguyễn Văn Dũng  nhờ a chạy giúp em ticket sau nhé ạ.  Thông tin database saas_tpay:  pay-tidb.int.onemount.com:4000/saas_tpay Script: -- ĐKKD: 001078025827 -&gt; 01C8031164
-- ĐKKD: 01d802413 -&gt; 01D8024123
UPDATE SESSION SET business_licence_number = '01C8031164' WHERE id = '094453dd36c14b80892d08fd0a4230b2';
UPDATE SESSION SET business_licence_number = '01D8024123' WHERE id = '2598081d08174ab88d824190ac3cde3a';
UPDATE SESSION_HISTORY SET business_licence_number = '01C8031164' WHERE session_id = '094453dd36c14b80892d08fd0a4230b2';
UPDATE SESSION_HISTORY SET business_licence_number = '01D8024123' WHERE session_id = '2598081d08174ab88d824190ac3cde3a';
UPDATE STEP SET INPUT = '{"signboard":"La Beauté","business_name":"HKD NGUYEN DUY HUNG","business_license_issued_agency":"UBND Quận Hoàn Kiếm","business_careerLabel":"Tạp hóa siêu thị","business_career":"4","business_area":"5411","phone_number":"0902222488","business_areaLabel":"Cửa hàng tạp hóa và siêu thị","business_area_group_code":"group_1","business_licence_number":"01C8031164"}' WHERE ID = '82fc81ed79c1492487577d640f3ebaea';
UPDATE STEP SET INPUT = '{"business_licence_number":"01C8031164","cif":"34536482","sector":"4024"}', request = '{"business_license_number":"01C8031164","tcb_customer_t24":"34536482"}' WHERE ID = '4d1e2ba249244a18bc999eb347a08f65';
UPDATE STEP SET INPUT = '{"master_account_name":"NGUYEN DUY HUNG","organization":"KH_HKD","otp":"057713","business_licence_number":"01C8031164","master_account_number":"9908322588","otp_id":"6976fb10d0e9d223c1e3cb57"}' WHERE ID = 'c8f0f4842a254232ad10bcd49f1bd40c';
UPDATE STEP SET INPUT = '{"master_account_name":"NGUYEN DUY HUNG","tnc_type":"termsAndConditions","organization":"KH_HKD","tnc_code":"TC-27032024-010675","touchpoint_id":"20","business_licence_number":"01C8031164","master_account_number":"9908322588"}' WHERE ID = '1df3b5cb53ad43dfa1553531e3ee6b88';
UPDATE STEP SET INPUT = '{"signboard":"HKD LUONG VAN CHIEN","business_name":"HKD LUONG VAN CHIEN","business_license_issued_agency":"UBND QUẬN BẮC TỪ LIÊM","business_careerLabel":"Cửa hàng/ quầy kinh doanh 1 hoặc nhiều mặt hàng","business_career":"13","business_area":"7230","phone_number":"0866994878","business_areaLabel":"Cửa hàng làm đẹp và cắt tóc","business_area_group_code":"group_3","business_licence_number":"01D8024123"}' WHERE ID = 'c5714280625a486f8e8727f65e79ea99';
UPDATE STEP SET INPUT = '{"business_licence_number":"01D8024123","cif":"75612967","sector":"4030"}', request = '{"business_license_number":"01D8024123","tcb_customer_t24":"75612967"}' WHERE ID = '4d1e2ba249244a18bc999eb347a08f65';
UPDATE STEP SET INPUT = '{"master_account_name":"LUONG VAN CHIEN","organization":"KH_HKD","otp":"017419","business_licence_number":"01D8024123","master_account_number":"13122022259","otp_id":"69842626d1ee0e2716a2878d"}' WHERE ID = 'c8f0f4842a254232ad10bcd49f1bd40c';
UPDATE STEP SET INPUT = '{"master_account_name":"LUONG VAN CHIEN","tnc_type":"termsAndConditions","organization":"KH_HKD","tnc_code":"TC-27032024-010675","touchpoint_id":"20","business_licence_number":"01D8024123","master_account_number":"13122022259"}' WHERE ID = '1df3b5cb53ad43dfa1553531e3ee6b88';</t>
  </si>
  <si>
    <t>[PROD][VCM] Migrate thông tin voucher</t>
  </si>
  <si>
    <t>2026-03-07T23:28:09.735+0700</t>
  </si>
  <si>
    <t>2026-03-07T23:30:58.128+0700</t>
  </si>
  <si>
    <t>Để phục vụ golive đêm  07/03/2026 , nhờ team DBA support migrate data như sau. Thông tin database Voucher Distribution: IP:  172.31.4.82 Database:  b2b_voucher_distribution Thông tin database VCM: IP:  172.31.1.41 Database:  vincart_mm_product 1. Migrate trên Voucher distribution Update data bằng câu lệnh SQL: UPDATE voucher v
LEFT JOIN master_category mc ON v.master_category_id = mc.id
SET v.is_nation_search_enabled = TRUE
WHERE v.channel = 'ONLINE'
  AND EXISTS
    (SELECT 1
     FROM voucher_acquirer va
     WHERE va.voucher_id = v.id)
  AND NOT EXISTS
    (SELECT 1
     FROM voucher_acquirer va
     JOIN acquirer_store ast ON ast.voucher_acquirer_id = va.id
     WHERE va.voucher_id = v.id)
  AND (v.use_case = 'VOUCHER_MERCHANT'
       OR (v.use_case = 'NEW_CHECKOUT'
           AND mc.code &lt;&gt; 'OneUFoodDelivery')); Export dữ liệu để phục vụ migrate cho  hệ thống VCM bằng SQL: SELECT v.code AS variant_code,
       m.code AS merchant_code
FROM voucher v
LEFT JOIN master_category mc ON v.master_category_id = mc.id
INNER JOIN voucher_acquirer va ON v.id = va.voucher_id
INNER JOIN merchant m ON va.acquirer_id = m.id
WHERE v.use_case = 'NEW_CHECKOUT'
  AND v.`purpose` = 'FOR_SALES'
  AND NOT EXISTS
    (SELECT 1
     FROM voucher_acquirer va
     JOIN acquirer_store ast ON ast.voucher_acquirer_id = va.id
     WHERE va.voucher_id = v.id)
  AND v.master_category_id IN
    (SELECT m.id
     FROM master_category m
     WHERE m.code = 'OneUFoodDelivery') Gửi lại cho team dữ liệu vừa export ra để team thực hiện tạo câu SQL insert vào bảng tạm phục vụ mirgrate bên hệ thống VCM ở bước tiếp theo. 2. Migrate trên VCM Tạo bảng tạm bằng câu SQL: CREATE TEMPORARY TABLE tmp_voucher_merchant (
    voucher_code VARCHAR(255),
    merchant_code VARCHAR(255)
)
CHARACTER SET utf8mb4
COLLATE utf8mb4_general_ci; Import dữ liệu đã export từ Voucher Distribution (ở bước trên) vào bảng tạm ( Khi nhận được dữ liệu export ra từ Voucher Distribution team sẽ tạo ra câu SQL import để gửi lại sau trong comment của ticket này ). Thưc hiện migrate bằng câu SQL: INSERT
	INTO
	variant_apply_store_mapping (apply_store_id,
	variant_id)
SELECT
	DISTINCT
	aps.id,
	v.id
FROM
	tmp_voucher_merchant t
JOIN entity_attributes_values e 
	ON
	t.voucher_code = e.value COLLATE utf8mb4_general_ci
	AND e.`type` = 'VARIANT'
	AND e.name = 'reference_code'
JOIN variants v 
    ON
	e.entity_id = v.id
JOIN apply_stores aps 
    ON
	aps.merchant_code COLLATE utf8mb4_general_ci = t.merchant_code
WHERE
	aps.status = 'ACTIVE'
	AND NOT EXISTS (
	SELECT
		1
	FROM
		variant_apply_store_mapping m
	WHERE
		m.apply_store_id = aps.id
		AND m.variant_id = v.id
  ); Thực hiện xóa bảng tạm: DROP TEMPORARY TABLE tmp_voucher_merchant;</t>
  </si>
  <si>
    <t>[OMC][PS2][Loyalty][PROD] - archive dữ liệu history cho các bảng cần move data sang COLD - Tháng 3/2026</t>
  </si>
  <si>
    <t>2026-03-07T13:11:09.235+0700</t>
  </si>
  <si>
    <t>2026-03-10T14:55:49.397+0700</t>
  </si>
  <si>
    <t>Các bảng cần move data sang COLD, sau đó archive lên GCS: TRANSACTION_HISTORY_ATTRIBUTE TRANSACTION_HISTORY POINT_TRANSACTION COUNTER_TRANSACTION_HISTORY 3 bảng TRANSACTION_HISTORY, POINT_TRANSACTION, COUNTER_TRANSACTION_HISTORY : Trên môi trường PROD (HOT), Giữ lại data đầy đủ của 6 tháng gần nhất. (tháng n-1, n-2, n-3, n-4, n-5, n-6). Trên môi trường PROD (HOT), Giữ lại data đầy đủ của 6 tháng gần nhất. (tháng n-1, n-2, n-3, n-4, n-5, n-6). Trên môi trường COLD, sẽ có data lịch sử (history 6 tháng tiếp theo) n-7, n-8, n-9, n-10, n-11, n-12. Ví dụ, hiện tại là tháng 3/2026, thì data giữ lại ở db chính PROD là tháng 2/2026, 1/2026, 12/2025, 11/2025, 10/2025, 9/2025. Các tháng lịch sử khác (history 6 tháng tiếp theo) sẽ khai thác trên db COLD: tháng 8/2025, 7/2025, 6/2025, 5/2025, 4/2025, 3/2025. Bảng TRANSACTION_HISTORY_ATTRIBUTE  :  Tháng hiện tại là tháng n.  Trên DB chính PROD (HOT), giữ lại data đầy đủ của 3 tháng gần nhất (tháng thứ n-1,n-2,n-3 sau tháng hiện tại). Các data tháng thứ n-4,n-5,n-6 sau tháng n hiện tại thì chuyển sang db COLD.) Ví dụ, hiện tại là tháng 3/2026, thì data giữ lại ở db chính PROD là tháng 2/2026, 1/2026, 12/2025. Các tháng 11/2025, 10/2025, 9/2025 sẽ khai thác trên db COLD.</t>
  </si>
  <si>
    <t>[OMC][PS2][Loyalty][PROD] - archive dữ liệu history cho các bảng PAY_WITH_POINT_TRANSACTION_HISTORY - Tháng 3/2026</t>
  </si>
  <si>
    <t>2026-03-07T13:10:48.052+0700</t>
  </si>
  <si>
    <t>2026-03-07T13:22:04.520+0700</t>
  </si>
  <si>
    <t>Giữ nguyên các partition,chỉ DELETE xóa data theo điều kiện where là:  status = 'F'  and transaction_time đủ full  1 tháng  gần nhất Ví dụ, hiện tại tháng 3/2026, thì sẽ thực hiện DELETE Xóa data có: status = 'F' and transaction_time &lt; to_date('01/02/2026','dd/MM/yyyy')</t>
  </si>
  <si>
    <t>[OMC][PS2][Loyalty][PROD] - archive dữ liệu history cho các bảng KAFKA_ , TIER_HISTORY - Tháng 3/2026</t>
  </si>
  <si>
    <t>2026-03-07T13:10:27.524+0700</t>
  </si>
  <si>
    <t>2026-03-10T11:45:52.473+0700</t>
  </si>
  <si>
    <t>archive dữ liệu history cho các bảng KAFKA_ , TIER_HISTORY KAFKA_AUDIT_TRAIL_PRODUCT_INFO KAFKA_AUDIT_TRAIL_CARD_INFO KAFKA_AUDIT_TRAIL_CUSTOMER_PROFILE KAFKA_AUDIT_TRAIL_EARN_TRANSACTION KAFKA_AUDIT_TRAIL_EARN_EVENT TIER_HISTORY Chạy Gather statistic + rebuild index bảng COUNTER_HISTORY</t>
  </si>
  <si>
    <t>[OMC][PS2][Loyalty][PROD] - Thực hiện archive dữ liệu history cho DB Loyalty - Tháng 3/2026</t>
  </si>
  <si>
    <t>2026-03-07T13:07:44.082+0700</t>
  </si>
  <si>
    <t>2026-03-17T16:45:09.259+0700</t>
  </si>
  <si>
    <t>Team DBA cần thực hiện archive dữ liệu lịch sử của 1 số bảng lớn trong DB LOYALTY, để tối ưu dung lượng lưu trữ data , tránh để data lưu trữ quá lớn trong DB dẫn tới chi phí phần cứng tăng và giảm hiệu suất IO khi truy xuất data lớn. Quy định về thời gian lưu trữ data (dự án đã confirm với TCB qua email): Live data tier: không TTL expired bất kể dữ liệu nào Backup tier: Thực hiện backup full 2 lần/tuần và incremental các ngày còn lại Archiving tier:  Dữ liệu Archive được thực hiện 6 tháng/lần và store với retention là 365 days Kế hoạch thực hiện archive dữ liệu history của DB Loyalty , thực hiện trong  tháng 12 năm 2025 Các bảng cần lưu trữ data và thực hiện xóa data history:   Tables Partition column Life time Note KAFKA_AUDIT_TRAIL_PRODUCT_INFO CREATED_AT 1 month KAFKA_AUDIT_TRAIL_CARD_INFO CREATED_AT 1 month KAFKA_AUDIT_TRAIL_CUSTOMER_PROFILE CREATED_AT 1 month KAFKA_AUDIT_TRAIL_EARN_TRANSACTION CREATED_AT 1 month KAFKA_AUDIT_TRAIL_EARN_EVENT CREATED_AT 1 month TIER_HISTORY CREATED_AT 6 month POINT_TRANSACTION_ACCOUNT_BALANCE CREATED_AT 6 month Từ tháng 5/2025,  tạm dừng ko xóa data history bảng này nữa , để CNSP review lại xem có dùng dữ liệu quá 6 tháng ko? PAY_WITH_POINT_TRANSACTION_HISTORY TRANSACTION_TIME Giữ nguyên các partition,chỉ DELETE xóa data theo điều kiện where là:  status = 'F'  and transaction_time đủ full  1 tháng  gần nhất Ví dụ, hiện tại tháng 3/2026, thì sẽ thực hiện DELETE Xóa data có: status = 'F' and transaction_time &lt; to_date('01/02/2026','dd/MM/yyyy') TRANSACTION_HISTORY_ATTRIBUTE CREATED_AT 3 month Tháng hiện tại là tháng n. Trên DB chính PROD (HOT), giữ lại data đầy đủ của 3 tháng gần nhất (tháng thứ n-1,n-2,n-3 sau tháng hiện tại). Các data tháng thứ n-4,n-5,n-6 sau tháng n hiện tại thì chuyển sang db COLD.) Ví dụ, hiện tại là tháng 3/2026, thì data giữ lại ở db chính PROD là tháng 2/2026, 1/2026, 12/2025. Các tháng 11/2025, 10/2025, 9/2025 sẽ khai thác trên db COLD. TRANSACTION_HISTORY TRANSACTION_TIME 6 month Trên môi trường PROD (HOT), Giữ lại data đầy đủ của 6 tháng gần nhất. (tháng n-1, n-2, n-3, n-4, n-5, n-6). Trên môi trường COLD, sẽ có data lịch sử (history 6 tháng tiếp theo) n-7, n-8, n-9, n-10, n-11, n-12. Ví dụ, hiện tại là tháng 3/2026, thì data giữ lại ở db chính PROD là tháng 2/2026, 1/2026, 12/2025, 11/2025, 10/2025, 9/2025. Các tháng lịch sử khác (history 6 tháng tiếp theo) sẽ khai thác trên db COLD: tháng 8/2025, 7/2025, 6/2025, 5/2025, 4/2025, 3/2025. POINT_TRANSACTION TRANSACTION_TIME 6 month Trên môi trường PROD (HOT), Giữ lại data đầy đủ của 6 tháng gần nhất. (tháng n-1, n-2, n-3, n-4, n-5, n-6). Trên môi trường COLD, sẽ có data lịch sử (history 6 tháng tiếp theo) n-7, n-8, n-9, n-10, n-11, n-12. Ví dụ, hiện tại là tháng 3/2026, thì data giữ lại ở db chính PROD là tháng 2/2026, 1/2026, 12/2025, 11/2025, 10/2025, 9/2025. Các tháng lịch sử khác (history 6 tháng tiếp theo) sẽ khai thác trên db COLD: tháng 8/2025, 7/2025, 6/2025, 5/2025, 4/2025, 3/2025. COUNTER_TRANSACTION_HISTORY CREATED_AT 6 month Trên môi trường PROD (HOT), Giữ lại data đầy đủ của 6 tháng gần nhất. (tháng n-1, n-2, n-3, n-4, n-5, n-6). Trên môi trường COLD, sẽ có data lịch sử (history 6 tháng tiếp theo) n-7, n-8, n-9, n-10, n-11, n-12. Ví dụ, hiện tại là tháng 3/2026, thì data giữ lại ở db chính PROD là tháng 2/2026, 1/2026, 12/2025, 11/2025, 10/2025, 9/2025. Các tháng lịch sử khác (history 6 tháng tiếp theo) sẽ khai thác trên db COLD: tháng 8/2025, 7/2025, 6/2025, 5/2025, 4/2025, 3/2025. COUNTER_HISTORY CREATED_AT Không xóa data select /*+ parallel(2) */ count(*) from OLOYALTY.COUNTER_HISTORY; -- Jun25: 1.239.192.444, Jul25: 1.241.861.674, Aug25: 1.243.737.744, Sep25: 1.245.368.045, oct25: 1.246.539.190 , Nov25: 1.247.733.183, Dec25: 1.250.060.561, Mar26: 1.254.962.121 Chạy Gather statistic + rebuild index bảng COUNTER_HISTORY Các bảng theo dõi thông tin: MEMBER_ATTRIBUTE Không tạo partition có thể xoá các bảng ghi có status = 'I' Rà soát theo mỗi quý 1 lần. Khi tỉ lệ số rows STATUS = 'I' chiếm khoảng 20% số row của bảng thì thực hiện DELETE bớt data có STATUS = 'I' select /*+ parallel(8) */ count(*) from OLOYALTY.MEMBER_ATTRIBUTE; -- Aug24: 717.918.360, oct25: 817.733.762, Nov25: 963.378.002, Jan26: 721.014.810, mar26: 879.570.693 select /*+ parallel(8) */ count(*) from OLOYALTY.MEMBER_ATTRIBUTE where STATUS = 'A'; -- Aug24: 504.987.882, oct25: 531.694.076, Nov25: 600.257.645, Jan26: 651.003.879, mar26: 726.580.269 select /*+ parallel(8) */ count(*) from OLOYALTY.MEMBER_ATTRIBUTE where STATUS = 'I'; -- Aug24: 212.930.565, oct25: 286.039.686, Nov25: 363.120.362, Jan26: 70.010.931, mar26: 152.990.427 POINT_TRANSACTION_BLOCKING EXPIRED_DATE Xoá các bản ghi trước năm 2024 Đã làm tháng 9/2024. select count(*) from OLOYALTY.POINT_TRANSACTION_BLOCKING; -- Jun25: 11.979.959, Jul25: 12.687.645, oct25: 14.493.225, Nov25: 15.081.174, Jan26: 16.478.964, mar26: 17.815.160 Phương án làm archive data cho các bảng này: export các partition vi phạm thời gian lưu trữ data life time ONLINE Lưu trữ các partition đã export lên GCS (thời gian lưu trữ trên GCS là 1 năm). Các dữ liệu nào cần khai thác trên COLD, thì sẽ import sang db COLD. Drop các partition đã export + archived trên DB PROD Chạy lại gather statistic cho bảng vừa drop partition (có thể để DB auto chạy cũng được)</t>
  </si>
  <si>
    <t>[TCB-MerchantHUB] - Tạo kafka topic cho dự án TCB Merchant HUB (Source mhpos_catalog_qc PostgreSQL)</t>
  </si>
  <si>
    <t>2026-03-07T13:05:30.406+0700</t>
  </si>
  <si>
    <t>2026-03-09T12:03:41.254+0700</t>
  </si>
  <si>
    <t>Dear team DBA, Phục vụ dự án TCB Merchant Platform, nhờ các anh cấu hình giúp kafka topic với thông tin như sau: Database type postgres Host merchant-hub-np-postgres / 172.31.0.93 Port 5432 Database/Schema order: mhpos_catalog_qc Tables: Database/schema table_name Count mhpos_catalog_qc product 434 mhpos_catalog_qc variant_attribute_option 283 mhpos_catalog_qc product_modifier_option 283 mhpos_catalog_qc product_customization 192 mhpos_catalog_qc product_addon 107 mhpos_catalog_qc variant_attribute 99 mhpos_catalog_qc product_label 99 mhpos_catalog_qc merchant 50 mhpos_catalog_qc customization_option 49 mhpos_catalog_qc category 40 mhpos_catalog_qc databasechangelog 24 mhpos_catalog_qc label 20 mhpos_catalog_qc customization 16 mhpos_catalog_qc vat_out 6 Em cảm ơn ạ.</t>
  </si>
  <si>
    <t>[LP][Core] - Add disk DATA cho DB oracle Loyalty COLD</t>
  </si>
  <si>
    <t>2026-03-07T11:52:28.376+0700</t>
  </si>
  <si>
    <t>2026-03-07T11:53:28.676+0700</t>
  </si>
  <si>
    <t xml:space="preserve">Do size data của DB oracle loyalty tăng trưởng, nên  trên VM cold của loyalty 10.255.23.29:  https://console.cloud.google.com/compute/instancesDetail/zones/asia-east1-b/instances/oneloyalty-oracle-cold?project=oneid-loyalty-core-prod Cầ cấp thêmbổ sung 1 disk DATA 2TB  để phục vụ lưu trữ data cold Theo CR:   </t>
  </si>
  <si>
    <t>[OneID][Non-prod] Tạo database cho hệ thống OneID trên môi trường non-production</t>
  </si>
  <si>
    <t>2026-03-07T09:54:22.487+0700</t>
  </si>
  <si>
    <t>2026-03-07T12:58:46.099+0700</t>
  </si>
  <si>
    <t>Nhờ team DBA tạo giúp các db schema theo danh sách dưới cho hệ thống DID ạ  GCP Project: om-did-np Instance name: om-did-mysql-service  Database schema name: simulator  wallet did-registry  issuer verifier governance cloudpds Link GCP:  https://console.cloud.google.com/sql/instances/om-did-mysql-service/overview?project=om-did-np</t>
  </si>
  <si>
    <t>Cập nhật thông tin tồn kho bán hàng NPP Thuận Phong</t>
  </si>
  <si>
    <t>2026-03-06T20:48:34.789+0700</t>
  </si>
  <si>
    <t>2026-03-06T20:49:00.894+0700</t>
  </si>
  <si>
    <t>Hi DBA team, Hiện tại kho thuanphong2 cần fix lỗi dữ liệu bị lệch tồn kho bán hàng nhờ team DBA hỗ trợ cập nhật theo thông tin dưới đây: Câu querry cần thực hiện ngay Project : vinid-b2b-platform-prod Instance/IP : main (read-write): 172.31.4.59 Port : 3306 Database : omd_wms_thuanphong2 Query update agg_inventory_aggregator aia set 
aia.picked_quantity = 0,
aia.total_quantity = 0,
aia.reserved_quantity = 0,
aia.total_carton_quantity = 0
where aia.id = 798291;
DELETE from agg_inventory_aggregator aia where aia.id in (774509, 784139);
update agg_product_inventory api set api.last_modified_date = UTC_TIMESTAMP 
where api.id in (42731, 42729, 42684);</t>
  </si>
  <si>
    <t>[LP][Core] - Bổ sung disk backup cho DB oracle LOYALTY</t>
  </si>
  <si>
    <t>2026-03-06T15:54:19.231+0700</t>
  </si>
  <si>
    <t>2026-03-06T16:55:27.373+0700</t>
  </si>
  <si>
    <t>BAU</t>
  </si>
  <si>
    <t xml:space="preserve">Disk cho backup DB (trên PROD standby): Thêm 1TB Hiện tại đang có 4TB, để đảm bảo lưu local cho 1 bản backup full và các bản incremental trong 4 ngày, cần bổ sung thêm 1TB thành total 5TB VM   oneloyalty-oracle-standby 10.255.23.118 Theo CR:   </t>
  </si>
  <si>
    <t>[Merchanthub] Migrate data từ QC về môi trường PT</t>
  </si>
  <si>
    <t>2026-03-06T14:24:37.107+0700</t>
  </si>
  <si>
    <t>2026-03-07T13:32:49.216+0700</t>
  </si>
  <si>
    <t>Nhờ anh migrate hết data hiện tại từ môi trường QC về các database tương ứng của môi trường PT (performence test) cho dự án MH-POS với thông tin như sau ạ: gcp project: omd-merchant-hub-np
insance Name/IP:  merchant-hub-np-postgres / 172.31.0.93 Project order: mhpos_oms_qc → mhpos_oms_dev Project fiscal: mhpos_fiscal_qc → mhpos_fiscal_dev Project payment: mhpos_payment_qc → mhpos_payment_dev E cảm ơn</t>
  </si>
  <si>
    <t>[OMC][Kafka][PROD] Hỗ trợ tạo kafka topic DB vincart_mm_product</t>
  </si>
  <si>
    <t>2026-03-06T14:23:43.887+0700</t>
  </si>
  <si>
    <t>2026-03-07T11:47:35.279+0700</t>
  </si>
  <si>
    <t>Dear anh Linh, Phục vụ khai thác dữ liệu, nhờ anh tạo giúp em topic cho những bảng sau: IP:  172.31.1.41 DB:  vincart_mm_product Tables:  apply_stores variant_apply_store_mapping Em cảm ơn ạ.</t>
  </si>
  <si>
    <t>2026-03-06T11:05:29.595+0700</t>
  </si>
  <si>
    <t>2026-03-06T11:19:24.938+0700</t>
  </si>
  <si>
    <t>Dear DBA Team, Nhờ Team hỗ chạy script migrate add tag merchant vào voucher. Thời gian chạy:  11h 6/6/2026 IP: 172.31.1.41
Database: vincart_mm_product Chạy lệnh file chạy gửi attachment. crawl_gg_tags_0503.sql</t>
  </si>
  <si>
    <t>[ODS] Thêm cột cho bảng omc_oneu_voucher_recommendation.notification_system_data_output trên ODS</t>
  </si>
  <si>
    <t>2026-03-06T10:31:04.326+0700</t>
  </si>
  <si>
    <t>2026-03-06T10:33:33.156+0700</t>
  </si>
  <si>
    <t>Recommendation</t>
  </si>
  <si>
    <t xml:space="preserve">Dear anh Dũng, Nhờ anh hỗ trợ thêm 2 cột  scheduling_min , message_rule_id  cho bảng trên ODS Thông tin bảng: -- Host tidb.int.onemount.com:4000
-- Database: omc_oneu_voucher_recommendation
-- Table: notification_system_data_output
ALTER TABLE notification_system_data_output
ADD COLUMN message_rule_id VARCHAR(50),
ADD COLUMN scheduling_min TINYINT UNSIGNED; Em cảm ơn ạ. cc chị  @Former user  </t>
  </si>
  <si>
    <t>[UPAY] Bổ sung config BVMTW chung nhóm với BVMTW_KTYC</t>
  </si>
  <si>
    <t>2026-03-06T09:43:34.058+0700</t>
  </si>
  <si>
    <t>2026-03-06T09:43:48.412+0700</t>
  </si>
  <si>
    <t>Dear a  @Nguyễn Văn Dũng   Nhờ anh support ticket bổ sung config cho  VIỆN MẮT TW Thông tin database: saas_tpay:  pay-tidb.int.onemount.com:4000/saas_tpay Thời gian: Sau khi được approval  INSERT INTO PARTNER (client_id, name, public_key, enable, merchant_code)
SELECT client_id, 'BVMTW', public_key, enable, 'BVMTW'
FROM PARTNER
WHERE merchant_code = 'BVMTW_KTYC';</t>
  </si>
  <si>
    <t>[OMC][[ONEU] Thêm cột mới cho bảng users_vinid</t>
  </si>
  <si>
    <t>2026-03-05T21:06:04.335+0700</t>
  </si>
  <si>
    <t>2026-03-06T09:00:09.283+0700</t>
  </si>
  <si>
    <t>Nhờ team chạy giúp em ticket này để phục vụ golive ạ Thời gian thực hiện 21h 05/03/2026 CR:    project:  omc-base-platform-prod db:  omc_bp_authentication ip:  172.31.3.40 instances:  omc-authentication ALTER TABLE users_vinid ADD COLUMN is_onboarded boolean DEFAULT false;</t>
  </si>
  <si>
    <t>[TCB-MHPOS] - Request Bypass RLS cho tài khoản ingest dữ liệu của Data Platfrom</t>
  </si>
  <si>
    <t>2026-03-05T15:02:31.278+0700</t>
  </si>
  <si>
    <t>2026-03-06T17:22:12.846+0700</t>
  </si>
  <si>
    <t>DBA, Data_Platform, Merchant_Hub</t>
  </si>
  <si>
    <t>Dear team DBA, Cần cấp quyền  BYPASSRLS  cho tài khoản service  dataplatform_ingestion  trên môi trường Non Production. Hiện tại, hệ thống Data Platform đang triển khai cơ chế Row-Level Security (RLS) trên một số bảng nghiệp vụ quan trọng. Tuy nhiên, tài khoản ingestion cần quyền truy cập toàn bộ dữ liệu (không bị lọc) để thực hiện các tiến trình ETL/ELT và đồng bộ hóa dữ liệu về Data Lake/Data Warehouse mà không làm mất mát các bản ghi bị giới hạn bởi chính sách RLS. Vậy nhờ team chạy giúp câu lệnh sau trên DB để cấp quyền BYPASSRLS cho tài khoản service  dataplatform_ingestion Database type postgres Host merchant-hub-np-postgres / 172.31.0.93 Port 5432 ALTER ROLE dataplatform_ingestion NOBYPASSRLS; Phần này nhờ anh  @Lê Huy Hùng  phê duyệt giúp em ạ. Trân trọng.</t>
  </si>
  <si>
    <t>[PROD] [VCM] Migrate user context data</t>
  </si>
  <si>
    <t>2026-03-05T14:41:05.553+0700</t>
  </si>
  <si>
    <t>2026-03-05T15:43:50.717+0700</t>
  </si>
  <si>
    <t>Dear DBA Team, Nhờ a/e hỗ trợ chạy script golive vào tối 22h ngày 05/03/2026. Thời gian chạy:  Trước 22h 05/03/2026 Thông tin DB: DB type: MySQL
DB Name: ecom_context
IP: 172.31.4.10 Lệnh: alter table user_context
    add priority INTEGER null;
alter table user_context
    add type varchar(20) null;
update user_context
set type = 'PERIODS_OF_DAY'
where code in (
    'breakfast'
        'lunch'
        'afternoon'
        'dinner'
    );
update user_context
set type = 'SPECIAL_DAY'
where code in (
               'week_day',
               'weekend',
               'happy_birthday',
               'new_years_eve',
               'lunar_new_year',
               'valentine',
               'womens_international',
               'childrens_international',
               'vu_lan_ceremony',
               'christmas'
    );
delete
from user_context
where code in ('hung_kings_day', '30_04_1_5_holiday', 'quoc_khanh_day', 'mid_autumn_festival',
               'teachers_day', 'mr_tao', 'cold_food_festival', 'doan_ngo_festival','buddha_birthday');
update user_context
set priority = 1
where code =
      'happy_birthday';
update user_context
set priority = 2
where code = 'lunar_new_year';
update user_context
set priority = 3
where code = 'vu_lan_ceremony';
update user_context
set priority = 4
where code = 'new_years_eve';
update user_context
set priority = 5
where code = 'valentine';
update user_context
set priority = 6
where code = 'womens_international';
update user_context
set priority = 7
where code = 'childrens_international';
update user_context
set priority = 8
where code = 'christmas';
update user_context
set priority = 9
where code = 'week_day';
update user_context
set priority = 10
where code = 'weekend';</t>
  </si>
  <si>
    <t>[OMC][Loyalty MFT] Hạ cấu hình máy chủ redis discount-smartpos</t>
  </si>
  <si>
    <t>2026-03-05T14:38:13.571+0700</t>
  </si>
  <si>
    <t>2026-03-05T15:43:20.702+0700</t>
  </si>
  <si>
    <t>Ví có sự thay đổi trong kế hoạch golive từ phía dự án nên chưa triển khai luồng discount cho smartpos, vì vậy em request tạm thời hạ cấu hình memory để tiết kiệm chi phí ạ. Thông tin chi tiết : - GCP project : vinid-loyalty-prod
- Instance : discount-smartpos
- IP : 172.31.8.52
- Memory hạ từ 5GB xuống 1GB Note: con này chưa chạy nên có thể action trong giờ làm việc. Em cám ơn</t>
  </si>
  <si>
    <t>[TCB-MerchantHUB] - Tạo kafka topic cho dự án TCB Merchant HUB (Source mhpos_oms_qc PostgreSQL)</t>
  </si>
  <si>
    <t>2026-03-05T12:32:39.978+0700</t>
  </si>
  <si>
    <t>2026-03-09T15:59:42.010+0700</t>
  </si>
  <si>
    <t>Data_Platform, Merchant_Hub, TCB</t>
  </si>
  <si>
    <t>Dear team DBA, Phục vụ dự án TCB Merchant Platform, nhờ các anh cấu hình giúp kafka topic với thông tin như sau: Database type postgres Host merchant-hub-np-postgres / 172.31.0.93 Port 5432 Database/Schema order: mhpos_oms_qc Tables: Schema: mhpos_oms_qc mhpos_oms_qc.public.ward; -- 13923
mhpos_oms_qc.public.district; -- 739
mhpos_oms_qc.public.country; -- 240
mhpos_oms_qc.public.province; -- 63
mhpos_oms_qc.public.warehouse; -- 559
mhpos_oms_qc.public.address; -- 1060 Cảm ơn anh ạ.</t>
  </si>
  <si>
    <t>[TPAY][NON-PROD] Tạo tài khoản SFTP cho merchant BXMD lấy file báo cáo đối soát</t>
  </si>
  <si>
    <t>2026-03-05T11:53:38.852+0700</t>
  </si>
  <si>
    <t>2026-03-05T11:53:43.407+0700</t>
  </si>
  <si>
    <t>Description Dự án Tpay cần cấp tài khoản và 1 thư mục con trong thư mục trong thư mục tpay dành cho đối tác  BXMD  để đọc file từ sFTP server. Thông tin sFTP server cần kết nối đến: Non-prod:  35.229.130.107:2022 Nhờ team support tạo server và cấp account cho dự án. Em tên thư mục và folder ạ. Account: bxmduat Folder: bxmduat</t>
  </si>
  <si>
    <t>[OneHS - Agent] Update data trên PROD</t>
  </si>
  <si>
    <t>2026-03-05T10:56:12.592+0700</t>
  </si>
  <si>
    <t>2026-03-05T15:38:55.102+0700</t>
  </si>
  <si>
    <t>Agent_App</t>
  </si>
  <si>
    <t>Nhờ team chạy các lệnh UPDATE trên MySQL Production như sau ạ: URL:  mysql://omre-onehs-mysql-main.int.onemount.com:3306/agent-platform Query: UPDATE `agents` SET status="INACTIVE" WHERE code IN ("1046853268", "1041571772", "1045107802", "1049385609", "1048711986", "1045206161", "1042246666")</t>
  </si>
  <si>
    <t>2026-03-04T18:20:55.212+0700</t>
  </si>
  <si>
    <t>2026-03-05T09:00:30.879+0700</t>
  </si>
  <si>
    <t>Dear anh  @Nguyễn Văn Dũng   @Đào Công Nghĩa  , Team em có nhu cầu cập nhật dữ liệu, nhờ team chạy script sau giúp em ạ. Thời gian chạy:   Team chạy ngay giúp em ạ. Thông tin DB:   omc-mtp-tidb.int.onemount.com:4000 / omc_merchant_loyalty Script: update omc_merchant_loyalty.campaign set status = 'OPEN_TO_ENROLL' where id = 'a18b850b-df77-4e23-8c5f-f6ea010fff36'; Ref :  https://chat.google.com/room/AAQAtRBds7U/iBBZuDRFnFE/iBBZuDRFnFE?cls=10 Thanks anh.</t>
  </si>
  <si>
    <t>[OMC][MCL] Cập nhật danh sách điện máy xanh cho VH chạy campaign</t>
  </si>
  <si>
    <t>2026-03-04T14:06:10.712+0700</t>
  </si>
  <si>
    <t>2026-03-04T14:49:58.424+0700</t>
  </si>
  <si>
    <t>Dear anh  @Nguyễn Văn Dũng  ,  @Đào Công Nghĩa  , nhờ anh em chạy giúp script sau: -- DB: omc-mtp-tidb.onemount.com
-- Schema: omc_mtp_user_profile
UPDATE omc_mtp_user_profile.identified_profile
SET destination = 'VINID'
WHERE id IN ('0a7532ef-477a-4a49-bc09-96745b0cfc04', '3a3eb46b-7ec5-4da8-b3f7-ea004d94b3cd', 'b999a7d6-780f-4d41-9c79-36e028cb702a', 'bb322295-ea13-44bf-9d85-9bce0ab83696', 'd7c285b4-342b-439f-90c6-8fbe8b015058')
UPDATE omc_mtp_user_profile.identified_profile
SET is_dien_may_xanh = false
WHERE id = 'd7c285b4-342b-439f-90c6-8fbe8b015058'
INSERT INTO omc_mtp_user_profile.identified_profile (id, uid, destination, is_dien_may_xanh)
VALUES 
    ('110b2cad-665a-4aff-b364-400f0088547e', '20800186', 'VINID', true),
    ('85bb6cd9-4ef4-4384-a59d-a7dc793203ff', '20800200', 'VINID', true),
    ('73543dee-9dd4-49f2-8913-d40c420932be', '20800194', 'VINID', true),
    ('8c957aae-5e4a-4c1e-880d-0139630d3180', '20800195', 'VINID', true),
    ('94a9e5a4-3447-48cb-b131-68fb838dd573', '8413284',  'VINID', true),
    ('65072cf6-8fda-4b6f-9ce8-f7d7075d79fb', '20800206', 'VINID', true),
    ('854dbd42-de99-4801-97f4-3150b288d366', '20800211', 'VINID', true),
    ('042a15df-bbad-45a5-ac4e-a6d3fdce6f0f', '20800214', 'VINID', true),
    ('eb6dd443-7c66-4259-babb-58c63c66a758', '11105955', 'VINID', true),
    ('f1f8084f-3b15-41dd-896b-84fe56072837', '4296297',  'VINID', true),
    ('447ddf75-19d9-48cb-b324-01d58f1cfa35', '20800193', 'VINID', true),
    ('62cbb2f2-c367-473f-b326-bde18bfe5e72', '20790808', 'VINID', true); Best regards Dinh Quang Nguyen</t>
  </si>
  <si>
    <t>Hỗ trợ xin phân quyền bảng dremio</t>
  </si>
  <si>
    <t>2026-03-04T10:47:57.804+0700</t>
  </si>
  <si>
    <t>2026-03-04T10:48:02.622+0700</t>
  </si>
  <si>
    <t>Dear team, Nhờ các anh phân quyền giúp em bảng này trên dremio nhé ạ: "tidb_omc"."omc_mtp_martech_activation".mtp_tracking_sms_vendor_communications Phân quyền vào nhóm: Dremio.VHloyalty cc chị  @Lê Thị Nam Giang   @Nguyễn Lê Phương Thảo  ntt</t>
  </si>
  <si>
    <t>Hỗ trợ tạo Org tạo mới kho LOAN NGẠN và cập nhật prefix kho HẢI ANH</t>
  </si>
  <si>
    <t>2026-03-04T09:53:56.961+0700</t>
  </si>
  <si>
    <t>2026-03-04T11:00:31.174+0700</t>
  </si>
  <si>
    <t>Hi DBA team, Hiện tại nghiệp vụ có nhu cầu mở mới kho LOAN NGẠN,  nhờ team DBA hỗ trợ cập nhật giá trị theo thông tin dưới đây. Câu query đánh giá là không ảnh hưởng đến vận hành hệ thống nên mong muốn chạy ngay Cụm WMS Project : vinid-b2b-platform-prod Instance/IP : main (read-write): 172.31.4.59 Port : 3306 Database : omd_wms_core Database : omd_wms_dye Script :  INSERT INTO 
base_org (org_name, description, created_by, created_date, last_modified_by, last_modified_date, is_active, version) 
VALUE ('LNG', 'LNG', 'System', now(), 'System', now(), b'1', 0); 
update gen_config gc set gc.prefix = 'ANH01PC' where gc.id = 5062;</t>
  </si>
  <si>
    <t>[OMC][[ONEU] Tạo database mysql cho user onboarding service</t>
  </si>
  <si>
    <t>2026-03-03T18:16:02.545+0700</t>
  </si>
  <si>
    <t>2026-03-04T09:11:53.337+0700</t>
  </si>
  <si>
    <t xml:space="preserve">Dear team DBA Team ONEU cần tạo/cấp quyền cho database mới, nhờ team hỗ trợ ạ. Cụ thể thông tin như sau: Project: vinid-service-platform-prod IP: 172.31.1.12 DB name: oneu_user_onboarding User name: oneu_user_onboarding Sau khi tạo mới db nhờ team chạy giúp em các câu lệnh sau ạ create table user_preference_logs
(
    id         BIGINT      NOT NULL AUTO_INCREMENT PRIMARY KEY,
    created_at DATETIME    NOT NULL DEFAULT CURRENT_TIMESTAMP,
    updated_at DATETIME    NOT NULL DEFAULT CURRENT_TIMESTAMP ON UPDATE CURRENT_TIMESTAMP,
    user_id    varchar(50) not null,
    action     varchar(50) not null,
    code       varchar(50),
    tags       json,
    type       varchar(50),
    UNIQUE INDEX idx_user_voucher (user_id, code, type)
);
create table reward_logs
(
    id          BIGINT      NOT NULL AUTO_INCREMENT PRIMARY KEY,
    created_at  DATETIME    NOT NULL DEFAULT CURRENT_TIMESTAMP,
    updated_at  DATETIME    NOT NULL DEFAULT CURRENT_TIMESTAMP ON UPDATE CURRENT_TIMESTAMP,
    user_id     varchar(50) not null,
    invoice_no  varchar(50) not null,
    reward_code varchar(50),
    reward_name varchar(255),
    reward_type varchar(20) not null,
    status      varchar(20) not null,
    amount      decimal,
    meta_data   json,
    INDEX       idx_user_id (user_id)
) SAD: </t>
  </si>
  <si>
    <t>[OMC][MTP] Cập nhật tập segment điện máy xanh</t>
  </si>
  <si>
    <t>2026-03-03T17:24:42.848+0700</t>
  </si>
  <si>
    <t>2026-03-03T17:58:40.387+0700</t>
  </si>
  <si>
    <t>Dear anh  @Nguyễn Văn Dũng ,  @Đào Công Nghĩa  , nhờ anh/em chạy giúp script này. -- DB: omc-mtp-tidb.onemount.com
-- Schema: omc_mtp_user_profile
UPDATE omc_mtp_user_profile.identified_profile
SET is_dien_may_xanh = false
WHERE is_dien_may_xanh = true;
INSERT INTO omc_mtp_user_profile.identified_profile (uid, is_dien_may_xanh)
VALUES 
    ('20620424', true),
    ('20295664', true),
    ('20505975', true),
    ('20498766', true),
    ('20432676', true),
    ('20530609', true),
    ('286302', true),
    ('2181894', true),
    ('9577964', true),
    ('9880190', true),
    ('4345321', true),
    ('20620452', true),
    ('20504475', true),
    ('4386604', true),
    ('20504717', true),
    ('8211066', true),
    ('20089032', true),
    ('20462350', true),
    ('20772647', true),
    ('20795591', true),
    ('6908585', true)
ON DUPLICATE KEY UPDATE 
    is_dien_may_xanh = true; Best regards Dinh Quang Nguyen</t>
  </si>
  <si>
    <t>Cập nhật tên kho M059,M060</t>
  </si>
  <si>
    <t>2026-03-03T16:50:40.928+0700</t>
  </si>
  <si>
    <t>2026-03-03T16:51:42.558+0700</t>
  </si>
  <si>
    <t>Description Hi DBA team, Hiện tại nghiệp vụ có nhu cầu cập nhật lại tên kho  theo nhu cầu vận hành Câu query đánh giá là không ảnh hưởng đến vận hành hệ thống nên mong muốn chạy luôn Cụm WMS Project : vinid-b2b-platform-prod Instance/IP : main (read-write): 172.31.4.59 Port : 3306 Database : omd_wms_core Script update base_dc bd set bd.dc_name = 'CXL_FOU' where bd.dc_code = 'M059'; update base_dc bd set bd.dc_name = 'CXL_CTC' where bd.dc_code = 'M060'; Cum WES Project : vinid-b2b-platform-prod Instance/IP : main (read-write): 172.31.1.143 Port : 3306 Database : wes_master Script : update warehouse w set w.name = 'CXL_FOU' where w.code = 'M059'; update warehouse w set w.name = 'CXL_CTC' where w.code = 'M060';</t>
  </si>
  <si>
    <t>[PROD] Hỗ trợ chạy SQL golive ngày 03/03/2026</t>
  </si>
  <si>
    <t>2026-03-03T14:21:03.088+0700</t>
  </si>
  <si>
    <t>2026-03-03T16:37:22.748+0700</t>
  </si>
  <si>
    <t>Dear team DBA, 23h59 ngày 03/03/2026 team OneU có golive tính năng xuất hóa đơn cho merchant và đơn GSM.  Nhờ team chạy các câu lệnh SQL sau nhé ạ Do chỉ tạo tên cột và thêm bảng nên nhờ team run luôn giúp nhé ạ Em cảm ơn. Thông tin instance:  IP: 172.31.1.102
DB name: oneu_e_invoice SQL:  ALTER TABLE `ServiceVatInfo`
    ADD COLUMN `aggregateByMerchant` TINYINT(1) NOT NULL DEFAULT 0;
UPDATE `ServiceVatInfo` SET `aggregateByMerchant` = '1' WHERE `ServiceVatInfo`.`id` = 1;
-- Bảng AggregateMerchant (Tổng hợp theo người bán)
CREATE TABLE `AggregateMerchant`
(
    id             BIGINT AUTO_INCREMENT PRIMARY KEY,
    createdAt      TIMESTAMP DEFAULT CURRENT_TIMESTAMP,
    lastModifiedAt TIMESTAMP DEFAULT CURRENT_TIMESTAMP ON UPDATE CURRENT_TIMESTAMP,
    serviceCode    VARCHAR(255)   NOT NULL,
    merchantCode   VARCHAR(255)   NOT NULL,
    date           VARCHAR(25)    NOT NULL,
    totalAmount    DECIMAL(19, 2) NOT NULL,
    status         VARCHAR(25)    NOT NULL,
    receiverInfo   TEXT      DEFAULT NULL
);
-- Thêm index cho bảng AggregateMerchant
CREATE INDEX AggregateMerchant_date_idx ON `AggregateMerchant` (date);
CREATE INDEX AggregateMerchant_merchantCode_idx ON `AggregateMerchant` (merchantCode);
-- Bảng AggregateMerchantItem (Tổng hợp theo người bán - chi tiết)
CREATE TABLE `AggregateMerchantItem`
(
    id                  BIGINT AUTO_INCREMENT PRIMARY KEY,
    createdAt           TIMESTAMP DEFAULT CURRENT_TIMESTAMP,
    lastModifiedAt      TIMESTAMP DEFAULT CURRENT_TIMESTAMP ON UPDATE CURRENT_TIMESTAMP,
    aggregateMerchantId BIGINT         NOT NULL,
    merchantCode        VARCHAR(255)   NOT NULL,
    orderCode           VARCHAR(255)   NOT NULL,
    amount              DECIMAL(19, 2) NOT NULL,
    userId              VARCHAR(255)   NOT NULL,
    serviceCode         VARCHAR(255)   NOT NULL,
    FOREIGN KEY (aggregateMerchantId) REFERENCES AggregateMerchant (id)
);
-- Thêm index cho bảng AggregateMerchantItem
CREATE INDEX AggregateMerchantItem_orderCode_userId_idx ON `AggregateMerchantItem` (orderCode, userId);</t>
  </si>
  <si>
    <t>[OMD] [BPM]  Thêm index cho bảng bpm_proc_log  trên prod</t>
  </si>
  <si>
    <t>2026-03-03T10:44:46.114+0700</t>
  </si>
  <si>
    <t>2026-03-03T10:45:03.241+0700</t>
  </si>
  <si>
    <t>Dear  @Nguyễn Văn Dũng   Nhờ em tạo index như dưới nhé  Database name:   camunda_bpm_prod     Database instance:   172.31.3.10:5432 CREATE INDEX CONCURRENTLY IF NOT EXISTS idx_bpm_proc_log_procinst_key
ON bpm_proc_log (proc_inst_id_, key_name_);</t>
  </si>
  <si>
    <t>[TMS][Prod] V/v tăng size db</t>
  </si>
  <si>
    <t>2026-03-03T10:14:50.998+0700</t>
  </si>
  <si>
    <t>2026-03-03T10:15:49.773+0700</t>
  </si>
  <si>
    <t>Do nhu cầu sử dụng hệ thống TMS T1 tăng cao thời gian gần đây, mặc dù đã thực hiện xóa định kỳ 3 tháng 1 lần (lần cuối xóa vào 15-1-2026), nhưng hiện tại data size đã vượt ngưỡng 95% (số liệu ảnh dưới đo vào ngày 26-02-2026) nên nhờ ae DBA support tăng size db thêm 500GB để đảm bảo hệ thống hoạt động ổn định.</t>
  </si>
  <si>
    <t>[TPAY][NON-PROD] Tạo tài khoản SFTP cho merchant HNC lấy file báo cáo đối soát</t>
  </si>
  <si>
    <t>2026-03-03T09:44:25.156+0700</t>
  </si>
  <si>
    <t>2026-03-03T09:44:36.927+0700</t>
  </si>
  <si>
    <t>Dự án Tpay cần cấp tài khoản và 1 thư mục con trong thư mục trong thư mục tpay dành cho đối tác HNC để đọc file từ sFTP server. Thông tin sFTP server cần kết nối đến: Non-prod:  35.229.130.107:2022 Nhờ team support tạo server và cấp account cho dự án. Em tên thư mục và folder ạ. Account: hncuat Folder: hncuat</t>
  </si>
  <si>
    <t>[PROD] Backup BD cho dự án CBP</t>
  </si>
  <si>
    <t>2026-03-03T09:18:19.080+0700</t>
  </si>
  <si>
    <t>2026-03-03T09:18:25.273+0700</t>
  </si>
  <si>
    <t xml:space="preserve">Để phục vụ migrate stewards Thời gian dự kiến thực hiện: 20:00 02/03/2026 Các table cần back up: omre_cbp_listing. property_parties  </t>
  </si>
  <si>
    <t>[OMC][GAMI][OneU][Prod] Hỗ trợ lấy data chương trình Lì Xì trên OneU</t>
  </si>
  <si>
    <t>2026-03-02T16:33:40.273+0700</t>
  </si>
  <si>
    <t>2026-03-02T17:27:13.976+0700</t>
  </si>
  <si>
    <t>Hỗ trợ lấy data chương trình Lì Xì trên OneU Host:  172.31.1.14 DB:  gamezone SELECT user_id, SUM(unit_value) FROM `transactions` WHERE campaign_id = 671 AND pool_id = 723 AND reward_id IN(3883,3954)
GROUP BY user_id;</t>
  </si>
  <si>
    <t>[TCB-MerchantHUB] - Tạo kafka topic cho dự án TCB Merchant HUB (Source PostgreSQL - mhpos_payment_qc)</t>
  </si>
  <si>
    <t>2026-03-02T11:41:12.187+0700</t>
  </si>
  <si>
    <t>2026-03-02T12:28:33.358+0700</t>
  </si>
  <si>
    <t>DataPlatform, Merchant_Hub, OMD, TCB</t>
  </si>
  <si>
    <t>Dear team DBA, Phục vụ dự án TCB Merchant Platform, nhờ các anh cấu hình giúp kafka topic với thông tin như sau: Database type postgres Host merchant-hub-np-postgres / 172.31.0.93 Port 5432 Database/Schema order: mhpos_payment_qc Tables: Schema: mhpos_oms_qc table_schema table_name count mhpos_payment_qc ward 13923 mhpos_payment_qc street 10483 mhpos_payment_qc district 739 mhpos_payment_qc payment_transaction 244 mhpos_payment_qc country 240 mhpos_payment_qc province 63 mhpos_payment_qc address 24 mhpos_payment_qc merchant 14 mhpos_payment_qc warehouse 10 mhpos_payment_qc payment_method 2 Em cảm ơn ạ.</t>
  </si>
  <si>
    <t>[TCB-MerchantHUB] - Tạo kafka topic cho dự án TCB Merchant Service (MySql)</t>
  </si>
  <si>
    <t>2026-03-02T10:26:47.095+0700</t>
  </si>
  <si>
    <t>2026-03-02T11:38:58.492+0700</t>
  </si>
  <si>
    <t>Dear team DBA, Em tạo ticket xin kafka topic cho dự án TCB Merchant HUB với thông tin như sau, nhờ các anh hỗ trợ config giúp ạ: Database type MySQL Host 172.31.0.16 Port 3306 Database/Schema merchant_service_tcb_qc Danh sách bảng schema_name table_name count merchant_service_tcb_qc tcb_address_master 14000 merchant_service_tcb_qc sub_features 4 merchant_service_tcb_qc sub_merchant_usage_summaries 173 merchant_service_tcb_qc sub_plan_quotas 8 merchant_service_tcb_qc sub_plan_visibility_rules 1 merchant_service_tcb_qc sub_plans 3 merchant_service_tcb_qc sub_subscription_entitlements 291 merchant_service_tcb_qc sub_subscriptions 64 merchant_service_tcb_qc sub_invoices 182 merchant_service_tcb_qc sub_payment_transactions 186 merchant_service_tcb_qc sub_capabilities 12 Trân trọng.</t>
  </si>
  <si>
    <t>[UPAY][PROD] Hỗ trợ golive release tính năng ngày 27/02/2026</t>
  </si>
  <si>
    <t>2026-02-27T23:07:19.505+0700</t>
  </si>
  <si>
    <t>2026-02-27T23:07:32.233+0700</t>
  </si>
  <si>
    <t>Hi a  @Nguyễn Văn Dũng  nhờ a chạy script theo mô tả  dưới đây ở môi trường PRODUCTION theo thông tin dưới đây ạ: Thời gian chạy script: Vào lúc  23h00 ngày 27/02/2026 Thông tin database:  mysql://vinpay-sql-onehub-master.int.vinid.net:3306/pay_payment_gateway CR Ticket:    Script: INSERT INTO SYSTEM_CONFIGURATION (SYSTEM_PARAM_CODE, SYSTEM_PARAM_NAME, SYSTEM_PARAM_VALUE,
                                  IS_ACTIVE, IS_ENCRYPTED, CREATED_BY, UPDATED_BY,
                                  UPDATED_DATE, CREATED_DATE)
VALUES ('MERCHANT_CONFIG_PILOT_CBS_VCB', 'MERCHANT_CONFIG_PILOT_CBS_VCB', 'VINID08-SVIN08-PVIN08', 1, null, 'TCW-7822 nam.nguyen35', null, null, '2026-02-11 00:00:00');
update PROVIDER_PAY_OPERATION set is_active = 1 where id = 5;</t>
  </si>
  <si>
    <t>[MAG][IOTek][MCM][PROD] Cấp quyền view DB dự án MCM</t>
  </si>
  <si>
    <t>2026-02-27T17:52:58.086+0700</t>
  </si>
  <si>
    <t>2026-02-27T17:53:50.205+0700</t>
  </si>
  <si>
    <t>VIEW</t>
  </si>
  <si>
    <t>Hi các anh,  Dự án MCM đang trong giai đoạn phát triển và để thuận tiện cho việc phát triển thì team dự án mong muốn được cấp quyền view DB cho 1 số thành viên. Nhờ đội DBA hỗ trợ</t>
  </si>
  <si>
    <t>[OMRE][CBP][VirtualTour]  Export dữ liệu</t>
  </si>
  <si>
    <t>2026-02-27T17:46:17.763+0700</t>
  </si>
  <si>
    <t>2026-02-27T17:55:37.593+0700</t>
  </si>
  <si>
    <t>Dear a/e! Nhờ ae export các table ra định dạng csv, gửi về email :  Thông tin DB: IP Mysql instance: 172.31.4.127 Schema: omre_cbp_virtual_tour select * from sto_file_links;
select * from vtr_floors;
select * from sto_files;
select * from vtr_hotspots;
select * from vtr_projects;
select * from sto_file_versions;</t>
  </si>
  <si>
    <t>[LP][Core][TCB] - Insert data phục vụ campaign MKT 012026 (Tháng 02)</t>
  </si>
  <si>
    <t>2026-02-27T17:37:34.992+0700</t>
  </si>
  <si>
    <t>2026-02-28T16:33:42.774+0700</t>
  </si>
  <si>
    <t>Description Dear DBA Team, Nhờ team thực hiện insert data phục vụ campaign MKT 022026, theo các bước sau: Thông tin database: IP: 10.255.23.119 Service name: oneloyaltydb Port: 1521 schema app: OLOYALTY Bước 1: Tạo bảng tạm CREATE TABLE OLOYALTY.CST_TARGET_GROUP_022026
(
    "ID"             NUMBER(10,0) GENERATED BY DEFAULT ON NULL AS IDENTITY,
    "LOYALTY_ID"           VARCHAR2(32 BYTE) DEFAULT NULL,
    "CST_TARGET_GROUP"           VARCHAR2(256 BYTE) DEFAULT NULL,
    PRIMARY KEY ("ID")
); Bước 02: Load dữ liệu 01 file đính kèm vào bảng tạm Đính kèm ở comment Bước 03: Insert data vào bảng Member Attribute từ bảng bảng tạm 3.1. Kiểm số row bảng   CST_TARGET_GROUP_022026 SELECT /*+ parallel(16) */ count(*) FROM OLOYALTY.CST_TARGET_GROUP_022026; 3.2 Kiểm tra trùng ,  báo lại dự án nếu có SELECT /*+ parallel(16) */ LOYALTY_ID,count(*) FROM OLOYALTY.CST_TARGET_GROUP_022026 GROUP BY LOYALTY_ID HAVING count(*) &gt; 1; 3.3 Kiểm tra số dòng dự kiến insert, báo lại dự án nếu số dòng khác với số dòng của bảng CST_TARGET_GROUP_012026_02.   Note: Có thể bỏ qua nếu câu lệnh chạy quá lâu SELECT /*+ parallel(16) */ count(*) FROM OLOYALTY.MEMBER m JOIN CST_TARGET_GROUP_022026 b ON m.PARTNER_CUSTOMER_ID = b.LOYALTY_ID WHERE m.PROGRAM_ID = 426; 3.4 Chạy lệnh insert INSERT INTO OLOYALTY.MEMBER_ATTRIBUTE (PROGRAM_ID, MEMBER_ID, PROGRAM_ATTRIBUTE_ID, VALUE, STATUS,CREATED_BY)
SELECT 426,
    m.id AS MEMBER_ID,
    423 AS PROGRAM_ATTRIBUTE_ID,
    REPLACE(b.CST_TARGET_GROUP, CHR(13) ,'') AS VALUE,
    'A' AS STATUS,
    'MKT_022026_01'
FROM OLOYALTY.MEMBER m JOIN CST_TARGET_GROUP_022026 b ON m.PARTNER_CUSTOMER_ID = b.LOYALTY_ID WHERE m.PROGRAM_ID = 426
; 3.5 Kiểm tra kết quả cuối cùng SELECT /*+ parallel(16) */ count(*) FROM OLOYALTY.MEMBER_ATTRIBUTE ma</t>
  </si>
  <si>
    <t>[Soundbox] Cập nhập trạng thái thiết bị về Đã trả NCC</t>
  </si>
  <si>
    <t>2026-02-27T16:40:05.798+0700</t>
  </si>
  <si>
    <t>2026-02-27T16:41:20.457+0700</t>
  </si>
  <si>
    <t>Hi a  @Nguyễn Văn Dũng , nhờ a chạy giúp e script bên dưới với ạ Thông tin database saas_tpay:  pay-tidb.int.onemount.com:4000/saas_tpay Scripts: -- IMPORTED -&gt; RETURNED
UPDATE TCB_DEVICE SET PHYSICAL_STATUS = 'RETURNED'
WHERE device_serial_number IN ('SDLTCBY66A1223241663');</t>
  </si>
  <si>
    <t>Extend thời hạn truy cập db hết tháng 4</t>
  </si>
  <si>
    <t>2026-02-27T14:10:27.014+0700</t>
  </si>
  <si>
    <t>2026-03-02T10:03:13.581+0700</t>
  </si>
  <si>
    <t xml:space="preserve">Nhờ dba extend thời hạn truy cập db hết tháng 4 cho các account temp1, temp2, temp5 Các user truy cập để hỗ trợ khách hàng masterise sau golive bao gồm:  loc.hoang@onemount.com  TO MPM  nam.nguyen15@onemount.com  CVCC hỗ trợ phần kế toán  hieu.vu4@onemount.com  hỗ trợ phần migration  hieu.do1@onemount.com  hỗ trợ phần master data  Hết tháng 4 sẽ bàn giao dần về TO và IT247 </t>
  </si>
  <si>
    <t>[OMC][Loyalty MFT] Nâng cấp cấu hình máy chủ redis</t>
  </si>
  <si>
    <t>2026-02-27T13:57:33.308+0700</t>
  </si>
  <si>
    <t>2026-02-27T13:57:46.104+0700</t>
  </si>
  <si>
    <t>Theo yêu cầu từ CR   , cần nâng memory 2 máy chủ redis lên 8GB với các thông tin bên dưới - GCP project : vincart-prod
- Instance : vmm
- IP : 172.31.8.100 - GCP project : vincart-prod
- Instance : onevoucher
- IP : 172.31.0.196 Em cám ơn</t>
  </si>
  <si>
    <t xml:space="preserve"> [PROD] [VCM] Xóa store applied cũ không dùng.</t>
  </si>
  <si>
    <t>2026-02-27T13:22:15.008+0700</t>
  </si>
  <si>
    <t>2026-02-27T17:37:49.962+0700</t>
  </si>
  <si>
    <t>Dear DBA Team, Do đang ảnh hưởng việc lưu trữ dung lượng trên redis vmm. Nhờ a/e hỗ trợ chạy  lệnh xóa store applied cho vouchers attribute. IP: 172.31.1.41
Database: vincart_mm_product Lệnh: delete
from entity_attributes_values
where name = 'voucher_accepted_stores';</t>
  </si>
  <si>
    <t>[TPAY][NON-PROD] Tạo tài khoản SFTP cho merchant ITO lấy file báo cáo đối soát</t>
  </si>
  <si>
    <t>2026-02-27T10:47:58.604+0700</t>
  </si>
  <si>
    <t>2026-02-27T10:48:10.108+0700</t>
  </si>
  <si>
    <t>Dự án Tpay cần cấp tài khoản và 1 thư mục con trong thư mục trong thư mục tpay dành cho đối tác TCH để đọc file từ sFTP server. Thông tin sFTP server cần kết nối đến: Non-prod:  35.229.130.107:2022 Nhờ team support tạo server và cấp account cho dự án. Em tên thư mục và folder ạ. Account: tchuat Folder: tchuat</t>
  </si>
  <si>
    <t>[OMC][ONEU] [Prod] Xóa key redis</t>
  </si>
  <si>
    <t>2026-02-26T23:52:56.147+0700</t>
  </si>
  <si>
    <t>2026-02-26T23:53:01.085+0700</t>
  </si>
  <si>
    <t>Dear team Nhờ mọi người chạy giúp em các câu lệnh sau ạ Thời gian thực hiện 22h ngày 26/2/2026 host : vincart-prod--vmm.memstore.int port : 6379 database : 4 CR :    redis-cli -p 6379 -n 4 --scan --pattern "vincart:vmm:cart:*" \
| awk -F':' 'NF&gt;=4 {print $1":"$2":"$3":"$4}' \
| sort \
| uniq -c \
| sort -nr Sau khi dự án confirm thì chạy tiếp các câu lệnh sau for type in VOUCHER LINK_BANK GSM OMRE GROUP_BUY POPUP_CHECKOUT LIVESTREAM ONEFARM
do
  redis-cli -p 6379 -n 4 --scan --pattern "vincart:vmm:cart:${type}:*" \
  | xargs -r -L 100 redis-cli -n 4 UNLINK
done</t>
  </si>
  <si>
    <t>[PS2-GL][PROD] Hỗ trợ update trạng thái job hạch toán môi trường PROD để thực hiện manual lại</t>
  </si>
  <si>
    <t>2026-02-26T17:48:24.696+0700</t>
  </si>
  <si>
    <t>2026-02-26T17:48:37.296+0700</t>
  </si>
  <si>
    <t>Hi anh Dũng. Nhờ anh chạy giúp em script này hôm nay  ngày 26/02/2026  ạ. Thông tin database: jdbc:mysql://tidb.int.onemount.com:4000/vinpay_vinpay_prod_saas_ps2_general_ledger</t>
  </si>
  <si>
    <t>[MCM] Bổ sung constraint cho table</t>
  </si>
  <si>
    <t>2026-02-26T17:31:16.427+0700</t>
  </si>
  <si>
    <t>2026-02-26T17:31:39.457+0700</t>
  </si>
  <si>
    <t>IP (Host):   ces-production.crcykac8kxtw.ap-southeast-1.rds.amazonaws.com Port:   3306 DB Name:   ces_mh_mpm Command:   ALTER TABLE hrm_employee
    MODIFY COLUMN is_admin BOOLEAN DEFAULT FALSE;</t>
  </si>
  <si>
    <t>[MAG] Hỗ trợ export các tables trong database của Masterisehomes.com</t>
  </si>
  <si>
    <t>2026-02-26T17:06:01.193+0700</t>
  </si>
  <si>
    <t>2026-02-26T17:08:13.181+0700</t>
  </si>
  <si>
    <t>Hi  @Đào Công Nghĩa  , đễ hỗ trợ đồng bộ bài viết và các tin tức cũ của domain  masterisehomes.com ,  nhờ bạn export các tables sau: prefix  news *  database  mainpage_prod_mysql   Cảm ơn bạn</t>
  </si>
  <si>
    <t>[CBP] [PROD] Tạo dữ liệu db changelog cho Audit-Log</t>
  </si>
  <si>
    <t>2026-02-26T15:02:04.050+0700</t>
  </si>
  <si>
    <t>2026-02-26T15:22:08.744+0700</t>
  </si>
  <si>
    <t>CBP_Collab</t>
  </si>
  <si>
    <t>Dear a/e! Nhờ ae chạy cho sql script dưới đây cho service audit-log của CBP. Thông tin DB: 1. IP Mysql instance: 172.31.4.127 Schema:  omre_cbp_audit_log truncate table DATABASECHANGELOGLOCK;
truncate table DATABASECHANGELOG;
INSERT INTO DATABASECHANGELOGLOCK (ID, LOCKED, LOCKGRANTED, LOCKEDBY) VALUES (1, false, null, null);
INSERT INTO DATABASECHANGELOG (ID, AUTHOR, FILENAME, DATEEXECUTED, ORDEREXECUTED, EXECTYPE, MD5SUM, DESCRIPTION, COMMENTS, TAG, LIQUIBASE, CONTEXTS, LABELS, DEPLOYMENT_ID) VALUES ('V1.20220421.1439__Init_db.sql', 'tu.tran', 'db/mysql/changelog/changelog-1.0.xml', '2025-12-08 08:27:06', 1, 'EXECUTED', '8:826257403fc0634a285d84cc36dc58a8', 'sqlFile', '', null, '4.3.5', null, null, '5182426130');
INSERT INTO DATABASECHANGELOG (ID, AUTHOR, FILENAME, DATEEXECUTED, ORDEREXECUTED, EXECTYPE, MD5SUM, DESCRIPTION, COMMENTS, TAG, LIQUIBASE, CONTEXTS, LABELS, DEPLOYMENT_ID) VALUES ('V1.20220824.1451__Add_audit_columns.sql', 'tu.tran', 'db/mysql/changelog/changelog-1.0.xml', '2025-12-08 08:27:06', 2, 'EXECUTED', '8:d46e52e7f3fd68229ca2d4d2f07d8d6d', 'sqlFile', '', null, '4.3.5', null, null, '5182426130');
INSERT INTO DATABASECHANGELOG (ID, AUTHOR, FILENAME, DATEEXECUTED, ORDEREXECUTED, EXECTYPE, MD5SUM, DESCRIPTION, COMMENTS, TAG, LIQUIBASE, CONTEXTS, LABELS, DEPLOYMENT_ID) VALUES ('V1.20220828.2222__Add_audit_message_id.sql', 'linh.tran', 'db/mysql/changelog/changelog-1.0.xml', '2025-12-08 08:27:07', 3, 'EXECUTED', '8:ca9c7dff5bacf1feba6f7ff57d00093d', 'sqlFile', '', null, '4.3.5', null, null, '5182426130');
INSERT INTO DATABASECHANGELOG (ID, AUTHOR, FILENAME, DATEEXECUTED, ORDEREXECUTED, EXECTYPE, MD5SUM, DESCRIPTION, COMMENTS, TAG, LIQUIBASE, CONTEXTS, LABELS, DEPLOYMENT_ID) VALUES ('V1.20230228.1536__Alter_audit_log_data_payload_to_json.sql', 'nam.nguyen28', 'db/mysql/changelog/changelog-1.0.xml', '2025-12-08 08:27:07', 4, 'EXECUTED', '8:c5f826c3cf0c9231bce74d6045c8882b', 'sqlFile', '', null, '4.3.5', null, null, '5182426130');
INSERT INTO DATABASECHANGELOG (ID, AUTHOR, FILENAME, DATEEXECUTED, ORDEREXECUTED, EXECTYPE, MD5SUM, DESCRIPTION, COMMENTS, TAG, LIQUIBASE, CONTEXTS, LABELS, DEPLOYMENT_ID) VALUES ('V1.20230323.1504__Create_index', 'tu.tran', 'db/mysql/changelog/changelog-1.0.xml', '2025-12-08 08:27:07', 5, 'EXECUTED', '8:70b727bd86dd496cb3aca7ab636d6161', 'sqlFile', '', null, '4.3.5', null, null, '5182426130');
INSERT INTO DATABASECHANGELOG (ID, AUTHOR, FILENAME, DATEEXECUTED, ORDEREXECUTED, EXECTYPE, MD5SUM, DESCRIPTION, COMMENTS, TAG, LIQUIBASE, CONTEXTS, LABELS, DEPLOYMENT_ID) VALUES ('V1.20240529.1151__Add_audit_log_action_index', 'huan.nguyen2', 'db/mysql/changelog/changelog-1.0.xml', '2025-12-08 08:27:07', 6, 'EXECUTED', '8:d8f5c1a6e25d505b18e3922f2a20c4c4', 'sqlFile', '', null, '4.3.5', null, null, '5182426130');
INSERT INTO DATABASECHANGELOG (ID, AUTHOR, FILENAME, DATEEXECUTED, ORDEREXECUTED, EXECTYPE, MD5SUM, DESCRIPTION, COMMENTS, TAG, LIQUIBASE, CONTEXTS, LABELS, DEPLOYMENT_ID) VALUES ('V1.20240529.1952__Modify_audit_log_detail_value_column_type', 'huan.nguyen2', 'db/mysql/changelog/changelog-1.0.xml', '2025-12-08 08:27:07', 7, 'EXECUTED', '8:48d946355a78e079b2ae0d66dcd7a700', 'sqlFile', '', null, '4.3.5', null, null, '5182426130');
INSERT INTO DATABASECHANGELOG (ID, AUTHOR, FILENAME, DATEEXECUTED, ORDEREXECUTED, EXECTYPE, MD5SUM, DESCRIPTION, COMMENTS, TAG, LIQUIBASE, CONTEXTS, LABELS, DEPLOYMENT_ID) VALUES ('V1.20240911.0856__Drop_audit_log_action_index', 'huan.nguyen2', 'db/mysql/changelog/changelog-1.0.xml', '2025-12-08 08:27:07', 8, 'EXECUTED', '8:d51d2b822af37b14846af4e315f08011', 'sqlFile', '', null, '4.3.5', null, null, '5182426130');
INSERT INTO DATABASECHANGELOG (ID, AUTHOR, FILENAME, DATEEXECUTED, ORDEREXECUTED, EXECTYPE, MD5SUM, DESCRIPTION, COMMENTS, TAG, LIQUIBASE, CONTEXTS, LABELS, DEPLOYMENT_ID) VALUES ('V1.20240911.1759__Add_audit_log_action_index', 'huan.nguyen2', 'db/mysql/changelog/changelog-1.0.xml', '2025-12-08 08:27:07', 9, 'EXECUTED', '8:d8f5c1a6e25d505b18e3922f2a20c4c4', 'sqlFile', '', null, '4.3.5', null, null, '5182426130');
INSERT INTO DATABASECHANGELOG (ID, AUTHOR, FILENAME, DATEEXECUTED, ORDEREXECUTED, EXECTYPE, MD5SUM, DESCRIPTION, COMMENTS, TAG, LIQUIBASE, CONTEXTS, LABELS, DEPLOYMENT_ID) VALUES ('V1.20241029.1757__Modify_collation_audit_log_details', 'huan.nguyen2', 'db/mysql/changelog/changelog-1.0.xml', '2025-12-08 08:27:07', 10, 'EXECUTED', '8:384144304abb3d21f465fb76b48ab38b', 'sqlFile', '', null, '4.3.5', null, null, '5182426130'); Thanks a/e.</t>
  </si>
  <si>
    <t>Hỗ trợ cập nhật dữ liệu lệch tồn kho PHO04</t>
  </si>
  <si>
    <t>2026-02-26T14:19:25.332+0700</t>
  </si>
  <si>
    <t>2026-02-26T16:28:35.486+0700</t>
  </si>
  <si>
    <t>Hi DBA team, Hiện tại kho thuanphong2 cần fix lỗi dữ liệu bị lệch tồn, nhờ team DBA hỗ trợ cập nhật theo thông tin dưới đây Project : vinid-b2b-platform-prod Instance/IP : main (read-write): 172.31.4.59 Port : 3306 Database : omd_wms_thuanphong2 update agg_inventory_aggregator aia set aia.last_modified_date = UTC_TIMESTAMP 
where aia.product_code in ('452000209', 'MCAHL1_1', 'GAHKX1___') 
and aia.dc_code = 'PHO04';</t>
  </si>
  <si>
    <t>2026-02-25T16:35:52.706+0700</t>
  </si>
  <si>
    <t>2026-02-25T17:44:10.821+0700</t>
  </si>
  <si>
    <t>Nhờ a/e hỗ trợ chạy  luôn giúp lệnh xóa store applied co voucher:  VD_VC_1763357678725 IP: 172.31.1.41
Database: vincart_mm_product Lệnh: delete
from variant_apply_store_mapping
where variant_id in (select id
                     from variants
                     where code in ('VD_VC_1763357678725'));</t>
  </si>
  <si>
    <t>[OMD][WMS] Hỗ trợ cập nhật tên kho M058</t>
  </si>
  <si>
    <t>2026-02-25T16:25:30.600+0700</t>
  </si>
  <si>
    <t>2026-02-25T16:29:48.123+0700</t>
  </si>
  <si>
    <t>Hi DBA team, Hiện tại kho M058 cần đổi tên, nhờ team DBA hỗ trợ cập nhật giá trị theo thông tin dưới đây. 1. Cập nhật trên WMS Project : vinid-b2b-platform-prod Instance/IP : main (read-write): 172.31.4.59 Port : 3306 Database : omd_wms_core Query update base_dc bd set bd.dc_name = 'THEONE_SOL' where bd.dc_code = 'M058';</t>
  </si>
  <si>
    <t>Hỗ trợ cập nhật dữ liệu đơn xuất lệch trạng thái kho PHO04</t>
  </si>
  <si>
    <t>2026-02-25T16:23:29.862+0700</t>
  </si>
  <si>
    <t>2026-02-25T16:24:44.400+0700</t>
  </si>
  <si>
    <t>Hi DBA team, Hiện tại kho thuanphong2 cần fix lỗi dữ liệu bị lệch trạng thái đơn xuất, nhờ team DBA hỗ trợ cập nhật theo thông tin dưới đây Project : vinid-b2b-platform-prod Instance/IP : main (read-write): 172.31.4.59 Port : 3306 Database : omd_wms_thuanphong2 update order_hdr oh 
join order_item oi on oi.order_hdr_id = oh.order_hdr_id
set oh.order_status = 'NEW',
    oi.item_status = 'NEW',
    oh.last_modified_date = UTC_TIMESTAMP,
    oi.last_modified_date = UTC_TIMESTAMP
where oh.order_hdr_id in (336555, 339897);</t>
  </si>
  <si>
    <t>[Data Platform] Backup và Truncate database Datahub trên mysql</t>
  </si>
  <si>
    <t>2026-02-25T16:18:41.845+0700</t>
  </si>
  <si>
    <t>2026-02-25T16:48:43.390+0700</t>
  </si>
  <si>
    <t>Chào team, Nhờ phía hỗ trợ backup và truncate giúp em database sau với ạ: Host: 172.31.0.68 DB: datahub Em cảm ơn ạ,</t>
  </si>
  <si>
    <t>2026-02-25T12:28:45.520+0700</t>
  </si>
  <si>
    <t>2026-02-25T12:28:51.431+0700</t>
  </si>
  <si>
    <t>Hi a  @Nguyễn Văn Dũng , nhờ a chạy giúp e script bên dưới với ạ Thông tin database saas_tpay:  pay-tidb.int.onemount.com:4000/saas_tpay Scripts: -- IMPORTED -&gt; RETURNED
UPDATE TCB_DEVICE SET PHYSICAL_STATUS = 'RETURNED'
WHERE device_serial_number IN ('38250821703212','38250821734295','38250821712223','38250321904528','38250602320779','38250602328777','38250330300289','38250330315158','38250523312010','38250602321407','SDLTCBY66A1223241272','38250330315266');</t>
  </si>
  <si>
    <t>[MAG][IOTek][MCM][PROD] Cập nhật dữ liệu Project Code cho hệ thống MCM</t>
  </si>
  <si>
    <t>2026-02-25T11:23:42.129+0700</t>
  </si>
  <si>
    <t>2026-02-25T16:42:09.276+0700</t>
  </si>
  <si>
    <t xml:space="preserve">IP (Host):   ces-production.crcykac8kxtw.ap-southeast-1.rds.amazonaws.com Port:   3306 DB Name:   ces_mh_mpm Command:  Trong file đính kèm </t>
  </si>
  <si>
    <t>[it247] Xin quyền update DB merchant_service_tcb</t>
  </si>
  <si>
    <t>2026-02-24T17:20:44.653+0700</t>
  </si>
  <si>
    <t>2026-02-24T17:20:49.987+0700</t>
  </si>
  <si>
    <t>N/A</t>
  </si>
  <si>
    <t>Do cần hỗ trợ update các thông tin của merchant (như ở guide sau   ) nên team 247 xin quyền thao tác DB cụ thể như sau: Link DB:  https://console.cloud.google.com/sql/instances/merchant-tcb/overview?project=vinid-merchant-prod Quyền cụ thể: Quyền  update  trên 2 bảng  tpay_merchant  và  tpay_request_merchant   Các thành viên team 247: nhatntt thanhdv19 huong.le3 tung.hoang2 kien.nguyen12 cuong.nguyen8 hoang.phan dungnt96 hoapd1</t>
  </si>
  <si>
    <t>2026-02-24T17:13:34.585+0700</t>
  </si>
  <si>
    <t>2026-02-24T17:13:41.434+0700</t>
  </si>
  <si>
    <t>Do cần hỗ trợ update các thông tin của merchant (như ở guide sau   ) nên team 247 xin quyền thao tác DB cụ thể như sau: Link DB:  http://pay-tidb.int.onemount.com:4000/saas_tpay Quyền cụ thể: Với bảng  UNIFIED_MERCHANT  cần quyền  update . Còn với bảng  SMARTPOS_MERCHANT_CONTRACT  cần quyền  insert + update Các thành viên team 247: nhatntt thanhdv19 huong.le3 tung.hoang2 kien.nguyen12 cuong.nguyen8 hoang.phan dungnt96 hoapd1</t>
  </si>
  <si>
    <t>2026-02-24T16:24:11.612+0700</t>
  </si>
  <si>
    <t>2026-02-24T17:01:18.630+0700</t>
  </si>
  <si>
    <t>IP (Host)  :  ces-production.crcykac8kxtw.ap-southeast-1.rds.amazonaws.com Port:  3306 DB Name:   ces_mh_mpm   Command:   Trong file đính kèm</t>
  </si>
  <si>
    <t>[OMC][Loyalty MFT] VCM - Cập nhật thông tin tồn kho của voucher</t>
  </si>
  <si>
    <t>2026-02-24T16:04:21.411+0700</t>
  </si>
  <si>
    <t>2026-02-24T16:25:24.327+0700</t>
  </si>
  <si>
    <t>Trong quá trình vận hành voucher, có phát sinh lỗi đồng bộ giữa các hệ thống voucher làm sai lệch số tồn kho, cần thực hiện cập nhật lại dữ liệu ở môi trường PROD cho các voucher theo thông tin bên dưới (CR  ), nhờ team hỗ trợ với ạ. Thông tin database - GCP project  vinid-loyalty-prod
- Instance name : onevoucher
- Instance IP : 172.31.4.126
- Database : onevc_vwm_prod, onevc_vsm_prod Query UPDATE onevc_vwm_prod.warehouse SET capacity = 1600 WHERE business_code = 'OMC' and code = 'VD_WH_1753937810442';
UPDATE onevc_vwm_prod.warehouse SET capacity = 1000 WHERE business_code = 'OMC' and code = 'VD_WH_1758105880932';
UPDATE onevc_vwm_prod.warehouse SET capacity = 442 WHERE business_code = 'OMC' and code = 'VD_WH_1758105882417';
UPDATE onevc_vwm_prod.warehouse SET capacity = 423 WHERE business_code = 'OMC' and code = 'VD_WH_1758105883911';
UPDATE onevc_vwm_prod.warehouse SET capacity = 1487 WHERE business_code = 'OMC' and code = 'VD_WH_1762938509743';
UPDATE onevc_vwm_prod.warehouse SET capacity = 1499 WHERE business_code = 'OMC' and code = 'VD_WH_1762938511526';
UPDATE onevc_vwm_prod.warehouse SET capacity = 727 WHERE business_code = 'OMC' and code = 'VD_WH_1762938512878';
UPDATE onevc_vwm_prod.warehouse SET capacity = 778 WHERE business_code = 'OMC' and code = 'VD_WH_1762938514292';
UPDATE onevc_vwm_prod.warehouse SET capacity = 666 WHERE business_code = 'OMC' and code = 'VD_WH_1762938516036';
UPDATE onevc_vwm_prod.warehouse SET capacity = 722 WHERE business_code = 'OMC' and code = 'VD_WH_1762938517744';
UPDATE onevc_vwm_prod.warehouse SET capacity = 677 WHERE business_code = 'OMC' and code = 'VD_WH_1762938518894';
UPDATE onevc_vsm_prod.sale SET total_stock = 1600 WHERE business_code = 'OMC' and code = 'VD_VC_1753937810521';
UPDATE onevc_vsm_prod.sale SET total_stock = 1000 WHERE business_code = 'OMC' and code = 'VD_VC_1758105880965';
UPDATE onevc_vsm_prod.sale SET total_stock = 442 WHERE business_code = 'OMC' and code = 'VD_VC_1758105882522';
UPDATE onevc_vsm_prod.sale SET total_stock = 423 WHERE business_code = 'OMC' and code = 'VD_VC_1758105883956';
UPDATE onevc_vsm_prod.sale SET total_stock = 1487 WHERE business_code = 'OMC' and code = 'VD_VC_1762938509852';
UPDATE onevc_vsm_prod.sale SET total_stock = 1499 WHERE business_code = 'OMC' and code = 'VD_VC_1762938511632';
UPDATE onevc_vsm_prod.sale SET total_stock = 727 WHERE business_code = 'OMC' and code = 'VD_VC_1762938512971';
UPDATE onevc_vsm_prod.sale SET total_stock = 778 WHERE business_code = 'OMC' and code = 'VD_VC_1762938514449';
UPDATE onevc_vsm_prod.sale SET total_stock = 666 WHERE business_code = 'OMC' and code = 'VD_VC_1762938516130';
UPDATE onevc_vsm_prod.sale SET total_stock = 722 WHERE business_code = 'OMC' and code = 'VD_VC_1762938517815';
UPDATE onevc_vsm_prod.sale SET total_stock = 677 WHERE business_code = 'OMC' and code = 'VD_VC_1762938518945';
UPDATE onevc_vsm_prod.distribute_lock SET total_stock = 1600 WHERE business_code = 'OMC' and sale_code = 'VD_VC_1753937810521';
UPDATE onevc_vsm_prod.distribute_lock SET total_stock = 1000 WHERE business_code = 'OMC' and sale_code = 'VD_VC_1758105880965';
UPDATE onevc_vsm_prod.distribute_lock SET total_stock = 442 WHERE business_code = 'OMC' and sale_code = 'VD_VC_1758105882522';
UPDATE onevc_vsm_prod.distribute_lock SET total_stock = 423 WHERE business_code = 'OMC' and sale_code = 'VD_VC_1758105883956';
UPDATE onevc_vsm_prod.distribute_lock SET total_stock = 1487 WHERE business_code = 'OMC' and sale_code = 'VD_VC_1762938509852';
UPDATE onevc_vsm_prod.distribute_lock SET total_stock = 1499 WHERE business_code = 'OMC' and sale_code = 'VD_VC_1762938511632';
UPDATE onevc_vsm_prod.distribute_lock SET total_stock = 727 WHERE business_code = 'OMC' and sale_code = 'VD_VC_1762938512971';
UPDATE onevc_vsm_prod.distribute_lock SET total_stock = 778 WHERE business_code = 'OMC' and sale_code = 'VD_VC_1762938514449';
UPDATE onevc_vsm_prod.distribute_lock SET total_stock = 666 WHERE business_code = 'OMC' and sale_code = 'VD_VC_1762938516130';
UPDATE onevc_vsm_prod.distribute_lock SET total_stock = 722 WHERE business_code = 'OMC' and sale_code = 'VD_VC_1762938517815';
UPDATE onevc_vsm_prod.distribute_lock SET total_stock = 677 WHERE business_code = 'OMC' and sale_code = 'VD_VC_1762938518945'; Thanks team</t>
  </si>
  <si>
    <t xml:space="preserve">[Loyalty][Non PROD] Tạo database cho service mới </t>
  </si>
  <si>
    <t>2026-02-24T15:29:45.515+0700</t>
  </si>
  <si>
    <t>2026-02-25T11:32:15.960+0700</t>
  </si>
  <si>
    <t>Loyalty, PS2, TCB_PS2</t>
  </si>
  <si>
    <t>Em chào anh  @Phạm Tuấn Linh , Nhờ anh tạo giúp em database cho môi trường qc và uat giúp em với ạ. QC Database information GCP project:  vinid-loyalty-nonprod Database name:  oneloyalty_budget_qc Database engine: MySQL Version: 8.x.x UAT  Database information GCP project:  vinid-loyalty-nonprod Database name:  oneloyalty_budget_uat Database engine: MySQL Version: 8.x.x</t>
  </si>
  <si>
    <t>Hỗ trợ cập nhật dữ liệu master data kho ADR01</t>
  </si>
  <si>
    <t>2026-02-24T14:20:41.002+0700</t>
  </si>
  <si>
    <t>2026-02-24T14:40:03.839+0700</t>
  </si>
  <si>
    <t>Hi DBA team, Hiện tại kho ADR01 cần fix lỗi master data, nhờ team DBA hỗ trợ cập nhật theo thông tin dưới đây Project : vinid-b2b-platform-prod Instance/IP : main (read-write): 172.31.4.59 Port : 3306 Database : omd_wms_core update gen_config gc set gc.prefix = replace(gc.prefix, 'DYE', 'ADR'),
                         gc.suffix = replace(gc.suffix, 'DYE', 'ADR') where gc.dc_code  = 'ADR01';</t>
  </si>
  <si>
    <t>[UPAY] [PROD] Script golive ngày 24/02/2026</t>
  </si>
  <si>
    <t>2026-02-24T13:54:40.026+0700</t>
  </si>
  <si>
    <t>2026-02-24T13:54:44.109+0700</t>
  </si>
  <si>
    <t>Hi anh Dũng. Nhờ anh chạy giúp em script dưới đây, môi trường PROD  ngày 24/02/2026  hôm nay ạ. Do job hạch toán đã chạy xong nên có thể thực hiện chạy script luôn được ạ. Thông tin database: jdbc:mysql://tidb.int.onemount.com:4000/vinpay_vinpay_prod_saas_ps2_general_ledger Script trong file đính kèm ạ</t>
  </si>
  <si>
    <t>2026-02-24T13:53:34.560+0700</t>
  </si>
  <si>
    <t>2026-02-24T13:53:38.924+0700</t>
  </si>
  <si>
    <t>Hi anh Dũng, Nhờ anh grant quyền giúp em (user:  truong.pham3@onemount.com ) có quyền view các bảng trên ODS sau, nhằm mục đích kiểm tra cấu hình hạch toán dự án PG2_GL ạ. Thông tin database: "tidb_ods"."vinpay_vinpay_prod_saas_ps2_general_ledger"</t>
  </si>
  <si>
    <t>[OSC][Non-prod] Chuyển luồng sync data từ Merchant Service về OSC.</t>
  </si>
  <si>
    <t>2026-02-24T09:25:05.237+0700</t>
  </si>
  <si>
    <t>2026-02-24T09:25:17.685+0700</t>
  </si>
  <si>
    <t>Hi DBA, Hiện tại TiCDC chưa hỗ trợ MySQL 8.4 nên luồng này đang lỗi ở Nonprod. Vậy nhờ DBA chuyển luồng đi qua phía DP và đẩy data về ODS tạm thời. Source:  merchant_service_uat (172.31.0.16) Target:  DP ODS: tidb.int.onemount.dev:4000/omd_vinid_app_common_dev_main_merchant_service_uat Dữ liệu lấy từ đầu tháng 2/2026 Thread:  https://chat.google.com/room/AAQAb8nMOXk/h_AbnP0SGac/dCJ0jaJlGvo?cls=10</t>
  </si>
  <si>
    <t>[OMC][MTP] Clear dữ liệu tracking W2 tháng 12/2025</t>
  </si>
  <si>
    <t>2026-02-14T08:30:01.648+0700</t>
  </si>
  <si>
    <t>2026-02-14T08:39:32.783+0700</t>
  </si>
  <si>
    <t>Dear anh  @Nguyễn Văn Dũng  , nhờ anh chạy giúp em script sau: -- DB: omc-mtp-tidb.int.onemount.com:4000
-- OMC
use omc_mtp_tracking_events;
ALTER TABLE omc_mtp_tracking_events.mtp_tracking_events_omc  DROP INDEX idx_u_message_id;
-- ALTER TABLE omc_mtp_tracking_events.mtp_tracking_events_omc DROP PARTITION p20251201;
ALTER TABLE omc_mtp_tracking_events.mtp_tracking_events_omc DROP PARTITION p20251202;
-- ALTER TABLE omc_mtp_tracking_events.mtp_tracking_events_context_omc DROP PARTITION p20251001;
-- ALTER TABLE omc_mtp_tracking_events.mtp_tracking_events_context_omc DROP PARTITION p20251002;
ALTER TABLE omc_mtp_tracking_events.mtp_tracking_events_context_omc DROP PARTITION p20251202;
-- ALTER TABLE omc_mtp_tracking_events.mtp_tracking_event_sessions DROP PARTITION p2025_11;
use omc_mtp_martech_activation;
-- ALTER TABLE omc_mtp_martech_activation.mtp_ads_events DROP PARTITION p2025_11;
-- ALTER TABLE omc_mtp_martech_activation.mtp_push_events DROP PARTITION p2025_11;
-- ALTER TABLE omc_mtp_martech_activation.mtp_tracking_email_events DROP PARTITION p2025_11;
-- ALTER TABLE omc_mtp_martech_activation.mtp_tracking_email_notifications DROP PARTITION p2025_11;
-- ALTER TABLE omc_mtp_martech_activation.mtp_tracking_fcm_messages DROP PARTITION p2025_11;
-- ALTER TABLE omc_mtp_martech_activation.mtp_tracking_push_notifications DROP PARTITION p2025_11;
-- OMRE
use omre_mtp_tracking_events;
ALTER TABLE omre_mtp_tracking_events.mtp_tracking_events_omre  DROP INDEX idx_u_message_id;
-- ALTER TABLE omre_mtp_tracking_events.mtp_tracking_events_omre drop partition p20251001;
-- ALTER TABLE omre_mtp_tracking_events.mtp_tracking_events_omre drop partition p20251002;
ALTER TABLE omre_mtp_tracking_events.mtp_tracking_events_omre drop partition p20251202;
-- ALTER TABLE omre_mtp_tracking_events.mtp_tracking_events_context_omre DROP PARTITION p20251001;
-- ALTER TABLE omre_mtp_tracking_events.mtp_tracking_events_context_omre DROP PARTITION p20251002;
ALTER TABLE omre_mtp_tracking_events.mtp_tracking_events_context_omre DROP PARTITION p20251202;
-- create global index
use omc_mtp_tracking_events;
ALTER TABLE omc_mtp_tracking_events.mtp_tracking_events_omc ADD UNIQUE INDEX idx_u_message_id (message_id) GLOBAL;
use omre_mtp_tracking_events;
ALTER TABLE omre_mtp_tracking_events.mtp_tracking_events_omre ADD UNIQUE INDEX idx_u_message_id (message_id) GLOBAL; -- URI: tidb.int.onemount.com:4000
DROP DATABASE dp_omc_semantic_omc_bsi_cdp; Best regards Dinh Quang Nguyen</t>
  </si>
  <si>
    <t>[TCB-MerchantHUB] - Tạo kafka topic cho dự án TCB Merchant HUB (Source PostgreSQL)</t>
  </si>
  <si>
    <t>2026-02-13T14:19:18.719+0700</t>
  </si>
  <si>
    <t>2026-02-25T19:21:50.324+0700</t>
  </si>
  <si>
    <t>Dear team DBA, Phục vụ dự án TCB Merchant Platform, nhờ các anh cấu hình giúp kafka topic với thông tin như sau: Database type postgres Host merchant-hub-np-postgres / 172.31.0.93 Port 5432 Database/Schema order: mhpos_oms_qc fiscal: mhpos_fiscal_qc Tables: Schema: mhpos_oms_qc ward
district
order_item
sale_order
order_item_add_on
country
dining_table
order_adjustment
order_code_sequence
province
order_type
store_fee_config
merchant
warehouse
address
payment_mode Schema: mhpos_fiscal_qc merchant
e_invoice_series
tax_categories
e_invoice
e_invoice_management_account
e_invoice_registrations
tax_authority
e_invoice_registrations_template Em cảm ơn ạ.</t>
  </si>
  <si>
    <t>2026-02-13T14:19:05.257+0700</t>
  </si>
  <si>
    <t>2026-02-13T14:19:09.176+0700</t>
  </si>
  <si>
    <t>Dear DBA Team, Cần chạy gấp!!! Nhờ a/e hỗ trợ chạy  luôn giúp lệnh xóa store applied co voucher:  VD_VC_1770700827566 IP: 172.31.1.41
Database: vincart_mm_product Lệnh: delete
from variant_apply_store_mapping
where variant_id in (select id
                     from variants
                     where code in ('VD_VC_1770700827566'));</t>
  </si>
  <si>
    <t>2026-02-12T13:37:35.760+0700</t>
  </si>
  <si>
    <t>2026-02-12T13:37:48.188+0700</t>
  </si>
  <si>
    <t>Dear DBA team, Nhờ team hỗ  trợ chạy giúp script: Thông tin DB: IP: 172.31.1.41
Database: vincart_mm_product Lệnh update: UPDATE entity_attributes_values
SET value = replace(value, '"merchant_name":"Vinwonders"', '"merchant_name":"VinWonders"')
WHERE name = 'voucher_accepted_merchants'
  and entity_id in (1075586, 1075443)
  and type = 'VARIANT';</t>
  </si>
  <si>
    <t>[UPAY][PROD] Hỗ trợ golive release tính năng 07/02/2026</t>
  </si>
  <si>
    <t>2026-02-12T10:18:48.608+0700</t>
  </si>
  <si>
    <t>2026-02-12T10:19:02.849+0700</t>
  </si>
  <si>
    <t>Hi a  @Nguyễn Văn Dũng  nhờ a chạy script theo mô tả  dưới đây ở môi trường PRODUCTION theo thông tin dưới đây ạ: Thời gian chạy script: Vào lúc  00h01 ngày 07/02/2026 Thông tin database:  mysql://vinpay-sql-onehub-master.int.vinid.net:3306/pay_payment_gateway CR Ticket:    Script: Em sẽ bổ sung sau ạ</t>
  </si>
  <si>
    <t>[OMC][Loyalty MFT] VCM - Cập nhật thông tin voucher</t>
  </si>
  <si>
    <t>2026-02-12T10:03:11.941+0700</t>
  </si>
  <si>
    <t>2026-02-12T10:13:15.931+0700</t>
  </si>
  <si>
    <t>Theo yêu cầu từ phía đội vận hành CR    ( thread  trao đổi) , cần cập nhật lại thông tin thông tin loại voucher, nhờ team hỗ trợ với ạ. Thông tin database - GCP project  vinid-loyalty-prod
- Instance name : voucher-distribution
- Instance IP : 172.31.4.82
- Database : b2b_voucher_distribution Query UPDATE b2b_voucher_distribution.voucher v
SET v.voucher_fee_type = 'CASH'
WHERE v.voucher_fee_type IS NULL;
UPDATE b2b_voucher_distribution.voucher v
SET v.voucher_fee_type = 'PROMOTION'
WHERE v.code IN ('PV_WARNINGZONE10P110424','TEST_VC','PV_IBASIC200K190424_190424','PV_IBASIC300K190424_190424'); Thanks team</t>
  </si>
  <si>
    <t>2026-02-12T10:01:04.405+0700</t>
  </si>
  <si>
    <t>2026-02-12T10:13:13.771+0700</t>
  </si>
  <si>
    <t>[UPAY] Xóa index không dùng ở ODS</t>
  </si>
  <si>
    <t>2026-02-12T00:01:13.981+0700</t>
  </si>
  <si>
    <t>2026-02-12T00:01:23.232+0700</t>
  </si>
  <si>
    <t>Nhờ team hỗ trợ xóa index ở trên ODS với các index ít sử dụng Database:  http://tidb.int.onemount.com:4000/saas_tpay Thời gian chạy:  11h ngày 11/02/2026   Câu lệnh thực thi  Được chích dẫn từ ticket:     DROP INDEX ACTIVE_MERCHANT_REPORT_date_IDX ON ACTIVE_MERCHANT_REPORT;
DROP INDEX AUTO_SETTLEMENT_fee_period_from_fee_period_to_index ON AUTO_SETTLEMENT;
DROP INDEX AUTO_SETTLEMENT_ft_id_index ON AUTO_SETTLEMENT;
DROP INDEX AUTO_SETTLEMENT_job_management_id_index ON AUTO_SETTLEMENT;
DROP INDEX AUTO_SETTLEMENT_request_id_index ON AUTO_SETTLEMENT;
DROP INDEX idx_backup_is_tcb_sync_data_updated ON CARD_PAYMENT_TRANSACTION_DETAIL_BACKUP;
DROP INDEX DASHBOARD_SOFTPOS_branch_IDX ON DASHBOARD_SOFTPOS;
DROP INDEX DASHBOARD_SOFTPOS_date_IDX ON DASHBOARD_SOFTPOS;
DROP INDEX DASHBOARD_SOFTPOS_merchant_IDX ON DASHBOARD_SOFTPOS;
DROP INDEX DASHBOARD247_date_IDX ON DASHBOARD247;
DROP INDEX DEVICE_MODEL_MAPPING_manufacturer_index ON DEVICE_MODEL_MAPPING;
DROP INDEX channel_code_ECOM_MERCHANT_CHANNEL_CONFIG ON ECOM_MERCHANT_CHANNEL_CONFIG;
DROP INDEX client_id_ECOM_MERCHANT_CONFIG ON ECOM_MERCHANT_CONFIG;
DROP INDEX MERCHANT_CODE_MCC_IDX ON ECOM_MERCHANT_CYBER;
DROP INDEX mcc_ECOM_MERCHANT_NAPAS_MAPPING ON ECOM_MERCHANT_NAPAS_MAPPING;
DROP INDEX EVENT_CHECKING_created_date_index ON EVENT_CHECKING;
DROP INDEX FEE_CONSOLIDATE_request_id_index ON FEE_CONSOLIDATE;
DROP INDEX FEE_COUNTER_job_management_id_index ON FEE_COUNTER;
DROP INDEX FEE_SETTLEMENT_fee_group_by_index ON FEE_SETTLEMENT;
DROP INDEX FEE_SETTLEMENT_merchant_code_index ON FEE_SETTLEMENT;
DROP INDEX FEE_SETTLEMENT_fee_period_from_fee_period_to_index ON FEE_SETTLEMENT;
DROP INDEX TYPE ON GA_BATCH_JOB_CONFIG;
DROP INDEX EVENT_CODE ON GA_EVENT_CONFIG;
DROP INDEX TYPE ON GA_EVENT_CONFIG;
DROP INDEX GROUP_CODE ON GA_EVENT_GROUP_CONFIG;
DROP INDEX CHART_CODE ON GA_GROUP_CONFIG;
DROP INDEX EVENT_TYPE ON GA_JOB_MANAGEMENT;
DROP INDEX EVENT_CODE ON GA_ONBOARD_TRACKING_REPORT;
DROP INDEX EVENT_TIME ON GA_ONBOARD_TRACKING_REPORT;
DROP INDEX IMPORT_merchant_code_index ON IMPORT;
DROP INDEX IMPORT_merchant_code_source_created_at_index_2 ON IMPORT;
DROP INDEX idx_transaction_detail_id ON IMPORT_REFUND;
DROP INDEX IMPORT_REFUND_import_id_index ON IMPORT_REFUND;
DROP INDEX idx_cfg_filter ON INSTALLMENT_CONFIG;
DROP INDEX IDX_MERCHANT_CODE ON LIMIT_RULE;
DROP INDEX IDX_MERCHANT_STORE_CODE ON MERCHANT_NOTIFICATION_SUBSCRIPTION;
DROP INDEX IDX_USER_ID ON MERCHANT_NOTIFICATION_SUBSCRIPTION;
DROP INDEX PARTNER_client_id_index ON PARTNER;
DROP INDEX PARTNER_INSTALLMENT_INFO_authorization_id_card_number_index ON PARTNER_INSTALLMENT_INFO;
DROP INDEX JOB_HISTORY_created_date_IDX ON REPORT_JOB_HISTORY;
DROP INDEX SERVICE_MERCHANT_CODE_SERVICE_CODE_index ON SERVICE;
DROP INDEX idx_store_code ON SERVICE;
DROP INDEX idx_session_id ON SESSION_CONTRACT;
DROP INDEX SESSION_HISTORY_session_id_index ON SESSION_HISTORY;
DROP INDEX SESSION_IMAGE_session_id_index ON SESSION_IMAGE;
DROP INDEX idx_sdm_merchant_store_names ON SMARTPOS_DEVICE_MAPPING;
DROP INDEX idx_sdm_tcb_card ON SMARTPOS_DEVICE_MAPPING;
DROP INDEX idx_sdm_tcb_qr ON SMARTPOS_DEVICE_MAPPING;
DROP INDEX idx_sdmh_device_id ON SMARTPOS_DEVICE_MAPPING_HISTORY;
DROP INDEX idx_user_created ON SOFTPOS_DEVICE_HISTORY;
DROP INDEX SOFTPOS_DEVICE_HISTORY_auth_om_user_id_index ON SOFTPOS_DEVICE_HISTORY;
DROP INDEX SOFTPOS_DEVICE_HISTORY_updated_at_index ON SOFTPOS_DEVICE_HISTORY;
DROP INDEX idx_sm_branch_merch ON SOFTPOS_MERCHANT;
DROP INDEX branch_code_index ON SOFTPOS_QR_MERCHANT;
DROP INDEX idx_SOFTPOS_QR_STORE_mc_sc_status ON SOFTPOS_QR_STORE;
DROP INDEX idx_device_id_SoftposDeviceAuthManagement ON SoftposDeviceAuthManagement;
DROP INDEX idx_deid_sdm_merchant_store ON SOUNDBOX_DEVICE_MAPPING;
DROP INDEX idx_sdm_device_service_time ON SOUNDBOX_DEVICE_MAPPING;
DROP INDEX idx_sales_status_id_sales ON SOUNDBOX_DEVICE_SALES;
DROP INDEX idx_file_code ON SOUNDBOX_FILE;
DROP INDEX idx_merchant_code ON SOUNDBOX_FILE;
DROP INDEX idx_ticket_id ON SOUNDBOX_FILE;
DROP INDEX merchant_code ON SOUNDBOX_FILE;
DROP INDEX idx_date_creator ON SOUNDBOX_MERCHANT;
DROP INDEX idx_status ON SOUNDBOX_MERCHANT;
DROP INDEX idx_ticket_id ON SOUNDBOX_MERCHANT;
DROP INDEX idx_datets_txn_device_upd ON SOUNDBOX_NOTIFICATION;
DROP INDEX idx_transaction_id_updated_at_device_serial_number ON SOUNDBOX_NOTIFICATION;
DROP INDEX idx_message_id ON SOUNDBOX_NOTIFICATION;
DROP INDEX idx_tcb_mer_store ON SOUNDBOX_STORE;
DROP INDEX TCB_MERCHANT_ID ON SOUNDBOX_STORE;
DROP INDEX IDX_REF_H2H ON SOUNDBOX_VA_TRANSACTION_H2H;
DROP INDEX idx_mc_sc_id ON STORE;
DROP INDEX SYNC_UNIFIED_JOB_MANAGEMENT_job_code_folder_date_index ON SYNC_UNIFIED_JOB_MANAGEMENT;
DROP INDEX SYNC_UNIFIED_JOB_MANAGEMENT_DETAIL_job_code_index ON SYNC_UNIFIED_JOB_MANAGEMENT_DETAIL;
DROP INDEX SYNC_UNIFIED_JOB_MANAGEMENT_DETAIL_job_management_id_index ON SYNC_UNIFIED_JOB_MANAGEMENT_DETAIL;
DROP INDEX idx_device_hub ON TCB_DEVICE;
DROP INDEX idx_device_hub_device_hub_code ON TCB_DEVICE;
DROP INDEX idx_device_hub1 ON TCB_DEVICE;
DROP INDEX idx_device_id_device_serial_number ON TCB_DEVICE;
DROP INDEX idx_tcb_device_hub_id ON TCB_DEVICE;
DROP INDEX LOCKED ON TCB_DEVICE;
DROP INDEX LOCKED_REASON_CODE ON TCB_DEVICE;
DROP INDEX PHYSICAL_STATUS ON TCB_DEVICE;
DROP INDEX TCB_DEVICE_VENDOR_CODE_INDEX ON TCB_DEVICE;
DROP INDEX USAGE_STATUS ON TCB_DEVICE;
DROP INDEX TCB_DEVICE_STATE_DEVICE_SERIAL_NUMBER_INDEX ON TCB_DEVICE_STATE;
DROP INDEX TCB_MERCHANT_TRANSACTION_message_id_index ON TCB_MERCHANT_TRANSACTION;
DROP INDEX TCB_RECONCILE_JOB_HISTORY_LOG_created_at_index ON TCB_RECONCILE_JOB_HISTORY_LOG;
DROP INDEX TCB_SYNC_DATA_JOB_HISTORY_LOG_data_sync_date_state_status_index ON TCB_SYNC_DATA_JOB_HISTORY_LOG;
DROP INDEX idx_mer_create ON TRANSACTION_DETAIL;
DROP INDEX idx_message_id ON TRANSACTION_DETAIL;
DROP INDEX idx_mer_transaction_time ON TRANSACTION_DETAIL;
DROP INDEX TRANSACTION_DETAIL_notify_date_merchant_code_composite_idx ON TRANSACTION_DETAIL;
DROP INDEX idx_RETRY_STATUS_RETRY_REASON ON TRANSACTION_INVALID;
DROP INDEX idx_RETRY_REASON_RETRY_STATUS ON TRANSACTION_INVALID;
DROP INDEX index3 ON TRANSACTION_LOYALTY;
DROP INDEX idx_tm_service_name_refund_status ON TRANSACTION_MASTER;
DROP INDEX idx_sc_tcbid_mai ON UNIFIED_MERCHANT_SERVICE;
DROP INDEX idx_ums_mc_tcb_sc ON UNIFIED_MERCHANT_SERVICE;
DROP INDEX idx_ut_mc_tcbtid ON UNIFIED_TERMINAL;
DROP INDEX tcb_terminal_id_tcb_store_id_tcb_terminal_id_idx ON UNIFIED_TERMINAL;
DROP INDEX idx_user_id_USER_ACCESS_TOKEN_MANAGEMENT ON USER_ACCESS_TOKEN_MANAGEMENT;</t>
  </si>
  <si>
    <t>[SOFTPOS] Cập nhập merchant code đầu MP và PAY lệch với TCB</t>
  </si>
  <si>
    <t>2026-02-11T11:38:40.802+0700</t>
  </si>
  <si>
    <t>2026-02-11T11:38:44.864+0700</t>
  </si>
  <si>
    <t>Hi a  @Nguyễn Văn Dũng   nhờ a chạy giúp em ticket sau nhé ạ.  Thông tin database saas_tpay:  pay-tidb.int.onemount.com:4000/saas_tpay Scripts: UPDATE SOFTPOS_QR_MERCHANT SET MERCHANT_CODE = '75930824' WHERE MERCHANT_CODE = 'MERCHANTDVSGN';
UPDATE SOFTPOS_QR_STORE SET MERCHANT_CODE = '75930824' WHERE MERCHANT_CODE = 'MERCHANTDVSGN';
UPDATE SOFTPOS_QR_TERMINAL SET MERCHANT_CODE = '75930824' WHERE MERCHANT_CODE = 'MERCHANTDVSGN';
UPDATE SERVICE SET MERCHANT_CODE = '75930824', MERCHANT_REF = '75930824' WHERE MERCHANT_CODE = 'MERCHANTDVSGN';</t>
  </si>
  <si>
    <t>[OMC][GAMI][OneU][Prod] Hỗ trợ lấy data chương trình vòng quay cho VNA</t>
  </si>
  <si>
    <t>2026-02-11T10:54:47.845+0700</t>
  </si>
  <si>
    <t>2026-02-11T11:52:38.972+0700</t>
  </si>
  <si>
    <t>Hỗ trợ lấy data chương trình vòng quay cho VNA Host:  172.31.1.14 DB:  mystery-box-service-prod SELECT * FROM `turn_histories`  WHERE campaign_id=674 AND quantity&gt;0 AND created_at &lt;'2026-02-11 00:00:00'
ORDER BY user_id, created_at</t>
  </si>
  <si>
    <t>Xóa các bảng backup trên database TPAY</t>
  </si>
  <si>
    <t>2026-02-11T09:55:58.398+0700</t>
  </si>
  <si>
    <t>2026-02-11T09:56:10.241+0700</t>
  </si>
  <si>
    <t>Description Xóa các bảng backup có tiền tố  BACKUP_14122025  trên db TPAY Thông tin database: saas_tpay:  pay-tidb.int.onemount.com:4000/saas_tpay SQL DROP TABLE IF EXISTS BACKUP_14122025_ACCOUNT;
DROP TABLE IF EXISTS BACKUP_14122025_MERCHANT;
DROP TABLE IF EXISTS BACKUP_14122025_SERVICE;
DROP TABLE IF EXISTS BACKUP_14122025_SOFTPOS_MERCHANT;
DROP TABLE IF EXISTS BACKUP_14122025_SOFTPOS_QR_MERCHANT;
DROP TABLE IF EXISTS BACKUP_14122025_SOFTPOS_QR_STORE;
DROP TABLE IF EXISTS BACKUP_14122025_SOFTPOS_QR_TERMINAL;
DROP TABLE IF EXISTS BACKUP_14122025_SOFTPOS_TERMINAL;
DROP TABLE IF EXISTS BACKUP_14122025_STORE;
DROP TABLE IF EXISTS BACKUP_14122025_UNIFIED_MERCHANT;
DROP TABLE IF EXISTS BACKUP_14122025_UNIFIED_MERCHANT_SERVICE;
DROP TABLE IF EXISTS BACKUP_14122025_UNIFIED_STORE;
DROP TABLE IF EXISTS BACKUP_14122025_UNIFIED_TERMINAL;</t>
  </si>
  <si>
    <t>[OMC][TiDB OMC] Chuyển CDP từ ODS về TiDB OMC non prod</t>
  </si>
  <si>
    <t>2026-02-11T09:09:46.085+0700</t>
  </si>
  <si>
    <t>2026-02-11T10:39:36.010+0700</t>
  </si>
  <si>
    <t xml:space="preserve">Dear anh  @Đào Công Nghĩa   nhờ anh tạo giúp em schema và import data từ ggsheet vào bảng này giúp em data ở TiDB như sau ạ :    -- DB: tidb.int.onemount.dev:4000
-- Schema: dp_omc_semantic_omc_bsi_cdp
CREATE TABLE `user_location` (
  `pk` varchar(254) COLLATE utf8mb4_unicode_ci NOT NULL,
  `customer_id` varchar(50) COLLATE utf8mb4_unicode_ci DEFAULT NULL,
  `lat_rad_round` int(11) DEFAULT NULL,
  `lon_rad_round` int(11) DEFAULT NULL,
  `location_type` varchar(50) COLLATE utf8mb4_unicode_ci DEFAULT NULL,
  `long_estimate`  DECIMAL(10,7)  DEFAULT NULL,
  `lat_estimate`  DECIMAL(10,7)  DEFAULT NULL,
  `row_created_at` datetime DEFAULT NULL,
  PRIMARY KEY (`pk`) /*T![clustered_index] CLUSTERED */,
  KEY `idx_customer_id` (`customer_id`),
  KEY `idx_customer_id_location_type` (`customer_id`,`location_type`)
) ENGINE=InnoDB DEFAULT CHARSET=utf8mb4 COLLATE=utf8mb4_unicode_ci; cc a  @Phan Chí Cương  , chị  @Former user  </t>
  </si>
  <si>
    <t>[UPAY][PROD] Script release SMARTPOS ngày 07/02/2026</t>
  </si>
  <si>
    <t>2026-02-11T09:06:23.116+0700</t>
  </si>
  <si>
    <t>2026-02-11T09:06:28.482+0700</t>
  </si>
  <si>
    <t>Hi các anh Nhờ anh chạy các script sau giúp em trên: Prod  vào lúc trước  00:30 ngày 07/02/2026 Thông tin database gồm có những DB sau ạ: Prod SAAS :  pay-tidb.int.onemount.com:4000/saas_tpay create table MERCHANT_PUBLIC_KEY
(
    ID             bigint auto_increment
        primary key,
    MERCHANT_CODE  varchar(50)                         not null,
    PARTNER_CODE   varchar(50)                         not null,
    KEY_VERSION    varchar(20)                         not null,
    ALGORITHM      varchar(50)                         not null,
    KEY_TYPE       varchar(20)                         not null,
    KEY_SIZE       int                                 not null,
    PUBLIC_KEY     text                                not null,
    STATUS         varchar(20)                         not null,
    EFFECTIVE_FROM timestamp                           null,
    EXPIRE_AT      timestamp                           null,
    CREATED_AT     timestamp default CURRENT_TIMESTAMP null,
    UPDATED_AT     timestamp default CURRENT_TIMESTAMP null
)AUTO_ID_CACHE=1 ENGINE=InnoDB DEFAULT CHARSET=utf8mb4 COLLATE=utf8mb4_unicode_ci;</t>
  </si>
  <si>
    <t>2026-02-11T09:04:51.350+0700</t>
  </si>
  <si>
    <t>2026-02-11T09:05:02.764+0700</t>
  </si>
  <si>
    <t>Hi a  @Nguyễn Văn Dũng , nhờ a chạy giúp e script bên dưới với ạ Thông tin database saas_tpay:  pay-tidb.int.onemount.com:4000/saas_tpay Scripts: -- IMPORTED -&gt; RETURNED
UPDATE TCB_DEVICE SET PHYSICAL_STATUS = 'RETURNED'
WHERE device_serial_number IN ('38250330304540', '38250330314850');</t>
  </si>
  <si>
    <t>[OMC][MCL] Tạo segments cho MKT</t>
  </si>
  <si>
    <t>2026-02-10T09:12:57.700+0700</t>
  </si>
  <si>
    <t>2026-02-10T10:59:18.659+0700</t>
  </si>
  <si>
    <t>Dear  @Đào Công Nghĩa  , nhờ em chạy giúp anh script sau: -- DB: 172.31.1.21:3306
-- Schema: mtp_martech_profile
INSERT INTO mtp_anonymous_profile_segmentation_job
	(`id`, `segmentation_id`, `status`, `hash`, `properties`, `external_properties`, `created_at`, `display_name`, `display_order`)
VALUES 
-- TCBM --
-- NTB_non_PnP_Link account to OneU x
(
    '5f688d30-0100-4995-a367-04497e750698',
    'f83a1b2542cd4e7b9a8c7fd638e2oskf',
    '',
    'a8deffdc11d47cb34f51ff30db235c7ac19875ea83d7f725d2c1c39d18de31f5',
    '{"AND":[{"attribute":"cst_member_type","operator":"=","data_type":"STRING","value":"NTB"},{"attribute":"cst_loyalty_tier","operator":"NOT IN","data_type":"STRING","value":["PRV","PRO"]},{"attribute":"is_linking","operator":"=","data_type":"BOOL","value":true}]}',
    '{}',
    NOW(),
    'NTB_non_PnP_Link account to OneU',
    0
),
-- NonTier_ETB_Link account to OneU x
(
    '923d2a71-18fc-459e-983e-8159be60ef74',
    'f83a1b2542cd4e7b9a8c7fd638e2oskf',
    '',
    '938a546b89ac0626479d2b659c5bb0c07f5a74272e7196845e5dfb48c7acf7e9',
    '{"AND":[{"OR":[{"attribute":"cst_loyalty_tier","operator":"=","data_type":"STRING","value":"MEM"},{"attribute":"cst_loyalty_tier","operator":"","data_type":"STRING","value":"","operator_expr":"cst_loyalty_tier is NULL"}]},{"attribute":"cst_member_type","operator":"=","data_type":"STRING","value":"ETB"},{"attribute":"is_linking","operator":"=","data_type":"BOOL","value":true}]}',
    '{}',
    NOW(),
    'NonTier_ETB_Link account to OneU',
    0
),
-- Inspire_ETB_Link account to OneU x 
(
    '4504988d-383c-47bc-88f5-caaeb740ef8f',
    'f83a1b2542cd4e7b9a8c7fd638e2oskf',
    '',
    '912809585b6b78a0ad97cc9952034c39a2c636236d4a40ba90d21f2716de6a6b',
    '{"AND":[{"attribute":"cst_loyalty_tier","operator":"=","data_type":"STRING","value":"INS"},{"attribute":"cst_member_type","operator":"=","data_type":"STRING","value":"ETB"},{"attribute":"is_linking","operator":"=","data_type":"BOOL","value":true}]}',
    '{}',
    NOW(),
    'Inspire_ETB_Link account to OneU',
    0
),
-- PnP_Link account to OneU x
(
    '58770615-ae4a-4e85-9b3e-7c53257034cd',
    'f83a1b2542cd4e7b9a8c7fd638e2oskf',
    '',
    '5ce8b03b4fb9ead8a6b9f1da5cae5826cf533ec1db5a0cd0178e4ca4105d2d6b',
    '{"AND":[{"attribute":"cst_loyalty_tier","operator":"IN","data_type":"STRING","value":["PRV","PRO"]},{"attribute":"is_linking","operator":"=","data_type":"BOOL","value":true}]}',
    '{}',
    NOW(),
    'PnP_Link account to OneU',
    0
),
-- NTB_non_PnP_Nonlink account to OneU x
(
    'aa28c421-8d46-4dbb-b72e-5eee20e6d9c5',
    'f83a1b2542cd4e7b9a8c7fd638e2oskf',
    '',
    '1f32e9cebd005f0d796c799aefeaac9c02bb878c178ec3573b73a5f20f2333cb',
    '{"AND":[{"attribute":"cst_member_type","operator":"=","data_type":"STRING","value":"NTB"},{"attribute":"cst_loyalty_tier","operator":"NOT IN","data_type":"STRING","value":["PRV","PRO"]},{"attribute":"is_linking","operator":"!=","data_type":"BOOL","value":true}]}',
    '{}',
    NOW(),
    'NTB_non_PnP_Nonlink account to OneU',
    0
),
-- NonTier_ETB_Nonlink account to OneU x
(
    'b54c1dfd-0e33-4809-be19-111c1cd733bb',
    'f83a1b2542cd4e7b9a8c7fd638e2oskf',
    '',
    'f986a1468f2036cb012b00abc0b00c438d3bcb7fa2ddc7aceb11291f438d2631',
    '{"AND":[{"OR":[{"attribute":"cst_loyalty_tier","operator":"=","data_type":"STRING","value":"MEM"},{"attribute":"cst_loyalty_tier","operator":"","data_type":"STRING","value":"","operator_expr":"cst_loyalty_tier is NULL"}]},{"attribute":"cst_member_type","operator":"=","data_type":"STRING","value":"ETB"},{"attribute":"is_linking","operator":"!=","data_type":"BOOL","value":true}]}',
    '{}',
    NOW(),
    'NonTier_ETB_Nonlink account to OneU',
    0
),
-- Inspire_ETB_Nonlink account to OneU x
(
    'db45a64d-890c-4bc0-80da-844aa98b33e1',
    'f83a1b2542cd4e7b9a8c7fd638e2oskf',
    '',
    'e55c50bba8d3d352f202e988dd929fd8d64625ca3cb6ec10ce2ff637f733d70f',
    '{"AND":[{"attribute":"cst_loyalty_tier","operator":"=","data_type":"STRING","value":"INS"},{"attribute":"cst_member_type","operator":"=","data_type":"STRING","value":"ETB"},{"attribute":"is_linking","operator":"!=","data_type":"BOOL","value":true}]}',
    '{}',
    NOW(),
    'Inspire_ETB_Nonlink account to OneU',
    0
),
-- PnP_Nonlink account to OneU x
(
    '70099774-fdad-4718-8dc3-da394b6b5319',
    'f83a1b2542cd4e7b9a8c7fd638e2oskf',
    '',
    '82fb1235f1fab3c0fd6445ac24659478aa0f50871cf6b058292f593c9f8120a1',
    '{"AND":[{"attribute":"cst_loyalty_tier","operator":"IN","data_type":"STRING","value":["PRV","PRO"]},{"attribute":"is_linking","operator":"!=","data_type":"BOOL","value":true}]}',
    '{}',
    NOW(),
    'Inspire_ETB_Nonlink account to OneU',
    0
);
INSERT INTO mtp_anonymous_profile_segmentation_job
	(`id`, `segmentation_id`, `status`, `hash`, `properties`, `external_properties`, `created_at`, `display_name`, `display_order`)
VALUES 
-- OneU --
-- NTB_non_PnP_Link account to OneU x
(
    '3cf7fc45-f484-486d-8768-46d15a6c17ca',
    'f83a1b2542cd4e7b9a8c7fd638e2oskj',
    '',
    'a8deffdc11d47cb34f51ff30db235c7ac19875ea83d7f725d2c1c39d18de31f5',
    '{"AND":[{"attribute":"cst_member_type","operator":"=","data_type":"STRING","value":"NTB"},{"attribute":"cst_loyalty_tier","operator":"NOT IN","data_type":"STRING","value":["PRV","PRO"]},{"attribute":"is_linking","operator":"=","data_type":"BOOL","value":true}]}',
    '{}',
    NOW(),
    'NTB_non_PnP_Link account to OneU',
    0
),
-- NonTier_ETB_Link account to OneU x
(
    'ea7953c4-8741-4fef-abb4-9a26a576e03d',
    'f83a1b2542cd4e7b9a8c7fd638e2oskj',
    '',
    '938a546b89ac0626479d2b659c5bb0c07f5a74272e7196845e5dfb48c7acf7e9',
    '{"AND":[{"OR":[{"attribute":"cst_loyalty_tier","operator":"=","data_type":"STRING","value":"MEM"},{"attribute":"cst_loyalty_tier","operator":"","data_type":"STRING","value":"","operator_expr":"cst_loyalty_tier is NULL"}]},{"attribute":"cst_member_type","operator":"=","data_type":"STRING","value":"ETB"},{"attribute":"is_linking","operator":"=","data_type":"BOOL","value":true}]}',
    '{}',
    NOW(),
    'NonTier_ETB_Link account to OneU',
    0
),
-- Inspire_ETB_Link account to OneU x 
(
    '9b9ce1e0-2d4e-43bc-98a4-1ad954192dc3',
    'f83a1b2542cd4e7b9a8c7fd638e2oskj',
    '',
    '912809585b6b78a0ad97cc9952034c39a2c636236d4a40ba90d21f2716de6a6b',
    '{"AND":[{"attribute":"cst_loyalty_tier","operator":"=","data_type":"STRING","value":"INS"},{"attribute":"cst_member_type","operator":"=","data_type":"STRING","value":"ETB"},{"attribute":"is_linking","operator":"=","data_type":"BOOL","value":true}]}',
    '{}',
    NOW(),
    'Inspire_ETB_Link account to OneU',
    0
),
-- PnP_Link account to OneU x
(
    'e1a15d75-6057-43bd-9e59-1642af4d1add',
    'f83a1b2542cd4e7b9a8c7fd638e2oskj',
    '',
    '5ce8b03b4fb9ead8a6b9f1da5cae5826cf533ec1db5a0cd0178e4ca4105d2d6b',
    '{"AND":[{"attribute":"cst_loyalty_tier","operator":"IN","data_type":"STRING","value":["PRV","PRO"]},{"attribute":"is_linking","operator":"=","data_type":"BOOL","value":true}]}',
    '{}',
    NOW(),
    'PnP_Link account to OneU',
    0
),
-- NTB_non_PnP_Nonlink account to OneU x
(
    'f4cb0cf0-ed7e-4b18-b732-be7ec2659f13',
    'f83a1b2542cd4e7b9a8c7fd638e2oskj',
    '',
    '1f32e9cebd005f0d796c799aefeaac9c02bb878c178ec3573b73a5f20f2333cb',
    '{"AND":[{"attribute":"cst_member_type","operator":"=","data_type":"STRING","value":"NTB"},{"attribute":"cst_loyalty_tier","operator":"NOT IN","data_type":"STRING","value":["PRV","PRO"]},{"attribute":"is_linking","operator":"!=","data_type":"BOOL","value":true}]}',
    '{}',
    NOW(),
    'NTB_non_PnP_Nonlink account to OneU',
    0
),
-- NonTier_ETB_Nonlink account to OneU x
(
    '8d299d02-c082-4f66-a841-a5f98af120d2',
    'f83a1b2542cd4e7b9a8c7fd638e2oskj',
    '',
    'f986a1468f2036cb012b00abc0b00c438d3bcb7fa2ddc7aceb11291f438d2631',
    '{"AND":[{"OR":[{"attribute":"cst_loyalty_tier","operator":"=","data_type":"STRING","value":"MEM"},{"attribute":"cst_loyalty_tier","operator":"","data_type":"STRING","value":"","operator_expr":"cst_loyalty_tier is NULL"}]},{"attribute":"cst_member_type","operator":"=","data_type":"STRING","value":"ETB"},{"attribute":"is_linking","operator":"!=","data_type":"BOOL","value":true}]}',
    '{}',
    NOW(),
    'NonTier_ETB_Nonlink account to OneU',
    0
),
-- Inspire_ETB_Nonlink account to OneU x
(
    '665a7957-9e37-4590-88cf-9e6021f8f240',
    'f83a1b2542cd4e7b9a8c7fd638e2oskj',
    '',
    'e55c50bba8d3d352f202e988dd929fd8d64625ca3cb6ec10ce2ff637f733d70f',
    '{"AND":[{"attribute":"cst_loyalty_tier","operator":"=","data_type":"STRING","value":"INS"},{"attribute":"cst_member_type","operator":"=","data_type":"STRING","value":"ETB"},{"attribute":"is_linking","operator":"!=","data_type":"BOOL","value":true}]}',
    '{}',
    NOW(),
    'Inspire_ETB_Nonlink account to OneU',
    0
),
-- PnP_Nonlink account to OneU x
(
    '60234c11-88e3-4c84-b37e-b248da30b653',
    'f83a1b2542cd4e7b9a8c7fd638e2oskj',
    '',
    '82fb1235f1fab3c0fd6445ac24659478aa0f50871cf6b058292f593c9f8120a1',
    '{"AND":[{"attribute":"cst_loyalty_tier","operator":"IN","data_type":"STRING","value":["PRV","PRO"]},{"attribute":"is_linking","operator":"!=","data_type":"BOOL","value":true}]}',
    '{}',
    NOW(),
    'Inspire_ETB_Nonlink account to OneU',
    0
); Best regards Dinh Quang Nguyen</t>
  </si>
  <si>
    <t>[PROD][OMC][LP][Core] Update data for table REASON_CODE</t>
  </si>
  <si>
    <t>2026-02-09T18:25:16.112+0700</t>
  </si>
  <si>
    <t>2026-02-09T18:52:18.485+0700</t>
  </si>
  <si>
    <t>Dear Team DBA, Nhờ team cập nhật data cho bảng sau giúp ạ : REASON_CODE UPDATE OLOYALTY.REASON_CODE
SET FUNCTION_CODE_ID = 103
WHERE CODE = 'ADJ_114' AND BUSINESS_ID = 346 AND PROGRAM_ID = 426;</t>
  </si>
  <si>
    <t>[TCB-MerchantHUB] - Tạo kafka topic cho dự án TCB Merchant HUB (Source Mysql)</t>
  </si>
  <si>
    <t>2026-02-09T16:48:32.477+0700</t>
  </si>
  <si>
    <t>2026-02-10T14:18:56.195+0700</t>
  </si>
  <si>
    <t>Dear team DBA, Em tạo ticket xin kafka topic cho dự án TCB Merchant HUB với thông tin như sau, nhờ các anh hỗ trợ config giúp ạ: Database type MySQL Host 172.31.0.16 Port 3306 Database/Schema merchant_service_tcb_qc Danh sách bảng  tpay_request_merchant
tpay_request_merchant_bank
tpay_merchant
tpay_store_terminal_permission
tpay_store_service
tpay_terminal_service
tpay_request_terminal
tpay_request_store
tpay_store
tpay_terminal
tpay_user_branch
tpay_merchant_document_items
tpay_request_staff
tpay_staff_role_permission
tpay_role_permission
tpay_user_role
tpay_request_user
tpay_user
tpay_staff
tpay_device_log
tpay_merchant_document_requests
tpay_request_staff_role
tpay_industry
tpay_merchant_documents
tpay_request_role
tpay_branch
tpay_business_type
tpay_sector
tpay_permission
tpay_staff_role
tpay_staff_permission
tpay_role
tpay_onboarding_sessions
tpay_request_physical_store
tpay_physical_store
tpay_business_line
tpay_service
tpay_document
tpay_physical_store_service</t>
  </si>
  <si>
    <t>2026-02-09T12:34:25.906+0700</t>
  </si>
  <si>
    <t>2026-02-09T13:12:40.869+0700</t>
  </si>
  <si>
    <t xml:space="preserve">Em chào anh chị, Anh chị chạy giúp em lệnh SQL update DB với ạ. project: om-charity-prod Instance name: om-charity-fund-core IP: 172.31.4.7 DB name: fund-core user name: ? password: ? SQL:    </t>
  </si>
  <si>
    <t>[Data Platform][Productoin] Tạo database MySQL metastore_mag trên cụm của Data Platform</t>
  </si>
  <si>
    <t>2026-02-09T12:23:55.672+0700</t>
  </si>
  <si>
    <t>2026-02-09T12:30:56.649+0700</t>
  </si>
  <si>
    <t>Chào các anh, Data Platform đang triển khai Metastore cho MAG, nên bên em cần tạo database để Metastore lưu trữ dữ liệu. Thông tin: Tên: metastore_mag. Cụm: 172.31.4.5:3306. Ref:  https://onemount.atlassian.net/browse/DWHV2-12624 .</t>
  </si>
  <si>
    <t>[MAG][IOTek][MCM][non-PROD]Migrate DB của MCM trên  Non-Prd sang AWS Landing Zone mới</t>
  </si>
  <si>
    <t>2026-02-09T12:00:36.718+0700</t>
  </si>
  <si>
    <t>2026-02-12T18:44:01.845+0700</t>
  </si>
  <si>
    <t>MigrateService</t>
  </si>
  <si>
    <t>Nhờ các anh bên DBA hỗ trợ migrate các dữ liệu trên DEV/STG sang LZ mới. và nhân tiện rename lại tên DB theo đúng tên mới của dự án theo sau: STT Hiện tại Mới 1 ces_mh_mpm_dev mcm_biz_dev 2 ces_data_transfer_dev mcm_data_transfer_dev 3 ces_mcm_storage_dev mcm_storage_dev 4 ces_notification_gateway_dev mcm_notification_gateway_dev 5 ces_workflow_service_dev mcm_workflow_service_dev 6 ces_workflow_service_history_dev mcm_workflow_service_history_dev 7 ces_mh_mpm_stg mcm_biz_stg 8 ces_data_transfer_stg mcm_data_transfer_stg 9 ces_mcm_storage_stg mcm_storage_stg 10 ces_notification_gateway_stg mcm_notification_gateway_stg 11 ces_workflow_service_stg mcm_workflow_service_stg 12 ces_workflow_service_history_stg mcm_workflow_service_history_stg DB host:  mas-mysql-dev.cr62264i6qsz.ap-southeast-1.rds.amazonaws.com DB port: 3306</t>
  </si>
  <si>
    <t>2026-02-09T10:43:06.663+0700</t>
  </si>
  <si>
    <t>2026-02-09T10:54:19.540+0700</t>
  </si>
  <si>
    <t>Hỗ trợ lấy data chương trình Lì Xì trên OneU Host:  172.31.1.14 DB:  gamezone SELECT user_id, SUM(unit_value) FROM `transactions` WHERE campaign_id = 671 AND pool_id = 723 AND reward_id = 3883 AND created_at &lt;'2026-02-09 00:00:00'
GROUP BY user_id;</t>
  </si>
  <si>
    <t>[LP][Core] - Drop index COUNTER_HISTORY_COUNTER_ID_IDX của bảng Counter History</t>
  </si>
  <si>
    <t>2026-02-06T23:49:30.425+0700</t>
  </si>
  <si>
    <t>2026-02-07T00:03:20.869+0700</t>
  </si>
  <si>
    <t>Dear DBA Team, Hiện tại bảng  COUNTER_HISTORY  đang có 2 index trên cột  CODE  và  COUNTER_ID . Tuy nhiên, các truy vấn filter theo  CODE  không được Oracle chọn execution plan sử dụng index tương ứng, dẫn đến plan chưa tối ưu và ảnh hưởng hiệu năng. Sau khi team kỹ thuật đánh giá dựa trên dữ liệu thực tế và thiết kế nghiệp vụ, nhận thấy index trên cột  COUNTER_ID  không còn mang lại hiệu quả sử dụng. Việc giữ index này cũng làm tăng chi phí lưu trữ và ảnh hưởng đến optimizer. Vì vậy, nhờ DBA team hỗ trợ  drop index   COUNTER_HISTORY_COUNTER_ID_IDX  trên bảng  COUNTER_HISTORY  để tối ưu execution plan và hiệu năng hệ thống. Thông tin database: IP: 10.255.23.119 Service name: oneloyaltydb Port: 1521 schema app: OLOYALTY Thanks!</t>
  </si>
  <si>
    <t>Hỗ trợ tạo dữ liệu mở lại kho  NPP Adayroi</t>
  </si>
  <si>
    <t>2026-02-06T18:02:50.176+0700</t>
  </si>
  <si>
    <t>2026-02-06T18:03:14.566+0700</t>
  </si>
  <si>
    <t>Hi DBA team, Hiện tại nghiệp vụ có nhu cầu mở mới kho ADR - NPP Adayroi,  nhờ team DBA hỗ trợ cập nhật giá trị theo thông tin dưới đây.   Câu query đánh giá là có thể ảnh hưởng đến vận hành hệ thống nên mong muốn chạy vào thời gian vận hành thấp điểm (từ 22h-2h sáng). Cụm WMS Project : vinid-b2b-platform-prod Instance/IP : main (read-write): 172.31.4.59 Port : 3306 Database : omd_wms_core Script : file  omd_wms_core_adr.sql  trong file đính kèm Cum WES Project : vinid-b2b-platform-prod Instance/IP : main (read-write): 172.31.1.143 Port : 3306 Database : wes_master Script : file  wes_master_adr.sql  trong file đính kèm</t>
  </si>
  <si>
    <t>[PROD] [VCM] Xóa key REDIS voucher, campaign hết hiệu lực</t>
  </si>
  <si>
    <t>2026-02-06T17:29:25.890+0700</t>
  </si>
  <si>
    <t>2026-04-26T03:21:27.361+0700</t>
  </si>
  <si>
    <t>Dear DBA team, Để tối ưu lại size lưu trữ REDIS. VCM cần xóa các key  của rate limit không còn sử dụng trên REDIS. Nhờ team hỗ trợ chạy  xóa các key trên REDIS cho những campaign, voucher hết hiệu lực.  Thông tin Redis đang lưu trữ: master:
    host: vincart-prod--onevoucher.memstore.int(172.31.0.196)
    port: 6379
    database: 3
  replicas:
    - host: vincart-prod--onevoucher-replica.memstore.int(172.31.0.196)
      port: 6379
      database: 3 Thông tin các key pattern cần xóa  trong  1, 2, 3  :</t>
  </si>
  <si>
    <t>[NON-PROD][MCL] Tạo scheme DB mới</t>
  </si>
  <si>
    <t>2026-02-06T11:02:04.968+0700</t>
  </si>
  <si>
    <t>2026-02-06T11:24:48.750+0700</t>
  </si>
  <si>
    <t>Merchant_Loyalty</t>
  </si>
  <si>
    <t>Dear team, Team em có nhu cầu tạo schema DB mới với các thông tin như sau, nhờ team hỗ trợ ạ. DB: tidb.int.onemount.dev:4000
Schema: mtp_game_server SAD:    Thanks team, Thành An.</t>
  </si>
  <si>
    <t>[OMC][TiDB OMC] Chuyển CDP từ ODS về TiDB OMC</t>
  </si>
  <si>
    <t>2026-02-06T09:33:08.633+0700</t>
  </si>
  <si>
    <t>2026-02-06T10:41:00.364+0700</t>
  </si>
  <si>
    <t>user_locations</t>
  </si>
  <si>
    <t xml:space="preserve">Description Dear anh  @Nguyễn Văn Dũng   nhờ anh tạo giúp em schema và chạy script sau: -- DB: omc-mtp-tidb.int.onemount.com:4000
-- Schema: dp_omc_semantic_omc_bsi_cdp
CREATE TABLE `user_location` (
  `pk` varchar(254) COLLATE utf8mb4_unicode_ci NOT NULL,
  `customer_id` varchar(50) COLLATE utf8mb4_unicode_ci DEFAULT NULL,
  `lat_rad_round` int(11) DEFAULT NULL,
  `lon_rad_round` int(11) DEFAULT NULL,
  `location_type` varchar(50) COLLATE utf8mb4_unicode_ci DEFAULT NULL,
  `long_estimate`  DECIMAL(10,7)  DEFAULT NULL,
  `lat_estimate`  DECIMAL(10,7)  DEFAULT NULL,
  `row_created_at` datetime DEFAULT NULL,
  PRIMARY KEY (`pk`) /*T![clustered_index] CLUSTERED */,
  KEY `idx_customer_id` (`customer_id`),
  KEY `idx_customer_id_location_type` (`customer_id`,`location_type`)
) ENGINE=InnoDB DEFAULT CHARSET=utf8mb4 COLLATE=utf8mb4_unicode_ci; Best regards Nguyen Manh Hung cc anh  @Phan Chí Cương  , chị  @Former user  ,  @Vi Đăng Khoa  </t>
  </si>
  <si>
    <t>[Prod] Lấy dữ liệu từ  cache redis ngày 03/02/2026</t>
  </si>
  <si>
    <t>2026-02-06T09:09:52.527+0700</t>
  </si>
  <si>
    <t>2026-02-06T09:24:53.124+0700</t>
  </si>
  <si>
    <t>Hi anh  @Nguyễn Văn Dũng Nhờ anh lấy giúp em thông tin dữ liệu cache trên redis với thông tin sau: host:  vincart-prod--cache.memstore.int:6379 database: 5 script GET USER:VOUCHER_RECOMMEND:15685_95c8554a-5dd0-4ed3-81b6-c435a979b634</t>
  </si>
  <si>
    <t>[OMD][WMS] Hỗ trợ cập nhật tên kho MES_2D_027</t>
  </si>
  <si>
    <t>2026-02-05T18:30:18.866+0700</t>
  </si>
  <si>
    <t>2026-02-05T18:30:37.414+0700</t>
  </si>
  <si>
    <t>Hi DBA team, Hiện tại kho MES_2D_022 cần đổi tên, nhờ team DBA hỗ trợ cập nhật giá trị theo thông tin dưới đây. 1. Cập nhật trên WMS Project : vinid-b2b-platform-prod Instance/IP : main (read-write): 172.31.4.59 Port : 3306 Database : omd_wms_core Query update base_dc bd set bd.dc_name = 'NPP An Thịnh' where bd.dc_code = 'MES_2D_027'; 2. Cập nhật trên WES Project : vinid-b2b-platform-prod Instance/IP : main (read-write): 172.31.1.143 Port : 3306 Database : wes_master update warehouse w set w.name = 'NPP An Thịnh' where w.code = 'MES_2D_027'; Câu query đánh giá là an toàn nên có thể thực hiện cập nhật bất kỳ lúc nào mà không ảnh hưởng đến vận hành hệ thống.</t>
  </si>
  <si>
    <t>[OMRE][Kafka][PROD] Tạo kafka topic cho các bảng ở db omre_cbp_agent_core</t>
  </si>
  <si>
    <t>2026-02-05T17:38:49.773+0700</t>
  </si>
  <si>
    <t>2026-02-05T18:11:49.170+0700</t>
  </si>
  <si>
    <t>Dear team DBA, Em đang có nhu cầu kéo dữ liệu từ omre_cbp_agent_core mysql lên DP. Nhờ các anh hỗ trợ tạo topic theo danh sách sau ạ: Môi trường Database Tables Mysql:  PROD Host: 172.31.4.127 Port: 3306 omre_cbp_agent_core departments
department_members
teams
team_members</t>
  </si>
  <si>
    <t>[PROD][OMC][LP][Core] Update data for table COUNTER, ATTRIBUTE_MASTER_DATA, REASON_CODE</t>
  </si>
  <si>
    <t>2026-02-05T15:10:37.944+0700</t>
  </si>
  <si>
    <t>2026-02-05T17:04:06.988+0700</t>
  </si>
  <si>
    <t>Dear Team DAB, Nhờ team cập nhật data cho 2 bảng sau giúp ạ :  COUNTER UPDATE OLOYALTY.COUNTER
SET START_DATE=TIMESTAMP '2025-11-10 00:00:00.000000', COUNTER_RULE_TYPE='POST'
WHERE CODE='TCBSPARKFXFEE_MEMBER'; ATTRIBUTE_MASTER_DATA INSERT INTO OLOYALTY.ATTRIBUTE_MASTER_DATA (PROGRAM_ID, ATTRIBUTE_CODE, ATTRIBUTE_TYPE, VALUE, STATUS, DESCRIPTION, CREATED_BY, CREATED_AT, UPDATED_BY, UPDATED_AT, APPROVED_BY, APPROVED_AT, CREATED_YMD) 
VALUES (426, 'TXN_ADJ_REASON', '1', 'ADJ_114', 'A', 'Techcombank chúc mừng sinh nhật Quý Khách', 'SYSTEM', TIMESTAMP '2026-02-05 00:00:00.000000', 'SYSTEM', TIMESTAMP '2026-02-05 00:00:00.000000', 'SYSTEM', TIMESTAMP '2026-02-05 00:00:00.000000', 20260205); REASON_CODE INSERT INTO OLOYALTY.REASON_CODE (CODE, NAME, BUSINESS_ID, PROGRAM_ID, FUNCTION_CODE_ID, DESCRIPTION, STATUS, CREATED_BY, CREATED_AT, UPDATED_BY, UPDATED_AT, APPROVED_BY, APPROVED_AT, CREATED_YMD, EN_NAME, DISPLAY_NAME, EN_DISPLAY_NAME) 
VALUES ('ADJ_114', 'Techcombank chúc mừng sinh nhật Quý Khách', 346, 426, 248, 'Techcombank chúc mừng sinh nhật Quý Khách', 'A', 'SYSTEM', TIMESTAMP '2026-02-05 00:00:00.000000', 'SYSTEM', TIMESTAMP '2026-02-05 00:00:00.000000', 'SYSTEM', TIMESTAMP '2026-02-05 00:00:00.000000', 20260205, 'Techcombank warmly wishes you a happy birthday', 'Techcombank chúc mừng sinh nhật Quý Khách', 'Techcombank warmly wishes you a happy birthday');</t>
  </si>
  <si>
    <t>2026-02-05T10:32:31.672+0700</t>
  </si>
  <si>
    <t>2026-02-05T10:32:41.144+0700</t>
  </si>
  <si>
    <t>[OMC][VINCART][PROD] Xin cấp tài khoản quyền read truy cập db</t>
  </si>
  <si>
    <t>2026-02-05T00:21:22.820+0700</t>
  </si>
  <si>
    <t>2026-02-05T00:22:18.367+0700</t>
  </si>
  <si>
    <t>Hi team, Do nhu cầu  chủ động check thông tin db trên prod  để hỗ trợ các bên liên quan trong quá trình phát triển, nhờ team Cấp  quyền read  với username  thachnn3 Thông tin database GCP project : vincart-prod Instance name : main Instance IP : 172.31.1.41 Database name : vincart_mm_merchant, vincart_mm_order, vincart_mm_product, vincart_mm_promotion Thanks team.</t>
  </si>
  <si>
    <t>[SMARTPOS] Thêm thông tin merchant contract cho merchant mới</t>
  </si>
  <si>
    <t>2026-02-04T18:09:54.041+0700</t>
  </si>
  <si>
    <t>2026-02-04T18:09:58.586+0700</t>
  </si>
  <si>
    <t>OpsPotal</t>
  </si>
  <si>
    <t>Hi a  @Nguyễn Văn Dũng   nhờ a chạy giúp em ticket sau nhé ạ.  Thông tin database saas_tpay:  pay-tidb.int.onemount.com:4000/saas_tpay Script: INSERT INTO SMARTPOS_MERCHANT_CONTRACT (merchant_code, contract_no, status, created_at, created_by, updated_at, updated_by) VALUES ( 'NCCSWK6V', 'OMSP88505195', 'WAITING_ACTIVE', current_timestamp, null, null, null);</t>
  </si>
  <si>
    <t>Hỗ trợ cập nhật trạng thái đơn xuất hàng bị treo do hủy wave tại kho 8115</t>
  </si>
  <si>
    <t>2026-02-04T16:07:43.216+0700</t>
  </si>
  <si>
    <t>2026-02-04T16:08:20.701+0700</t>
  </si>
  <si>
    <t>Hi DBA team, Hiện tại kho 8115 cần fix lỗi dữ liệu, nhờ team DBA hỗ trợ cập nhật theo thông tin dưới đây Project : vinid-b2b-platform-prod Instance/IP : main (read-write): 172.31.4.59 Port : 3306 Database : omd_wms_8115 update order_hdr oh 
join order_item oi on oi.order_hdr_id = oh.order_hdr_id
set oh.order_status = 'NEW',
    oi.item_status = 'NEW',
    oh.last_modified_date = UTC_TIMESTAMP,
    oi.last_modified_date = UTC_TIMESTAMP
where oh.order_hdr_id in (353519, 352625, 352619, 352353, 352309, 352052, 349389, 349139, 348980, 348465);</t>
  </si>
  <si>
    <t>[OMC][Loyalty MFT] VCM - Cập nhật thông tin Nguồn hạch toán &amp; Loại hạch toán của voucher</t>
  </si>
  <si>
    <t>2026-02-04T16:01:15.063+0700</t>
  </si>
  <si>
    <t>2026-02-05T00:14:35.840+0700</t>
  </si>
  <si>
    <t>Theo yêu cầu từ phía đội vận hành CR  https://onemount.atlassian.net/browse/SH-67768  , cần cập nhật lại thông tin thông tin Nguồn hạch toán &amp; Loại hạch toán của voucher, nhờ team hỗ trợ với ạ. Thông tin  One Voucher - GCP project  vinid-loyalty-prod
- Instance name : onevoucher
- Instance IP : 172.31.4.126
- Database : onevc_vwm_prod Query UPDATE
	onevc_vwm_prod.warehouse w
INNER JOIN onevc_vsm_prod.sale s ON
	s.warehouse_code = w.code 
SET
	w.postpaid_type = 'PAY_AT_REDEEM',
	w.voucher_payment_type = 'POSTPAID'
WHERE
	s.code IN (
'VD_VC_1762275737808', 'VD_VC_1762275737403', 'VD_VC_1762275736506', 'VD_VC_1762275735623', 'VD_VC_1762275734676', 'VD_VC_1762275734262',
'VD_VC_1762275732851', 'VD_VC_1762275731766', 'VD_VC_1762275730146', 'VD_VC_1762275728735', 'VD_VC_1762275726975', 'VD_VC_1762275725261',
'VD_VC_1761930041876', 'VD_VC_1761930041433', 'VD_VC_1761930041153', 'VD_VC_1761930040893', 'VD_VC_1761930040626', 'VD_VC_1761930040363',
'VD_VC_1761930040089', 'VD_VC_1761930039541', 'VD_VC_1761930039299', 'VD_VC_1761930038851', 'VD_VC_1761930038187', 'VD_VC_1761930037878',
'VD_VC_1761930037586', 'VD_VC_1761930037206', 'VD_VC_1761930036922', 'VD_VC_1761930036638', 'VD_VC_1761930036318', 'VD_VC_1761930035601',
'VD_VC_1761930034768', 'VD_VC_1761930033949', 'VD_VC_1761930032415', 'VD_VC_1761930030084', 'VD_VC_1761930029655', 'VD_VC_1761930029307',
'VD_VC_1761930028863', 'VD_VC_1761930028213', 'VD_VC_1761930026382', 'VD_VC_1761238854026', 'VD_VC_1761238853775', 'VD_VC_1761238853477',
'VD_VC_1761238852124', 'VD_VC_1761238851658', 'VD_VC_1760634148373', 'VD_VC_1760634148132', 'VD_VC_1760634147413', 'VD_VC_1760634147053',
'VD_VC_1760634146482', 'VD_VC_1760634146089', 'VD_VC_1760634145851', 'VD_VC_1760634145535', 'VD_VC_1760634144989', 'VD_VC_1760634144475',
'VD_VC_1760634141178', 'VD_VC_1760634140528', 'VD_VC_1760634140096', 'VD_VC_1760634139756', 'VD_VC_1759942809220', 'VD_VC_1759942808525',
'VD_VC_1759251605811', 'VD_VC_1759251605629')
; Voucher Distribution - GCP project  vinid-loyalty-prod
- Instance name : voucher-distribution
- Instance IP : 172.31.4.82
- Database : b2b_voucher_distribution Query UPDATE
	b2b_voucher_distribution.purchase_order po
INNER JOIN b2b_voucher_distribution.purchase_order_voucher pov ON
	pov.purchase_order_id = po.id
INNER JOIN b2b_voucher_distribution.voucher v ON
	v.id = pov.voucher_id
SET
	po.client_postpaid_type = 'PAY_AT_REDEEM',
	po.client_voucher_payment_type = 'POSTPAID'
WHERE
	v.code IN (
	'MCSALESFORCE02740902_1759251599350', 'MCSALESFORCE02740902_1759251599536', 'DOTCB25277i4T_1759942799383', 'DOTCB25275Vog_1759942799598', 'DOTCB25282idG_1760633999264', 'DOTCB25281L6F_1760634000961',
	'DOTCB25287zay_1760633999460', 'DOTCB25282nXx_1760634000565', 'DOTCB25287jls_1760633999605', 'DOTCB25288YoT_1760634001098', 'DOTCB25280Qhj_1760634000015', 'DOTCB25288xGL_1760634000831',
	'DOTCB25283LHA_1760633999885', 'DOTCB25287IjU_1760634000270', 'DOTCB25288T4O_1760633999757', 'DOTCB25275ovs_1760634000405', 'DOTCB252881nE_1760634000701', 'DOTCB25283u0Q_1760634000131',
	'DOTCB25288IW5_1761238799461', 'DOTCB252874pp_1761238799282', 'DOTCB25290Nrl_1761238799596', 'DOTCB25287bfR_1761238800240', 'DOTCB2529410h_1761238799739', 'DOTCB25300nfF_1761930001117',
	'DOTCB25303LOu_1761929999202', 'DOTCB25302l6w_1761930001454', 'DOTCB25283E8o_1761930002966', 'DOTCB25296WS4_1761929999542', 'DOTCB25302l6w_1761930000474', 'DOTCB25296WS4_1761929999390',
	'DOTCB25300H5C_1761930000952', 'DOTCB25301Id2_1761930002671', 'DOTCB25301Id2_1761930000303', 'DOTCB25296WS4_1761930000813', 'DOTCB25300H5C_1761930001771', 'DOTCB25294JRK_1761930001270',
	'DOTCB25301uMC_1761930002249', 'DOTCB25296WS4_1761930001915', 'DOTCB25300emw_1761930001636', 'DOTCB25301COX_1761930002830', 'DOTCB25301Id2_1761930002081', 'DOTCB25300emw_1761930002473',
	'DOTCB25296WS4_1761930000652', 'DOTCB25303bkZ_1761930004138', 'DOTCB25302Nc9_1761930003570', 'DOTCB25301ayI_1761930004002', 'DOTCB25301ayI_1761930003728', 'DOTCB25302l6w_1761930003364',
	'DOTCB25300nfF_1761930003865', 'DOTCB25300H5C_1761930003150', 'DOTCB25300dRP_1762275601154', 'DOTCB25304bzJ_1762275600472', 'MCL04QC9FVPSL_1762275602221', 'DOTCB25307Wme_1762275603312',
	'DOTCB25302Ja9_1762275600148', 'DOTCB253077kz_1762275599440', 'DOTCB25301S4M_1762275601918', 'MCL04QC9FVPSL_1762275601528', 'DOTCB25308Wxu_1762275602942', 'DOTCB253040G2_1762275602564',
	'DOTCB25303KVf_1762275599852', 'DOTCB25304bzJ_1762275600805')
; Vincart - GCP project  vincart-prod
- Instance name : main
- Instance IP : 172.31.1.41
- Database : vincart_mm_product Query UPDATE vincart_mm_product.entity_attributes_values eav
INNER JOIN vincart_mm_product.`attributes` a ON a.id = eav.attribute_id
INNER JOIN vincart_mm_product.variants v ON v.id = eav.entity_id
SET 
    eav.value = CASE 
        WHEN a.name = 'accounting_source' THEN 'POSTPAID'
        WHEN a.name = 'postpaid_type' THEN 'PAY_AT_REDEEM'
    END,
    eav.name = a.name
WHERE 
    v.sku IN ('VD_VC_1762275737808', 'VD_VC_1762275737403', 'VD_VC_1762275736506', 'VD_VC_1762275735623', 'VD_VC_1762275734676', 'VD_VC_1762275734262',
'VD_VC_1762275732851', 'VD_VC_1762275731766', 'VD_VC_1762275730146', 'VD_VC_1762275728735', 'VD_VC_1762275726975', 'VD_VC_1762275725261',
'VD_VC_1761930041876', 'VD_VC_1761930041433', 'VD_VC_1761930041153', 'VD_VC_1761930040893', 'VD_VC_1761930040626', 'VD_VC_1761930040363',
'VD_VC_1761930040089', 'VD_VC_1761930039541', 'VD_VC_1761930039299', 'VD_VC_1761930038851', 'VD_VC_1761930038187', 'VD_VC_1761930037878',
'VD_VC_1761930037586', 'VD_VC_1761930037206', 'VD_VC_1761930036922', 'VD_VC_1761930036638', 'VD_VC_1761930036318', 'VD_VC_1761930035601',
'VD_VC_1761930034768', 'VD_VC_1761930033949', 'VD_VC_1761930032415', 'VD_VC_1761930030084', 'VD_VC_1761930029655', 'VD_VC_1761930029307',
'VD_VC_1761930028863', 'VD_VC_1761930028213', 'VD_VC_1761930026382', 'VD_VC_1761238854026', 'VD_VC_1761238853775', 'VD_VC_1761238853477',
'VD_VC_1761238852124', 'VD_VC_1761238851658', 'VD_VC_1760634148373', 'VD_VC_1760634148132', 'VD_VC_1760634147413', 'VD_VC_1760634147053',
'VD_VC_1760634146482', 'VD_VC_1760634146089', 'VD_VC_1760634145851', 'VD_VC_1760634145535', 'VD_VC_1760634144989', 'VD_VC_1760634144475',
'VD_VC_1760634141178', 'VD_VC_1760634140528', 'VD_VC_1760634140096', 'VD_VC_1760634139756', 'VD_VC_1759942809220', 'VD_VC_1759942808525',
'VD_VC_1759251605811', 'VD_VC_1759251605629') 
    AND a.name IN ('accounting_source', 'postpaid_type'); INSERT INTO vincart_mm_product.entity_attributes_values (entity_id, attribute_id, value, name)
SELECT 
    v.id, 
    a.id,
    CASE 
        WHEN a.name = 'accounting_source' THEN 'POSTPAID'
        WHEN a.name = 'postpaid_type' THEN 'PAY_AT_REDEEM'
    END,
    a.name
FROM vincart_mm_product.variants v
CROSS JOIN vincart_mm_product.`attributes` a
WHERE 
    v.sku IN ('VD_VC_1762275737808', 'VD_VC_1762275737403', 'VD_VC_1762275736506', 'VD_VC_1762275735623', 'VD_VC_1762275734676', 'VD_VC_1762275734262',
'VD_VC_1762275732851', 'VD_VC_1762275731766', 'VD_VC_1762275730146', 'VD_VC_1762275728735', 'VD_VC_1762275726975', 'VD_VC_1762275725261',
'VD_VC_1761930041876', 'VD_VC_1761930041433', 'VD_VC_1761930041153', 'VD_VC_1761930040893', 'VD_VC_1761930040626', 'VD_VC_1761930040363',
'VD_VC_1761930040089', 'VD_VC_1761930039541', 'VD_VC_1761930039299', 'VD_VC_1761930038851', 'VD_VC_1761930038187', 'VD_VC_1761930037878',
'VD_VC_1761930037586', 'VD_VC_1761930037206', 'VD_VC_1761930036922', 'VD_VC_1761930036638', 'VD_VC_1761930036318', 'VD_VC_1761930035601',
'VD_VC_1761930034768', 'VD_VC_1761930033949', 'VD_VC_1761930032415', 'VD_VC_1761930030084', 'VD_VC_1761930029655', 'VD_VC_1761930029307',
'VD_VC_1761930028863', 'VD_VC_1761930028213', 'VD_VC_1761930026382', 'VD_VC_1761238854026', 'VD_VC_1761238853775', 'VD_VC_1761238853477',
'VD_VC_1761238852124', 'VD_VC_1761238851658', 'VD_VC_1760634148373', 'VD_VC_1760634148132', 'VD_VC_1760634147413', 'VD_VC_1760634147053',
'VD_VC_1760634146482', 'VD_VC_1760634146089', 'VD_VC_1760634145851', 'VD_VC_1760634145535', 'VD_VC_1760634144989', 'VD_VC_1760634144475',
'VD_VC_1760634141178', 'VD_VC_1760634140528', 'VD_VC_1760634140096', 'VD_VC_1760634139756', 'VD_VC_1759942809220', 'VD_VC_1759942808525',
'VD_VC_1759251605811', 'VD_VC_1759251605629') 
    AND a.name IN ('accounting_source', 'postpaid_type')
    AND NOT EXISTS (
        SELECT 1 FROM entity_attributes_values eav2 
        WHERE eav2.entity_id = v.id AND eav2.attribute_id = a.id
    ); Thanks team.</t>
  </si>
  <si>
    <t>[MAG][NSP] Nhờ cấp database postgresql phục vụ dự án Masterise Sales Platform</t>
  </si>
  <si>
    <t>2026-02-04T15:54:01.855+0700</t>
  </si>
  <si>
    <t>2026-02-10T11:03:15.994+0700</t>
  </si>
  <si>
    <t>MAG_NSP</t>
  </si>
  <si>
    <t>Hi team DBA, Dự án Masterise Sales Platform cần cung cấp database PostgreSQL để phục vụ triển khai giải pháp bán hàng toàn trình cho Masterise, nhờ team hỗ trợ tạo giúp team database với các thông tin như sau. Database type: PostgreSQL AWS Landing zone mới (Nhờ anh  @Former user  hỗ trợ thông tin nếu cần ạ) Thông tin db: 3 db tương ứng với các môi trường mag_sales_platform_dev mag_sales_platform_qc mag_sales_platform_uat Thông tin tài khoản được tạo vui lòng gửi vào mail cho  khoi.nguyen3@onemount.com  và  huynhp@onemount.com  ạ Thông tin SAD dự án (WIP):    Em cám ơn ạ.</t>
  </si>
  <si>
    <t>[OMD][DP][topic][NON-PROD] Check data-platform-omd-omd_mdm_qc.omd_mdm_qc.Organization đang không CDC</t>
  </si>
  <si>
    <t>2026-02-04T15:37:21.008+0700</t>
  </si>
  <si>
    <t>2026-02-04T16:58:08.793+0700</t>
  </si>
  <si>
    <t>Dự án cần check topic này trên nonprod data-platform-omd-omd_mdm_qc.omd_mdm_qc.Organization Đang không bắt thay đổi. Ngoài ra 1 số bảng khác, cũng đang gặp tình trạng tương tự</t>
  </si>
  <si>
    <t>2026-02-04T15:36:53.483+0700</t>
  </si>
  <si>
    <t>2026-02-05T09:08:36.318+0700</t>
  </si>
  <si>
    <t>Dear các anh team DBA, Nhờ các anh hỗ trợ chạy các file SQL Script trên môi trường Production của Bravo DB: B10_Mobifone_MDP Có 2 files, không cần chạy theo thứ tự và có thể chạy trong giờ hành chính ạ, Nội dung: Thêm cột Nợ/Có trên Bảng kê chứng từ full thông tin. Trạng thái test: Passed Regards,</t>
  </si>
  <si>
    <t>2026-02-04T14:13:36.521+0700</t>
  </si>
  <si>
    <t>2026-02-04T14:18:02.724+0700</t>
  </si>
  <si>
    <t>Hi DBA team, Hiện tại kho 8115 cần fix lỗi dữ liệu, nhờ team DBA hỗ trợ cập nhật theo thông tin dưới đây Project : vinid-b2b-platform-prod Instance/IP : main (read-write): 172.31.4.59 Port : 3306 Database : omd_wms_8115 update order_hdr oh 
join order_item oi on oi.order_hdr_id = oh.order_hdr_id
set oh.order_status = 'NEW',
    oi.item_status = 'NEW',
    oh.last_modified_date = UTC_TIMESTAMP,
    oi.last_modified_date = UTC_TIMESTAMP
where oh.order_hdr_id in (352502, 347216, 354072, 353828, 350865, 353215, 351493, 347278, 351940, 353360, 348831, 349662, 352348);</t>
  </si>
  <si>
    <t>[PROD] [VCM] Xóa store applied cho voucher VinMart</t>
  </si>
  <si>
    <t>2026-02-04T12:16:19.642+0700</t>
  </si>
  <si>
    <t>2026-02-04T14:13:13.950+0700</t>
  </si>
  <si>
    <t>Dear DBA team, Nhờ team hỗ trợ chạy lệnh xóa liên kết  voucher_store_applied cho các voucher sau: VD_VC_1759399890643 VD_VC_1759399888327 VD_VC_1759468468310 VD_VC_1759399884945 Thông tin DB: IP: 172.31.1.41
Database: vincart_mm_product Lệnh xóa mapping store applied: delete
from variant_apply_store_mapping
where variant_id in (select id
                     from variants
                     where code in (
                                    'VD_VC_1759399890643',
                                    'VD_VC_1759399888327',
                                    'VD_VC_1759468468310',
                                    'VD_VC_1759399884945'
                         ))</t>
  </si>
  <si>
    <t>[NONPROD][STAGING] Update database</t>
  </si>
  <si>
    <t>2026-02-04T11:51:01.733+0700</t>
  </si>
  <si>
    <t>2026-02-04T11:51:06.481+0700</t>
  </si>
  <si>
    <t>Hi các anh Nhờ anh chạy các script sau giúp em trên: Thông tin database gồm có những DB sau ạ: jdbc:mysql://tidb.int.onemount.dev:4000/vinpay_saas_tpay_staging  SQL: create table MERCHANT_PUBLIC_KEY
(
    ID             bigint auto_increment
        primary key,
    MERCHANT_CODE  varchar(50)                         not null,
    PARTNER_CODE   varchar(50)                         not null,
    KEY_VERSION    varchar(20)                         not null,
    ALGORITHM      varchar(50)                         not null,
    KEY_TYPE       varchar(20)                         not null,
    KEY_SIZE       int                                 not null,
    PUBLIC_KEY     text                                not null,
    STATUS         varchar(20)                         not null,
    EFFECTIVE_FROM timestamp                           null,
    EXPIRE_AT      timestamp                           null,
    CREATED_AT     timestamp default CURRENT_TIMESTAMP null,
    UPDATED_AT     timestamp default CURRENT_TIMESTAMP null
)AUTO_ID_CACHE=1 ENGINE=InnoDB DEFAULT CHARSET=utf8mb4 COLLATE=utf8mb4_unicode_ci;</t>
  </si>
  <si>
    <t>2026-02-03T18:10:21.888+0700</t>
  </si>
  <si>
    <t>2026-02-03T18:11:27.195+0700</t>
  </si>
  <si>
    <t>Dear  @Đào Công Nghĩa  , nhờ em chạy giúp anh script sau: -- DB: 172.31.1.21:3306
-- Schema: mtp_martech_profile
UPDATE mtp_anonymous_profile_segmentation_job
SET properties = '{"AND":[{"OR":[{"attribute":"cst_loyalty_tier","operator":"NOT IN","data_type":"STRING","value":["PRV","INS","PRO"]},{"attribute":"cst_loyalty_tier","operator":"","data_type":"STRING","value":"","operator_expr":"cst_loyalty_tier is NULL"}]}]}'
WHERE id = 'afb1c803-6e49-4e66-813a-d47f1acedd35'; Best regards Dinh Quang Nguyen</t>
  </si>
  <si>
    <t>[PROD] [VCM] Cập nhật merchant accepted voucher</t>
  </si>
  <si>
    <t>2026-02-03T18:02:14.242+0700</t>
  </si>
  <si>
    <t>2026-02-03T18:09:44.100+0700</t>
  </si>
  <si>
    <t>Dear DBA Team, Nhờ team hỗ trợ chạy lệnh cập nhật thông tin merchant_id, logo_url vào attribute  voucher_accepted_merchants Thông tin db: IP: 172.31.1.41
Database: vincart_mm_product Lệnh update: update entity_attributes_values set value = '[{\"merchant_id\":67254,\"merchant_code\":\"MCL02OBLI5QZP\",\"merchant_name\":\"Bastet's Home\",\"logo_url\":\"https://cdn-merchant.vinid.net/npops/1770087304_MCL02OBLI5QZP.png\"}]' where id in ('663085','663085')</t>
  </si>
  <si>
    <t>[OMC][MTP] Clear dữ liệu tracking W1 tháng 12/2025</t>
  </si>
  <si>
    <t>2026-02-03T17:38:37.484+0700</t>
  </si>
  <si>
    <t>2026-02-03T17:39:33.450+0700</t>
  </si>
  <si>
    <t>Dear  @Đào Công Nghĩa   , nhờ em chạy giúp anh script sau: -- DB: omc-tidb-mtp.int.onemount.com:4000
-- OMC
use omc_mtp_tracking_events;
ALTER TABLE omc_mtp_tracking_events.mtp_tracking_events_omc  DROP INDEX idx_u_message_id;
ALTER TABLE omc_mtp_tracking_events.mtp_tracking_events_omc DROP PARTITION p20251201;
-- ALTER TABLE omc_mtp_tracking_events.mtp_tracking_events_omc DROP PARTITION p20251002;
-- ALTER TABLE omc_mtp_tracking_events.mtp_tracking_events_context_omc DROP PARTITION p20251001;
-- ALTER TABLE omc_mtp_tracking_events.mtp_tracking_events_context_omc DROP PARTITION p20251002;
ALTER TABLE omc_mtp_tracking_events.mtp_tracking_events_context_omc DROP PARTITION p20251201;
ALTER TABLE omc_mtp_tracking_events.mtp_tracking_event_sessions DROP PARTITION p2025_11;
use omc_mtp_martech_activation;
ALTER TABLE omc_mtp_martech_activation.mtp_ads_events DROP PARTITION p2025_11;
ALTER TABLE omc_mtp_martech_activation.mtp_push_events DROP PARTITION p2025_11;
ALTER TABLE omc_mtp_martech_activation.mtp_tracking_email_events DROP PARTITION p2025_11;
ALTER TABLE omc_mtp_martech_activation.mtp_tracking_email_notifications DROP PARTITION p2025_11;
ALTER TABLE omc_mtp_martech_activation.mtp_tracking_fcm_messages DROP PARTITION p2025_11;
ALTER TABLE omc_mtp_martech_activation.mtp_tracking_push_notifications DROP PARTITION p2025_11;
-- OMRE
use omre_mtp_tracking_events;
ALTER TABLE omre_mtp_tracking_events.mtp_tracking_events_omre  DROP INDEX idx_u_message_id;
-- ALTER TABLE omre_mtp_tracking_events.mtp_tracking_events_omre drop partition p20251001;
-- ALTER TABLE omre_mtp_tracking_events.mtp_tracking_events_omre drop partition p20251002;
ALTER TABLE omre_mtp_tracking_events.mtp_tracking_events_omre drop partition p20251201;
-- ALTER TABLE omre_mtp_tracking_events.mtp_tracking_events_context_omre DROP PARTITION p20251001;
-- ALTER TABLE omre_mtp_tracking_events.mtp_tracking_events_context_omre DROP PARTITION p20251002;
ALTER TABLE omre_mtp_tracking_events.mtp_tracking_events_context_omre DROP PARTITION p20251201;
-- create global index
use omc_mtp_tracking_events;
ALTER TABLE omc_mtp_tracking_events.mtp_tracking_events_omc ADD UNIQUE INDEX idx_u_message_id (message_id) GLOBAL;
use omre_mtp_tracking_events;
ALTER TABLE omre_mtp_tracking_events.mtp_tracking_events_omre ADD UNIQUE INDEX idx_u_message_id (message_id) GLOBAL; Best regards Dinh Quang Nguyen</t>
  </si>
  <si>
    <t>Sửa độ dài trường AssignmentCampaign.fullAddress từ 255 lên 500 kí tự</t>
  </si>
  <si>
    <t>2026-02-03T16:57:16.153+0700</t>
  </si>
  <si>
    <t>2026-02-03T16:57:37.721+0700</t>
  </si>
  <si>
    <t>Dear a Dũng, Team Taskbox nhờ a chạy giúp câu SQL bên dưới để sửa độ dài cột AssignmentCampaign.fullAddress lên 500 kí tự ạ ============= Thông tin DB gcp project: onemg-integration-platform-prd instance: main (172.31.1.118) DB: omd_taskbox ============= SQL: ALTER TABLE AssignmentCampaign MODIFY COLUMN fullAddress VARCHAR(500);</t>
  </si>
  <si>
    <t>[OMC][DP][Kafka][PROD] Hỗ trợ tạo kafka topic cho bảng ở DB vincart_rate_limit</t>
  </si>
  <si>
    <t>2026-02-03T16:54:57.550+0700</t>
  </si>
  <si>
    <t>2026-02-05T17:38:05.584+0700</t>
  </si>
  <si>
    <t>Dear anh Linh, Phục vụ khác thác dữ liệu cho CNSP. Nhờ anh tạo kafka topic cho bảng sau ạ. DB NAME:  vincart_rate_limit IP: {{172.31.1.41 }} DB Type:  MySQL Table:  group_limits group_limit_settings Em cảm ơn ạ</t>
  </si>
  <si>
    <t>Cập nhật tên kho M055,M056,M057</t>
  </si>
  <si>
    <t>2026-02-03T16:52:08.698+0700</t>
  </si>
  <si>
    <t>2026-02-03T16:52:37.272+0700</t>
  </si>
  <si>
    <t>Description Hi DBA team, Hiện tại nghiệp vụ có nhu cầu cập nhật lại tên kho  theo nhu cầu vận hành Câu query đánh giá là không ảnh hưởng đến vận hành hệ thống nên mong muốn chạy luôn Cụm WMS Project : vinid-b2b-platform-prod Instance/IP : main (read-write): 172.31.4.59 Port : 3306 Database : omd_wms_core Script update base_dc bd set bd.dc_name = 'OCP2_CT3_WDL' where bd.dc_code = 'M055'; update base_dc bd set bd.dc_name = 'OCP2_CT2_WDL' where bd.dc_code = 'M056'; update base_dc bd set bd.dc_name = 'OCP2_CT1_WDL' where bd.dc_code = 'M057'; Cum WES Project : vinid-b2b-platform-prod Instance/IP : main (read-write): 172.31.1.143 Port : 3306 Database : wes_master Script : update warehouse w set w.name = 'OCP2_CT3_WDL' where w.code = 'M055'; update warehouse w set w.name = 'OCP2_CT2_WDL' where w.code = 'M056'; update warehouse w set w.name = 'OCP2_CT1_WDL' where w.code = 'M057';</t>
  </si>
  <si>
    <t>2026-02-03T16:24:20.031+0700</t>
  </si>
  <si>
    <t>2026-02-05T00:22:16.745+0700</t>
  </si>
  <si>
    <t>[AuthOM] drop view DB auth_om</t>
  </si>
  <si>
    <t>2026-02-03T10:37:32.652+0700</t>
  </si>
  <si>
    <t>2026-02-03T10:37:53.523+0700</t>
  </si>
  <si>
    <t>Hi các anh DBA, hiện tại em có rà soát các view không còn được sử dụng, do vậy nhờ các anh xóa giúp em các view trong danh sách    với ạ. Các dữ liệu e check :  không tồn tại table, và trong auth-confugration không có câu tạo view tương ứng với table  OrganizationOTPSetting ,  OrganizationApplicationSetting , DatabaseSetting Các view Database,  UserProfile  đã được bỏ trước đó  Em gửi thông tin authOM :  project: onemg-general-prod instance: auth-om Master IP: 172.31.4.103 DB: auth_om</t>
  </si>
  <si>
    <t>[BO] Đồng bộ các bảng TOPUP từ nguồn OMC về vinpay DB</t>
  </si>
  <si>
    <t>2026-02-03T10:31:44.372+0700</t>
  </si>
  <si>
    <t>2026-02-03T10:31:51.232+0700</t>
  </si>
  <si>
    <t>Hi a  @Nguyễn Văn Dũng , nhờ a đồng bộ toàn bộ bảng giúp e ạ Nguồn:  MYSQL NONPROD (172.31.0.16 via TCP/IP) -  DB:  topup_uat Đích:  tidb.int.onemount.dev:4000/omc_vinid_app_common_dev_main_topup_uat Các bảng cần đồng bộ:   orders, order_topup_item, order_transaction, topup_items, topup_product, topup_services</t>
  </si>
  <si>
    <t>[OMC][MTP] Cấu hình tracking cho OneHub</t>
  </si>
  <si>
    <t>2026-02-03T10:27:37.386+0700</t>
  </si>
  <si>
    <t>2026-02-03T10:27:51.990+0700</t>
  </si>
  <si>
    <t>Dear anh  @Nguyễn Văn Dũng  , nhờ anh chạy giúp em script sau: -- REDIS: crm-salesforce-redis.int.vinid.net:6379
SET https://onehub.vn OMRE Best regards Dinh Quang Nguyen</t>
  </si>
  <si>
    <t>[MCHUB-NONPROD] - Khởi tạo tài khoản DB MerchantHUB - Phục vụ Data Ingestion (Non-prod)</t>
  </si>
  <si>
    <t>2026-02-03T09:19:47.783+0700</t>
  </si>
  <si>
    <t>2026-02-03T10:04:36.004+0700</t>
  </si>
  <si>
    <t>Hi Team, Khởi tạo tài khoản DB MerchantHUB - Phục vụ Data Ingestion (Non-prod) 1. Mục đích Phục vụ nhu cầu  đồng bộ dữ liệu (Data Sync)  từ hệ thống MerchantHUB về  Data Platform . Dữ liệu này sẽ được dùng để xây dựng các hệ thống báo cáo (Reporting) và phân tích trên môi trường  Non-prod (QC/UAT) . 2. Thông tin kỹ thuật chi tiết Hệ thống:  MerchantHUB Database Host:   172.31.0.93 Account Name:   dataplatform_ingestion Quyền hạn (Privileges):   Read-only  (SELECT only) trên toàn bộ các bảng thuộc các Schema bên dưới. Môi trường:  Non-prod (QC &amp; UAT) 3. Danh sách Database/Schema cần cấp quyền Vui lòng cấp quyền truy cập cho tài khoản trên vào các Schema cụ thể sau: Phân nhóm (Module) Schema Name (QC) Schema Name (UAT) Order mhpos_oms_qc mhpos_oms_uat Catalog mhpos_catalog_qc mhpos_catalog_uat Customer mhpos_customer_qc mhpos_customer_uat Fiscal mhpos_fiscal_qc mhpos_fiscal_uat Payment mhpos_payment_qc mhpos_payment_uat Trân trọng,</t>
  </si>
  <si>
    <t>[BO] Cập nhập cấu trúc bảng DEALING_ORDER</t>
  </si>
  <si>
    <t>2026-02-03T06:41:36.646+0700</t>
  </si>
  <si>
    <t>2026-02-03T06:41:54.384+0700</t>
  </si>
  <si>
    <t>Hi a  @Nguyễn Văn Dũng , nhờ a chạy giúp e script bên dưới với ạ Thông tin database:  172.31.1.133:3306/bo Script: ALTER TABLE DEALING_ORDER
    MODIFY COLUMN chain_id varchar(128)
        CHARACTER SET utf8mb4
        COLLATE utf8mb4_general_ci
        DEFAULT NULL,
    ALGORITHM = INPLACE,
    LOCK = NONE;</t>
  </si>
  <si>
    <t>[Airflow][Production] Tạo Database cho MAG Airflow Production</t>
  </si>
  <si>
    <t>2026-02-02T17:12:49.733+0700</t>
  </si>
  <si>
    <t>2026-02-03T19:00:29.337+0700</t>
  </si>
  <si>
    <t>Dear team DBA, Nhờ các anh hỗ trợ tạo giúp em database cho Airflow MAG Tên Database:  airflow_analytics_mag_233 Host: 172.31.4.5 ( link ) Môi trường: Production user:  airflow_analytics_mag_233 Ticket dựng Airflow cho MAG:  https://onemount.atlassian.net/browse/DWHV2-12602</t>
  </si>
  <si>
    <t xml:space="preserve">Cấp quyền view only vào DB Portal </t>
  </si>
  <si>
    <t>2026-02-02T16:43:19.787+0700</t>
  </si>
  <si>
    <t>2026-03-14T11:16:07.586+0700</t>
  </si>
  <si>
    <t>Cần cấp quyền view only vào DB Portal :   , để check log xem nguyên nhân 1 số case bị miss data, cập nhật lại cho phù hợp</t>
  </si>
  <si>
    <t>[UPAY][PROD] Script release ECOM ngày 31/01/2026</t>
  </si>
  <si>
    <t>2026-02-02T12:08:45.670+0700</t>
  </si>
  <si>
    <t>2026-02-02T12:09:02.452+0700</t>
  </si>
  <si>
    <t>Ecom, Smartpos, SoftPOS</t>
  </si>
  <si>
    <t>Hi các anh Nhờ anh chạy các script sau giúp em trên: Prod  vào lúc  01:00 ngày 01/02/2026 Thông tin database gồm có những DB sau ạ: Prod SAAS :  pay-tidb.int.onemount.com:4000/saas_tpay SQL: create table PARTNER_REFUND_INFO
(
    partner_refund_trans_id   varchar(50)                         not null
        primary key,
    type                      varchar(50)                         null,
    merchant                  varchar(255)                        null,
    terminal_name             varchar(255)                        null,
    pan                       varchar(255)                        null,
    transaction_amount        decimal(19, 4)                      null,
    refund_amount             decimal(19, 4)                      null,
    app                       varchar(100)                        null,
    original_transaction_date varchar(50)                         null,
    result                    varchar(50)                         null,
    note                      text                                null,
    status_sync               varchar(100)                        null,
    message_log               varchar(100)                        null,
    file_name                 varchar(500)                        null,
    created_at                timestamp default CURRENT_TIMESTAMP not null,
    updated_at                timestamp                           null on update CURRENT_TIMESTAMP,
    refund_ft                 varchar(50)                         null
)ENGINE=InnoDB DEFAULT CHARSET=utf8mb4 COLLATE=utf8mb4_unicode_ci;
create index PARTNER_REFUND_INFO_handle_status_index
    on PARTNER_REFUND_INFO (status_sync);</t>
  </si>
  <si>
    <t>[PROD] [VCM]  Xóa liên kết store applied cho voucher</t>
  </si>
  <si>
    <t>2026-02-02T10:45:44.362+0700</t>
  </si>
  <si>
    <t>2026-02-02T11:54:21.320+0700</t>
  </si>
  <si>
    <t>Dear DBA team, Nhờ team hỗ trợ chạy lệnh xóa store applied cho voucher  VD_VC_1762852522123 Thông tin DB: IP: 172.31.1.41
Database: vincart_mm_product DELETE
FROM variant_apply_store_mapping
WHERE variant_id = 101597;</t>
  </si>
  <si>
    <t>Cập nhật thông tin description của thông tin Warehouse MAG (M001 -&gt; M053)</t>
  </si>
  <si>
    <t>2026-02-02T09:29:04.785+0700</t>
  </si>
  <si>
    <t>2026-02-02T09:30:17.021+0700</t>
  </si>
  <si>
    <t>Description Hi DBA team, Hiện tại nghiệp vụ có nhu cầu cập nhật lại mô tả kho theo nhu cầu vận hành Câu query đánh giá là không ảnh hưởng đến vận hành hệ thống nên mong muốn chạy luôn Cụm WMS Project : vinid-b2b-platform-prod Instance/IP : main (read-write): 172.31.4.59 Port : 3306 Database : omd_wms_core Script update base_dc bd set bd.description = bd.dc_name
where bd.dc_code in ('M001', 'M002', 'M003', 'M004', 'M005', 'M006', 'M007', 'M008', 'M009', 'M010',
'M011', 'M012', 'M013', 'M014', 'M015', 'M016', 'M017', 'M018', 'M019', 'M020',
'M021', 'M022', 'M023', 'M024', 'M025', 'M026', 'M027', 'M028', 'M029', 'M030',
'M031', 'M032', 'M033', 'M034', 'M035', 'M036', 'M037', 'M038', 'M039', 'M040',
'M041', 'M042', 'M043', 'M044', 'M045', 'M046', 'M047', 'M048','M049','M50','M051','M052','M053');</t>
  </si>
  <si>
    <t>Cập nhật tên kho M054</t>
  </si>
  <si>
    <t>2026-02-02T09:26:22.933+0700</t>
  </si>
  <si>
    <t>2026-02-02T09:26:43.135+0700</t>
  </si>
  <si>
    <t>Hi DBA team, Hiện tại nghiệp vụ có nhu cầu cập nhật lại tên kho M054 theo nhu cầu vận hành Câu query đánh giá là không ảnh hưởng đến vận hành hệ thống nên mong muốn chạy luôn Cụm WMS Project : vinid-b2b-platform-prod Instance/IP : main (read-write): 172.31.4.59 Port : 3306 Database : omd_wms_core Script update base_dc bd set bd.dc_name = 'OCP1_B5CT2_SOL' where bd.dc_code = 'M054'; Cum WES Project : vinid-b2b-platform-prod Instance/IP : main (read-write): 172.31.1.143 Port : 3306 Database : wes_master Script : update warehouse w set w.name = 'OCP1_B5CT2_SOL' where w.code = 'M054';</t>
  </si>
  <si>
    <t>[NONPROD]{STAGING] Update database</t>
  </si>
  <si>
    <t>2026-01-29T18:46:43.524+0700</t>
  </si>
  <si>
    <t>2026-01-29T18:46:47.587+0700</t>
  </si>
  <si>
    <t>Hi các anh Nhờ anh chạy các script sau giúp em trên: Thông tin database gồm có những DB sau ạ: jdbc:mysql://tidb.int.onemount.dev:4000/vinpay_saas_tpay_staging  SQL: create table PARTNER_REFUND_INFO
(
    partner_refund_trans_id   varchar(50)                         not null
        primary key,
    type                      varchar(50)                         null,
    merchant                  varchar(255)                        null,
    terminal_name             varchar(255)                        null,
    pan                       varchar(255)                        null,
    transaction_amount        decimal(19, 4)                      null,
    refund_amount             decimal(19, 4)                      null,
    app                       varchar(100)                        null,
    original_transaction_date varchar(50)                         null,
    result                    varchar(50)                         null,
    note                      text                                null,
    status_sync               varchar(100)                        null,
    message_log               varchar(100)                        null,
    file_name                 varchar(500)                        null,
    created_at                timestamp default CURRENT_TIMESTAMP not null,
    updated_at                timestamp                           null on update CURRENT_TIMESTAMP,
    refund_ft                 varchar(50)                         null
)ENGINE=InnoDB DEFAULT CHARSET=utf8mb4 COLLATE=utf8mb4_unicode_ci;
create index PARTNER_REFUND_INFO_handle_status_index
    on PARTNER_REFUND_INFO (status_sync);</t>
  </si>
  <si>
    <t>[OMC][Loyalty MFT] VCM - Cập nhật thông tin voucher serial cho user</t>
  </si>
  <si>
    <t>2026-01-29T18:11:19.828+0700</t>
  </si>
  <si>
    <t>2026-01-30T14:26:41.882+0700</t>
  </si>
  <si>
    <t>Xuất phát từ  CR  , nhờ team DBA hỗ trợ cập nhật dữ liệu với thông tin bên dưới Thông tin database - GCP project  vinid-loyalty-prod
- Instance name : onevoucher
- Instance IP : 172.31.4.126
- Database : onevc_vsm_prod, onevc_vwm_prod Query UPDATE onevc_vwm_prod.warehouse_serial AS ws
INNER JOIN onevc_vsm_prod.ticket AS t ON ws.serial_code = t.serial_code
SET ws.status = 'CLAIMED',
    ws.request_id = t.serial_request_id
WHERE t.code IN ('917536adecc14c5bbd6a5596288491de', '76d686ed28f64c3791b9b326c31cb1b6'); Em cảm ơn ạ.</t>
  </si>
  <si>
    <t xml:space="preserve">[FS-Core-OPS] [PRODUCTION] Xóa giao dịch không hợp lệ </t>
  </si>
  <si>
    <t>2026-01-29T18:09:25.163+0700</t>
  </si>
  <si>
    <t>2026-01-29T18:09:29.272+0700</t>
  </si>
  <si>
    <t>FS_Core</t>
  </si>
  <si>
    <t>Dear team DBA, Để xóa giao dịch không hợp lệ  nhờ team DBA support thực hiện câu SQL query với thông tin như sau: GCP Project:  om-fs-core-prod instance:   fs-core-prod Dbname:  fs_core_prod SQL Query DELETE FROM fund_transfer_init
WHERE LENGTH(transaction_id) &lt; 8;</t>
  </si>
  <si>
    <t>[OMC][MCL][PROD] Hỗ trợ cập nhật database - Campaign Management</t>
  </si>
  <si>
    <t>2026-01-29T17:31:35.624+0700</t>
  </si>
  <si>
    <t>2026-01-30T14:33:27.493+0700</t>
  </si>
  <si>
    <t>Dear team, Nhờ team DBA hỗ trợ team em thực hiện golive ZNS Campaign nhé ạ. Tối nay  9h 29/01/2026  nhờ anh chạy script em đính kèm dưới ạ. Release plan:    Thanks anh.</t>
  </si>
  <si>
    <t>2026-01-29T10:27:23.881+0700</t>
  </si>
  <si>
    <t>2026-01-29T10:27:31.362+0700</t>
  </si>
  <si>
    <t>Do nhu cầu sử dụng dữ liệu để làm báo cáo và phân tích của DA, nhờ em hỗ trợ tạo giúp anh: Tạo topic cho bảng trên tidb giúp anh để anh kéo dữ liệu về DP cho DA nhé. Thông tin chi tiết: DB:  omc-mtp-tidb.int.onemount.com:4000 Schema: omc_merchant_loyalty Table: merchant; merchant_segment; store; store_service Grant quyền read cho account: dataplatform_ingestion Ticket yêu cầu của DA: https://vinid-team.atlassian.net/browse/DWHV2-12515</t>
  </si>
  <si>
    <t>Hỗ trợ tạo dữ liệu mở mới kho 8127 - Kho Minh Việt</t>
  </si>
  <si>
    <t>2026-01-29T10:10:42.160+0700</t>
  </si>
  <si>
    <t>2026-01-29T11:43:24.232+0700</t>
  </si>
  <si>
    <t>Hi DBA team,  Hiện tại nghiệp vụ có nhu cầu mở mới kho 8118 Sơn Tây,  nhờ team DBA hỗ trợ cập nhật giá trị theo thông tin dưới đây   Cụm WMS Project : vinid-b2b-platform-prod Instance/IP : main (read-write): 172.31.4.59 Port : 3306 Database : omd_wms_core Script : file  omd_wms_core_8127.sql  trong file đính kèm Cum WES Project : vinid-b2b-platform-prod Instance/IP : main (read-write): 172.31.1.143 Port : 3306 Database : wes_master Script : file  wes_master_8127.sql  trong file đính kèm Câu query đánh giá là có thể ảnh hưởng đến vận hành hệ thống nên mong muốn chạy vào thời gian vận hành thấp điểm (từ 22h-2h sáng).</t>
  </si>
  <si>
    <t>[SOFTPOS] Xóa thông tin merchant cif bị trùng</t>
  </si>
  <si>
    <t>2026-01-29T10:00:51.201+0700</t>
  </si>
  <si>
    <t>2026-01-29T10:01:03.870+0700</t>
  </si>
  <si>
    <t>Hi a  @Nguyễn Văn Dũng   nhờ a chạy giúp em ticket sau nhé ạ.  Thông tin database saas_tpay:  pay-tidb.int.onemount.com:4000/saas_tpay Script: delete from merchant where MERCHANT_CODE in ('24132967');
delete from SERVICE where MERCHANT_CODE in ('24132967');
delete from STORE where MERCHANT_CODE in ('24132967');
delete from TERMINAL where MERCHANT_CODE in ('24132967');</t>
  </si>
  <si>
    <t>[OneNexus x OneHub] Request access vào các DB non-prod của CBP</t>
  </si>
  <si>
    <t>2026-01-28T17:11:18.379+0700</t>
  </si>
  <si>
    <t>2026-01-30T09:27:28.912+0700</t>
  </si>
  <si>
    <t>Hi team, Nhằm phục vụ cho project CDP của OneHub, phía worker của OneNexus cần connect qua các DB non-prod của CBP như sau: MongoDB (mongos-ilb-2.int.onemount.dev:27017): Môi trường: qc, uat Permission: read-only List schema và table: Schema Table omre_cbp_listing_{qc,uat} listings Mysql (172.31.0.67): Môi trường: dev, qc, uat Permission: read-only List schema và table: Schema Table omre_cbp_collab_{qc,uat} inq_inquiries omre_cbp_collab_{qc,uat} inq_inquiry_participants omre_cbp_collab_{qc,uat} inq_inquiry_demands omre_cbp_collab_{qc,uat} dlr_deal_rooms omre_cbp_collab_{qc,uat} dlr_deal_room_inquiries omre_cbp_collab_{qc,uat} dlr_deal_room_participants omre_cbp_collab_{qc,uat} dlr_agreements omre_cbp_collab_{qc,uat} dlr_offers omre_cbp_calendar_{qc,uat} evt_events omre_cbp_calendar_{qc,uat} evt_event_relations omre_cbp_transaction_{qc,uat} transactions omre_cbp_transaction_{qc,uat} transaction_phase_statuses omre_cbp_transaction_{qc,uat} transaction_tasks omre_cbp_transaction_{qc,uat} transaction_cpra_rules omre_cbp_agent_core_{qc,uat} agents omre_cbp_agent_core_{qc,uat} branches omre_cbp_agent_core_{qc,uat} master_agents   Nhờ team hỗ trợ cấp quyền để access nhé! Trân trọng cám ơn!</t>
  </si>
  <si>
    <t>V/v tạo db job xóa data định kỳ môi trường nonprod (dev/qc/uat)</t>
  </si>
  <si>
    <t>2026-01-28T16:51:38.455+0700</t>
  </si>
  <si>
    <t>2026-02-10T09:49:11.409+0700</t>
  </si>
  <si>
    <t>Do database oracle của T1 ở môi trường qc đã đầy gây lỗi các chức năng của TMS ở nonprod, nên team nhờ ae dba tạo db job xóa data nonprod định kỳ cho all table ở môi trường dev, qc, uat, chỉ giữ lại data trong 1 tháng gần nhất, thông tin db : IP : 1521:10.255.134.137:1521 dev :  address: tms-oracle.int.vinshop.dev:1521 name :  PDB_TMS_DEV schema :  bytm_crp qc :  address: tms-oracle.int.vinshop.dev:1521 name :  PDB_TMS_QC schema :  bytm_crp uat :  address: tms-oracle.int.vinshop.dev:1521 name :  PDB_TMS_UAT schema :  bytm_crp AUDT_CTL_T
AUDT_CHRG_DETL_T
AUDT_CHRG_OVRD_T
AUDT_EXTL_COST_T
AUDT_LD_LEG_T
AUDT_LD_LEG_SCHD_T
AUDT_RSRC_T
AUDT_LD_LEG_DETL_T
AUDT_SHPM_T
AUDT_STOP_T
AUDT_TRIP_T
EVNT_QUE_T
EVNT_DLVY_T
EVNT_CIS_DATA_T
JOB_QUE_T
ADTN_DATA_T
T1_XML_EVENT_LOG
T1_JSON_EVENT_LOG
T1_EVENT_NOTIFICATION
T1_EVENT_NOTIFICATION_HISTORY
T1_REST2_ACCESS_LOGS 
T1_LD_LEG_DETL_EXT
LD_LEG_DETL_T
T1_SHPM_EXT
SHPM_T
LD_LEG_T
T1_LD_LEG_EXT
ELMT_T
T1_ELMT_EXT
STOP_T
T1_STOP_EXT
CHRG_DETL_T
DRVR_ASSN_T
RFRC_NUM_T</t>
  </si>
  <si>
    <t>Cập nhật lại tên kho M052</t>
  </si>
  <si>
    <t>2026-01-28T16:47:47.869+0700</t>
  </si>
  <si>
    <t>2026-01-28T16:49:57.499+0700</t>
  </si>
  <si>
    <t>Description Hi DBA team, Hiện tại nghiệp vụ có nhu cầu cập nhật lại tên kho theo nhu cầu vận hành Câu query đánh giá là không ảnh hưởng đến vận hành hệ thống nên mong muốn chạy luôn Cụm WMS Project : vinid-b2b-platform-prod Instance/IP : main (read-write): 172.31.4.59 Port : 3306 Database : omd_wms_core Script update base_dc bd set bd.dc_name = 'Vườn ươm 152 Trần Phú' where bd.dc_code = 'M052'; Cum WES Project : vinid-b2b-platform-prod Instance/IP : main (read-write): 172.31.1.143 Port : 3306 Database : wes_master Script : update warehouse w set w.name = 'Vườn ươm 152 Trần Phú' where w.code = 'M052';</t>
  </si>
  <si>
    <t>[PROD] [NewRetail]  Impove search voucher</t>
  </si>
  <si>
    <t>2026-01-28T16:47:20.052+0700</t>
  </si>
  <si>
    <t>2026-01-28T17:02:45.403+0700</t>
  </si>
  <si>
    <t>Dear DBA team, Nhờ a/e chạy gấp  lệnh sql xóa mapping  voucher applied store 2 vouchers. Do nó đang target all. Thông tin db: IP: 172.31.1.41
Database: vincart_mm_product delete
from variant_apply_store_mapping
where variant_id in (1007566, 1013513);</t>
  </si>
  <si>
    <t>[Merchant-OM] Hỗ trợ cập nhật dữ liệu 20260128</t>
  </si>
  <si>
    <t>2026-01-28T16:41:27.825+0700</t>
  </si>
  <si>
    <t>2026-01-28T16:46:59.835+0700</t>
  </si>
  <si>
    <t>Dear team, Nhờ team chạy giúp câu lệnh bên dưới ạ. Thông tin database https://console.cloud.google.com/sql/instances/main/overview?inv=1&amp;invt=Abqw_w&amp;project=vinid-merchant-prod DB_MYSQL_HOST=172.31.1.44
DB_MYSQL_DATABASE=merchant_service Câu lệnh insert into merchant_role (created_at, updated_at, deleted_at, name, active, merchant_id)
values (now(), now(), null, 'Admin', 1, 303369),
        (now(), now(), null, 'Store', 1, 303369),
        (now(), now(), null, 'Staff', 1, 303369);</t>
  </si>
  <si>
    <t>[UPAY][PROD] Update DB AuthOM support OMC</t>
  </si>
  <si>
    <t>2026-01-28T15:16:03.228+0700</t>
  </si>
  <si>
    <t>2026-01-28T15:21:07.529+0700</t>
  </si>
  <si>
    <t>Thông tin db authom ạ: project: onemg-general-prod instance: auth-om Master IP: 172.31.4.103 DB: auth_om Script update: UPDATE OTPSetting SET config = '{"config":{"debug":false,"limit":3,"expiry":180,"length":6,"pattern":"[0-9]{6}","disable_signup":false,"using_sms_v2":true,"link_db_connection":null,"disable_linking_database":null},"sender":null,"template":{"template_id":"570ace44-a95e-4168-b371-bc176b48e1b9"},"brand_name":"OneHousing","sender_name":null}' WHERE tenant_id = 'cbp-agent' AND otp_type = 'SignIn/SMS' AND org_id is null;
UPDATE OTPSetting SET config = '{"config":{"debug":false,"limit":3,"expiry":180,"length":6,"pattern":"[0-9]{6}","disable_signup":false,"using_sms_v2":true,"link_db_connection":null,"disable_linking_database":null},"sender":null,"template":{"template_id":"570aced4-a95e-4168-b371-bc176b48e1b9"},"brand_name":null,"sender_name":null}' WHERE tenant_id = 'cbp-agent' AND otp_type = 'SignUp/SMS' AND org_id is null;</t>
  </si>
  <si>
    <t>Hỗ trợ cập nhật dữ liệu đơn soạn hàng bị treo do lệch trạng thái tại kho 8124</t>
  </si>
  <si>
    <t>2026-01-28T11:45:09.995+0700</t>
  </si>
  <si>
    <t>2026-01-28T11:45:58.536+0700</t>
  </si>
  <si>
    <t>Hi DBA team, Hiện tại kho 8124 cần fix lỗi dữ liệu, nhờ team DBA hỗ trợ cập nhật theo thông tin dưới đây Project : vinid-b2b-platform-prod Instance/IP : main (read-write): 172.31.4.59 Port : 3306 Database : omd_wms_8115 SELECT id into @hols_status_cancelled
FROM host_order_line_status
where code = 'CANCELLED'
  and dc_code = '8124';
SELECT id into @ho_status_completed
FROM host_order_status
where code = 'CANCELLED'
  and dc_code = '8124';
select UTC_TIMESTAMP into @utc_now;
UPDATE host_order AS h
    JOIN host_order_line AS hol ON h.id = hol.host_order_id
SET
    h.status_id         = @ho_status_completed,
    hol.last_modified_date = @utc_now,
    h.last_modified_date = @utc_now,
    hol.status_id       = @ho_status_completed 
where h.id = 19957;   SELECT id into @task_status_cancelled
FROM task_status
where code = 'CANCELLED'
  and dc_code = '8124';
SELECT id into @tg_status_cancelled
FROM task_group_status
where code = 'CANCELLED'
  and dc_code = '8124';
select UTC_TIMESTAMP into @utc_now;
UPDATE task AS t
    JOIN task_group AS tg ON tg.id = t.task_group_id
SET
    t.status_id         = @task_status_cancelled,
    t.last_modified_date = @utc_now,
    tg.status_id       = @tg_status_cancelled, 
    tg.last_modified_date = @utc_now
where tg.id in (48853, 48854, 48855, 48856, 48857, 48860);</t>
  </si>
  <si>
    <t>[PROD] [VCM]  Migrate data into meta_data</t>
  </si>
  <si>
    <t>2026-01-28T11:08:24.920+0700</t>
  </si>
  <si>
    <t>2026-01-28T14:59:30.024+0700</t>
  </si>
  <si>
    <t>Dear DBA team, Nhờ team hỗ trợ chạy lệnh migrate dữ liệu các cột cũ vào cột meta_data. Thông tin DB: IP: 172.31.1.41
Database: vincart_mm_product UPDATE voucher_init_displays
SET meta_data = JSON_OBJECT(
        'variant_id', variant_id,
        'banner_url', banner_url,
        'thumbnail_url', thumbnail_url,
        'logo_url', logo_url,
        'description_vi', description_vi,
        'description_en', description_en,
        'usage_vi', usage_vi,
        'usage_en', usage_en,
        'term_of_use_vi', term_of_use_vi,
        'term_of_use_en', term_of_use_en,
        'display_from', display_from,
        'display_to', display_to)
where meta_data is null;</t>
  </si>
  <si>
    <t>[UPAY][SAMRTPOS] Cấu hình thông tin cho merchant Vinmec</t>
  </si>
  <si>
    <t>2026-01-28T09:57:43.036+0700</t>
  </si>
  <si>
    <t>2026-01-28T09:57:46.774+0700</t>
  </si>
  <si>
    <t>Dear  team, nhờ  team cập thông tin trong DB với thông tin cụ thể như sau  Thông tin database saas_tpay:  pay-tidb.int.onemount.com:4000/saas_tpay Thời gian chay: Khi được approval Scripts: INSERT INTO PARTNER (client_id, name, public_key, enable, merchant_code)
VALUES ('GtZsiXgixweDUkYOCElqSsBXyEbbYMGd', 'CTCP BENH VIEN DKQT VINME', '-----BEGIN PUBLIC KEY-----
MIIBIjANBgkqhkiG9w0BAQEFAAOCAQ8AMIIBCgKCAQEAum0jsTicti/tCXxB9vcz
k/KzF8io5sw+WKp1kyUHCIVUy9vJNtT0ysXfjokht3obo30BqvL8khufnIscbJHV
khuO14kGCwX6xJFolGP++o2YkvEpbw87QIAmf8snlPw61rK6OoovP+k4noV5e3aN
t9U7j1iLp3J2d3SkvN7dBuZuxubP11mCWSG/Y0xkCr7i6SAN5WtvI54L3jgKEy42
Ahsi2uigyxVXJm5kepc/UPrOwk1zyMTpZOVG/JQDu1zskNn34PKufrL8zM14KjXd
Sf9NwSPly3uUXLSTxDs//te+AbcP4qUHPYO1QKdccFNJApMpGudgSTAKWE+F31Aw
SwIDAQAB
-----END PUBLIC KEY-----', 1, '39950368');
INSERT INTO PARTNER (client_id, name, public_key, enable, merchant_code)
VALUES ('GtZsiXgixweDUkYOCElqSsBXyEbbYMGd', 'CTCP BENH VIEN DKQT VINME', '-----BEGIN PUBLIC KEY-----
MIIBIjANBgkqhkiG9w0BAQEFAAOCAQ8AMIIBCgKCAQEAum0jsTicti/tCXxB9vcz
k/KzF8io5sw+WKp1kyUHCIVUy9vJNtT0ysXfjokht3obo30BqvL8khufnIscbJHV
khuO14kGCwX6xJFolGP++o2YkvEpbw87QIAmf8snlPw61rK6OoovP+k4noV5e3aN
t9U7j1iLp3J2d3SkvN7dBuZuxubP11mCWSG/Y0xkCr7i6SAN5WtvI54L3jgKEy42
Ahsi2uigyxVXJm5kepc/UPrOwk1zyMTpZOVG/JQDu1zskNn34PKufrL8zM14KjXd
Sf9NwSPly3uUXLSTxDs//te+AbcP4qUHPYO1QKdccFNJApMpGudgSTAKWE+F31Aw
SwIDAQAB
-----END PUBLIC KEY-----', 1, '39960488');
INSERT INTO PARTNER (client_id, name, public_key, enable, merchant_code)
VALUES ('GtZsiXgixweDUkYOCElqSsBXyEbbYMGd', 'CTCP BENH VIEN DKQT VINME', '-----BEGIN PUBLIC KEY-----
MIIBIjANBgkqhkiG9w0BAQEFAAOCAQ8AMIIBCgKCAQEAum0jsTicti/tCXxB9vcz
k/KzF8io5sw+WKp1kyUHCIVUy9vJNtT0ysXfjokht3obo30BqvL8khufnIscbJHV
khuO14kGCwX6xJFolGP++o2YkvEpbw87QIAmf8snlPw61rK6OoovP+k4noV5e3aN
t9U7j1iLp3J2d3SkvN7dBuZuxubP11mCWSG/Y0xkCr7i6SAN5WtvI54L3jgKEy42
Ahsi2uigyxVXJm5kepc/UPrOwk1zyMTpZOVG/JQDu1zskNn34PKufrL8zM14KjXd
Sf9NwSPly3uUXLSTxDs//te+AbcP4qUHPYO1QKdccFNJApMpGudgSTAKWE+F31Aw
SwIDAQAB
-----END PUBLIC KEY-----', 1, '39970650');
INSERT INTO PARTNER (client_id, name, public_key, enable, merchant_code)
VALUES ('GtZsiXgixweDUkYOCElqSsBXyEbbYMGd', 'CTCP BENH VIEN DKQT VINME', '-----BEGIN PUBLIC KEY-----
MIIBIjANBgkqhkiG9w0BAQEFAAOCAQ8AMIIBCgKCAQEAum0jsTicti/tCXxB9vcz
k/KzF8io5sw+WKp1kyUHCIVUy9vJNtT0ysXfjokht3obo30BqvL8khufnIscbJHV
khuO14kGCwX6xJFolGP++o2YkvEpbw87QIAmf8snlPw61rK6OoovP+k4noV5e3aN
t9U7j1iLp3J2d3SkvN7dBuZuxubP11mCWSG/Y0xkCr7i6SAN5WtvI54L3jgKEy42
Ahsi2uigyxVXJm5kepc/UPrOwk1zyMTpZOVG/JQDu1zskNn34PKufrL8zM14KjXd
Sf9NwSPly3uUXLSTxDs//te+AbcP4qUHPYO1QKdccFNJApMpGudgSTAKWE+F31Aw
SwIDAQAB
-----END PUBLIC KEY-----, 1, '32857799');
INSERT INTO PARTNER (client_id, name, public_key, enable, merchant_code)
VALUES ('GtZsiXgixweDUkYOCElqSsBXyEbbYMGd', 'CTCP BENH VIEN DKQT VINME', '-----BEGIN PUBLIC KEY-----
MIIBIjANBgkqhkiG9w0BAQEFAAOCAQ8AMIIBCgKCAQEAum0jsTicti/tCXxB9vcz
k/KzF8io5sw+WKp1kyUHCIVUy9vJNtT0ysXfjokht3obo30BqvL8khufnIscbJHV
khuO14kGCwX6xJFolGP++o2YkvEpbw87QIAmf8snlPw61rK6OoovP+k4noV5e3aN
t9U7j1iLp3J2d3SkvN7dBuZuxubP11mCWSG/Y0xkCr7i6SAN5WtvI54L3jgKEy42
Ahsi2uigyxVXJm5kepc/UPrOwk1zyMTpZOVG/JQDu1zskNn34PKufrL8zM14KjXd
Sf9NwSPly3uUXLSTxDs//te+AbcP4qUHPYO1QKdccFNJApMpGudgSTAKWE+F31Aw
SwIDAQAB
-----END PUBLIC KEY-----', 1, '39957198');
INSERT INTO PARTNER (client_id, name, public_key, enable, merchant_code)
VALUES ('GtZsiXgixweDUkYOCElqSsBXyEbbYMGd', 'CTCP BENH VIEN DKQT VINME', '-----BEGIN PUBLIC KEY-----
MIIBIjANBgkqhkiG9w0BAQEFAAOCAQ8AMIIBCgKCAQEAum0jsTicti/tCXxB9vcz
k/KzF8io5sw+WKp1kyUHCIVUy9vJNtT0ysXfjokht3obo30BqvL8khufnIscbJHV
khuO14kGCwX6xJFolGP++o2YkvEpbw87QIAmf8snlPw61rK6OoovP+k4noV5e3aN
t9U7j1iLp3J2d3SkvN7dBuZuxubP11mCWSG/Y0xkCr7i6SAN5WtvI54L3jgKEy42
Ahsi2uigyxVXJm5kepc/UPrOwk1zyMTpZOVG/JQDu1zskNn34PKufrL8zM14KjXd
Sf9NwSPly3uUXLSTxDs//te+AbcP4qUHPYO1QKdccFNJApMpGudgSTAKWE+F31Aw
SwIDAQAB
-----END PUBLIC KEY-----', 1, '39961316');
INSERT INTO PARTNER (client_id, name, public_key, enable, merchant_code)
VALUES ('GtZsiXgixweDUkYOCElqSsBXyEbbYMGd', 'CTCP BENH VIEN DKQT VINME', '-----BEGIN PUBLIC KEY-----
MIIBIjANBgkqhkiG9w0BAQEFAAOCAQ8AMIIBCgKCAQEAum0jsTicti/tCXxB9vcz
k/KzF8io5sw+WKp1kyUHCIVUy9vJNtT0ysXfjokht3obo30BqvL8khufnIscbJHV
khuO14kGCwX6xJFolGP++o2YkvEpbw87QIAmf8snlPw61rK6OoovP+k4noV5e3aN
t9U7j1iLp3J2d3SkvN7dBuZuxubP11mCWSG/Y0xkCr7i6SAN5WtvI54L3jgKEy42
Ahsi2uigyxVXJm5kepc/UPrOwk1zyMTpZOVG/JQDu1zskNn34PKufrL8zM14KjXd
Sf9NwSPly3uUXLSTxDs//te+AbcP4qUHPYO1QKdccFNJApMpGudgSTAKWE+F31Aw
SwIDAQAB
-----END PUBLIC KEY-----', 1, '40084515');
INSERT INTO PARTNER (client_id, name, public_key, enable, merchant_code)
VALUES ('GtZsiXgixweDUkYOCElqSsBXyEbbYMGd', 'CTCP BENH VIEN DKQT VINME', '-----BEGIN PUBLIC KEY-----
MIIBIjANBgkqhkiG9w0BAQEFAAOCAQ8AMIIBCgKCAQEAum0jsTicti/tCXxB9vcz
k/KzF8io5sw+WKp1kyUHCIVUy9vJNtT0ysXfjokht3obo30BqvL8khufnIscbJHV
khuO14kGCwX6xJFolGP++o2YkvEpbw87QIAmf8snlPw61rK6OoovP+k4noV5e3aN
t9U7j1iLp3J2d3SkvN7dBuZuxubP11mCWSG/Y0xkCr7i6SAN5WtvI54L3jgKEy42
Ahsi2uigyxVXJm5kepc/UPrOwk1zyMTpZOVG/JQDu1zskNn34PKufrL8zM14KjXd
Sf9NwSPly3uUXLSTxDs//te+AbcP4qUHPYO1QKdccFNJApMpGudgSTAKWE+F31Aw
SwIDAQAB
-----END PUBLIC KEY-----, 1, '39977393');
INSERT INTO PARTNER (client_id, name, public_key, enable, merchant_code)
VALUES ('GtZsiXgixweDUkYOCElqSsBXyEbbYMGd', 'CTCP BENH VIEN DKQT VINME', '-----BEGIN PUBLIC KEY-----
MIIBIjANBgkqhkiG9w0BAQEFAAOCAQ8AMIIBCgKCAQEAum0jsTicti/tCXxB9vcz
k/KzF8io5sw+WKp1kyUHCIVUy9vJNtT0ysXfjokht3obo30BqvL8khufnIscbJHV
khuO14kGCwX6xJFolGP++o2YkvEpbw87QIAmf8snlPw61rK6OoovP+k4noV5e3aN
t9U7j1iLp3J2d3SkvN7dBuZuxubP11mCWSG/Y0xkCr7i6SAN5WtvI54L3jgKEy42
Ahsi2uigyxVXJm5kepc/UPrOwk1zyMTpZOVG/JQDu1zskNn34PKufrL8zM14KjXd
Sf9NwSPly3uUXLSTxDs//te+AbcP4qUHPYO1QKdccFNJApMpGudgSTAKWE+F31Aw
SwIDAQAB
-----END PUBLIC KEY-----', 1, '39955606');
INSERT INTO PARTNER (client_id, name, public_key, enable, merchant_code)
VALUES ('GtZsiXgixweDUkYOCElqSsBXyEbbYMGd', 'CTCP BENH VIEN DKQT VINME', '-----BEGIN PUBLIC KEY-----
MIIBIjANBgkqhkiG9w0BAQEFAAOCAQ8AMIIBCgKCAQEAum0jsTicti/tCXxB9vcz
k/KzF8io5sw+WKp1kyUHCIVUy9vJNtT0ysXfjokht3obo30BqvL8khufnIscbJHV
khuO14kGCwX6xJFolGP++o2YkvEpbw87QIAmf8snlPw61rK6OoovP+k4noV5e3aN
t9U7j1iLp3J2d3SkvN7dBuZuxubP11mCWSG/Y0xkCr7i6SAN5WtvI54L3jgKEy42
Ahsi2uigyxVXJm5kepc/UPrOwk1zyMTpZOVG/JQDu1zskNn34PKufrL8zM14KjXd
Sf9NwSPly3uUXLSTxDs//te+AbcP4qUHPYO1QKdccFNJApMpGudgSTAKWE+F31Aw
SwIDAQAB
-----END PUBLIC KEY-----', 1, '40065767');</t>
  </si>
  <si>
    <t>Cập nhật tên kho triển khai Kho nhà mẫu MAG</t>
  </si>
  <si>
    <t>2026-01-28T09:14:34.733+0700</t>
  </si>
  <si>
    <t>2026-01-28T09:18:35.179+0700</t>
  </si>
  <si>
    <t>Description Hi DBA team, Hiện tại nghiệp vụ có nhu cầu cập nhật lại tên kho theo nhu cầu vận hành Câu query đánh giá là không ảnh hưởng đến vận hành hệ thống nên mong muốn chạy luôn Cụm WMS Project : vinid-b2b-platform-prod Instance/IP : main (read-write): 172.31.4.59 Port : 3306 Database : omd_wms_core Script update base_dc bd set bd.dc_name = 'Kho O&amp;S - Miền Bắc' where bd.dc_code = 'M053'; Cum WES Project : vinid-b2b-platform-prod Instance/IP : main (read-write): 172.31.1.143 Port : 3306 Database : wes_master Script : update warehouse w set w.name = 'Kho O&amp;S - Miền Bắc' where w.code = 'M053';</t>
  </si>
  <si>
    <t>[PROD] Chạy câu lệnh SQL phục vụ golive ngày 27/01</t>
  </si>
  <si>
    <t>2026-01-27T16:19:16.367+0700</t>
  </si>
  <si>
    <t>2026-01-28T09:07:05.294+0700</t>
  </si>
  <si>
    <t>Dear anh Linh, Để thuận tiện cho việc trace các issuse liên quan đến login app OneU, nhờ anh support team tạo 1 user read only với các thông tin sau IP: 172.31.3.40
DB name: omc_bp_authentication
user_name: omc_bp_authentication_read_only Tiếp đó nhờ anh chạy các câu lệnh SQL dưới đây để ngày 27/01 team thực hiện golive nhé ạ Thời gian chạy 22h ngày 27/01 IP: 172.31.3.40
DB name: omc_bp_authentication SQL: ALTER TABLE `vneid_login_log`
    ADD transaction_code VARCHAR(50) default null;
ALTER TABLE `vneid_login_log`
    ADD request_id VARCHAR(50) default null;
ALTER TABLE `vneid_login_log`
    RENAME COLUMN `identify_number_encoded` TO `cipher_identify_number`; Em cảm ơn anh</t>
  </si>
  <si>
    <t>Tạo database cho tools langfuse monitor &amp; observation agent</t>
  </si>
  <si>
    <t>2026-01-27T14:00:39.793+0700</t>
  </si>
  <si>
    <t>2026-01-27T14:06:54.652+0700</t>
  </si>
  <si>
    <t xml:space="preserve">Team dự án cần tạo database cho langfuse NonProd: Db name: agent_langfuse Security review: </t>
  </si>
  <si>
    <t>[BO] Hiệu chỉnh cấu hình khoảng thời gian áp dụng phí hạch toán OMC đến 31/12/2026</t>
  </si>
  <si>
    <t>2026-01-27T10:23:34.902+0700</t>
  </si>
  <si>
    <t>2026-01-27T10:23:39.016+0700</t>
  </si>
  <si>
    <t>Hi a  @Nguyễn Văn Dũng , nhờ a chạy giúp e script bên dưới với ạ Thông tin database:  172.31.1.133:3306/bo Script: UPDATE FEE_PRICE_LIST
SET VALID_TO = '2026-12-31'
WHERE ID IN ('102181','102182','102183','102184','102185','102186','102306','102307','102350','102351','113','114','115','116','1816','557','559','564','581','587','588','589','590','607','617','618','620','637','643','670','673','677','678','679','680','7022','7023','9922');</t>
  </si>
  <si>
    <t>[UPAY][PROD] Support QC check issue trên PROD</t>
  </si>
  <si>
    <t>2026-01-26T16:32:05.039+0700</t>
  </si>
  <si>
    <t>2026-01-26T16:32:21.074+0700</t>
  </si>
  <si>
    <t>Hi a  @Nguyễn Văn Dũng  nhờ a chạy script theo mô tả  dưới đây ở môi trường PRODUCTION theo thông tin dưới đây ạ: Thời gian chạy script: Vào lúc  Sau khi approve Thông tin database:  mysql://vinpay-sql-onehub-master.int.vinid.net:3306/pay_payment_gateway CR Ticket: em bổ sung dưới cmt nhé ạ Script: update SYSTEM_CONFIGURATION
set system_param_value = CONCAT(system_param_value, ',12017008,11283407')
where system_param_code = 'USER_ID_PILOT_TCB_DIRECT';</t>
  </si>
  <si>
    <t>[OM][Prod][OM] Upgrade version cloudsql database mysql từ version 8.0.34 &gt; version 8.4.x project vincart-prod, instance: cqr và ecom-dynamic-content</t>
  </si>
  <si>
    <t>2026-01-26T15:49:26.613+0700</t>
  </si>
  <si>
    <t>2026-02-13T14:09:23.280+0700</t>
  </si>
  <si>
    <t>Upgrade version cloudsql database mysql từ version 8.0.34 &gt; version 8.4.x Project:  vincart-prod instance:  cqr instance:  ecom-dynamic-content Plan:    Thời gian downtime dự kiến:  1 giờ Thời gian thực hiện:  22h - 02Feb26</t>
  </si>
  <si>
    <t>2026-01-26T15:36:49.539+0700</t>
  </si>
  <si>
    <t>2026-01-26T16:00:14.127+0700</t>
  </si>
  <si>
    <t xml:space="preserve">Team dự án cần tạo database cho langfuse: Instance:  https://console.cloud.google.com/sql/instances/postgre-13-core-services Db name: agent_langfuse Security review:   </t>
  </si>
  <si>
    <t>[omd][merchant-hub][pos][np] Tạo database cho dự án merchant hub pos môi trường non-prod 2</t>
  </si>
  <si>
    <t>2026-01-26T14:43:14.143+0700</t>
  </si>
  <si>
    <t>2026-01-26T15:20:31.124+0700</t>
  </si>
  <si>
    <t>Hi anh  @Phạm Tuấn Linh   theo ticket này đã xử lý:    Nhờ anh tạo thêm giúp em các DB bên dưới cho 2 phân hệ mới anh nhé gcp project: omd-merchant-hub-np instance: merchant-hub-np-postgres ( https://console.cloud.google.com/sql/instances/merchant-hub-np-postgres/overview?project=omd-merchant-hub-np ) fiscal module : mhpos_fiscal_dev mhpos_fiscal_qc mhpos_fiscal_uat readonly user: mhpos_fiscal_np_readonly payment module : mhpos_payment_dev mhpos_payment_qc mhpos_payment_uat readonly user: mhpos_payment_np_readonly</t>
  </si>
  <si>
    <t>[LP][Core][TCB] - Insert data phục vụ campaign MKT 012026 (Part 02)</t>
  </si>
  <si>
    <t>2026-01-26T11:19:18.927+0700</t>
  </si>
  <si>
    <t>2026-01-26T12:13:06.738+0700</t>
  </si>
  <si>
    <t>Dear DBA Team, Nhờ team thực hiện insert data phục vụ campaign MKT 012026, theo các bước sau: Thông tin database: IP: 10.255.23.119 Service name: oneloyaltydb Port: 1521 schema app: OLOYALTY Bước 1: Tạo bảng tạm CREATE TABLE OLOYALTY.CST_TARGET_GROUP_012026_02
(
    "ID"             NUMBER(10,0) GENERATED BY DEFAULT ON NULL AS IDENTITY,
    "LOYALTY_ID"           VARCHAR2(32 BYTE) DEFAULT NULL,
    PRIMARY KEY ("ID")
); Bước 02: Load dữ liệu 01 file đính kèm vào bảng tạm File 06(453,158) :    Bước 03: Insert data vào bảng Member Attribute từ bảng bảng tạm 3.1. Kiểm số row bảng CST_TARGET_GROUP_012026_02 SELECT /*+ parallel(16) */ count(*) FROM OLOYALTY.CST_TARGET_GROUP_012026_02; 3.2 Kiểm tra trùng ,  báo lại dự án nếu có SELECT /*+ parallel(16) */ LOYALTY_ID,count(*) FROM OLOYALTY.CST_TARGET_GROUP_012026_02 GROUP BY LOYALTY_ID HAVING count(*) &gt; 1; 3.3 Kiểm tra số dòng dự kiến insert, báo lại dự án nếu số dòng khác với số dòng của bảng CST_TARGET_GROUP_012026_02.   Note: Có thể bỏ qua nếu câu lệnh chạy quá lâu SELECT /*+ parallel(16) */ count(*) FROM OLOYALTY.MEMBER m JOIN CST_TARGET_GROUP_012026_02 b ON m.PARTNER_CUSTOMER_ID = b.LOYALTY_ID WHERE m.PROGRAM_ID = 426; 3.4 Chạy lệnh insert INSERT INTO OLOYALTY.MEMBER_ATTRIBUTE (PROGRAM_ID, MEMBER_ID, PROGRAM_ATTRIBUTE_ID, VALUE, STATUS,CREATED_BY)
SELECT 426,
    m.id AS MEMBER_ID,
    423 AS PROGRAM_ATTRIBUTE_ID,
    'BASES0126_ETB_TAB2_GROUP1' AS VALUE,
    'A' AS STATUS,
    'MKT_012026_03'
FROM OLOYALTY.MEMBER m JOIN CST_TARGET_GROUP_012026_02 b ON m.PARTNER_CUSTOMER_ID = b.LOYALTY_ID WHERE m.PROGRAM_ID = 426
; 3.5 Kiểm tra kết quả cuối cùng SELECT /*+ parallel(16) */ count(*) FROM OLOYALTY.MEMBER_ATTRIBUTE ma WHERE PROGRAM_ATTRIBUTE_ID = 423 AND CREATED_BY = 'MKT_012026_03';</t>
  </si>
  <si>
    <t>[OMC][Loyalty MFT] VCM - Cập nhật thông tin sử dụng voucher ticket ngày 23/01/2026</t>
  </si>
  <si>
    <t>2026-01-26T09:22:28.633+0700</t>
  </si>
  <si>
    <t>2026-01-26T09:37:48.677+0700</t>
  </si>
  <si>
    <t>Theo yêu cầu từ phía đội vận hành CR   , cần cập nhật lại thông tin sử dụng voucher ticket của user, nhờ team hỗ trợ với ạ. Thông tin database - GCP project  vinid-loyalty-prod
- Instance name : onevoucher
- Instance IP : 172.31.4.126
- Database : onevc_vsm_prod Query UPDATE onevc_vsm_prod.ticket SET sale_history_id = 235127 WHERE sale_code = 'VD_VC_1764934977450'; Thanks team.</t>
  </si>
  <si>
    <t>Xin account có quyền read/write/delete truy cập vào database portal ở 10.10.12.46</t>
  </si>
  <si>
    <t>2026-01-26T09:22:07.907+0700</t>
  </si>
  <si>
    <t>2026-01-26T10:29:35.887+0700</t>
  </si>
  <si>
    <t>Xin account có quyền read/write/delete truy cập vào database portal ở 10.10.12.46 để phục vụ tích hợp thiết bị chấm côn ZKBio ở tầng 5 tòa nhà Techcombank Lumère</t>
  </si>
  <si>
    <t>[OMC][Discount][Prod] Thực hiện xóa Table không dùng, partition reconcile cũ</t>
  </si>
  <si>
    <t>2026-01-26T07:49:23.575+0700</t>
  </si>
  <si>
    <t>2026-01-28T17:25:18.500+0700</t>
  </si>
  <si>
    <t>Host:  172.31.4.75 DB:  promo_gamezone Query: DROP TABLE promo_gamezone.transaction_earn_points;
DROP TABLE promo_gamezone.cap_accumulate_points;
DROP TABLE promo_gamezone.accumulate_points; Host:  172.31.4.75 DB:  promo_rule_engine Table:  data_reconciliation Thực hiện xóa các partition cũ, chỉ giữ lại 2 tháng 12/2025, và 1/2026</t>
  </si>
  <si>
    <t>[LP][Core][TCB] - Insert data phục vụ campaign MKT 012026</t>
  </si>
  <si>
    <t>2026-01-24T13:52:17.210+0700</t>
  </si>
  <si>
    <t>2026-01-24T19:17:37.163+0700</t>
  </si>
  <si>
    <t>Dear DBA Team, Nhờ team thực hiện insert data phục vụ campaign MKT 012026, theo các bước sau: Thông tin database: IP: 10.255.23.119 Service name: oneloyaltydb Port: 1521 schema app: OLOYALTY Bước 1: Tạo bảng tạm CREATE TABLE OLOYALTY.CST_TARGET_GROUP_012026
(
    "ID"             NUMBER(10,0) GENERATED BY DEFAULT ON NULL AS IDENTITY,
    "LOYALTY_ID"           VARCHAR2(32 BYTE) DEFAULT NULL,
    "CST_TARGET_GROUP"           VARCHAR2(256 BYTE) DEFAULT NULL,
    PRIMARY KEY ("ID")
); Bước 02: Load dữ liệu 5 file đính kèm vào bảng tạm File 01 (1,900,000):    File 02 (2,060,126):    File 03 (1,800,000):    File 04 (1800001):    File 05 (1,744,062):    Bước 03: Insert data vào bảng Member Attribute từ bảng bảng tạm TBU in comment</t>
  </si>
  <si>
    <t>Cập nhật tên DC M051 và M052 phục vụ mở kho MAG quản lý Vườn ươm</t>
  </si>
  <si>
    <t>2026-01-23T16:26:40.568+0700</t>
  </si>
  <si>
    <t>2026-01-23T16:31:47.047+0700</t>
  </si>
  <si>
    <t>Description Hi DBA team, Hiện tại nghiệp vụ có nhu cầu cập nhật lại tên kho theo nhu cầu vận hành Câu query đánh giá là không ảnh hưởng đến vận hành hệ thống nên mong muốn chạy luôn Cụm WMS Project : vinid-b2b-platform-prod Instance/IP : main (read-write): 172.31.4.59 Port : 3306 Database : omd_wms_core Script update base_dc bd set bd.dc_name = 'Vườn ươm Tân Sơn Nhất' where bd.dc_code = 'M051'; update base_dc bd set bd.dc_name = 'Vườn ươm 52 Trần Phú' where bd.dc_code = 'M052'; Cum WES Project : vinid-b2b-platform-prod Instance/IP : main (read-write): 172.31.1.143 Port : 3306 Database : wes_master Script : update warehouse w set w.name = 'Vườn ươm Tân Sơn Nhất' where w.code = 'M051'; update warehouse w set w.name = 'Vườn ươm 52 Trần Phú' where w.code = 'M052';</t>
  </si>
  <si>
    <t>[UPAY][SAMRTPOS] Cập nhập thông tin địa chỉ cửa hàng cho merchant CIBGKLEVEHCM</t>
  </si>
  <si>
    <t>2026-01-23T14:51:24.061+0700</t>
  </si>
  <si>
    <t>2026-01-23T14:51:29.774+0700</t>
  </si>
  <si>
    <t>Dear  team, nhờ  team cập thông tin trong DB với thông tin cụ thể như sau  Thông tin database saas_tpay:  pay-tidb.int.onemount.com:4000/saas_tpay Thời gian chay: Khi được approval  Scripts: update UNIFIED_STORE SET partner_id = 'OMSMARTPOS',  address = '276 Lê Văn Sỹ P 14 Q 3 TPHCM, P. 14, Q. 03, TP. Hồ Chí Minh' WHERE merchant_code  = 'CIBGKLEVEHCM' and  store_code = 'CH8ERRXM'  and  service_code = 'SMARTPOS_QR';
update UNIFIED_STORE SET partner_id = 'OMSMARTPOS',  address = '169 Nguyễn Văn Cừ P 2 Q 5 TPHCM, P. 02, Q. 05, TP. Hồ Chí Minh' WHERE merchant_code  = 'CIBGKLEVEHCM' and  store_code = 'CHH2Q7XG'  and  service_code = 'SMARTPOS_QR';
update UNIFIED_STORE SET partner_id = 'OMSMARTPOS',  address = '494 Quang Trung P 10 Q Gò Vấp TPHCM, P. 10, Q. Gò Vấp, TP. Hồ Chí Minh' WHERE merchant_code  = 'CIBGKLEVEHCM' and  store_code = 'CH32NU3B'  and  service_code = 'SMARTPOS_QR';
update UNIFIED_STORE SET partner_id = 'OMSMARTPOS',  address = '439 Quang Trung P 10 Q Gò Vấp TPHCM, P. 10, Q. Gò Vấp, TP. Hồ Chí Minh' WHERE merchant_code  = 'CIBGKLEVEHCM' and  store_code = 'CHZENMN9'  and  service_code = 'SMARTPOS_QR';
update UNIFIED_STORE SET partner_id = 'OMSMARTPOS',  address = '216 Phan Đình Phùng P 1 Phú Nhuận TPHCM, P. 01, Q. Phú Nhuận, TP. Hồ Chí Minh' WHERE merchant_code  = 'CIBGKLEVEHCM' and  store_code = 'CHX6YTR7'  and  service_code = 'SMARTPOS_QR';
update UNIFIED_STORE SET partner_id = 'OMSMARTPOS',  address = '161 Khánh Hội P 3 Q 4 TPHCM, P. 03, Q. 04, TP. Hồ Chí Minh' WHERE merchant_code  = 'CIBGKLEVEHCM' and  store_code = 'CHDD87EV'  and  service_code = 'SMARTPOS_QR';
update UNIFIED_STORE SET partner_id = 'OMSMARTPOS',  address = '518 Lý Thái Tổ P 10 Q 10 TPHCM, P. 10, Q. 10, TP. Hồ Chí Minh' WHERE merchant_code  = 'CIBGKLEVEHCM' and  store_code = 'CHZM7TVA'  and  service_code = 'SMARTPOS_QR';
update UNIFIED_STORE SET partner_id = 'OMSMARTPOS',  address = '36E Phan Đăng Lưu P 5 Q Phú Nhuận TPHCM, P. 05, Q. Phú Nhuận, TP. Hồ Chí Minh' WHERE merchant_code  = 'CIBGKLEVEHCM' and  store_code = 'CHSTCMM9'  and  service_code = 'SMARTPOS_QR';
update UNIFIED_STORE SET partner_id = 'OMSMARTPOS',  address = '401 Hai Bà Trưng P 8 Q 3 TPHCM, P. 09, Q. 03, TP. Hồ Chí Minh' WHERE merchant_code  = 'CIBGKLEVEHCM' and  store_code = 'CHCA3S2V'  and  service_code = 'SMARTPOS_QR';
update UNIFIED_STORE SET partner_id = 'OMSMARTPOS',  address = '449 Đường Phan Văn Trị P 5 Gò Vấp TPHCM, P. 05, Q. Gò Vấp, TP. Hồ Chí Minh' WHERE merchant_code  = 'CIBGKLEVEHCM' and  store_code = 'CHT3AFKY'  and  service_code = 'SMARTPOS_QR';
update UNIFIED_STORE SET partner_id = 'OMSMARTPOS',  address = '276 Trần Não An Khánh Thủ Đức TPHCM, P. An Khánh, TP. Thủ Đức, TP. Hồ Chí Minh' WHERE merchant_code  = 'CIBGKLEVEHCM' and  store_code = 'CH9D9T7Z'  and  service_code = 'SMARTPOS_QR';</t>
  </si>
  <si>
    <t>Xin cấp quyền truy cập data trên dremio</t>
  </si>
  <si>
    <t>2026-01-23T12:19:22.455+0700</t>
  </si>
  <si>
    <t>2026-02-02T12:32:46.896+0700</t>
  </si>
  <si>
    <t>DBA, cloned</t>
  </si>
  <si>
    <t>cc sếp  chau.nguyen2@onemount.com Xin cấp quyền truy cập các bảng dữ liệu sau: Dữ liệu OMC - MTP dp.om.application.mtp dp.om.application."trust-and-safety" dp.om.semantic.salesforce dp.omc.semantic mtp tidb_ods.data_platform.mvp_discount_transaction tidb_omc.omre_mtp_tracking_events_issued_serials tidb_ods.data_platform.mvp_voucher_ticket tidb_ods.dp_omc_semantic_omc_bsi_cdp tidb_ods.omc_merchant_loyalty.campaign tidb_ods.omc_merchant_loyalty.merchant tidb_ods.omc_merchant_loyalty.request tidb_omc.omc_merchant_loyalty tidb_omc.omc_merchant_loyalty.campaign tidb_omc.omc_merchant_loyalty.merchant tidb_omc.omc_merchant_loyalty.request tidb_omc.omc_mtp_martech_activation tidb_omc.omc_mtp_tracking_events tidb_omc.omc_mtp_user_profile tidb_omc.omre_mtp_tracking_events martech_notification_prod_172_31_4_192 vinid-cdp-ads-prod onemg-dp-prod-gcs."om-dremio-ctas-prod".om_risk_warehouse onemg-dp-prod-gcs."om-dremio-ctas-prod".om.mtp Dữ liệu OMD dp.omd.semantic.cdp dp.omd.semantic.cdp.f_martech_collector_omd_auth dp.omd.semantic.elasticsearch.f_merchant_platform_notification_messages dp.omd.semantic.event_tracking.vinshop_tracking dp.omd.semantic.firebase.f_firebase_merchant_event_pii dp.omd.semantic.merchant_notification TCB dp.tcb.semantic.tcb_oloyalty.int__f_tcb_member_attribute_mcl  dp.tcb.semantic.tcb_ps2.loyalty.r_program_attributeccount dp.tcb.semantic.tcb_ps2.loyalty.r_customer_profile dp.tcb.semantic.tcb_ps2.loyalty.r_member dp.tcb.semantic.tcb_ps2.loyalty.r_member_attribute dp.tcb.semantic.tcb_ps2.loyalty.r_program_attribute</t>
  </si>
  <si>
    <t>[OMC][ONEU] [Prod] Update role user</t>
  </si>
  <si>
    <t>2026-01-23T11:00:02.368+0700</t>
  </si>
  <si>
    <t>2026-01-23T12:01:15.381+0700</t>
  </si>
  <si>
    <t>Dear team DBA Nhờ team chạy giúp em câu lệnh sau để update lại role của user ạ Chạy ngay khi được approve PROJECT: omc-base-platform-prod IP: 172.31.3.55 INSTANCE: postgre-14 DB: oneu_landing_page update users set role = 'admin' where email = 'hoang.vu1@onemount.com'; CR:    Em cảm ơn ạ.</t>
  </si>
  <si>
    <t>[OMC][MCL][PROD] Hỗ trợ cập nhật database - Campaign</t>
  </si>
  <si>
    <t>2026-01-23T10:05:44.886+0700</t>
  </si>
  <si>
    <t>2026-01-23T10:15:14.347+0700</t>
  </si>
  <si>
    <t>Merchant_Loyalty, merchant_loyalty</t>
  </si>
  <si>
    <t>Dear anh  @Nguyễn Văn Dũng  , Nhờ anh hỗ trợ team thực hiện golive ZNS/SMS Campaign nhé ạ. Release plan:    Thanks anh.</t>
  </si>
  <si>
    <t>[Merchant-TCB] Hỗ trợ cập nhật dữ liệu 20260122</t>
  </si>
  <si>
    <t>2026-01-22T17:21:20.193+0700</t>
  </si>
  <si>
    <t>2026-01-22T17:34:13.452+0700</t>
  </si>
  <si>
    <t>Dear team, Nhờ team chạy giúp câu lệnh bên dưới ạ. Thông tin database https://console.cloud.google.com/sql/instances/merchant-tcb/overview?inv=1&amp;invt=AbsndA&amp;project=vinid-merchant-prod DB_MYSQL_HOST=172.31.4.108
DB_MYSQL_DATABASE=merchant_service_tcb Câu lệnh UPDATE
	tpay_merchant
SET
	business_license_number = '33B8016335-1'
WHERE
	code = 'NCCWS4T5';
-- ============	
UPDATE
	tpay_request_merchant
SET
	business_license_number = '33B8016335-1',
    tcb_customer_t24 = '70635061-1'
WHERE
	merchant_code='NCCWS4T5';</t>
  </si>
  <si>
    <t>[OMC][[ONEU] Tạo database postgre cho landing page ONEU</t>
  </si>
  <si>
    <t>2026-01-22T17:20:17.605+0700</t>
  </si>
  <si>
    <t>2026-01-23T09:02:19.646+0700</t>
  </si>
  <si>
    <t>Dear team DBA Team ONEU cần tạo/cấp quyền cho database mới, nhờ team hỗ trợ ạ. Cụ thể thông tin như sau: GCP: omc-base-platform-prod IP: 172.31.3.55 instance: postgre-14 Database name: oneu_landing_page Username: oneu_landing_page Permission: read/write SAD:    Thank team.</t>
  </si>
  <si>
    <t>[UPAY][SAMRTPOS] Cập nhập thông tin CIF &amp; DKKD cho merchant</t>
  </si>
  <si>
    <t>2026-01-22T16:20:29.276+0700</t>
  </si>
  <si>
    <t>2026-01-22T16:25:45.221+0700</t>
  </si>
  <si>
    <t>Dear  team, nhờ  team cập thông tin trong DB với thông tin cụ thể như sau  Thông tin database saas_tpay:  pay-tidb.int.onemount.com:4000/saas_tpay Scripts:  UPDATE UNIFIED_MERCHANT SET cif = '70635061-1', business_license_number = '33B8016335-1' where cif = '70635061';</t>
  </si>
  <si>
    <t>[CUSTOMER-FRONT] Import data sale look back 2025 từ file</t>
  </si>
  <si>
    <t>2026-01-22T15:03:49.743+0700</t>
  </si>
  <si>
    <t>2026-01-22T15:08:34.442+0700</t>
  </si>
  <si>
    <t>others</t>
  </si>
  <si>
    <t>Description Để phục vụ chức năng SA look back 2025, app 1Seal cần import các thông tin được bên kinh doanh tổng hợp để hiển thị cho SA ở màn Look back DB: DB_MYSQL_HOST: "vinid-integration-prod--main.cloudsql.int" - 172.31.1.126
  DB_MYSQL_PORT: "3306"
  DB_MYSQL_DATABASE: "sales_tools" Table: sales_lookback File import em đã attach ở bên dưới.</t>
  </si>
  <si>
    <t>Hỗ trợ cập nhật trạng thái lệch tồn kho thuanphong2</t>
  </si>
  <si>
    <t>2026-01-22T14:21:43.587+0700</t>
  </si>
  <si>
    <t>2026-01-22T17:46:04.377+0700</t>
  </si>
  <si>
    <t>Hi DBA team, Hiện tại kho thuanphong2 cần fix lỗi dữ liệu bị lệch số lượng tồn, nhờ team DBA hỗ trợ cập nhật theo thông tin dưới đây Project : vinid-b2b-platform-prod Instance/IP : main (read-write): 172.31.4.59 Port : 3306 Database : omd_wms_thuanphong2 update agg_inventory_aggregator aia set aia.last_modified_date = UTC_TIMESTAMP 
where aia.product_code in ('452000209', 'MCAHL1_1', 'GAHKX1___') 
and aia.dc_code = 'PHO04';</t>
  </si>
  <si>
    <t xml:space="preserve">[OMD]:  Hỗ trợ chạy câu lệnh DDL add column cho 1 số databases </t>
  </si>
  <si>
    <t>2026-01-21T17:15:36.247+0700</t>
  </si>
  <si>
    <t>2026-01-21T17:23:51.176+0700</t>
  </si>
  <si>
    <t>Hi DBA team, Hiện tại nghiệp vụ cần triển khai tính năng mới trên prod, cần thêm mới column trên 1 số databases có số lượng data lớn. Câu query đánh giá là có thể ảnh hưởng đến vận hành hệ thống nên mong muốn chạy vào thời gian vận hành thấp điểm (từ 21h30-0h sáng). Cụm WMS Project : vinid-b2b-platform-prod Instance/IP : main (read-write): 172.31.4.59 Port : 3306 Database : omd_wms_fm, omd_wms_thuanphong2, omd_wms_8115, omd_wms_mag, omd_wms_thuanphong1, omd_wms_vungtau_hs, omd_wms_asian, omd_wms_8193, omd_wms_8195, omd_wms_8198, omd_wms_8194, omd_wms_8116 Query command:   ALTER TABLE order_item ADD COLUMN custom_string_value7 VARCHAR(255) NULL, ADD COLUMN custom_double_value1 double , ADD COLUMN custom_double_value2 double; ALTER TABLE report_order_item ADD COLUMN custom_string_value7 VARCHAR(255) NULL, ADD COLUMN custom_double_value1 double , ADD COLUMN custom_double_value2 double;</t>
  </si>
  <si>
    <t>2026-01-21T15:52:26.492+0700</t>
  </si>
  <si>
    <t>2026-01-21T16:03:08.344+0700</t>
  </si>
  <si>
    <t>Dear team DBA Team ONEU cần tạo/cấp quyền cho database mới, nhờ team hỗ trợ ạ. Cụ thể thông tin như sau: Project: vinid-app-common-dev IP: 172.31.0.61 DB name: oneu_user_onboarding_uat/qc User name: oneu_user_onboarding_uat/qc SAD:    Thank team</t>
  </si>
  <si>
    <t>2026-01-21T14:51:13.658+0700</t>
  </si>
  <si>
    <t>2026-01-21T17:11:17.215+0700</t>
  </si>
  <si>
    <t>Để phục vụ chức năng SA look back 2025, app 1Seal cần import các thông tin được bên kinh doanh tổng hợp để hiển thị cho SA ở màn Look back DB: DB_MYSQL_HOST: "vinid-integration-prod--main.cloudsql.int"
  DB_MYSQL_PORT: "3306"
  DB_MYSQL_DATABASE: "sales_tools" Table: sales_lookback File import em đã attach ở bên dưới.</t>
  </si>
  <si>
    <t>Cập nhật lại tên để triển khai 5 kho cho MAG bao gồm M046, M047, M048,M049,M050</t>
  </si>
  <si>
    <t>2026-01-21T13:24:47.691+0700</t>
  </si>
  <si>
    <t>2026-01-21T13:38:09.637+0700</t>
  </si>
  <si>
    <t>Hi DBA team, Hiện tại nghiệp vụ có nhu cầu cập nhật lại tên kho theo nhu cầu vận hành Câu query đánh giá là không ảnh hưởng đến vận hành hệ thống nên mong muốn chạy luôn Cụm WMS Project : vinid-b2b-platform-prod Instance/IP : main (read-write): 172.31.4.59 Port : 3306 Database : omd_wms_core Script update base_dc bd set bd.dc_name = 'TGC_CT3_FEC' where bd.dc_code = 'M046'; update base_dc bd set bd.dc_name = 'OCP2_CT5_SOL' where bd.dc_code = 'M047'; update base_dc bd set bd.dc_name = 'OCP2_CT5_RIC' where bd.dc_code = 'M048'; update base_dc bd set bd.dc_name = 'TCT_HPTN_EMC' where bd.dc_code = 'M049'; update base_dc bd set bd.dc_name = 'TCT_HPTN_ECB' where bd.dc_code = 'M050'; Cum WES Project : vinid-b2b-platform-prod Instance/IP : main (read-write): 172.31.1.143 Port : 3306 Database : wes_master Script : update warehouse w set w.name = 'TGC_CT3_FEC' where w.code = 'M046'; update warehouse w set w.name = 'OCP2_CT5_SOL' where w.code = 'M047'; update warehouse w set w.name = 'OCP2_CT5_RIC' where w.code = 'M048'; update warehouse w set w.name = 'TCT_HPTN_EMC' where w.code = 'M049'; update warehouse w set w.name = 'TCT_HPTN_ECB' where w.code = 'M050';</t>
  </si>
  <si>
    <t>2026-01-21T11:59:56.738+0700</t>
  </si>
  <si>
    <t>2026-01-21T12:00:01.003+0700</t>
  </si>
  <si>
    <t>Hi a  @Nguyễn Văn Dũng , nhờ a chạy giúp e script bên dưới với ạ Thông tin database saas_tpay:  pay-tidb.int.onemount.com:4000/saas_tpay Scripts: -- IMPORTED -&gt; RETURNED
UPDATE TCB_DEVICE SET PHYSICAL_STATUS = 'RETURNED'
WHERE device_serial_number IN ('38250330312626', '38250523303227');</t>
  </si>
  <si>
    <t>[OMC][CDP] Update dữ liệu CDP trên TiDB OMC</t>
  </si>
  <si>
    <t>2026-01-21T03:06:25.168+0700</t>
  </si>
  <si>
    <t>2026-01-21T03:06:43.396+0700</t>
  </si>
  <si>
    <t>cdp</t>
  </si>
  <si>
    <t>Dear anh  @Nguyễn Văn Dũng  , nhờ anh chạy giúp em script được đính kèm trong file với ạ.   DB:  omc-tidb-mtp.int.onemount.com Best regards Dinh Quang Nguyen</t>
  </si>
  <si>
    <t>[OMC][Link Account] [Prod] Thêm usecase LinkAccount</t>
  </si>
  <si>
    <t>2026-01-20T16:06:01.934+0700</t>
  </si>
  <si>
    <t>2026-01-20T16:13:38.873+0700</t>
  </si>
  <si>
    <t>Dear team, Nhờ team chạy query insert thêm usecase trên LinkAccount: Thông tin: Instance ID:  https://console.cloud.google.com/sql/instances/postgres-01/overview?authuser=1&amp;project=vinid-service-platform-prod Database name:  sp_postgres_link_account Câu query: insert into usecases ( code, link, app_version)
values ('flashsale', 'one://superapp/rewards/flashsale', 'v1'); Em cảm ơn!</t>
  </si>
  <si>
    <t>[PROD] Update dữ liệu - Remote Config</t>
  </si>
  <si>
    <t>2026-01-20T15:59:56.888+0700</t>
  </si>
  <si>
    <t>2026-01-20T17:30:46.463+0700</t>
  </si>
  <si>
    <t>Dear team,  Nhờ team chạy giúp các query để insert quyền cho  @Lù Quang Minh  (user_id: 1032) và  @Nguyễn Đoàn Duy Thành  (user_id: 1060) access các app trên remote config Thông tin:  https://console.cloud.google.com/sql/instances/main/overview?project=omc-base-platform-prod IP: 172.31.4.23 Database: remote_config Query:  INSERT INTO `user_app`(app_id, user_id, role_id, is_deleted) VALUES ("d684f1e2-52c4-4483-ae30-0134d94a6ac4", 1060, 1, -1);
INSERT INTO `user_app`(app_id, user_id, role_id, is_deleted) VALUES ("0676a733-a6ec-41a1-8a4b-37bbb47a86c1", 1060, 1, -1);
INSERT INTO `user_app`(app_id, user_id, role_id, is_deleted) VALUES ("251afa4f-8c81-4354-9a9e-998e8b5d34e5", 1060, 1, -1);
INSERT INTO `user_app`(app_id, user_id, role_id, is_deleted) VALUES ("d684f1e2-52c4-4483-ae30-0134d94a6ac4", 1032, 1, -1);
INSERT INTO `user_app`(app_id, user_id, role_id, is_deleted) VALUES ("0676a733-a6ec-41a1-8a4b-37bbb47a86c1", 1032, 1, -1);
INSERT INTO `user_app`(app_id, user_id, role_id, is_deleted) VALUES ("251afa4f-8c81-4354-9a9e-998e8b5d34e5", 1032, 1, -1); Em cảm ơn!</t>
  </si>
  <si>
    <t>2026-01-20T15:19:20.774+0700</t>
  </si>
  <si>
    <t>2026-01-20T15:19:24.923+0700</t>
  </si>
  <si>
    <t>Dear Dũng. Do nhu cầu sử dụng dữ liệu để làm báo cáo và phân tích của DA, nhờ em hỗ trợ tạo giúp anh topic cho bảng trên tidb giúp anh để anh kéo dữ liệu về DP cho DA nhé. Thông tin chi tiết: DB:  omc-mtp-tidb.int.onemount.com:4000 Schema: omc_mtp_llm_taxonomy Table: llm_taxonomy_profile Ticket yêu cầu của DA:  https://vinid-team.atlassian.net/browse/DWHV2-12489</t>
  </si>
  <si>
    <t>[PROD] Xin account để query các bảng của Base Platform</t>
  </si>
  <si>
    <t>2026-01-20T14:39:30.578+0700</t>
  </si>
  <si>
    <t>2026-01-20T17:30:17.176+0700</t>
  </si>
  <si>
    <t>Dear team,  Nhờ team tạo giúp account để access các database của Base Platform phục vụ nhu cầu tra cứu và kiểm tra dữ liệu.  Thông tin:  https://console.cloud.google.com/sql/instances/main/overview?project=omc-base-platform-prod IP: 172.31.4.23 Quyền select tất cả các bảng trong database: one_shield_v3, remote_config Em cảm ơn!</t>
  </si>
  <si>
    <t>[Nexa][PSS][PROD][DR] [Oracle] [DBFW] - Xin account DBFW_AUDIT trên Oracle PSS DR để phục vụ DBFW</t>
  </si>
  <si>
    <t>2026-01-19T13:26:41.556+0700</t>
  </si>
  <si>
    <t>2026-01-19T14:33:16.280+0700</t>
  </si>
  <si>
    <t>Prod</t>
  </si>
  <si>
    <t>Team ANBM đang dựng DBFW trên môi trường PSS DR NEXA, cần account DBFW_AUDIT trên Oracle để cấu hình. Nhờ team DBA tạo giúp account DBFW_AUDIT với permission sau: GRANT CONNECT TO &lt;User_name&gt;; GRANT SELECT ON "SYS"."DBA_OBJECTS" TO &lt;User_name&gt;; GRANT SELECT ON "SYS"."DBA_OBJECT_TABLES" to &lt;User_name&gt;; GRANT SELECT ON "SYS"."DBA_TAB_COLUMNS" TO &lt;User_name&gt;; GRANT SELECT ON "SYS"."DBA_TABLES" TO &lt;User_name&gt;; GRANT SELECT ON "SYS"."DBA_TAB_COLS" to &lt;User_name&gt;; GRANT SELECT ON "SYS"."DBA_NESTED_TABLES" TO &lt;User_name&gt;; GRANT SELECT ON "SYS"."DBA_SYNONYMS" TO &lt;User_name&gt;; GRANT SELECT ON "SYS"."DBA_USERS" TO &lt;User_name&gt;; GRANT SELECT ON "SYS"."DBA_PROCEDURES" TO &lt;User_name&gt;; GRANT SELECT ON "SYS"."DBA_TYPES" TO &lt;User_name&gt;; GRANT SELECT ON "SYS"."DBA_TYPE_ATTRS" TO &lt;User_name&gt;; GRANT SELECT ON "SYS"."DBA_DEPENDENCIES" TO &lt;User_name&gt;; GRANT SELECT ON "SYS"."COLLECTION$" TO &lt;User_name&gt;; GRANT SELECT ON "SYS"."V_$SERVICES" TO &lt;User_name&gt;; GRANT SELECT ON "SYS"."V_$INSTANCE" TO &lt;User_name&gt;; GRANT SELECT ON "SYS"."V_$DATABASE" TO &lt;User_name&gt;; GRANT SELECT ON "SYS"."GV_$INSTANCE" TO &lt;User_name&gt;; GRANT SELECT ON "SYS"."OBJ$" TO &lt;User_name&gt;; GRANT SELECT ON "SYS"."COL$" TO &lt;User_name&gt;; GRANT SELECT ON "SYS"."USER$" TO &lt;User_name&gt;; GRANT SELECT ON "SYS"."COLTYPE$" TO &lt;User_name&gt;; GRANT SELECT ON "SYS"."HIST_HEAD$" TO &lt;User_name&gt;; GRANT SELECT ON "SYS"."TAB$" TO &lt;User_name&gt;; GRANT SELECT ON "SYS"."DATABASE_PROPERTIES" TO &lt;User_name&gt;; GRANT SELECT ON "SYS"."DBA_EDITIONS" TO &lt;User_name&gt;; GRANT SELECT ON "SYS"." CURRENT_EDITION_OBJ" to &lt;User_name&gt;; GRANT SELECT ON "SYS"."V $PARAMETER" TO &lt;User_name&gt;; Em cảm ơn!</t>
  </si>
  <si>
    <t>[UPAY][PROD] Hỗ trợ hoàn thiện PAT refund txn card TCB</t>
  </si>
  <si>
    <t>2026-01-19T11:41:32.614+0700</t>
  </si>
  <si>
    <t>2026-01-19T11:41:57.007+0700</t>
  </si>
  <si>
    <t>Hi a  @Nguyễn Văn Dũng  nhờ a chạy script theo mô tả  dưới đây ở môi trường PRODUCTION theo thông tin dưới đây ạ: Thời gian chạy script: Vào lúc  Sau khi approve   - Khi team thông báo Thông tin database saas_tpay:  pay-tidb.int.onemount.com:4000/saas_tpay CR Ticket:  Script:    update CARD_PAYMENT_TRANSACTION_DETAIL
set card_type_method = 'Debit card',
    fee              = 1000,
    tax              = 100
where transaction_id = 'f7ace7c64529426aba2fd2bc24a7f2cc'
  and transaction_type = 'PAYMENT';</t>
  </si>
  <si>
    <t>[MAG][IOTek][MCM][PROD]Cập nhật thêm dữ liệu cho dự án MCM</t>
  </si>
  <si>
    <t>2026-01-19T11:22:18.336+0700</t>
  </si>
  <si>
    <t>2026-01-19T11:23:25.188+0700</t>
  </si>
  <si>
    <t>Dear team DBE, nhờ các anh update thêm dữ liệu về các nhà thầu cho dự án MCM theo các thông tin sau Trường thông tin Nội dung IP (Host) ces-production.crcykac8kxtw.ap-southeast-1.rds.amazonaws.com Port 3306 DB Name ces_mh_mpm Command INSERT INTO hrm_contractor (id, code, name, tenant_id, deleted)
VALUES (UUID(), 'ARTELIA', 'ARTELIA Passion &amp; Solutions', '51488fa2-c938-4fcc-a53f-a34f338d49aa', false),
       (UUID(), 'INNO', 'CÔNG TY CỔ PHẦN INNO', '51488fa2-c938-4fcc-a53f-a34f338d49aa', false),
       (UUID(), 'VISTA', 'CÔNG TY CP TƯ VẤN ĐTXD SAO VIỆT', '51488fa2-c938-4fcc-a53f-a34f338d49aa', false),
       (UUID(), 'SPACE', 'CÔNG TY TNHH TVTK CƠ ĐIỆN KHÔNG GIAN', '51488fa2-c938-4fcc-a53f-a34f338d49aa', false),
       (UUID(), 'BHA', 'CÔNG TY BURO HAPPOLD', '51488fa2-c938-4fcc-a53f-a34f338d49aa', false),
       (UUID(), 'DELHOM', 'DELHOM ACOUSTICS', '51488fa2-c938-4fcc-a53f-a34f338d49aa', false),
       (UUID(), 'IBST', 'Viện Khoa học công nghệ xây dựng', '51488fa2-c938-4fcc-a53f-a34f338d49aa', false),
       (UUID(), 'ASA', 'CÔNG TY TNHH THIẾT KẾ ÁNH SÁNG ASA', '51488fa2-c938-4fcc-a53f-a34f338d49aa', false),
       (UUID(), 'MI', 'Marriott International', '51488fa2-c938-4fcc-a53f-a34f338d49aa', false),
       (UUID(), 'SCDA', 'SCDA Architects Pte Ltd', '51488fa2-c938-4fcc-a53f-a34f338d49aa', false),
       (UUID(), 'VNCC', 'VNCC', '51488fa2-c938-4fcc-a53f-a34f338d49aa', false),
       (UUID(), 'TEG', 'TEG', '51488fa2-c938-4fcc-a53f-a34f338d49aa', false);</t>
  </si>
  <si>
    <t>[OMC][MTP] Tạo service account cho CDP</t>
  </si>
  <si>
    <t>2026-01-19T10:27:21.421+0700</t>
  </si>
  <si>
    <t>2026-01-19T10:27:26.208+0700</t>
  </si>
  <si>
    <t>Dear anh  @Nguyễn Văn Dũng  , nhờ anh tạo giúp em service account sau: DB: omc-tidb-mtp.int.onemount.com:4000
Schema: dp_omc_semantic_omc_bsi_cdp
User: omc_bsi_cdp_mtp_rw Best regards Dinh Quang Nguyen</t>
  </si>
  <si>
    <t>[PROD][RIMS] Mở rộng max length cho bảng V_MB_CT_RP_03 luồng RIMS</t>
  </si>
  <si>
    <t>2026-01-19T10:09:42.902+0700</t>
  </si>
  <si>
    <t>2026-01-19T15:44:22.937+0700</t>
  </si>
  <si>
    <t>Dear các anh. Hiện tại luồng RIMS đang có lỗi không insert được data tở bảng V_MB_CT_RP_03 do data dài quá giới hạn. Em trace thấy cột DIACHITHUCTE data length bị vượt qúa. Mong team hỗ trợ mở rộng giới hạn length của: Column: DIACHITHUCTE Table:{{ V_MB_CT_RP_03}} Schema: rimsprod.dbo Host: 172.31.4.18 port: 1433 Từ 300 lên 900 Em xin cảm ơn.</t>
  </si>
  <si>
    <t>V/v phân quyền đọc bảng trên tidb</t>
  </si>
  <si>
    <t>2026-01-19T09:39:44.965+0700</t>
  </si>
  <si>
    <t>2026-01-19T09:40:03.751+0700</t>
  </si>
  <si>
    <t>Dear Dũng, Nhờ em phân quyền giúp anh quyền đọc dữ liệu bảng "omc_merchant_loyalty".contract trên tidb cho account: dataplatform_ingestion để anh kéo dữ liệu về DP với nhé.</t>
  </si>
  <si>
    <t>[OMC][MTP] Cập nhật segment cho BD &amp; MKT</t>
  </si>
  <si>
    <t>2026-01-19T09:31:58.504+0700</t>
  </si>
  <si>
    <t>2026-01-19T10:08:42.959+0700</t>
  </si>
  <si>
    <t>Dear anh  @Nguyễn Văn Dũng  , nhờ anh chạy giúp em script sau với ạ. -- DB: 172.31.1.21:3306
-- Schema: mtp_martech_profile
UPDATE mtp_anonymous_profile_segmentation_job
SET properties = '{"AND":[{"OR":[{"attribute":"cst_loyalty_tier","operator":"NOT IN","data_type":"STRING","value":["INS","PRO","PRV"]},{"attribute":"cst_loyalty_tier","operator":"","data_type":"STRING","value":"","operator_expr":"cst_loyalty_tier is NULL"}]},{"attribute":"loyalty_ob_date","operator":"&gt;=","data_type":"DATE","value":"2026-01-01"}]}'
WHERE id = '8a6b35b7-64e2-4d0d-9a5b-2e1e3df845c4'; Best regards Dinh Quang Nguyen</t>
  </si>
  <si>
    <t>[UPAY][PROD] Hỗ trợ golive release tính năng 18/01/2026</t>
  </si>
  <si>
    <t>2026-01-18T10:34:50.268+0700</t>
  </si>
  <si>
    <t>2026-01-18T10:35:06.628+0700</t>
  </si>
  <si>
    <t>Hi a  @Nguyễn Văn Dũng  nhờ a chạy script theo mô tả  dưới đây ở môi trường PRODUCTION theo thông tin dưới đây ạ: Thời gian chạy script: Vào lúc  01h00 ngày 18/01/2026   - Khi team thông báo Thông tin database saas_tpay:  pay-tidb.int.onemount.com:4000/saas_tpay CR Ticket:    Script: Em sẽ bổ sung sau ạ</t>
  </si>
  <si>
    <t>[OMC][MTP] Clear dữ liệu tracking tháng 11/2025</t>
  </si>
  <si>
    <t>2026-01-17T12:41:48.031+0700</t>
  </si>
  <si>
    <t>2026-01-17T12:41:59.935+0700</t>
  </si>
  <si>
    <t>Dear anh  @Nguyễn Văn Dũng  , nhờ anh chạy giúp em script sau: -- OMC
use omc_mtp_tracking_events;
ALTER TABLE omc_mtp_tracking_events.mtp_tracking_events_omc  DROP INDEX idx_u_message_id;
-- ALTER TABLE omc_mtp_tracking_events.mtp_tracking_events_omc DROP PARTITION p20251001;
-- ALTER TABLE omc_mtp_tracking_events.mtp_tracking_events_omc DROP PARTITION p20251002;
ALTER TABLE omc_mtp_tracking_events.mtp_tracking_events_omc DROP PARTITION p20251102;
-- ALTER TABLE omc_mtp_tracking_events.mtp_tracking_events_context_omc DROP PARTITION p20251001;
-- ALTER TABLE omc_mtp_tracking_events.mtp_tracking_events_context_omc DROP PARTITION p20251002;
ALTER TABLE omc_mtp_tracking_events.mtp_tracking_events_context_omc DROP PARTITION p20251102;
-- ALTER TABLE omc_mtp_tracking_events.mtp_tracking_event_sessions DROP PARTITION p2025_10;
use omc_mtp_martech_activation;
-- ALTER TABLE omc_mtp_martech_activation.mtp_ads_events DROP PARTITION p2025_10;
-- ALTER TABLE omc_mtp_martech_activation.mtp_push_events DROP PARTITION p2025_10;
-- ALTER TABLE omc_mtp_martech_activation.mtp_tracking_email_events DROP PARTITION p2025_10;
-- ALTER TABLE omc_mtp_martech_activation.mtp_tracking_email_notifications DROP PARTITION p2025_10;
-- ALTER TABLE omc_mtp_martech_activation.mtp_tracking_fcm_messages DROP PARTITION p2025_10;
-- ALTER TABLE omc_mtp_martech_activation.mtp_tracking_push_notifications DROP PARTITION p2025_10;
-- OMRE
use omre_mtp_tracking_events;
ALTER TABLE omre_mtp_tracking_events.mtp_tracking_events_omre  DROP INDEX idx_u_message_id;
-- ALTER TABLE omre_mtp_tracking_events.mtp_tracking_events_omre drop partition p20251001;
-- ALTER TABLE omre_mtp_tracking_events.mtp_tracking_events_omre drop partition p20251002;
ALTER TABLE omre_mtp_tracking_events.mtp_tracking_events_omre drop partition p20251102;
-- ALTER TABLE omre_mtp_tracking_events.mtp_tracking_events_context_omre DROP PARTITION p20251001;
-- ALTER TABLE omre_mtp_tracking_events.mtp_tracking_events_context_omre DROP PARTITION p20251002;
ALTER TABLE omre_mtp_tracking_events.mtp_tracking_events_context_omre DROP PARTITION p20251102;
-- create global index
use omc_mtp_tracking_events;
ALTER TABLE omc_mtp_tracking_events.mtp_tracking_events_omc ADD UNIQUE INDEX idx_u_message_id (message_id) GLOBAL;
use omre_mtp_tracking_events;
ALTER TABLE omre_mtp_tracking_events.mtp_tracking_events_omre ADD UNIQUE INDEX idx_u_message_id (message_id) GLOBAL; Best regards Dinh Quang Nguyen</t>
  </si>
  <si>
    <t>[onenexus][non-prod] Tạo instance postgresql mới cho es</t>
  </si>
  <si>
    <t>2026-01-17T12:39:03.494+0700</t>
  </si>
  <si>
    <t>2026-01-17T12:39:18.679+0700</t>
  </si>
  <si>
    <t>Tạo 1 cloudsql database postgresql với cấu hình như sau: Version: postgresql 18 cpu: 2vCPU memory: 8GB disk: 10GB (auto incre)</t>
  </si>
  <si>
    <t>[Tạo Database - Schema mới] - [Dự án TCB-OPS]</t>
  </si>
  <si>
    <t>2026-01-17T12:32:54.823+0700</t>
  </si>
  <si>
    <t>2026-01-21T10:51:13.810+0700</t>
  </si>
  <si>
    <t>Dự án TCB-OPS cần tạo database mới Database name: tcb_ops Schema: document_service</t>
  </si>
  <si>
    <t>[Prod] Update mapping category for TCB</t>
  </si>
  <si>
    <t>2026-01-17T11:02:02.230+0700</t>
  </si>
  <si>
    <t>2026-01-17T12:32:01.018+0700</t>
  </si>
  <si>
    <t>Hi anh Dũng, Anh chạy giúp em thông tin dưới đây: IP: 172.31.1.41 Bảng: vincart_mm_product.entity_attributes_values Script: INSERT INTO object_mapping
(source, target, `type`, created_at, updated_at)
VALUES('VOUCHER_TCBHOTDEAL', 'ONEULAMDEP', 'CATEGORY', now(), now());
INSERT INTO object_mapping
(source, target, `type`, created_at, updated_at)
VALUES('VC001', 'Electronics', 'CATEGORY', now(), now());
INSERT INTO object_mapping
(source, target, `type`, created_at, updated_at)
VALUES('VC005', 'ONEUNHAHANG', 'CATEGORY', now(), now());
INSERT INTO object_mapping
(source, target, `type`, created_at, updated_at)
VALUES('VC007', 'ONEUTHOITRANG', 'CATEGORY', now(), now());
INSERT INTO object_mapping
(source, target, `type`, created_at, updated_at)
VALUES('VC003', 'ONEUCAFEBANH', 'CATEGORY', now(), now());
INSERT INTO object_mapping
(source, target, `type`, created_at, updated_at)
VALUES('VC004', 'ONEUMUASAM', 'CATEGORY', now(), now());
INSERT INTO object_mapping
(source, target, `type`, created_at, updated_at)
VALUES('VC002', 'MOVE', 'CATEGORY', now(), now());
INSERT INTO object_mapping
(source, target, `type`, created_at, updated_at)
VALUES('VC008', 'ONEUKHAC', 'CATEGORY', now(), now());</t>
  </si>
  <si>
    <t xml:space="preserve">[UPAY][PS2][GL] Update dữ liệu master data </t>
  </si>
  <si>
    <t>2026-01-16T17:26:01.721+0700</t>
  </si>
  <si>
    <t>2026-01-16T17:26:06.187+0700</t>
  </si>
  <si>
    <t>Hi các anh DBA, Hiện tại e nhận request từ PO cấu hình đẩy file tự động sang TCB. Nhờ các anh chạy giúp em câu lệnh này với ạ. UPDATE general_ledger_job_config t SET t.schedule_runs = 1 WHERE t.id in (1,2,4,7); Em gửi thông tin DB :  tidb.int.onemount.com:4000/vinpay_vinpay_prod_saas_ps2_general_ledger .</t>
  </si>
  <si>
    <t>[UPAY][NONPRO] Hỗ trợ khách hàng WCM kết nối đến SFTP</t>
  </si>
  <si>
    <t>2026-01-16T16:41:08.824+0700</t>
  </si>
  <si>
    <t>2026-01-16T16:41:50.921+0700</t>
  </si>
  <si>
    <t>Context hiện tại:   Đối tác WCM đang cần cung cấp thông tin SFTP trên môi trường nonpro để đối tác đẩy file vào thư mục trên sftp nhà mình  Hiện tại em check được thông tin sftp clound public trên nonpro như sau :  host: 10.255.145.108 port: 2022 user: reconciliation filePem: sftp-cloud.pem Nên team cần support các phần sau Check giúp team xem thông tin host/port đúng chưa ạ Cung cấp thông tin user, file pem  Tạo folder mới   wcm  để đối tác đẩy file vào ạ.  Lưu ý với user mới cho khách hàng WCM chỉ có quyền đọc, ghi vào thư mục phân vùng cho WCM nhé ạ</t>
  </si>
  <si>
    <t>[TMS][NONPRO][Soundpos] Tạo DB tms_gini và thông tin user</t>
  </si>
  <si>
    <t>2026-01-16T16:20:12.842+0700</t>
  </si>
  <si>
    <t>2026-01-19T10:04:12.726+0700</t>
  </si>
  <si>
    <t>Nhờ team DBA tạo schema/database và username cho đối tác gini Schema: Mặc định dbo Database name: tms_gini User: 2 user project name: vinpay-nonprod instance name: gini-tms-soundpos tms_gini_service : Setup cho service tms_gini (Application Developer) tms_gini_admin : Setup cho admin của gini vào config hệ thống (DB Developer)</t>
  </si>
  <si>
    <t>[PROD] [VCM]  Mapping store applied cho voucher</t>
  </si>
  <si>
    <t>2026-01-16T16:15:50.618+0700</t>
  </si>
  <si>
    <t>2026-01-16T16:16:32.320+0700</t>
  </si>
  <si>
    <t>Dear DBA team,  Do  lúc onboard store chưa có register = VOUCHER.   Khi   update lại store có register = VOUCHER. Nó không tự động  tạo mapping với voucher. Nhờ a/e hỗ trợ chạy lệnh tạo mapping cho voucher sau; VD_VC_1761187212258- 1012856
VD_VC_1761187210904 -1012855
VD_VC_1761187209672-101285 Thông tin db: IP: 172.31.1.41
Database name: vincart_mm_product
Bảng: variant_apply_store_mapping Script: INSERT INTO vincart_mm_product_uat.variant_apply_store_mapping (apply_store_id, variant_id)
VALUES (24919, 1012856),
       (24919, 1012855),
       (24919, 1012854)
;</t>
  </si>
  <si>
    <t>2026-01-16T15:58:47.262+0700</t>
  </si>
  <si>
    <t>2026-01-16T15:58:56.328+0700</t>
  </si>
  <si>
    <t xml:space="preserve">Em chào anh chị, Anh chị chạy giúp em lệnh SQL update DB với ạ. project: om-charity-prod Instance name: om-charity-fund-core IP: 172.31.4.7 DB name: fund-core user name: ? password: ? SQL:   </t>
  </si>
  <si>
    <t>2026-01-16T15:42:23.268+0700</t>
  </si>
  <si>
    <t>2026-01-17T12:38:01.255+0700</t>
  </si>
  <si>
    <t>Dear các anh team DBA, Nhờ các anh hỗ trợ chạy file SQL Scripts trên môi trường PRODUCTION của BRAVO các file đính kèm DB: DB: B10_Mobifone_MDP Các file này đang được đánh số thứ tự 0, 1, 2, 3, 4 → Nhờ các anh chạy đúng theo số thứ tự (Các file có cùng số thứ tự à 0, 4 thì trong cùng số thứ tự có thể chạy file nào trước cũng được ạ.) Trân trọng,</t>
  </si>
  <si>
    <t>2026-01-16T15:37:29.189+0700</t>
  </si>
  <si>
    <t>2026-01-17T12:39:51.282+0700</t>
  </si>
  <si>
    <t>Dear team DBA Team ONEU cần tạo/cấp quyền cho database mới, nhờ team hỗ trợ ạ. Cụ thể thông tin như sau: GCP: vinid-app-common-dev MT UAT: Private ip: 172.31.1.12 instance: main-postgres Database name: oneu_landing_page_uat Username: oneu_landing_page_uat Permission: read/write SAD:    Thank team.</t>
  </si>
  <si>
    <t>2026-01-16T11:45:28.959+0700</t>
  </si>
  <si>
    <t>2026-01-16T11:45:36.373+0700</t>
  </si>
  <si>
    <t>Hi a  @Nguyễn Văn Dũng , nhờ a chạy giúp e script bên dưới với ạ Thông tin database saas_tpay:  pay-tidb.int.onemount.com:4000/saas_tpay Scripts: -- IMPORTED -&gt; RETURNED
UPDATE TCB_DEVICE SET PHYSICAL_STATUS = 'RETURNED'
WHERE device_serial_number IN ('38250321900036', '38250321906520');</t>
  </si>
  <si>
    <t>Tiếp nhận thông tin database hệ thống CS</t>
  </si>
  <si>
    <t>2026-01-16T10:12:09.737+0700</t>
  </si>
  <si>
    <t>2026-01-29T15:20:53.258+0700</t>
  </si>
  <si>
    <t>Tiếp nhận thông tin database hệ thống CS  Ip DB: 10.10.12.116 bao gồm thông tin kết nối và user/password</t>
  </si>
  <si>
    <t>Tiếp nhận thống tin database hệ thống Call Center</t>
  </si>
  <si>
    <t>2026-01-16T10:10:05.355+0700</t>
  </si>
  <si>
    <t>2026-01-29T15:20:30.153+0700</t>
  </si>
  <si>
    <t>Tiếp nhận thông tin database hệ thống Call Center ip DB: 10.10.17.13 bao gồm thông tin kết nối và user/password</t>
  </si>
  <si>
    <t>Tiếp nhận thống tin database hệ thống Landing page</t>
  </si>
  <si>
    <t>2026-01-16T10:09:40.783+0700</t>
  </si>
  <si>
    <t>2026-01-29T15:19:47.653+0700</t>
  </si>
  <si>
    <t>Tiếp nhận thông tin database hệ thống Landing page ip DB: 103.1.237.208 bao gồm thông tin kết nối và user/password</t>
  </si>
  <si>
    <t>Tiếp nhận thống tin database hệ thống BIOStar</t>
  </si>
  <si>
    <t>2026-01-16T10:07:41.322+0700</t>
  </si>
  <si>
    <t>2026-01-29T15:18:29.633+0700</t>
  </si>
  <si>
    <t>Tiếp nhận thông tin database hệ thống BIOStar IP DB: 10.10.12.25 bao gồm thông tin kết nối và user/password</t>
  </si>
  <si>
    <t>Tiếp nhận thống tin database hệ thống ETL (DWH)</t>
  </si>
  <si>
    <t>2026-01-16T10:07:05.759+0700</t>
  </si>
  <si>
    <t>2026-01-29T15:17:45.377+0700</t>
  </si>
  <si>
    <t>Tiếp nhận thông tin database hệ thống ETL (DWH) IP DB: 10.10.12.197 bao gồm thông tin kết nối và user/password</t>
  </si>
  <si>
    <t>Tiếp nhận thống tin database hệ thống IT SERVICES</t>
  </si>
  <si>
    <t>2026-01-16T10:06:57.821+0700</t>
  </si>
  <si>
    <t>2026-01-29T14:55:26.363+0700</t>
  </si>
  <si>
    <t>Tiếp nhận thông tin database hệ thống IT SERVICES IP DB:  10.10.17.20 bao gồm thông tin kết nối và user/password</t>
  </si>
  <si>
    <t>Tiếp nhận thống tin database hệ thống MH - MERCHANT</t>
  </si>
  <si>
    <t>2026-01-16T10:06:22.771+0700</t>
  </si>
  <si>
    <t>2026-01-29T14:54:37.692+0700</t>
  </si>
  <si>
    <t>Tiếp nhận thông tin database hệ thống MH - MERCHANT IP: 10.10.17.145 bao gồm thông tin kết nối và user/password</t>
  </si>
  <si>
    <t>Tiếp nhận thống tin database hệ thống MYMAS (core API)</t>
  </si>
  <si>
    <t>2026-01-16T10:05:20.748+0700</t>
  </si>
  <si>
    <t>2026-01-29T14:53:40.300+0700</t>
  </si>
  <si>
    <t>Tiếp nhận thông tin database hệ thống My Masterise app (core API) IP:10.10.12.46 bao gồm thông tin kết nối và user/password</t>
  </si>
  <si>
    <t>Tiếp nhận thống tin database hệ thống SALEPORTAL</t>
  </si>
  <si>
    <t>2026-01-16T10:03:58.849+0700</t>
  </si>
  <si>
    <t>2026-01-29T14:50:50.068+0700</t>
  </si>
  <si>
    <t>Tiếp nhận thông tin database hệ thống SALEPORTAL IP: 10.10.12.40 bao gồm thông tin kết nối và user/password</t>
  </si>
  <si>
    <t>Tiếp nhận thông tin database hệ thống CRM</t>
  </si>
  <si>
    <t>2026-01-16T10:03:25.262+0700</t>
  </si>
  <si>
    <t>2026-01-29T14:49:59.276+0700</t>
  </si>
  <si>
    <t>Tiếp nhận thông tin database hệ thống CRM bao gồm thông tin kết nối user/password</t>
  </si>
  <si>
    <t>[OMC][VCM][PROD] Hỗ trợ export danh sách các key trong redis memstore của vincart</t>
  </si>
  <si>
    <t>2026-01-15T23:14:49.222+0700</t>
  </si>
  <si>
    <t>2026-01-15T23:14:54.195+0700</t>
  </si>
  <si>
    <t>Hi team DBA, Hiện đang có alert memory của redis memorystore đang vượt ngưỡng 82% ( thread 1 ,  thread 2 ), tốc độ chiếm dụng memory là khoảng 500MB/tháng, nhờ anh em đội DBA hỗ trợ xuất danh sách các key hiện đang có trên redis, phục vụ cho việc đánh giá và lên phương án xử lý. Thông tin redis memstore Project :  vincard-prod Instance :  onevoucher DB : 3 Command  redis-cli -h vincart-prod--onevoucher.memstore.int -p 6379 -n 3 --scan --pattern "vincart:ratelimit:*" &gt; all_keys_vincart_db3.txt Thanks</t>
  </si>
  <si>
    <t xml:space="preserve">[UPAY][PROD] Hỗ trợ khách hàng ISOFH golive </t>
  </si>
  <si>
    <t>2026-01-15T23:14:13.710+0700</t>
  </si>
  <si>
    <t>2026-01-15T23:14:26.247+0700</t>
  </si>
  <si>
    <t>Hi team, Các anh giúp em chạy script với thông tin như bên dưới nhé ạ Thông tin database  saas_tpay: jdbc:mysql://pay-tidb.int.onemount.com:4000/saas_tpay Ticket này nhờ team chạy luôn giúp em với ạ  INSERT INTO PARTNER (client_id, name, public_key, enable, merchant_code)
VALUES ('eqCZABuKRbiwVSxedPVtgHdqtIIfFlXF', 'Bệnh viện Đại học Y Dược - Cơ sở Linh Đàm', '-----BEGIN PUBLIC KEY-----
MIIBIjANBgkqhkiG9w0BAQEFAAOCAQ8AMIIBCgKCAQEAl0VsXPUaOpLAeUE9mwyU
gbtoG7RL4YT4Lrrm9bHR8oL2dEeAIsPiXnIQ49r3sNSdloacyxtDLK2UJk6euNIX
j9+bZdd783VDRzHChtHE9JAZfOMe3AnT4NCJ9cwUB4qIhZ+uCe0JsUfNRxKS8fg7
t/6dnyv762uo98oiM0VyFHXrZcZUSPqq1XCK4jFPa+Solhf2wlR04jkQDmkXLTgx
OCINTIn3hPXAsbKABNn+0+Smo03jQcqYr+VKaAKrik3y6klVivsPdZ/Ho2lWrEuC
mjw9SkLjso25Z0JnLXaPrUJoYaKKwH1DBGJydb5ZM3x+NOYIYL04CF1WYe0j7Fhw
PwIDAQAB
-----END PUBLIC KEY-----', 1, 'BVYDLD');</t>
  </si>
  <si>
    <t>[outsystems]Kiểm tra id dữ liệu trên MSSQL không select được và bị treo</t>
  </si>
  <si>
    <t>2026-01-15T22:56:40.931+0700</t>
  </si>
  <si>
    <t>2026-01-16T09:15:47.274+0700</t>
  </si>
  <si>
    <t>Hi team DBA Nhờ team DBA hỗ trợ kiểm tra trường hợp 1 số ID dữ liệu trên 2 bảng của hệ thống OS (MSSQL) đang không select được, các bản ghi khác thì bình thường. Thông tin db: IP: 172.31.1.45 catalog: outsystems_PROD_FINANCE Tên bảng:  dbo.OSUSR_zm9_CommitmentItem2, OSUSR_zm9_Plant2 Câu lệnh bị treo:  select * from dbo.OSUSR_zm9_CommitmentItem2 where id = 22345; select * from dbo.OSUSR_zm9_Plant2 where id = 93;</t>
  </si>
  <si>
    <t>[PROD] Chạy câu lệnh SQL phục vụ golive ngày 15/01/2026</t>
  </si>
  <si>
    <t>2026-01-15T21:05:18.569+0700</t>
  </si>
  <si>
    <t>2026-01-15T21:20:25.338+0700</t>
  </si>
  <si>
    <t>Dear anh Linh, Nhờ anh hỗ trợ team chạy câu lệnh SQL dứơi đây để team thực hiện golive ạ IP: 172.31.1.41
DB name: vincart_mm_product SQL -- Code tạo index để không lock bảng
ALTER TABLE inventories ADD INDEX inventories_product_code_index (product_code), ALGORITHM=INPLACE, LOCK=NONE; Em cảm ơn anh ạ</t>
  </si>
  <si>
    <t>2026-01-15T15:46:36.255+0700</t>
  </si>
  <si>
    <t>2026-01-15T15:46:55.811+0700</t>
  </si>
  <si>
    <t>Dear anh Linh, Nhờ anh hỗ trợ team chạy câu lệnh SQL với các thông tin dưới đây ạ IP: 172.31.1.197
DB name: topup SQL update order_transaction
SET transaction_info = '{"event":null,"amounts":[{"amount":10000,"currency":"VND"}],"user_id":null,"order_id":"202601131000080","device_id":null,"device_os":null,"signature":null,"hold_order":false,"request_id":null,"user_agent":null,"is_hold_order":false,"device_version":null,"total_discount":0,"true_client_ip":null,"xforwarded_for":null,"transaction_fee":0,"transaction_ref":"7138096","cf_connecting_ip":null,"new_checkout_payment_lines":[{"id":7520190,"data":{"bank_code":null,"image_url":null,"card_number":null},"amount":"4891.0","status":"SUCCEEDED","error_code":null,"paid_amount":4891,"error_message":null,"payment_method_code":"DIRECT_PAYMENT","payment_method_name":"Thẻ ATM nội địa"},{"id":7520191,"data":{"bank_code":null,"image_url":null,"card_number":null},"amount":"5109.0","status":"SUCCEEDED","error_code":"50008998","paid_amount":5109,"error_message":"Confirm transaction line timeout","payment_method_code":"U_POINT","payment_method_name":"Tiêu điểm"}]}'
where order_id = '202601131000080'; Em cảm ơn anh.</t>
  </si>
  <si>
    <t>[UPAY][NON-PROD] Hỗ trợ golive release tính năng 18/01/2026</t>
  </si>
  <si>
    <t>2026-01-15T14:25:59.975+0700</t>
  </si>
  <si>
    <t>2026-01-15T14:26:20.146+0700</t>
  </si>
  <si>
    <t>Hi a  @Nguyễn Văn Dũng  nhờ a chạy script theo mô tả  dưới đây ở môi trường  NON-PROD  theo thông tin dưới đây ạ: Thời gian chạy script: Vào lúc  sau khi approve Thông tin database saas_tpay:  tidb.int.onemount.dev:4000/vinpay_saas_tpay_staging CR Ticket:  Script:  alter table UNIFIED_MERCHANT
        add is_tcb_settlement tinyint null;
alter table CARD_PAYMENT_TRANSACTION_DETAIL
        add refund_process_status varchar(50) null;
alter table CARD_PAYMENT_TRANSACTION_DETAIL
        add card_type_method varchar(50) null;
alter table TCB_MERCHANT_TRANSACTION_CARD
        add card_type_method varchar(50) null;</t>
  </si>
  <si>
    <t>[omd][merchant-hub][pos][np] Tạo database cho dự án merchant hub pos môi trường non-prod</t>
  </si>
  <si>
    <t>2026-01-14T12:28:36.582+0700</t>
  </si>
  <si>
    <t>2026-01-14T17:41:15.918+0700</t>
  </si>
  <si>
    <t xml:space="preserve">Hi anh  @Phạm Tuấn Linh   cc anh  @Nguyễn Văn Duy   Dự án merchant hub pos cần db mới, nhờ anh tạo giúp em các DB cho môi trường non-prod với ạ SAD dự án:    gcp project: omd-merchant-hub-np instance: merchant-hub-np-postgres ( https://console.cloud.google.com/sql/instances/merchant-hub-np-postgres/overview?project=omd-merchant-hub-np )  dev:  mhpos-dev-postgres qc:  mhpos-qc-postgres uat:  mhpos-uat-postgres cc  @Nguyễn Đức Anh  </t>
  </si>
  <si>
    <t>[it247] Xin quyền SELECT DB về Noti/Push/SMS/OTP,...</t>
  </si>
  <si>
    <t>2026-01-14T11:51:42.619+0700</t>
  </si>
  <si>
    <t>2026-01-14T11:51:45.636+0700</t>
  </si>
  <si>
    <t>Noti/Push/SMS/OTP</t>
  </si>
  <si>
    <t>Dear team, Do luồng gửi Noti/Push/SMS/OTP,… đã đổi sang hệ thống của MTP, nên để hỗ trợ các vấn đề cho khách hàng, team 247 xin cấp quyền truy cập DB cụ thể như sau: Thông tin VM TiDB project trên GCP:  https://console.cloud.google.com/compute/instances?project=vinid-crm-salesforce-prod Thông tin link truy cập MTP TiDB:  omc-mtp-tidb.int.onemount.com:4000 Quyền cụ thể:  SELECT on  omc_mtp_martech_activation Các thành viên 247: nhatntt thanhdv19 huong.le3 tung.hoang2 hoang.phan kien.nguyen12 cuong.nguyen8 dungnt96 hoapd1</t>
  </si>
  <si>
    <t>[OM][DP][PROD] V/v tạo topic bảng mới</t>
  </si>
  <si>
    <t>2026-01-14T11:24:04.289+0700</t>
  </si>
  <si>
    <t>2026-01-14T11:24:09.133+0700</t>
  </si>
  <si>
    <t>Dear Dũng, Em tạo giúp anh cdc cho bảng sau trên tidb với nhé: Mục đích tạo topic để ingest dữ liệu về hệ thống DP cho DA sử dụng làm báo cáo phân tích. "tidb_omc"."omc_merchant_loyalty".contract chuỗi connect:  omc-mtp-tidb.int.onemount.com :4000</t>
  </si>
  <si>
    <t>[OM][NonProd][SonarQube] Nhờ hỗ trợ setup và migrate data cho hệ thống SonarQube</t>
  </si>
  <si>
    <t>2026-01-14T11:01:40.710+0700</t>
  </si>
  <si>
    <t>2026-01-14T11:03:45.358+0700</t>
  </si>
  <si>
    <t>Sonarqube</t>
  </si>
  <si>
    <t xml:space="preserve">Em xin nhờ anh/chị DBA hỗ trợ cài đặt PostgreSQL trên VM và migrate DB từ GCP Cloud SQL for PostgreSQL → PostgreSQL on VM cho hệ thống SonarQube, thông tin như sau: Thông tin chung Hệ thống: SonarQube URL:  https://sonarqube.int.vinid.dev/projects Version: 8.9.3 Nguồn (Cloud SQL) Cloud SQL instance: sonarqube (project: vinid-app-common-dev) https://console.cloud.google.com/sql/instances/sonarqube/overview?project=vinid-app-common-dev IP: 172.31.1.33 PostgreSQL version: 13.22 DB name: sonarqube User: sonarqube Đích (VM) VM: sonarqube-postgres (project: vinid-devops, zone: asia-east1-b) https://console.cloud.google.com/compute/instancesDetail/zones/asia-east1-b/instances/sonarqube-postgres?project=vinid-devops Ticket liên quan:  https://vinid-team.atlassian.net/browse/SRE-15943 Các công việc cần thực hiện Cài đặt PostgreSQL 13.22 trên VM và cấu hình DB cho SonarQube Hỗ trợ dump/restore dữ liệu từ Cloud SQL sang VM và phối hợp cutover Thiết lập baseline backup/retention, monitoring cho DB trên VM Thời gian thực hiện Dự kiến: 22:00 ngày 09/01/2026 cc @Nguyễn Mạnh Tưởng @Phạm Minh Quang </t>
  </si>
  <si>
    <t>[CDP] Tạo mới INDEX cho CDP dp_customer_gt</t>
  </si>
  <si>
    <t>2026-01-14T09:20:29.395+0700</t>
  </si>
  <si>
    <t>2026-01-14T09:20:32.913+0700</t>
  </si>
  <si>
    <t>ALTER TABLE omd_cdp_data_from_dp.dp_customer_gt
  ADD INDEX idx_code_legalname (customer_code, customer_legal_name);</t>
  </si>
  <si>
    <t>Hỗ trợ cập nhật trạng thái đơn treo tồn kho thuanphong2</t>
  </si>
  <si>
    <t>2026-01-12T11:26:05.004+0700</t>
  </si>
  <si>
    <t>2026-01-12T12:10:54.488+0700</t>
  </si>
  <si>
    <t>Hi DBA team, Hiện tại kho thuanphong2 cần fix lỗi dữ liệu bị lệch trạng thái đơn gây treo tồn, nhờ team DBA hỗ trợ cập nhật theo thông tin dưới đây: Câu query đánh giá là không ảnh hưởng đến vận hành hệ thống nên mong muốn chạy luôn Project : vinid-b2b-platform-prod Instance/IP : main (read-write): 172.31.4.59 Port : 3306 Database : omd_wms_thuanphong2 Query update order_hdr oh 
join order_item oi on oi.order_hdr_id = oh.order_hdr_id
set oh.order_status = 'NEW',
    oi.item_status = 'NEW',
    oh.last_modified_date = UTC_TIMESTAMP,
    oi.last_modified_date = UTC_TIMESTAMP
where oh.order_hdr_id in (277654, 277476, 277437, 277461, 330269, 330273, 330271, 330270, 330272, 327937);</t>
  </si>
  <si>
    <t>[UPAY][PROD] Thanh toán qr trên merchant app cho merchant khác softpos, cập nhật luồng push noti merchant app, cập nhật màn doanh thu merchant app</t>
  </si>
  <si>
    <t>2026-01-12T09:20:43.633+0700</t>
  </si>
  <si>
    <t>2026-01-12T09:21:08.992+0700</t>
  </si>
  <si>
    <t>SoftPOS</t>
  </si>
  <si>
    <t>Hi a  @Nguyễn Văn Dũng  nhờ a chạy script theo mô tả dưới đây ở môi trường  PRODUCTION theo thông tin dưới đây ạ: Thời gian chạy script: Vào lúc  01h00 ngày 11/01/2026   - Khi team thông báo Thông tin database saas_tpay:  pay-tidb.int.onemount.com:4000/saas_tpay CR Ticket:    Script:  ALTER TABLE TRANSACTION_MASTER
    ADD COLUMN is_merchant_app TINYINT(1) DEFAULT 0;</t>
  </si>
  <si>
    <t>Cấp tài khoản có quyền edit APPLICATION P6 Non-pro</t>
  </si>
  <si>
    <t>2026-01-12T09:13:10.621+0700</t>
  </si>
  <si>
    <t>2026-01-12T10:19:26.984+0700</t>
  </si>
  <si>
    <t>Hiện team DA đang triển khai DA CT-CDE Gia Bình, cần cấp tài khoản có quyền edit trên application P6 Non-pro để tạo dữ liệu. Nhờ team hỗ trợ cấp tài khoản nhé ạ. IP DB non-pro: 10.20.20.118 Thời gian sử dụng đến hết tháng 5/2026 Truy cập từ mạng nội bộ OM HN, HCM</t>
  </si>
  <si>
    <t>2026-01-12T09:12:49.632+0700</t>
  </si>
  <si>
    <t>2026-01-22T12:19:55.440+0700</t>
  </si>
  <si>
    <t>Cập nhật lại tên để triển khai 3 kho cho MAG bao gồm M043,M044, M045</t>
  </si>
  <si>
    <t>2026-01-10T13:19:44.625+0700</t>
  </si>
  <si>
    <t>2026-01-10T13:21:06.133+0700</t>
  </si>
  <si>
    <t>Hi DBA team, Hiện tại nghiệp vụ có nhu cầu cập nhật lại tên kho M019 theo nhu cầu vận hành Câu query đánh giá là không ảnh hưởng đến vận hành hệ thống nên mong muốn chạy luôn Cụm WMS Project : vinid-b2b-platform-prod Instance/IP : main (read-write): 172.31.4.59 Port : 3306 Database : omd_wms_core Script update base_dc bd set bd.dc_name = 'OCP2_CT6_LGG' where bd.dc_code = 'M043'; update base_dc bd set bd.dc_name = 'OCP2_CT6_FOU' where bd.dc_code = 'M044'; update base_dc bd set bd.dc_name = 'OCP2_CT6_ECB' where bd.dc_code = 'M045'; Cum WES Project : vinid-b2b-platform-prod Instance/IP : main (read-write): 172.31.1.143 Port : 3306 Database : wes_master Script : update warehouse w set w.name = 'OCP2_CT6_LGG' where w.code = 'M043'; update warehouse w set w.name = 'OCP2_CT6_FOU' where w.code = 'M044'; update warehouse w set w.name = 'OCP2_CT6_ECB' where w.code = 'M045';</t>
  </si>
  <si>
    <t>[PROD] [VCM]  Migrate store applied</t>
  </si>
  <si>
    <t>2026-01-10T12:19:20.327+0700</t>
  </si>
  <si>
    <t>2026-01-10T12:19:24.936+0700</t>
  </si>
  <si>
    <t>Dear DBA team, Do Value bị thiếu merchant_code trong json của  voucher_accepted_store  dữ liệu này chưa được xử lý migrate được sang bảng mapping. Để migrate được sang cần chạy các bước bên dưới. Nhờ team support chạy lệnh để migrate. Thông tin DB ip: 172.31.1.41
db name: vincart_mm_product -- Bước 1 tao bang
create table voucher_accepted_stores_temp
(
    merchant_code varchar(50),
    store_code    varchar(50),
    status        varchar(10),
    variant_id    bigint
);
create index voucher_accepted_stores_temp_idx on voucher_accepted_stores_temp(merchant_code, store_code);
-- Bước 2 Chay lệnh insert bang voucher_accepted_stores_temp file attachments
 File script trong attachment
-- Bước 3 Chay lệnh insert bang variant_apply_store_mapping
insert into variant_apply_store_mapping(variant_id, apply_store_id)
select temp.variant_id, a.id
from voucher_accepted_stores_temp temp
         inner join apply_stores a
                    on temp.merchant_code = a.merchant_code and temp.store_code = a.store_code;</t>
  </si>
  <si>
    <t>[it247] Xin quyền select bảng trong DB liên quan luồng đăng nhập VneID qua app OneU</t>
  </si>
  <si>
    <t>2026-01-10T11:23:53.734+0700</t>
  </si>
  <si>
    <t>2026-01-10T11:24:07.495+0700</t>
  </si>
  <si>
    <t>base_platform_tracking</t>
  </si>
  <si>
    <t>Dear team, Để hỗ trợ các vấn đề cho khách hàng, team 247 xin cấp quyền truy cập DB cụ thể như sau: Thông tin DB link trên GCP:  https://console.cloud.google.com/sql/instances/omc-authentication/overview?project=omc-base-platform-prod Bảng cần truy cập:  vneid_login  và  vneid_login_log Quyền cụ thể:  Select Các thành viên 247: nhatntt thanhdv19 huong.le3 tung.hoang2 hoang.phan kien.nguyen12 cuong.nguyen8 dungnt96 hoapd1</t>
  </si>
  <si>
    <t>[Prod] Xoá cache redis ngày 09/01/2026</t>
  </si>
  <si>
    <t>2026-01-09T16:11:16.511+0700</t>
  </si>
  <si>
    <t>2026-01-09T16:11:25.320+0700</t>
  </si>
  <si>
    <t>Hi anh  @Nguyễn Văn Dũng   Nhờ anh xóa dữ liệu cache với thông tin dưới đây: host:  vincart-prod--cache.memstore.int:6379 database: 4 script keys voucher_recommended_channel::new_user*</t>
  </si>
  <si>
    <t>[QR247][PROD] Cập nhật lại dữ liệu cho Merchant CircleK</t>
  </si>
  <si>
    <t>2026-01-09T16:04:02.411+0700</t>
  </si>
  <si>
    <t>2026-01-09T16:04:06.605+0700</t>
  </si>
  <si>
    <t>Hi team, Do phát sinh nghiệp vụ nên team em cần cập nhật lại 2 giao dịch lỗi này ạ, nhờ các anh thực hiện: DB: mysql://pay-tidb.int.onemount.com:4000/saas_tpay Script: UPDATE TRANSACTION_DETAIL SET TRANSACTION_ID = '453214aa78ec49ccbd75d80477b4f0e2_BAK' WHERE id = '3d474395ba7e4b09a414893e035e3deb';
UPDATE TRANSACTION_DETAIL SET TRANSACTION_ID = 'ca22079aa4ba4ba8852dcb27edb0a1fa_BAK' WHERE id = '64a5221446b34c149dc8ef65454e9c33'; CR:  https://vinid-team.atlassian.net/servicedesk/customer/portal/15/SH-68330?created=true Thanks team</t>
  </si>
  <si>
    <t>[OMD][Kafka][Prod] Tạo kafka topic cho các bảng bổ sung MDM</t>
  </si>
  <si>
    <t>2026-01-09T15:15:46.159+0700</t>
  </si>
  <si>
    <t>2026-01-09T15:19:24.599+0700</t>
  </si>
  <si>
    <t>Hiện tại OMD đang có nhu cầu kéo thêm dữ liệu bảng sau để xây dựng báo cáo nhờ anh Linh tạo kafka topic ở môi trường PROD giúp team để kéo data về DP nhé ạ! PROD: IP host: 172.31.1.118:3306 (mysql) Schema: omd_mdm_prod Table list: WarehouseProjectMapping Thanks and regards! giap.nguyen</t>
  </si>
  <si>
    <t>[UPAY][PRO] Tác động database golive release đăng ký noti softpos</t>
  </si>
  <si>
    <t>2026-01-09T15:02:40.179+0700</t>
  </si>
  <si>
    <t>2026-01-09T15:02:44.456+0700</t>
  </si>
  <si>
    <t>Dear a  @Nguyễn Văn Dũng    Em có ticket tác động db prod:  jdbc:mysql://pay-tidb.int.onemount.com:4000/saas_tpay   CR:     script tác động CREATE TABLE MERCHANT_NOTIFICATION_SUBSCRIPTION (
    ID                BIGINT AUTO_INCREMENT PRIMARY KEY,
    TCB_MERCHANT_ID   VARCHAR(64)  NOT NULL,
    TCB_STORE_ID      VARCHAR(64)  NOT NULL,
    TCB_TERMINAL_ID   VARCHAR(64)  NOT NULL,
    MERCHANT_CODE     VARCHAR(64)  NULL,
    STORE_CODE        VARCHAR(64)  NULL,
    TERMINAL_CODE     VARCHAR(64)  NULL,
    STATUS            VARCHAR(32)  NULL,
    SOURCE            VARCHAR(32)  NULL,
    DEVICE_ID         VARCHAR(128) NULL,
    DEVICE_OS         VARCHAR(128) NULL,
    DEVICE_OS_VERSION VARCHAR(64)  NULL,
    FMC_TOKEN         TEXT         NULL,
    DEVICE_INFO       JSON         NULL,
    USER_ID           VARCHAR(128) NULL,
    CREATED_DATE      TIMESTAMP DEFAULT CURRENT_TIMESTAMP NULL,
    CREATED_BY        VARCHAR(50)  NULL,
    UPDATED_DATE      TIMESTAMP DEFAULT CURRENT_TIMESTAMP NULL,
    UPDATED_BY        VARCHAR(50)  NULL,
    -- normal indexes
    KEY IDX_MERCHANT_CODE   (MERCHANT_CODE),
    KEY IDX_SOURCE          (SOURCE),
    KEY IDX_USER_ID         (USER_ID),
    -- unique composite index
    UNIQUE KEY UQ_MERCHANT_STORE_TERMINAL_DEVICE (
        TCB_MERCHANT_ID,
        TCB_STORE_ID,
        TCB_TERMINAL_ID,
        SOURCE
    )
) AUTO_ID_CACHE=1
ENGINE = InnoDB
DEFAULT CHARSET = utf8mb4
COLLATE = utf8mb4_unicode_ci
;
INSERT INTO STEP_CONFIG(CODE, STEP_GROUP, NAME, STATUS, `ORDER`, ONBOARDING_FLOW)
    VALUE ('SOFTPOS_ONLY_QR_NOTIFICATION_SUBSCRIPTION', 'SOFTPOS_ONLY_QR_VERIFY_ONBOARD',
           'SOFTPOS_ONLY_QR_NOTIFICATION_SUBSCRIPTION', 'ACTIVE', 2, 'SOFTPOS_ONLY_QR');
UPDATE STEP_CONFIG
SET `ORDER` = 3
WHERE CODE = 'SOFTPOS_ONLY_QR_REGISTER_STAFF_EMAIL' AND onboarding_flow = 'SOFTPOS_ONLY_QR';
INSERT INTO SYSTEM_CONFIGURATION (SYSTEM_PARAM_CODE, SYSTEM_PARAM_NAME, SYSTEM_PARAM_VALUE, IS_ACTIVE, CREATED_DATE, CREATED_BY)
VALUE ('SOFTPOS_ONLY_QR_REGISTER_EMAIL_TNC_CODE', 'SOFTPOS_ONLY_QR_REGISTER_EMAIL_TNC_CODE', 'TC-07012026-061491', 1, CURRENT_TIMESTAMP, 'PB-28321');
INSERT INTO SYSTEM_CONFIGURATION (SYSTEM_PARAM_CODE, SYSTEM_PARAM_NAME, SYSTEM_PARAM_VALUE, IS_ACTIVE, CREATED_DATE)
VALUES ('ROLE_STAFF_SOFTPOS', 'ROLE_STAFF_SOFTPOS', 'RoleStaffSoftPos,RoleStaffSmartPos,29899362', 1,  CURRENT_TIMESTAMP);</t>
  </si>
  <si>
    <t>[OM][PROD] Tạo user và database cho OM website mới</t>
  </si>
  <si>
    <t>2026-01-09T14:59:55.135+0700</t>
  </si>
  <si>
    <t>2026-01-09T15:00:09.496+0700</t>
  </si>
  <si>
    <t xml:space="preserve">Tạo user và DB cho OM website mới: instance:  main-postgres  (172.31.3.54) - project: onemg-general-prod user: om_website_user DB name: om_website Đồng thời clone từ bộ dữ liệu của OM website trên nonprod từ DB sau: instance:  main-postgres  (172.31.1.12) - project: vinid-app-common-dev DB: om_website_uat_test move data từ om_website_uat_test  lên om_website SAD:   </t>
  </si>
  <si>
    <t>[OMD][Kafka][NonProd] Tạo kafka topic cho các bảng bổ sung MDM</t>
  </si>
  <si>
    <t>2026-01-09T14:56:17.223+0700</t>
  </si>
  <si>
    <t>2026-01-09T15:19:50.343+0700</t>
  </si>
  <si>
    <t>Hiện tại OMD đang có nhu cầu kéo thêm dữ liệu bảng sau để xây dựng báo cáo nhờ anh Linh tạo kafka topic ở môi trường NON PROD giúp team để kéo data về DP nhé ạ! NON PROD: IP host: 172.31.0.68:3306 (mysql) Schema: omd_mdm_qc Table list: WarehouseProjectMapping Thanks and regards! giap.nguyen</t>
  </si>
  <si>
    <t>[LP][Core] - Alter table cho loyalty core</t>
  </si>
  <si>
    <t>2026-01-09T14:47:10.897+0700</t>
  </si>
  <si>
    <t>2026-01-09T14:47:31.160+0700</t>
  </si>
  <si>
    <t>Dear anh Linh, Nhờ anh chạy sql script bên dưới trên môi trường PROD của DB loyalty oracle IP: 10.255.23.119 Service name: oneloyaltydb Port: 1521 schema app: OLOYALTY SQL: ALTER TABLE SCHEME_LIMIT ADD (
    IS_LIMITED   VARCHAR2(16)
); Thanks anh!</t>
  </si>
  <si>
    <t>Cập nhật lại tên để triển khai 3 kho cho MAG bao gồm M040, M041, M042</t>
  </si>
  <si>
    <t>2026-01-09T12:01:42.044+0700</t>
  </si>
  <si>
    <t>2026-01-09T12:02:09.418+0700</t>
  </si>
  <si>
    <t>Hi DBA team, Hiện tại nghiệp vụ có nhu cầu cập nhật lại tên kho M019 theo nhu cầu vận hành Câu query đánh giá là không ảnh hưởng đến vận hành hệ thống nên mong muốn chạy luôn Cụm WMS Project : vinid-b2b-platform-prod Instance/IP : main (read-write): 172.31.4.59 Port : 3306 Database : omd_wms_core Script update base_dc bd set bd.dc_name = 'OCP3_CCCT1_CEN' where bd.dc_code = 'M040'; update base_dc bd set bd.dc_name = 'OCP3_CCCT2_CTC' where bd.dc_code = 'M041'; update base_dc bd set bd.dc_name = 'TGC_CT5_CTC' where bd.dc_code = 'M042'; Cum WES Project : vinid-b2b-platform-prod Instance/IP : main (read-write): 172.31.1.143 Port : 3306 Database : wes_master Script : update warehouse w set w.name = 'OCP3_CCCT1_CEN' where w.code = 'M040'; update warehouse w set w.name = 'OCP3_CCCT2_CTC' where w.code = 'M041'; update warehouse w set w.name = 'TGC_CT5_CTC' where w.code = 'M042';</t>
  </si>
  <si>
    <t>[UPAY][NonPROD] Thanh toán qr trên merchant app cho merchant khác softpos, cập nhật luồng push noti merchant app, cập nhật màn doanh thu merchant app</t>
  </si>
  <si>
    <t>2026-01-09T10:18:57.364+0700</t>
  </si>
  <si>
    <t>2026-01-09T10:19:02.841+0700</t>
  </si>
  <si>
    <t>Hi a  @Nguyễn Văn Dũng  nhờ a chạy script theo mô tả dưới đây ở môi trường  Non-Production theo thông tin dưới đây ạ: Thời gian chạy script:  Khi team thông báo Thông tin database saas_tpay:  tidb.int.onemount.dev:4000/vinpay_saas_tpay_staging CR Ticket:   Script:  ALTER TABLE TRANSACTION_MASTER
    ADD COLUMN is_merchant_app TINYINT(1) DEFAULT 0;</t>
  </si>
  <si>
    <t>[PROD] [VCM]  Xóa mapping store applied của Vinmart</t>
  </si>
  <si>
    <t>2026-01-09T10:13:31.874+0700</t>
  </si>
  <si>
    <t>2026-01-09T10:36:52.406+0700</t>
  </si>
  <si>
    <t>Dear DBA team, Nhờ hỗ chợ lệnh xóa store mapping của voucher VINMART DBname: vincart_mm_product
IP: 172.31.1.41 delete
from variant_apply_store_mapping
where apply_store_id in (select id from apply_stores where merchant_id = 80);
delete
from apply_stores
where merchant_id = 80;</t>
  </si>
  <si>
    <t>Hỗ trợ chạy file SQL Script (Update một số báo cáo) trên môi trường Production Bravo</t>
  </si>
  <si>
    <t>2026-01-09T10:03:04.433+0700</t>
  </si>
  <si>
    <t>2026-01-09T16:30:22.488+0700</t>
  </si>
  <si>
    <t>MPDC</t>
  </si>
  <si>
    <t>Dear các anh team DBA, Nhờ các anh hỗ trợ chạy các files SQL Script theo phần đính kèm trên môi trường Production Bravo DB: B10_Mobifone_MDP Trân trọng,</t>
  </si>
  <si>
    <t>Xin cấp account quyền insert schema dp_omc_semantic_omc_bsi_cdp</t>
  </si>
  <si>
    <t>2026-01-09T09:10:18.040+0700</t>
  </si>
  <si>
    <t>2026-01-09T09:10:25.748+0700</t>
  </si>
  <si>
    <t>Dear anh Dũng, DE đang thực hiện chuyển đổi CDP sang TiDB OMC, nhờ anh cấp account và phân quyền insert vào: Host:  omc-mtp-tidb.int.onemount.com Schema: dp_omc_semantic_omc_bsi_cdp Em cảm ơn ạ.</t>
  </si>
  <si>
    <t>2026-01-08T18:54:08.256+0700</t>
  </si>
  <si>
    <t>2026-01-08T18:54:22.258+0700</t>
  </si>
  <si>
    <t>Dear Linh, Em tạo giúp anh topic cho bảng sau với nhé. vincart_mm_product.llm_master_hastag host: 172.31.1.41</t>
  </si>
  <si>
    <t>[Merchant-OM] Hỗ trợ cập nhật dữ liệu 20260108 02</t>
  </si>
  <si>
    <t>2026-01-08T18:22:00.204+0700</t>
  </si>
  <si>
    <t>2026-01-08T18:22:59.534+0700</t>
  </si>
  <si>
    <t>Dear team, Nhờ team chạy giúp câu lệnh bên dưới ạ. Thông tin database https://console.cloud.google.com/sql/instances/main/overview?inv=1&amp;invt=Abqw_w&amp;project=vinid-merchant-prod DB_MYSQL_HOST=172.31.1.44
DB_MYSQL_DATABASE=merchant_service Câu lệnh UPDATE
	loyalty_campaign
SET
	start_date = '2025-12-31 17:00:00'
WHERE
	id IN (351, 352, 353, 354, 355, 356, 357, 358, 360, 361);</t>
  </si>
  <si>
    <t>[OMRE-PROD][topic] Hỗ trợ tạo kafka topic ở DB omre_cbp_avm</t>
  </si>
  <si>
    <t>2026-01-08T18:02:39.266+0700</t>
  </si>
  <si>
    <t>2026-01-09T14:53:44.440+0700</t>
  </si>
  <si>
    <t>Dear team, Để phục vụ xây dựng báo cáo cho dự án AVM, nhờ team tạo kafka topic cho bảng sau giúp em: host='172.31.4.109', port=3306, database= omre_cbp_avm table:  multi_project_avm_valuations multi_project_avm_valuations_2 Em cảm ơn ạ.</t>
  </si>
  <si>
    <t>[OMC][ONEU] [Prod] Update level kyc</t>
  </si>
  <si>
    <t>2026-01-08T18:02:02.919+0700</t>
  </si>
  <si>
    <t>2026-01-08T21:24:09.723+0700</t>
  </si>
  <si>
    <t>Nhờ team chạy giúp em ticket này để phục vụ golive ạ Thời gian chạy: 21h ngày 08/01/2026 CR:    project: vinid-service-platform-prod db: ekyc_service ip: 172.31.1.12 instances: main UPDATE `identity_document_ocr` set level = 6000 WHERE verify_by = 'VNEID'</t>
  </si>
  <si>
    <t>[PROD] [VCM]  Migrate apply store</t>
  </si>
  <si>
    <t>2026-01-08T16:36:37.467+0700</t>
  </si>
  <si>
    <t>2026-01-09T10:12:53.720+0700</t>
  </si>
  <si>
    <t>Dear DBA team, Nhờ a/e support chạy migrate apply store. Vào 2 bảng mới không cần backup. Do thiếu dữ liệu cho trường hợp voucher là target all store. Lệnh chạy gửi file attchment  DB:  vincart_mm_product</t>
  </si>
  <si>
    <t>[Prod] Xoá cache redis</t>
  </si>
  <si>
    <t>2026-01-08T16:13:37.556+0700</t>
  </si>
  <si>
    <t>2026-01-08T16:13:43.426+0700</t>
  </si>
  <si>
    <t>redis</t>
  </si>
  <si>
    <t>host:  vincart-prod--cache.memstore.int:6379 database: 4 key:  keys voucher_recommended_channel::213675*</t>
  </si>
  <si>
    <t>[Merchant-OM] Hỗ trợ cập nhật dữ liệu 20260108</t>
  </si>
  <si>
    <t>2026-01-08T16:06:22.571+0700</t>
  </si>
  <si>
    <t>2026-01-08T16:31:25.039+0700</t>
  </si>
  <si>
    <t>Dear team, Nhờ team chạy giúp câu lệnh bên dưới ạ. Thông tin database https://console.cloud.google.com/sql/instances/main/overview?inv=1&amp;invt=Abqw_w&amp;project=vinid-merchant-prod DB_MYSQL_HOST=172.31.1.44
DB_MYSQL_DATABASE=merchant_service Câu lệnh UPDATE
	loyalty_campaign
SET
	start_date = '2025-12-31 17:00:00'
WHERE
	id = 359;</t>
  </si>
  <si>
    <t>Move databases masteri_grand_avenue_prod_mysql,masteri_lakeside_prod_mysql,grand_prod_mysql,masteriwaterfront_prod_mysql,masteri_parkplace_prod_mysql trên VPS PA về hạ tầng OM</t>
  </si>
  <si>
    <t>2026-01-08T15:49:42.454+0700</t>
  </si>
  <si>
    <t>2026-01-08T15:51:42.332+0700</t>
  </si>
  <si>
    <t>Thực hiện move các database: masteri_grand_avenue_prod_mysql masteri_lakeside_prod_mysql grand_prod_mysql masteriwaterfront_prod_mysql masteri_parkplace_prod_mysql từ hạ tầng đối tác VPS PA về hạ tầng OM: 10.10.12.35 port 3306</t>
  </si>
  <si>
    <t>Move databases masterisehomes_duan_prod_mysql, globla_city_prod_mast_west_height_mysql,globla_city_prod_tgc_mysql,mainpage_prod_mysql,masteri_collection_prod_mysql trên VPS PA về hạ tầng OM</t>
  </si>
  <si>
    <t>2026-01-08T15:49:19.685+0700</t>
  </si>
  <si>
    <t>2026-01-08T15:51:40.549+0700</t>
  </si>
  <si>
    <t>Thực hiện move các database:  dmasterisehomes_duan_prod_mysql globla_city_prod_mast_west_height_mysql globla_city_prod_tgc_mysql,mainpage_prod_mysql masteri_collection_prod_mysql  từ hạ tầng đối tác VPS PA về hạ tầng OM: 10.10.12.35 port 3306</t>
  </si>
  <si>
    <t>Move databases lumiere_boulevard_prod_mysql trên VPS PA về hạ tầng OM</t>
  </si>
  <si>
    <t>2026-01-08T15:47:38.530+0700</t>
  </si>
  <si>
    <t>2026-01-08T15:51:38.290+0700</t>
  </si>
  <si>
    <t>Thực hiện move database: lumiere_boulevard_prod_mysql từ hạ tầng đối tác VPS PA về hạ tầng OM: 10.10.12.35 port 3306</t>
  </si>
  <si>
    <t>Move databases d9_lumiere_prod_mysql trên VPS PA về hạ tầng OM</t>
  </si>
  <si>
    <t>2026-01-08T15:46:51.997+0700</t>
  </si>
  <si>
    <t>2026-01-08T15:51:36.025+0700</t>
  </si>
  <si>
    <t>Thực hiện move database: d9_lumiere_prod_mysql từ hạ tầng đối tác VPS PA về hạ tầng OM: 10.10.12.35 port 3306</t>
  </si>
  <si>
    <t>Move databases lmr_prod_mysql trên VPS PA về hạ tầng OM</t>
  </si>
  <si>
    <t>2026-01-08T15:46:44.856+0700</t>
  </si>
  <si>
    <t>2026-01-08T15:51:33.498+0700</t>
  </si>
  <si>
    <t>Thực hiện move database: lmr_prod_mysql từ hạ tầng đối tác VPS PA về hạ tầng OM: 10.10.12.35 port 3306</t>
  </si>
  <si>
    <t>Move databases centric_prod_mysql trên VPS PA về hạ tầng OM</t>
  </si>
  <si>
    <t>2026-01-08T15:46:38.197+0700</t>
  </si>
  <si>
    <t>2026-01-08T15:51:23.902+0700</t>
  </si>
  <si>
    <t>Thực hiện  move database: centric_prod_mysql từ hạ tầng đối tác VPS PA về hạ tầng OM: 10.10.12.35 port 3306</t>
  </si>
  <si>
    <t>Move databases masteri_trinity_square_prod_mysql trên VPS PA về hạ tầng OM</t>
  </si>
  <si>
    <t>2026-01-08T15:46:26.624+0700</t>
  </si>
  <si>
    <t>2026-01-08T15:51:21.088+0700</t>
  </si>
  <si>
    <t>Thực hiện move database: masteri_trinity_square_prod_mysql từ hạ tầng đối tác VPS PA về hạ tầng OM: 10.10.12.35 port 3306</t>
  </si>
  <si>
    <t>Move databases masteri_rivera_danang_prod_mysql trên VPS PA về hạ tầng OM</t>
  </si>
  <si>
    <t>2026-01-08T15:46:14.666+0700</t>
  </si>
  <si>
    <t>2026-01-08T15:51:19.107+0700</t>
  </si>
  <si>
    <t>Thực hiện move database: masteri_rivera_danang_prod_mysqll từ hạ tầng đối tác VPS PA về hạ tầng OM: 10.10.12.35 port 3306</t>
  </si>
  <si>
    <t>Move databases  mainpage-mysql trên VPS PA về hạ tầng OM</t>
  </si>
  <si>
    <t>2026-01-08T15:39:13.653+0700</t>
  </si>
  <si>
    <t>2026-01-08T15:50:45.931+0700</t>
  </si>
  <si>
    <t>Thực hiện move database: mainpage-mysql từ hạ tầng VPS PA về hạ tầng OM: 10.10.12.35 port 3306</t>
  </si>
  <si>
    <t>V/v move Databases trên VPS PA về OM</t>
  </si>
  <si>
    <t>2026-01-08T15:32:12.073+0700</t>
  </si>
  <si>
    <t>2026-01-08T15:53:52.351+0700</t>
  </si>
  <si>
    <t>Move databases trên VPS PA về hạ tầng OM Danh sách các database cần move về:</t>
  </si>
  <si>
    <t>[OM][DP][Kafka][PROD] Hỗ trợ tạo kafka topic bảng ở DB omc_bp_authentication</t>
  </si>
  <si>
    <t>2026-01-08T12:12:27.892+0700</t>
  </si>
  <si>
    <t>2026-01-08T14:10:18.513+0700</t>
  </si>
  <si>
    <t>Dear anh Linh, Phục vụ xây dựng báo cáo cho vận hành và đối soát. Nhờ anh tạo kafka topic cho bảng sau: IP: 172.31.3.40 Database: omc_bp_authentication Table: vneid_login_log Em cảm ơn ạ.</t>
  </si>
  <si>
    <t>[UPAY][NONPRO] Tác động database stagging</t>
  </si>
  <si>
    <t>2026-01-08T11:38:44.769+0700</t>
  </si>
  <si>
    <t>2026-01-08T11:39:03.681+0700</t>
  </si>
  <si>
    <t>Dear a  @Nguyễn Văn Dũng    Em có ticket tác động db stagging:  jdbc:mysql://tidb.int.onemount.dev:4000/vinpay_saas_tpay_staging script:  CREATE TABLE MERCHANT_NOTIFICATION_SUBSCRIPTION (
    ID                BIGINT AUTO_INCREMENT PRIMARY KEY,
    TCB_MERCHANT_ID   VARCHAR(64)  NOT NULL,
    TCB_STORE_ID      VARCHAR(64)  NOT NULL,
    TCB_TERMINAL_ID   VARCHAR(64)  NOT NULL,
    MERCHANT_CODE     VARCHAR(64)  NULL,
    STORE_CODE        VARCHAR(64)  NULL,
    TERMINAL_CODE     VARCHAR(64)  NULL,
    STATUS            VARCHAR(32)  NULL,
    SOURCE            VARCHAR(32)  NULL,
    DEVICE_ID         VARCHAR(128) NULL,
    DEVICE_OS         VARCHAR(128) NULL,
    DEVICE_OS_VERSION VARCHAR(64)  NULL,
    FMC_TOKEN         TEXT         NULL,
    DEVICE_INFO       JSON         NULL,
    USER_ID           VARCHAR(128) NULL,
    CREATED_DATE      TIMESTAMP DEFAULT CURRENT_TIMESTAMP NULL,
    CREATED_BY        VARCHAR(50)  NULL,
    UPDATED_DATE      TIMESTAMP DEFAULT CURRENT_TIMESTAMP NULL,
    UPDATED_BY        VARCHAR(50)  NULL,
    -- normal indexes
    KEY IDX_MERCHANT_CODE   (MERCHANT_CODE),
    KEY IDX_SOURCE          (SOURCE),
    KEY IDX_USER_ID         (USER_ID),
    -- unique composite index
    UNIQUE KEY UQ_MERCHANT_STORE_TERMINAL_DEVICE (
        TCB_MERCHANT_ID,
        TCB_STORE_ID,
        TCB_TERMINAL_ID,
        SOURCE
    )
) AUTO_ID_CACHE=1
ENGINE = InnoDB
DEFAULT CHARSET = utf8mb4
COLLATE = utf8mb4_unicode_ci
;
INSERT INTO STEP_CONFIG(CODE, STEP_GROUP, NAME, STATUS, `ORDER`, ONBOARDING_FLOW)
    VALUE ('SOFTPOS_ONLY_QR_NOTIFICATION_SUBSCRIPTION', 'SOFTPOS_ONLY_QR_VERIFY_ONBOARD',
           'SOFTPOS_ONLY_QR_NOTIFICATION_SUBSCRIPTION', 'ACTIVE', 2, 'SOFTPOS_ONLY_QR');
UPDATE STEP_CONFIG
SET `ORDER` = 3
WHERE CODE = 'SOFTPOS_ONLY_QR_REGISTER_STAFF_EMAIL' AND onboarding_flow = 'SOFTPOS_ONLY_QR';
INSERT INTO SYSTEM_CONFIGURATION (SYSTEM_PARAM_CODE, SYSTEM_PARAM_NAME, SYSTEM_PARAM_VALUE, IS_ACTIVE, CREATED_DATE, CREATED_BY)
VALUE ('SOFTPOS_ONLY_QR_REGISTER_EMAIL_TNC_CODE', 'SOFTPOS_ONLY_QR_REGISTER_EMAIL_TNC_CODE', 'TC-02012026-024051', 1, CURRENT_TIMESTAMP, 'PB-28321');
INSERT INTO SYSTEM_CONFIGURATION (SYSTEM_PARAM_CODE, SYSTEM_PARAM_NAME, SYSTEM_PARAM_VALUE, IS_ACTIVE, CREATED_DATE)
VALUES ('ROLE_STAFF_SOFTPOS', 'ROLE_STAFF_SOFTPOS', 'RoleStaffSoftPos', 1,  CURRENT_TIMESTAMP);</t>
  </si>
  <si>
    <t>[PROD] [VCM] Golive Store Register Voucher</t>
  </si>
  <si>
    <t>2026-01-08T11:12:16.572+0700</t>
  </si>
  <si>
    <t>2026-01-08T11:12:23.695+0700</t>
  </si>
  <si>
    <t>Dear DBA team, Nhờ team hỗ trợ chạy script migration data cho store register voucher. Merchant:    Insert store register voucher với merchant đang là register voucher. Nhưng chưa có trong bảng   store_register_services . IP: 172.31.1.41
Database: vincart_mm_merchant INSERT INTO store_register_services
(`store_code`,
 `merchant_code`,
 `register_service_code`,
 `register_service_name`)
select s.code                            store_code,
       m.code                            merchant_code,
       'VOUCHER'                         register_service_code,
       'Cung cấp voucher trên VinID app' register_service_name
from stores s
         inner join merchants m on m.id = s.merchant_id
where m.code in (select mrs.merchant_code
                 from merchant_register_services mrs
                 where mrs.register_service_code = 'VOUCHER'
                   and (mrs.status = 'active' or mrs.status = 'ACTIVE'))
  and (m.status = 'active' or m.status = 'ACTIVE')
  and (s.status = 'active' or s.status = 'ACTIVE')
  and not exists (select 1
                  from store_register_services srs
                  where srs.store_code = s.code
                    and srs.merchant_code = m.code
                    and srs.register_service_code = 'VOUCHER'); Product: Chạy insert  data   apply_stores ,   variant_apply_store_mapping   với   voucher_accepted_stores   đang không có giá trị status. IP: 172.31.1.41
Database: vincart_mm_product -- Insert store với status == null -&gt; 'active'
insert into apply_stores (merchant_code, store_code, status, created_at,
                          updated_at)
select x.merchant_code, x.store_code, 'active' status, now(), now()
from (SELECT distinct t.merchant_code, t.store_code, t.status
      FROM entity_attributes_values e
               JOIN
           JSON_TABLE(
                   e.value,
                   '$[*]'
                   COLUMNS (
                       store_code VARCHAR(20) PATH '$.store_code',
                       status VARCHAR(20) PATH '$.status',
                       merchant_code VARCHAR(50) PATH '$.merchant_code'
                       )) AS t
      where e.type = 'VARIANT'
        and e.name = 'voucher_accepted_stores'
     ) as x
where x.merchant_code is not null and x.status is null;
INSERT INTO variant_apply_store_mapping (variant_id, apply_store_id)
select distinct x.entity_id, y.id
from (SELECT t.merchant_code,
             t.store_code,
             t.status,
             e.entity_id
      FROM entity_attributes_values e
               JOIN
           JSON_TABLE(
               e.value,
               '$[*]'
               COLUMNS (
                   store_code VARCHAR(20) PATH '$.store_code',
                   status VARCHAR(20) PATH '$.status',
                   merchant_code VARCHAR(50) PATH '$.merchant_code'
                   )) AS t
      where e.type = 'VARIANT'
        and e.name = 'voucher_accepted_stores'
        -- and e.json_valid(e.value) = 1 // If e.value json is invalid add condition
) as x
         inner join apply_stores as y
                    on x.merchant_code COLLATE utf8mb4_unicode_ci =
                       y.merchant_code COLLATE utf8mb4_unicode_ci and
                       x.store_code COLLATE utf8mb4_unicode_ci =
                       y.store_code COLLATE utf8mb4_unicode_ci
        where x.merchant_code is not null and x.status is null;</t>
  </si>
  <si>
    <t>[PROD] [VCM]  Migration for golive 07/01/2026</t>
  </si>
  <si>
    <t>2026-01-07T18:02:15.064+0700</t>
  </si>
  <si>
    <t>2026-01-07T18:02:19.901+0700</t>
  </si>
  <si>
    <t>Dear DBA team, Nhờ team support chạy script migration. Thời gian dự kiến: 22h 07/01/2026 Note: Lệnh alter và create table có thế chạy trước được. 1.  Recommendation   IP: 172.31.4.9
Database: vincart_rec ALTER TABLE `notification_system_data_output`
    ADD COLUMN `brand_als_score` DOUBLE; 2.   Product IP: 172.31.1.41
Database: vincart_mm_product create table if not exists apply_stores
(
    id            bigint auto_increment primary key,
    merchant_code varchar(50) not null,
    store_code    varchar(50) not null,
    status        varchar(10) not null,
    created_at    timestamp not null default current_timestamp,
    updated_at    timestamp default current_timestamp on update current_timestamp
);
create index apply_stores_merchant_code_store_code_index on apply_stores (merchant_code, store_code);
create table if not exists variant_apply_store_mapping
(
    apply_store_id bigint not null,
    variant_id      bigint not null,
    primary key (variant_id, apply_store_id)
); insert into apply_stores (merchant_code, store_code, status, created_at,
                          updated_at)
select x.merchant_code, x.store_code, lower(x.status), now(), now()
from (SELECT distinct t.merchant_code, t.store_code, t.status
      FROM entity_attributes_values e
               JOIN
           JSON_TABLE(
               e.value,
               '$[*]'
               COLUMNS (
                   store_code VARCHAR(20) PATH '$.store_code',
                   status VARCHAR(20) PATH '$.status',
                   merchant_code VARCHAR(50) PATH '$.merchant_code'
                   )) AS t
      where e.type = 'VARIANT'
        and e.name = 'voucher_accepted_stores'
      ) as x
  where x.merchant_code is not null and x.status is not null;
INSERT INTO variant_apply_store_mapping (variant_id, apply_store_id)
select distinct x.entity_id, y.id
from (SELECT t.merchant_code,
             t.store_code,
             t.status,
             e.entity_id
      FROM entity_attributes_values e
               JOIN
           JSON_TABLE(
               e.value,
               '$[*]'
               COLUMNS (
                   store_code VARCHAR(20) PATH '$.store_code',
                   status VARCHAR(20) PATH '$.status',
                   merchant_code VARCHAR(50) PATH '$.merchant_code'
                   )) AS t
      where e.type = 'VARIANT'
        and e.name = 'voucher_accepted_stores'
        -- and e.json_valid(e.value) = 1 // If e.value json is invalid add condition
) as x
         inner join apply_stores as y
                    on x.merchant_code COLLATE utf8mb4_unicode_ci =
                       y.merchant_code COLLATE utf8mb4_unicode_ci and
                       x.store_code COLLATE utf8mb4_unicode_ci =
                       y.store_code COLLATE utf8mb4_unicode_ci
        where x.merchant_code is not null and x.status is not null; 3.   Merchant IP: 172.31.1.41
Database: vincart_mm_merchant insert into store_register_services (merchant_code, store_code,
                                                              register_service_code,
                                                              register_service_name)
select m.code, s.code, 'VOUCHER', 'Cung cấp voucher trên VinID app'
from vincart_mm_merchant_uat.stores s
         inner join vincart_mm_merchant_uat.merchants m on s.merchant_id = m.id
where merchant_id = 80
  and (s.status = 'active' or s.status = 'ACTIVE')
  and not exists (select 1
                  from store_register_services
                  where merchant_code = m.code and store_code = s.code)
order by s.code;</t>
  </si>
  <si>
    <t>[Merchant-OM] Hỗ trợ cập nhật dữ liệu 20260107</t>
  </si>
  <si>
    <t>2026-01-07T17:56:00.412+0700</t>
  </si>
  <si>
    <t>2026-01-07T17:57:21.808+0700</t>
  </si>
  <si>
    <t>Dear team, Nhờ team chạy giúp câu lệnh bên dưới ạ. Thông tin database https://console.cloud.google.com/sql/instances/main/overview?inv=1&amp;invt=Abqw_w&amp;project=vinid-merchant-prod DB_MYSQL_HOST=172.31.1.44
DB_MYSQL_DATABASE=merchant_service Câu lệnh UPDATE
	merchant
SET
	parent_id = 377679,
	is_sap_debt = 1
WHERE
	id = 379376;</t>
  </si>
  <si>
    <t>Hỗ trợ cập nhật trạng thái đơn treo tồn tháng 12 kho thuanphong2 (P2)</t>
  </si>
  <si>
    <t>2026-01-07T16:16:40.238+0700</t>
  </si>
  <si>
    <t>2026-01-07T17:22:36.466+0700</t>
  </si>
  <si>
    <t>Hi DBA team, Hiện tại kho thuanphong2 cần fix lỗi dữ liệu bị lệch trạng thái đơn gây treo tồn, nhờ team DBA hỗ trợ cập nhật theo thông tin dưới đây: Project : vinid-b2b-platform-prod Instance/IP : main (read-write): 172.31.4.59 Port : 3306  Database : omd_wms_thuanphong2 Query update order_hdr oh 
join order_item oi on oi.order_hdr_id = oh.order_hdr_id
set oh.order_status = 'NEW',
    oi.item_status = 'NEW',
    oh.last_modified_date = UTC_TIMESTAMP,
    oi.last_modified_date = UTC_TIMESTAMP
where oh.order_hdr_id in (316743);</t>
  </si>
  <si>
    <t>[SAP PROD] Cài đặt agent cho các vm second SAP theo yêu cầu và hướng dẫn của ANBM</t>
  </si>
  <si>
    <t>2026-01-07T16:07:53.654+0700</t>
  </si>
  <si>
    <t>2026-01-12T17:10:13.429+0700</t>
  </si>
  <si>
    <t>[SAP PROD]  Cài đặt agent cho các vm second SAP theo yêu cầu và hướng dẫn của ANBM Theo task :    Cài đặt các bước theo kịch bản ở file đính kèm Thời gian thực hiện dự kiến : tối ngày 26/12/2025 từ 20h00 → 24h00</t>
  </si>
  <si>
    <t>2026-01-07T16:04:40.341+0700</t>
  </si>
  <si>
    <t>2026-01-12T17:10:11.773+0700</t>
  </si>
  <si>
    <t>[OPS] [PRODUCTION] Thêm quyền cho service mới trong module Voucher Distribution</t>
  </si>
  <si>
    <t>2026-01-07T15:57:22.161+0700</t>
  </si>
  <si>
    <t>2026-01-07T15:57:36.272+0700</t>
  </si>
  <si>
    <t>Dear team DBA, Để thêm quyền ở  module Voucher Distribution nhờ team DBA support thực hiện câu SQL query sau: instance:   https://console.cloud.google.com/sql/instances/common/overview?authuser=1&amp;hl=en&amp;inv=1&amp;invt=Ab0bnA&amp;project=vinid-service-platform-prod Dbname: admin_service SQL Query select @service_id := id
from service
where code = 'voucher_distribution';
INSERT INTO module (name, code, service_id)
VALUES ('File Management', 'vd_file_import_management', @service_id);
SET @module_id = LAST_INSERT_ID();
INSERT INTO permission (code, name, module, module_id, new_code, new_name)
VALUES (1000, 'View', 'vd_file_import_management', @module_id, 1000, 'View');
INSERT INTO permission (code, name, module, module_id, new_code, new_name)
VALUES (1001, 'Create', 'vd_file_import_management', @module_id, 1001, 'Create');
INSERT INTO permission (code, name, module, module_id, new_code, new_name)
VALUES (1007, 'Approve/Reject', 'vd_file_import_management', @module_id, 1007, 'Approve/Reject');</t>
  </si>
  <si>
    <t xml:space="preserve">[MPM] [PROD] Gia hạn tài khoản db </t>
  </si>
  <si>
    <t>2026-01-07T14:53:30.416+0700</t>
  </si>
  <si>
    <t>2026-01-07T14:54:04.802+0700</t>
  </si>
  <si>
    <t xml:space="preserve">Gia hạn tài khoản temp_dev đến 31/1 để phục vụ việc migration cho 4 dự án mới MCP, LBV, MWH, TCT </t>
  </si>
  <si>
    <t>[TPAY][NON-PROD] Tạo tài khoản SFTP cho merchant Vinmec lấy file báo cáo đối soát</t>
  </si>
  <si>
    <t>2026-01-07T14:24:03.181+0700</t>
  </si>
  <si>
    <t>2026-01-07T14:24:19.093+0700</t>
  </si>
  <si>
    <t>Dự án Tpay cần cấp tài khoản và 1 thư mục con trong thư mục trong thư mục tpay dành cho đối tác Vinmec để đọc file từ sFTP server. Thông tin sFTP server cần kết nối đến: Non-prod:  35.229.130.107:2022 Nhờ team support tạo server và cấp account cho dự án. Em tên thư mục và folder ạ. Account: vinmec Folder: vinmec</t>
  </si>
  <si>
    <t>2026-01-07T11:54:48.636+0700</t>
  </si>
  <si>
    <t>2026-01-07T11:54:52.563+0700</t>
  </si>
  <si>
    <t>caching</t>
  </si>
  <si>
    <t>host:  vincart-prod--cache.memstore.int:6379 database: 4 key:  keys voucher_recommended_channel::15931*</t>
  </si>
  <si>
    <t>Hỗ trợ tạo dữ liệu mở lại kho MES_2D_031 - NPP Tùng Linh</t>
  </si>
  <si>
    <t>2026-01-07T10:55:23.187+0700</t>
  </si>
  <si>
    <t>2026-01-07T10:55:36.466+0700</t>
  </si>
  <si>
    <t>Hi DBA team, Hiện tại nghiệp vụ có nhu cầu mở mới kho MES_2D_031 - NPP Tùng Linh,  nhờ team DBA hỗ trợ cập nhật giá trị theo thông tin dưới đây.   Câu query đánh giá là có thể ảnh hưởng đến vận hành hệ thống nên mong muốn chạy vào thời gian vận hành thấp điểm (từ 22h-2h sáng). Cụm WMS Project : vinid-b2b-platform-prod Instance/IP : main (read-write): 172.31.4.59 Port : 3306 Database : omd_wms_core Script : file  omd_wms_core_2d31.sql  trong file đính kèm Cum WES Project : vinid-b2b-platform-prod Instance/IP : main (read-write): 172.31.1.143 Port : 3306 Database : wes_master Script : file  wes_master_2d31.sql  trong file đính kèm</t>
  </si>
  <si>
    <t>2026-01-07T10:23:57.852+0700</t>
  </si>
  <si>
    <t>2026-01-07T10:24:11.062+0700</t>
  </si>
  <si>
    <t>Dear anh  @Nguyễn Văn Dũng  , nhờ anh tạo giúp em schema và chạy script sau: -- DB: omc-mtp-tidb.int.onemount.com:4000
-- Schema: dp_omc_semantic_omc_bsi_cdp
CREATE TABLE `d_label` (
  `label_code` varchar(254) COLLATE utf8mb4_unicode_ci NOT NULL,
  `label_name` varchar(254) COLLATE utf8mb4_unicode_ci DEFAULT NULL,
  `data_type` varchar(40) COLLATE utf8mb4_unicode_ci DEFAULT NULL,
  `label_cate_code` varchar(254) COLLATE utf8mb4_unicode_ci DEFAULT NULL,
  `label_cate_name` varchar(254) COLLATE utf8mb4_unicode_ci DEFAULT NULL,
  `status` varchar(50) COLLATE utf8mb4_unicode_ci DEFAULT NULL,
  `schedule` varchar(50) COLLATE utf8mb4_unicode_ci DEFAULT NULL,
  `row_created_at` datetime DEFAULT NULL,
  PRIMARY KEY (`label_code`) /*T![clustered_index] CLUSTERED */,
  UNIQUE KEY `d_label_unique_label_code_idx` (`label_code`)
) ENGINE=InnoDB DEFAULT CHARSET=utf8mb4 COLLATE=utf8mb4_unicode_ci;
CREATE TABLE `f_customer_label` (
  `pk` varchar(254) COLLATE utf8mb4_unicode_ci NOT NULL,
  `customer_pk` varchar(254) COLLATE utf8mb4_unicode_ci DEFAULT NULL,
  `customer_id` varchar(30) COLLATE utf8mb4_unicode_ci DEFAULT NULL,
  `tcb_customer_id` varchar(30) COLLATE utf8mb4_unicode_ci DEFAULT NULL,
  `label_cate_code` varchar(254) COLLATE utf8mb4_unicode_ci DEFAULT NULL,
  `label_cate_name` varchar(254) COLLATE utf8mb4_unicode_ci DEFAULT NULL,
  `label_code` varchar(50) COLLATE utf8mb4_unicode_ci DEFAULT NULL,
  `label_name` varchar(254) COLLATE utf8mb4_unicode_ci DEFAULT NULL,
  `label_value` varchar(16383) COLLATE utf8mb4_unicode_ci DEFAULT NULL,
  `row_created_at` datetime DEFAULT NULL,
  `kafka_is_deleted` tinyint(1) DEFAULT NULL,
  `cus__partition` varchar(100) COLLATE utf8mb4_unicode_ci DEFAULT NULL,
  `schedule_type` varchar(100) COLLATE utf8mb4_unicode_ci DEFAULT NULL,
  `scd2_hash` varchar(100) COLLATE utf8mb4_unicode_ci DEFAULT NULL,
  PRIMARY KEY (`pk`) /*T![clustered_index] CLUSTERED */,
  KEY `idx_f_customer_label_label_code` (`label_code`),
  KEY `idx_lablec_cusid` (`label_code`,`customer_id`),
  KEY `idx_f_customer_label_composite` (`label_code`,`label_value`(100),`customer_id`),
  KEY `idx_f_customer_label_composite_cv` (`label_code`,`label_value`(100)),
  KEY `idx_customer_id` (`customer_id`)
) ENGINE=InnoDB DEFAULT CHARSET=utf8mb4 COLLATE=utf8mb4_unicode_ci; Best regards Dinh Quang Nguyen</t>
  </si>
  <si>
    <t>[UPAY][PROD] Hỗ trợ golive Retrieve transaction &amp; Retry Callback</t>
  </si>
  <si>
    <t>2026-01-07T09:34:18.256+0700</t>
  </si>
  <si>
    <t>2026-01-07T09:34:23.239+0700</t>
  </si>
  <si>
    <t>Hi a  @Nguyễn Văn Dũng  nhờ a chạy script theo mô tả  dưới đây ở môi trường PRODUCTION theo thông tin dưới đây ạ: Thời gian chạy script: Vào lúc  01h00 ngày 07/01/2026   - Khi team thông báo Thông tin database saas_tpay:  pay-tidb.int.onemount.com:4000/saas_tpay CR Ticket:    Script: Em sẽ bổ sung sau ạ</t>
  </si>
  <si>
    <t>[DBA-OM] change budget gcs cho backup</t>
  </si>
  <si>
    <t>2026-01-06T18:01:41.669+0700</t>
  </si>
  <si>
    <t>2026-01-06T18:01:47.228+0700</t>
  </si>
  <si>
    <t xml:space="preserve">nhờ @Bùi Khắc Tuấn @Đoàn Việt Hưng chuyển giúp anh backup sap prod sang bucket mới với nhé:   om-sap-backup-prod , context là hiện tại GCP đang charge thêm chi phí multi region bucket nên cần chuyển sang regional, dự kiến nếu keep thì SAP sẽ tăng thêm khoảng ~3000$/tháng cc chị @Ngô Thanh Hương , ae ưu tiên ASAP nhé ạ.   </t>
  </si>
  <si>
    <t>Hỗ trợ cập nhật trạng thái đơn treo tồn tháng 12 kho thuanphong2</t>
  </si>
  <si>
    <t>2026-01-06T15:42:24.859+0700</t>
  </si>
  <si>
    <t>2026-01-06T15:42:57.014+0700</t>
  </si>
  <si>
    <t>Hi DBA team, Hiện tại kho thuanphong2 cần fix lỗi dữ liệu bị lệch trạng thái đơn gây treo tồn, nhờ team DBA hỗ trợ cập nhật theo thông tin dưới đây: Project : vinid-b2b-platform-prod Instance/IP : main (read-write): 172.31.4.59 Port : 3306 Database : omd_wms_thuanphong2 Query update order_hdr oh 
join order_item oi on oi.order_hdr_id = oh.order_hdr_id
set oh.order_status = 'NEW',
    oi.item_status = 'NEW',
    oh.last_modified_date = UTC_TIMESTAMP,
    oi.last_modified_date = UTC_TIMESTAMP
where oh.order_hdr_id in (305232, 318510, 316740, 316738, 316744, 316741, 316736, 316747, 316745, 316735, 316742, 316746, 316737, 316739, 319118, 319120, 319119, 324010, 324014, 324013, 324012, 324011, 324009, 324015);</t>
  </si>
  <si>
    <t>Cập nhật lại tên kho M039 để triển khai kho của MAG</t>
  </si>
  <si>
    <t>2026-01-06T15:41:45.078+0700</t>
  </si>
  <si>
    <t>2026-01-06T15:42:06.081+0700</t>
  </si>
  <si>
    <t>Hi DBA team, Hiện tại nghiệp vụ có nhu cầu cập nhật lại tên kho M039 theo nhu cầu vận hành Câu query đánh giá là không ảnh hưởng đến vận hành hệ thống nên mong muốn chạy luôn Cụm WMS Project : vinid-b2b-platform-prod Instance/IP : main (read-write): 172.31.4.59 Port : 3306 Database : omd_wms_core Script update base_dc bd set bd.dc_name = 'OCP3_CCCT1_CTC' where bd.dc_code  = 'M039'; Cum WES Project : vinid-b2b-platform-prod Instance/IP : main (read-write): 172.31.1.143 Port : 3306 Database : wes_master Script : update warehouse w set w.name = 'OCP3_CCCT1_CTC' where w.code = 'M039';</t>
  </si>
  <si>
    <t>Hỗ trợ tạo dữ liệu mở lại kho 8126 - Kho TOTTOT Thủ Đức</t>
  </si>
  <si>
    <t>2026-01-06T15:39:45.935+0700</t>
  </si>
  <si>
    <t>2026-01-06T22:57:23.805+0700</t>
  </si>
  <si>
    <t>Hi DBA team, Hiện tại nghiệp vụ có nhu cầu mở mới kho 8126 - TOTTOT Thủ Đức,  nhờ team DBA hỗ trợ cập nhật giá trị theo thông tin dưới đây.   Câu query đánh giá là có thể ảnh hưởng đến vận hành hệ thống nên mong muốn chạy vào thời gian vận hành thấp điểm (từ 22h-2h sáng). Cụm WMS Project : vinid-b2b-platform-prod Instance/IP : main (read-write): 172.31.4.59 Port : 3306 Database : omd_wms_core Script : file  omd_wms_core_8126.sql  trong file đính kèm Cum WES Project : vinid-b2b-platform-prod Instance/IP : main (read-write): 172.31.1.143 Port : 3306 Database : wes_master Script : file  wes_master_8126.sql  trong file đính kèm</t>
  </si>
  <si>
    <t>[UPAY][PS2][GL] Update dữ liệu master data</t>
  </si>
  <si>
    <t>2026-01-06T15:39:44.465+0700</t>
  </si>
  <si>
    <t>2026-01-06T15:39:50.091+0700</t>
  </si>
  <si>
    <t>Hi các anh DBA, Hiện tại e nhận request từ PO cấu hình lại settlement rate. Nhờ các anh chạy giúp em câu lệnh này với ạ. UPDATE general_ledger_data_list t SET t.data_name = '0.7' WHERE t.id = 5671 and t.data_key = 'settlement_rate' and t.data_value = 'TPOINT'; Em gửi thông tin DB :  tidb.int.onemount.com:4000/vinpay_vinpay_prod_saas_ps2_general_ledger Em cảm ơn,</t>
  </si>
  <si>
    <t xml:space="preserve">[Prod] Xoá cache redis </t>
  </si>
  <si>
    <t>2026-01-06T15:39:16.345+0700</t>
  </si>
  <si>
    <t>2026-01-06T15:39:20.604+0700</t>
  </si>
  <si>
    <t>cache</t>
  </si>
  <si>
    <t xml:space="preserve">master:  vincart-prod--vmm.memstore.int replicas:  vincart-prod--vmm-replica.memstore.int database: 4 key redis cần xoá: {{voucher_recommended_channel:1366755 hoặc là voucher_recommended_channel_1366755}}hoặc {{voucher_recommended_channel1366755}}ko rõ lắm 1 trong 3 key này ạ  prefix là  voucher_recommended_channel , còn  1366755  là user id. là giá trị cuả key được generate </t>
  </si>
  <si>
    <t>[CDP] Tạo mới INDEX cho CDP DP_GT_LABEL_LIFETIME</t>
  </si>
  <si>
    <t>2026-01-06T15:38:58.814+0700</t>
  </si>
  <si>
    <t>2026-01-06T15:39:04.717+0700</t>
  </si>
  <si>
    <t>Dear  @Nguyễn Văn Dũng   Nhờ em tạo giúp anh index tăng performance cho CDP nhé ALTER TABLE DP_GT_LABEL_LIFETIME
ADD INDEX idx_gt_label_month_code (d_month, gt_code, gap_blue_gmv_vs_label_xanh);</t>
  </si>
  <si>
    <t>[Merchant-OM] Hỗ trợ cập nhật/query dữ liệu 20260106</t>
  </si>
  <si>
    <t>2026-01-06T15:37:58.124+0700</t>
  </si>
  <si>
    <t>2026-01-06T15:39:14.844+0700</t>
  </si>
  <si>
    <t>Dear team, Nhờ team chạy giúp câu lệnh bên dưới ạ. Thông tin database https://console.cloud.google.com/sql/instances/main/overview?inv=1&amp;invt=Abqw_w&amp;project=vinid-merchant-prod DB_MYSQL_HOST=172.31.1.44
DB_MYSQL_DATABASE=merchant_service Câu lệnh UPDATE
	merchant
SET
	parent_id = 377679,
	is_sap_debt = 1
WHERE
	id = 377529;</t>
  </si>
  <si>
    <t>[OM][OutSystems][PROD]Xin quyền access 2 table mới tạo: attendance_logs và attendance_daily</t>
  </si>
  <si>
    <t>2026-01-06T15:02:54.863+0700</t>
  </si>
  <si>
    <t>2026-01-06T15:03:04.330+0700</t>
  </si>
  <si>
    <t>Hi a Linh, Bên e đang có lỗi query tới 2 bảng  attendance_logs  và  attendance_daily  vừa tạo cho HRMS của MDPC trên production nhờ a support cho e query vào 2 bảng trên với user  outsystems_qr_code  để debug. sau khi debug xong sẽ cắt ạ Thanks a</t>
  </si>
  <si>
    <t>[SAVE COST] Chuyển đổi backup lưu backup trên GCS</t>
  </si>
  <si>
    <t>2026-01-06T14:27:23.238+0700</t>
  </si>
  <si>
    <t>2026-01-19T10:20:08.042+0700</t>
  </si>
  <si>
    <t>Context: chi phí phát sinh multi region gcs nên cần chuyển về regional. -- Cũ (đang dùng) https://console.cloud.google.com/storage/browser/oneid-data-backup-prod-int?project=vinid-app-common-prod -- Mới https://console.cloud.google.com/storage/browser/om-data-backup-prod-int?project=vinid-app-common-prod</t>
  </si>
  <si>
    <t>Tạo database cho module Handover của MPM</t>
  </si>
  <si>
    <t>2026-01-06T14:22:53.939+0700</t>
  </si>
  <si>
    <t>2026-01-14T11:19:24.173+0700</t>
  </si>
  <si>
    <t>Nhờ BDA tạo giúp database cho module handover của MPM. (DB này a Tưởng đã tạo trước rồi, e tạo ticket cho official)</t>
  </si>
  <si>
    <t>2026-01-06T14:21:46.922+0700</t>
  </si>
  <si>
    <t>2026-01-09T09:18:28.402+0700</t>
  </si>
  <si>
    <t>Nhờ team chạy các lệnh UPDATE trên MySQL Production như sau ạ: URL:  mysql://omre-onehs-mysql-main.int.onemount.com:3306/onehs_dictionary Query: UPDATE `INVENTORY_PROPERTIES` set status = "REVOKED", available_for_sale_status = "NOT_AVAILABLE", last_modified_date = "2026-01-06 12:00:00", last_modified_by = "master_data_admin" WHERE id = "cb3f6354-6010-4807-9691-4ca437cb21ac";
INSERT INTO `eav_attribute_json_values` 
(eav_attribute_id, entity_id, entity_id_v2, data_type, name, value, created_by, created_date, last_modified_by, last_modified_date) VALUES ((SELECT eav_attribute_id FROM `eav_attributes` WHERE field_name = "updating_status_reason"), 0, "cb3f6354-6010-4807-9691-4ca437cb21ac", "PICKLIST_MULTI_SELECT", "updating_status_reason", '[ { "id": null, "gid": null, "code": "OTHER", "name": "Không thay thế được hàng: https://chat.google.com/room/AAAAzE1b5zI/KOGaJMfKcaQ/KOGaJMfKcaQ?cls=10", "uuid": null, "dname": null, "gcode": null, "gname": null, "order": null, "sector_id": null } ]', "master_data_admin", "2026-01-06 12:00:00", "master_data_admin", "2026-01-06 12:00:00");</t>
  </si>
  <si>
    <t>[OMC][GAMI][PS2][Prod] Hỗ trợ xuất data để phục vụ migration DB</t>
  </si>
  <si>
    <t>2026-01-06T10:35:06.798+0700</t>
  </si>
  <si>
    <t>2026-01-06T15:04:35.635+0700</t>
  </si>
  <si>
    <t>Hỗ trợ xuất data để phục vụ migration DB Host:  172.31.4.75 DB: promo_rule_engine Query: SELECT * FROM `rule_templates`;
SELECT * FROM `categories`;
SELECT * FROM `master_data`;
SELECT * FROM `rule_template_job`;
SELECT * FROM `topic_mapping`;</t>
  </si>
  <si>
    <t>[Airflow][Nonprod] Tạo Database cho MAG Airflow Nonprod</t>
  </si>
  <si>
    <t>2026-01-05T17:36:03.095+0700</t>
  </si>
  <si>
    <t>2026-01-05T17:41:41.084+0700</t>
  </si>
  <si>
    <t>Dear team DBA, Nhờ các anh hỗ trợ tạo giúp em database cho Airflow MAG Tên Database:  airflow_analytics_mag_233 Host:   main-mysql-8-2   Môi trường: Nonprod user:  airflow_mag   Ticket dựng Airflow cho MAG:  https://vinid-team.atlassian.net/browse/DWHV2-12408</t>
  </si>
  <si>
    <t>[OMC][DP][topic]V/v tạo topic bảng mới</t>
  </si>
  <si>
    <t>2026-01-05T17:23:57.584+0700</t>
  </si>
  <si>
    <t>2026-01-05T17:24:13.701+0700</t>
  </si>
  <si>
    <t>Dear Linh, Em tạo giúp anh topic cho bảng sau với nhé: vincart_mm_product .variant_price_histories Host:  172.31.1.41</t>
  </si>
  <si>
    <t>[Merchant-OM] Hỗ trợ cập nhật dữ liệu 20260105</t>
  </si>
  <si>
    <t>2026-01-05T16:06:28.505+0700</t>
  </si>
  <si>
    <t>2026-01-06T09:12:24.618+0700</t>
  </si>
  <si>
    <t>Dear team, Nhờ team chạy giúp câu lệnh bên dưới ạ. Thông tin database https://console.cloud.google.com/sql/instances/main/overview?inv=1&amp;invt=Abqw_w&amp;project=vinid-merchant-prod DB_MYSQL_HOST=172.31.1.44
DB_MYSQL_DATABASE=merchant_service Câu lệnh INSERT INTO merchant_role (created_at, updated_at, deleted_at, name, active, merchant_id) VALUES
	(now(), now(), NULL, 'Admin', 1, 368573),
	(now(), now(), NULL, 'Store', 1, 368573),
	(now(), now(), NULL, 'Staff', 1, 368573);</t>
  </si>
  <si>
    <t>[OM][Non-Prod] Upgrade version cloudsql database postgresql từ version 13 &gt; version 15 project vinid-app-common-dev</t>
  </si>
  <si>
    <t>2026-01-05T15:25:17.207+0700</t>
  </si>
  <si>
    <t>2026-01-10T11:43:37.420+0700</t>
  </si>
  <si>
    <t>migrate data từ cloud về vm  project: vinid-app-common-dev instance: 172.31.1.33  sonarqube</t>
  </si>
  <si>
    <t>[OM][Prod] Upgrade version cloudsql database postgresql từ version 13 &gt; version 15 project saomoc-prod</t>
  </si>
  <si>
    <t>2026-01-05T15:24:47.149+0700</t>
  </si>
  <si>
    <t>2026-02-13T14:10:01.898+0700</t>
  </si>
  <si>
    <t xml:space="preserve">Upgrade version cloudsql database postgresql từ version 13 lên  version 15.x.x Project:  saomoc-prod instance:  sao-moc plan:    version: 13 lên 15 Thời gian downtime dự kiến: 30 phút Thời gian thực hiện: </t>
  </si>
  <si>
    <t>[OM][Prod][OM] Upgrade version cloudsql database mysql từ version 8.0.34 &gt; version 8.4.x project onemg-dp-prod</t>
  </si>
  <si>
    <t>2026-01-05T15:10:07.879+0700</t>
  </si>
  <si>
    <t>2026-02-05T18:29:26.864+0700</t>
  </si>
  <si>
    <t xml:space="preserve">Upgrade version cloudsql database mysql từ version 8.0.34 &gt; version 8.4.x Project:  onemg-dp-prod instance:  main plan:    version: 8.0.34 lên 8.4.x Thời gian downtime dự kiến: 30 phút Thời gian thực hiện:  instance:  mlops plan:    version: 8.0.34 lên 8.4.x Thời gian downtime dự kiến: 30 phút Thời gian thực hiện: </t>
  </si>
  <si>
    <t>2026-01-05T14:44:12.800+0700</t>
  </si>
  <si>
    <t>2026-01-05T16:03:08.421+0700</t>
  </si>
  <si>
    <t>Dear team DBA, Nhờ các anh hỗ trợ update file SQL đính kèm cho môi trường Production của BRAVO DB: B10_Mobifone_MDP Trân trọng,</t>
  </si>
  <si>
    <t>[OM][Prod][OM] Upgrade version cloudsql database mysql từ version 8.0.34 &gt; version 8.4.x project vinid-b2b-platform-prod</t>
  </si>
  <si>
    <t>2026-01-05T14:42:37.468+0700</t>
  </si>
  <si>
    <t>2026-02-05T18:29:52.502+0700</t>
  </si>
  <si>
    <t xml:space="preserve">Upgrade version cloudsql database mysql từ version 8.0.34 &gt; version 8.4.x Project:  vinid-b2b-platform-prod instance:  common-main plan:    version: 8.0.34 lên 8.4.x Thời gian downtime dự kiến: 30 phút Thời gian thực hiện:  instance:  b2b-commerce-camunda-1 plan:    version: 8.0.34 lên 8.4.x Thời gian downtime dự kiến: 30 phút Thời gian thực hiện:  instance:  control-tower plan:    version: 8.0.34 lên 8.4.x Thời gian downtime dự kiến: 30 phút Thời gian thực hiện:  instance:  omd-cdp plan:    version: 8.0.34 lên 8.4.x Thời gian downtime dự kiến: 30 phút Thời gian thực hiện: </t>
  </si>
  <si>
    <t>[OM][Prod][OM] Upgrade version cloudsql database mysql từ version 8.0.34 &gt; version 8.4.x project omd-pos-prod</t>
  </si>
  <si>
    <t>2026-01-05T14:42:06.799+0700</t>
  </si>
  <si>
    <t>2026-02-05T18:32:31.010+0700</t>
  </si>
  <si>
    <t xml:space="preserve">Upgrade version cloudsql database mysql từ version 8.0.34 &gt; version 8.4.x Project:  omd-pos-prod instance:  main plan:    version: 8.0.34 lên 8.4.x Thời gian downtime dự kiến: 30 phút Thời gian thực hiện:  instance:  pos-commerce-camunda plan:    version: 8.0.34 lên 8.4.x Thời gian downtime dự kiến: 30 phút Thời gian thực hiện: </t>
  </si>
  <si>
    <t>[OM][Prod][OM] Upgrade version cloudsql database mysql từ version 8.0.34 &gt; version 8.4.x project oneretails-prod</t>
  </si>
  <si>
    <t>2026-01-05T14:41:30.392+0700</t>
  </si>
  <si>
    <t>2026-02-13T14:09:30.912+0700</t>
  </si>
  <si>
    <t xml:space="preserve">Upgrade version cloudsql database mysql từ version 8.0.34 &gt; version 8.4.x Project:  oneretails-prod instance:  main plan:    version: 8.0.34 lên 8.4.x Thời gian downtime dự kiến: 30 phút Thời gian thực hiện: </t>
  </si>
  <si>
    <t>[OM][Prod][OM] Upgrade version cloudsql database mysql từ version 8.0.34 &gt; version 8.4.x project onemg-sap-prod</t>
  </si>
  <si>
    <t>2026-01-05T14:41:06.601+0700</t>
  </si>
  <si>
    <t>2026-02-13T14:09:29.205+0700</t>
  </si>
  <si>
    <t xml:space="preserve">Upgrade version cloudsql database mysql từ version 8.0.34 &gt; version 8.4.x Project:  onemg-sap-prod instance:  main-mysql-8 plan:    version: 8.0.34 lên 8.4.x Thời gian downtime dự kiến: 30 phút Thời gian thực hiện: </t>
  </si>
  <si>
    <t>[OM][Prod][OM] Upgrade version cloudsql database mysql từ version 8.0.34 &gt; version 8.4.x project onehs-prod</t>
  </si>
  <si>
    <t>2026-01-05T14:40:08.905+0700</t>
  </si>
  <si>
    <t>2026-02-13T14:09:27.150+0700</t>
  </si>
  <si>
    <t xml:space="preserve">Upgrade version cloudsql database mysql từ version 8.0.34 &gt; version 8.4.x Project:  onehs-prod instance:  migrate-camunda-from-main plan:    version: 8.0.34 lên 8.4.x Thời gian downtime dự kiến: 30 phút Thời gian thực hiện:  instance:  secrets plan:    version: 8.0.34 lên 8.4.x Thời gian downtime dự kiến: 30 phút Thời gian thực hiện: </t>
  </si>
  <si>
    <t>[OM][Prod][OM] Upgrade version cloudsql database mysql từ version 8.0.34 &gt; version 8.4.x project vinticket-prod</t>
  </si>
  <si>
    <t>2026-01-05T14:39:39.050+0700</t>
  </si>
  <si>
    <t>2026-02-05T14:30:58.982+0700</t>
  </si>
  <si>
    <t xml:space="preserve">Upgrade version cloudsql database mysql từ version 8.0.34 &gt; version 8.4.x Project:  vinticket-prod instance:  main-2 plan:     version: 8.0.34 lên 8.4.x Thời gian downtime dự kiến: 30 phút Thời gian thực hiện: </t>
  </si>
  <si>
    <t>[OM][Prod][OM] Upgrade version cloudsql database mysql từ version 8.0.34 &gt; version 8.4.x project vinid-utility-prod</t>
  </si>
  <si>
    <t>2026-01-05T14:39:28.421+0700</t>
  </si>
  <si>
    <t>2026-02-05T14:30:56.805+0700</t>
  </si>
  <si>
    <t xml:space="preserve">Upgrade version cloudsql database mysql từ version 8.0.34 &gt; version 8.4.x Project:  vinid-utility-prod instance:  main plan:     version: 8.0.34 lên 8.4.x Thời gian downtime dự kiến: 30 phút Thời gian thực hiện: </t>
  </si>
  <si>
    <t>[OM][Prod][OM] Upgrade version cloudsql database mysql từ version 8.0.34 &gt; version 8.4.x project vinid-society-prod</t>
  </si>
  <si>
    <t>2026-01-05T14:39:16.042+0700</t>
  </si>
  <si>
    <t>2026-02-05T14:30:53.723+0700</t>
  </si>
  <si>
    <t xml:space="preserve">Upgrade version cloudsql database mysql từ version 8.0.34 &gt; version 8.4.x Project:  vinid-society-prod instance:  main plan:     version: 8.0.34 lên 8.4.x Thời gian downtime dự kiến: 30 phút Thời gian thực hiện: </t>
  </si>
  <si>
    <t>[OM][Prod][OM] Upgrade version cloudsql database mysql từ version 8.0.34 &gt; version 8.4.x project vinid-service-platform-prod</t>
  </si>
  <si>
    <t>2026-01-05T14:39:03.286+0700</t>
  </si>
  <si>
    <t>2026-02-05T14:30:52.009+0700</t>
  </si>
  <si>
    <t xml:space="preserve">Upgrade version cloudsql database mysql từ version 8.0.34 &gt; version 8.4.x Project:  vinid-service-platform-prod instance:  common plan:     version: 8.0.34 lên 8.4.x Thời gian downtime dự kiến: 30 phút Thời gian thực hiện:  instance:  dcp-high-2 plan:     version: 8.0.34 lên 8.4.x Thời gian downtime dự kiến: 30 phút Thời gian thực hiện:  instance:  heavy plan:     version: 8.0.34 lên 8.4.x Thời gian downtime dự kiến: 30 phút Thời gian thực hiện:  instance:  omc-hydra plan:     version: 8.0.34 lên 8.4.x Thời gian downtime dự kiến: 30 phút Thời gian thực hiện: </t>
  </si>
  <si>
    <t>[OM][Prod][OM] Upgrade version cloudsql database mysql từ version 8.0.34 &gt; version 8.4.x project vinid-promotion-engine-prod</t>
  </si>
  <si>
    <t>2026-01-05T14:38:30.932+0700</t>
  </si>
  <si>
    <t>2026-02-05T14:30:49.258+0700</t>
  </si>
  <si>
    <t xml:space="preserve">Upgrade version cloudsql database mysql từ version 8.0.34 &gt; version 8.4.x Project: vinid-promotion-engine-prod instance:  main plan:     version: 8.0.34 lên 8.4.x Thời gian downtime dự kiến: 30 phút Thời gian thực hiện: </t>
  </si>
  <si>
    <t>[OM][Prod][OM] Upgrade version cloudsql database mysql từ version 8.0.34 &gt; version 8.4.x project vinid-loyalty-prod</t>
  </si>
  <si>
    <t>2026-01-05T14:38:09.171+0700</t>
  </si>
  <si>
    <t>2026-02-13T14:09:19.366+0700</t>
  </si>
  <si>
    <t>Upgrade version cloudsql database mysql từ version 8.0.34 &gt; version 8.4.x Project:  vinid-loyalty-prod instance:  discount instance:  loyalty-main instance:  main instance:  onevoucher instance:  promotion instance:  voucher-distribution Plan:    Thời gian downtime dự kiến: 1h Thời gian thực hiện:</t>
  </si>
  <si>
    <t>[OM][Prod][OM] Upgrade version cloudsql database mysql từ version 8.0.34 &gt; version 8.4.x project vincart-prod</t>
  </si>
  <si>
    <t>2026-01-05T14:37:56.215+0700</t>
  </si>
  <si>
    <t>2026-02-13T14:09:15.615+0700</t>
  </si>
  <si>
    <t xml:space="preserve">Upgrade version cloudsql database mysql từ version 8.0.34 &gt; version 8.4.x Project:  vincart-prod instance:  ecom-high-mysql instance:  ecom-medium-mysql instance:  main Plan:    Thời gian downtime dự kiến: 1 giờ Thời gian thực hiện: </t>
  </si>
  <si>
    <t>[OM][Prod][OM] Upgrade version cloudsql database mysql từ version 8.0.34 &gt; version 8.4.x project vinpay-prod</t>
  </si>
  <si>
    <t>2026-01-05T14:33:38.532+0700</t>
  </si>
  <si>
    <t>2026-02-12T10:26:33.610+0700</t>
  </si>
  <si>
    <t>Upgrade version cloudsql database mysql từ version 8.0.34 &gt; version 8.4.x Project:  vinid-crm-salesforce-prod instance:  main plan:    version: 8.0.34 lên 8.4.x Thời gian downtime dự kiến: 120 phút Thời gian thực hiện: 2026-02-05 01:00 AM instance:  vinpay-saas plan:    version: 8.0.34 lên 8.4.x Thời gian downtime dự kiến: 120 phút Thời gian thực hiện: 2026-02-05 01:00 AM instance:  vinpay-tidb-replica plan:    version: 8.0.34 lên 8.4.x Thời gian downtime dự kiến: 120 phút Thời gian thực hiện: 2026-02-05 01:00 AM</t>
  </si>
  <si>
    <t>[OM][Prod][OM] Upgrade version cloudsql database mysql từ version 8.0.34 &gt; version 8.4.5 project vinid-incubator-prod</t>
  </si>
  <si>
    <t>2026-01-05T14:33:21.006+0700</t>
  </si>
  <si>
    <t>2026-02-12T10:26:40.922+0700</t>
  </si>
  <si>
    <t xml:space="preserve">Upgrade version cloudsql database mysql từ version 8.0.34 &gt; version 8.4.x Project:  vinid-incubator-prod instance:  main plan:    version: 8.0.34 lên 8.4.x Thời gian downtime dự kiến: 120 phút Thời gian thực hiện: 2026-02-2 22:00  instance:  reconciliation plan:    version: 8.0.34 lên 8.4.x Thời gian downtime dự kiến: 120 phút Thời gian thực hiện: 2026-02-2 22:00  instance:  website-2 plan:    version: 8.0.34 lên 8.4.x Thời gian downtime dự kiến: 120 phút Thời gian thực hiện: 2026-02-2 22:00 </t>
  </si>
  <si>
    <t>[OM][Prod][OM] Upgrade version cloudsql database mysql từ version 8.0.34 &gt; version 8.4.5 project vinid-gamification-prod</t>
  </si>
  <si>
    <t>2026-01-05T14:33:03.282+0700</t>
  </si>
  <si>
    <t>2026-02-12T10:26:47.307+0700</t>
  </si>
  <si>
    <t xml:space="preserve">Upgrade version cloudsql database mysql từ version 8.0.34 &gt; version 8.4.x Project:  vinid-gamification-prod instance:  main plan:    version: 8.0.34 lên 8.4.x Thời gian downtime dự kiến: 120 phút Thời gian thực hiện: 2026-02-2 22:00 </t>
  </si>
  <si>
    <t>[OM][Prod][OM] Upgrade version cloudsql database mysql từ version 8.0.34 &gt; version 8.4.x project vinid-crm-salesforce-prod</t>
  </si>
  <si>
    <t>2026-01-05T14:32:41.653+0700</t>
  </si>
  <si>
    <t>2026-02-12T10:27:02.058+0700</t>
  </si>
  <si>
    <t xml:space="preserve">Upgrade version cloudsql database mysql từ version 8.0.34 &gt; version 8.4.x Project:  vinid-crm-salesforce-prod instance:  main plan:    version: 8.0.34 lên 8.4.x Thời gian downtime dự kiến: 120 phút Thời gian thực hiện: 2026-02-2 22:00  instance:  notification-hubs plan:    version: 8.0.34 lên 8.4.x Thời gian downtime dự kiến: 120 phút Thời gian thực hiện: 2026-02-2 22:00 </t>
  </si>
  <si>
    <t>[OM][Prod][OM] Upgrade version cloudsql database mysql từ version 8.0.34 &gt; version 8.4.x project vinid-app-common-prod</t>
  </si>
  <si>
    <t>2026-01-05T14:32:18.340+0700</t>
  </si>
  <si>
    <t>2026-02-12T21:59:47.530+0700</t>
  </si>
  <si>
    <t xml:space="preserve">Upgrade version cloudsql database mysql từ version 8.0.34 &gt; version 8.4.x Project:  vinid-app-common-prod instance:  common-main plan:    version: 8.0.34 lên 8.4.x Thời gian downtime dự kiến: 30 phút Thời gian thực hiện: </t>
  </si>
  <si>
    <t>[OM][Prod][OM] Upgrade version cloudsql database mysql từ version 8.0.34 &gt; version 8.4.x project onemg-general-prod</t>
  </si>
  <si>
    <t>2026-01-05T14:31:58.797+0700</t>
  </si>
  <si>
    <t>2026-02-12T10:27:07.277+0700</t>
  </si>
  <si>
    <t>Upgrade version cloudsql database mysql từ version 8.0.34 &gt; version 8.4.5 Project:  onemg-general-prod instance:  auth-om plan:    version: 8.0.26 lên 8.4.x Thời gian downtime dự kiến: 120 phút Thời gian thực hiện: 2026-02-05 01:00 AM</t>
  </si>
  <si>
    <t>[OM][Prod][OM] Upgrade version cloudsql database mysql từ version 8.0.34 &gt; version 8.4.x project onemg-finance-platform-prod</t>
  </si>
  <si>
    <t>2026-01-05T14:28:40.784+0700</t>
  </si>
  <si>
    <t>2026-02-12T10:27:14.825+0700</t>
  </si>
  <si>
    <t>Upgrade version cloudsql database mysql từ version 8.0.34 &gt; version 8.4.x Project:  onemg-finance-platform-prod instance:  main plan:    version: 8.0.34 lên 8.4.x Thời gian downtime dự kiến: 120 phút Thời gian thực hiện: 2026-02-05 01:00 AM</t>
  </si>
  <si>
    <t>[OM][Prod][OM] Upgrade version cloudsql database mysql từ version 8.0.34 &gt; version 8.4.x project omc-base-platform-prod</t>
  </si>
  <si>
    <t>2026-01-05T14:28:22.916+0700</t>
  </si>
  <si>
    <t>2026-02-12T10:27:34.371+0700</t>
  </si>
  <si>
    <t>Upgrade version cloudsql database mysql từ version 8.0.34 &gt; version 8.4.x Project:  omc-base-platform-prod instance:  main plan:    version: 8.0.34 lên 8.4.x Thời gian downtime dự kiến: 120 phút Thời gian thực hiện: 2026-02-05 01:00 AM</t>
  </si>
  <si>
    <t>[OM][Prod] Upgrade version cloudsql database mysql từ version 8.0.34 &gt; version 8.4.x 2026 exclude instance cdc to ods</t>
  </si>
  <si>
    <t>2026-01-05T14:24:34.280+0700</t>
  </si>
  <si>
    <t>2026-02-13T14:09:39.737+0700</t>
  </si>
  <si>
    <t xml:space="preserve">V/v Google Cloud SQL for PostgreSQL version 13 will transition extended support followed by Cloud SQL for MySQL version 8.0 on July 1, 2026.  Đồng thời GCP cũng charge thêm tiền, team Cloud tạm tính thử OM sẽ  tăng thêm 22k$/tháng  nếu không upgrade. Team DBA sẽ thực hiện upgrade version cho MySQL 8.0 lên MySQL 8.4 Plan của Team DBA: -July 1, 2026: Extended support will begin for Cloud SQL for MySQL version 8.0 --&gt;  Chuyển đổi xong trước tháng 3/2026 list instance cần upgrade:  </t>
  </si>
  <si>
    <t>[SAP][PROD][ChamCong] tạo user cho time_keepng database</t>
  </si>
  <si>
    <t>2026-01-05T14:15:36.204+0700</t>
  </si>
  <si>
    <t>2026-01-05T14:44:25.629+0700</t>
  </si>
  <si>
    <t>Hi a Linh, A tạo giúp e user:  sap_time_keeping  cho SAP có quyền Read  IP:  10.255.15.32 Database name:  time_keeping Tạo bảng  attendance_centralized</t>
  </si>
  <si>
    <t>[UPAY][OSC] [PROD] Xin hỗ trợ tạo dữ liệu master data cho database osc</t>
  </si>
  <si>
    <t>2026-01-05T12:07:12.899+0700</t>
  </si>
  <si>
    <t>2026-01-05T12:07:19.014+0700</t>
  </si>
  <si>
    <t>Hi các anh DBA, Hiện tại team em cần update dữ liệu master data, nhờ các anh chạy giúp em câu lệnh sau với ạ. INSERT INTO OSC_MERCHANT
(merchant_id, request_ttl, active, created_at, updated_at)
VALUES('VINMART', 300, 1, '2025-05-01 11:00:00.000', '2025-05-01 11:00:00.000'); Thông tin DB : Tên schema:  osc IP:  pay-tidb.int.onemount.com:4000 Thanks các anh,</t>
  </si>
  <si>
    <t>Cấp thêm tài khoản User vào Remote IP 10.20.16.188</t>
  </si>
  <si>
    <t>2026-01-05T11:36:36.796+0700</t>
  </si>
  <si>
    <t>2026-01-05T11:36:43.221+0700</t>
  </si>
  <si>
    <t>Dạ, để phục vụ cho việc kéo báo cáo trên IP 10.20.16.188, đội BA cần thêm 2 user remote ạ, anh xác nhận vào hỗ trợ đội BA thêm 2 user remote. Dạ  @Đoàn Việt Hưng  anh hỗ trợ support giúp em 2 user remote và mail nhận 2 user remote: “linh.le10@onemout.com”. Em cảm ơn 2 anh ạ.</t>
  </si>
  <si>
    <t>[PROD] [VCM-Product] Chạy script update voucher_accepted_store 05/01</t>
  </si>
  <si>
    <t>2026-01-05T11:02:27.644+0700</t>
  </si>
  <si>
    <t>2026-01-05T11:02:31.757+0700</t>
  </si>
  <si>
    <t>Hi anh Dũng, Anh chạy giúp em thông tin dưới đây: IP: 172.31.1.41 Bảng: vincart_mm_product.entity_attributes_values Script: #1. Select lấy thông tin id:
 select id, type, name, value, channel_code from vincart_mm_product.entity_attributes_values 
 where entity_id in (select id from vincart_mm_product.variants 
         where code in ('VD_VC_1764673103997',
 'VD_VC_1764673872979',
 'VD_VC_1765453715658',
 'VD_VC_1765453714579',
 'VD_VC_1765453713317',
 'VD_VC_1765453711688',
 'VD_VC_1765453709573',
 'VD_VC_1765272943127',
 'VD_VC_1765272941370',
 'CV_WINMART500K250224_250224',
 'VD_VC_1764673875481',
 'VD_VC_1764673870143',
 'VD_VC_1764674335932',
 'VD_VC_1764674338485',
 'VD_VC_1764673874290',
 'VD_VC_1764673876506',
 'VD_VC_1764674337193',
 'VD_VC_1764673871768',
 'VD_VC_1761630108004',
 'VD_VC_1766483997789',
 'VD_VC_1766484004306',
 'VD_VC_1766483991147'))
  and type='VARIANT' and name = 'voucher_accepted_stores';  
#2 Backup dữ liệu từ câu select trên
#3 Xóa dữ liệu với id lấy từ câu select ở #1
delete from vincart_mm_product.entity_attributes_values where id = {id} lấy ở lệnh trên</t>
  </si>
  <si>
    <t>[DBA - SAP - MAG] hỗ trợ SAP MAG</t>
  </si>
  <si>
    <t>2026-01-03T11:03:11.406+0700</t>
  </si>
  <si>
    <t>2026-05-13T17:32:01.297+0700</t>
  </si>
  <si>
    <t>[DBA] hỗ trợ SAP MAG</t>
  </si>
  <si>
    <t>[DBA-SAP-OM] Hỗ trợ SAP OM</t>
  </si>
  <si>
    <t>2026-01-03T11:00:05.721+0700</t>
  </si>
  <si>
    <t>2026-01-22T12:18:01.142+0700</t>
  </si>
  <si>
    <t>[DBA-MAG-DBX] Hỗ trợ clone hệ thống P6 qua DBX LZ NP</t>
  </si>
  <si>
    <t>2026-01-03T10:04:14.958+0700</t>
  </si>
  <si>
    <t>2026-01-03T10:04:19.897+0700</t>
  </si>
  <si>
    <t xml:space="preserve">hỗ trợ clone hệ thống P6 Non PROD qua LZ DBX </t>
  </si>
  <si>
    <t>[VCM] Update rate limit cho user  ngày 02/01/2026</t>
  </si>
  <si>
    <t>2026-01-02T14:36:59.339+0700</t>
  </si>
  <si>
    <t>2026-01-02T14:37:14.436+0700</t>
  </si>
  <si>
    <t>Hi anh Dũng, Nhờ anh chạy script update danh sách các key với thông  tin dưới đây: IP:  vincart-prod--onevoucher.memstore.int (172.31.0.196) DB: 3 SET vincart:ratelimit:items:total:331872:ONEU:VD_VC_1767091342586:VOUCHER:USER:6564538 61
SET vincart:ratelimit:items:total:331872:ONEU:VD_VC_1767091342586:VOUCHER:USER:10477296 1
SET vincart:ratelimit:items:total:331872:ONEU:VD_VC_1767091342586:VOUCHER:USER:10609338 1
SET vincart:ratelimit:items:total:331872:ONEU:VD_VC_1767091342586:VOUCHER:USER:12060799 1
SET vincart:ratelimit:items:total:331872:ONEU:VD_VC_1767091342586:VOUCHER:USER:12175287 21
SET vincart:ratelimit:items:total:331872:ONEU:VD_VC_1767091342586:VOUCHER:USER:1504851 1
SET vincart:ratelimit:items:total:331872:ONEU:VD_VC_1767091342586:VOUCHER:USER:1544409 1
SET vincart:ratelimit:items:total:331872:ONEU:VD_VC_1767091342586:VOUCHER:USER:1571529 1
SET vincart:ratelimit:items:total:331872:ONEU:VD_VC_1767091342586:VOUCHER:USER:20423321 1
SET vincart:ratelimit:items:total:331872:ONEU:VD_VC_1767091342586:VOUCHER:USER:20479183 1
SET vincart:ratelimit:items:total:331872:ONEU:VD_VC_1767091342586:VOUCHER:USER:20551907 20
SET vincart:ratelimit:items:total:331872:ONEU:VD_VC_1767091342586:VOUCHER:USER:20563397 3
SET vincart:ratelimit:items:total:331872:ONEU:VD_VC_1767091342586:VOUCHER:USER:20577116 1
SET vincart:ratelimit:items:total:331872:ONEU:VD_VC_1767091342586:VOUCHER:USER:20601484 1
SET vincart:ratelimit:items:total:331872:ONEU:VD_VC_1767091342586:VOUCHER:USER:20670093 10
SET vincart:ratelimit:items:total:331872:ONEU:VD_VC_1767091342586:VOUCHER:USER:20689777 7
SET vincart:ratelimit:items:total:331872:ONEU:VD_VC_1767091342586:VOUCHER:USER:20715818 1
SET vincart:ratelimit:items:total:331872:ONEU:VD_VC_1767091342586:VOUCHER:USER:26028 1
SET vincart:ratelimit:items:total:331872:ONEU:VD_VC_1767091342586:VOUCHER:USER:2618802 1
SET vincart:ratelimit:items:total:331872:ONEU:VD_VC_1767091342586:VOUCHER:USER:2719317 50
SET vincart:ratelimit:items:total:331872:ONEU:VD_VC_1767091342586:VOUCHER:USER:3521916 1
SET vincart:ratelimit:items:total:331872:ONEU:VD_VC_1767091342586:VOUCHER:USER:3538184 1
SET vincart:ratelimit:items:total:331872:ONEU:VD_VC_1767091342586:VOUCHER:USER:3668229 1
SET vincart:ratelimit:items:total:331872:ONEU:VD_VC_1767091342586:VOUCHER:USER:5794502 1
SET vincart:ratelimit:items:total:331872:ONEU:VD_VC_1767091342586:VOUCHER:USER:634521 1
SET vincart:ratelimit:items:total:331872:ONEU:VD_VC_1767091342586:VOUCHER:USER:7638260 1
SET vincart:ratelimit:items:total:331872:ONEU:VD_VC_1767091342586:VOUCHER:USER:8049140 1
SET vincart:ratelimit:items:total:331872:ONEU:VD_VC_1767091342586:VOUCHER:USER:8133387 7
SET vincart:ratelimit:items:total:331872:ONEU:VD_VC_1767091342586:VOUCHER:USER:8544409 1
SET vincart:ratelimit:items:total:331872:ONEU:VD_VC_1767091342586:VOUCHER:USER:9440035 3
SET vincart:ratelimit:items:total:331872:ONEU:VD_VC_1767091342586:VOUCHER:USER:9713947 1
SET vincart:ratelimit:items:total:331872:ONEU:VD_VC_1767091342586:VOUCHER:USER:9989400 1</t>
  </si>
  <si>
    <t>[HRMS][MDPC] Tạo table và user lưu trữ liệu công cho MDPC</t>
  </si>
  <si>
    <t>2026-01-02T12:41:26.640+0700</t>
  </si>
  <si>
    <t>2026-01-02T12:48:34.516+0700</t>
  </si>
  <si>
    <t>Hi a Linh, a tạo giúp e các Bảng để lưu dữ liệu công cho MDPC ở Production: IP:  172.31.1.222(MySQL) database name:  idstaff Tạo bảng  attendance_logs  và  attendance_daily -- idstaff_uat.attendance_logs definition
CREATE TABLE `attendance_logs` (
  `ID` varchar(50) NOT NULL,
  `PEREM` varchar(50) NOT NULL,
  `PERNR` varchar(10) NOT NULL,
  `ERDATE` varchar(8) NOT NULL,
  `ERTIME` varchar(6) NOT NULL,
  `SATZA` varchar(3) NOT NULL,
  `ULDATE` varchar(8) NOT NULL,
  `ULTIME` varchar(6) NOT NULL,
  `TERID` varchar(50) NOT NULL,
  `IP` varchar(45) NOT NULL,
  `CREATED_DATE` datetime DEFAULT CURRENT_TIMESTAMP,
  `TENANT_ID` varchar(10) DEFAULT '2619',
  PRIMARY KEY (`ID`),
  KEY `ERDATE` (`ERDATE`),
  KEY `PERNR` (`PERNR`),
  KEY `CREATED_DATE` (`CREATED_DATE`),
  KEY `PERNR_ERDATE` (`PERNR`,`ERDATE`),
  KEY `idx_attendance_tenant_date_pernr_id` (`TENANT_ID`,`ERDATE`,`PERNR`,`ID`)
) ENGINE=InnoDB DEFAULT CHARSET=utf8mb3;
-- idstaff_uat.attendance_daily definition
CREATE TABLE `attendance_daily` (
  `id` bigint NOT NULL AUTO_INCREMENT,
  `check_date` varchar(8) CHARACTER SET utf8mb4 COLLATE utf8mb4_unicode_ci NOT NULL,
  `employee_code` varchar(255) CHARACTER SET utf8mb4 COLLATE utf8mb4_unicode_ci NOT NULL,
  `check_in_time` varchar(6) CHARACTER SET utf8mb4 COLLATE utf8mb4_unicode_ci DEFAULT NULL,
  `check_out_time` varchar(6) CHARACTER SET utf8mb4 COLLATE utf8mb4_unicode_ci DEFAULT NULL,
  `status` int DEFAULT NULL,
  `date_type` int DEFAULT NULL,
  `tenant_id` varchar(10) CHARACTER SET utf8mb4 COLLATE utf8mb4_unicode_ci NOT NULL,
  `created_date` datetime DEFAULT NULL,
  `updated_date` datetime DEFAULT NULL,
  PRIMARY KEY (`id`),
  KEY `check_date` (`check_date`),
  KEY `employee_code` (`employee_code`)
) ENGINE=InnoDB AUTO_INCREMENT=293 DEFAULT CHARSET=utf8mb3; IP:  10.255.15.32 Database name:  time_keeping User:  time_keeping  có quyền read và write Tạo bảng  attendance_centralized CREATE TABLE time_keeping.dbo.attendance_centralized (
	PDSNR int IDENTITY(1,1) NOT NULL,
	PERNR nvarchar(10) COLLATE SQL_Latin1_General_CP1_CI_AS NULL,
	ERDAT nvarchar(8) COLLATE SQL_Latin1_General_CP1_CI_AS NULL,
	ERTIM nvarchar(6) COLLATE SQL_Latin1_General_CP1_CI_AS NULL,
	SATZA nvarchar(3) COLLATE SQL_Latin1_General_CP1_CI_AS NULL,
	TERID nvarchar(50) COLLATE SQL_Latin1_General_CP1_CI_AS NULL,
	LDATE nvarchar(8) COLLATE SQL_Latin1_General_CP1_CI_AS NULL,
	LTIME nvarchar(6) COLLATE SQL_Latin1_General_CP1_CI_AS NULL,
	ULDATE nvarchar(8) COLLATE SQL_Latin1_General_CP1_CI_AS NULL,
	ULTIME nvarchar(6) COLLATE SQL_Latin1_General_CP1_CI_AS NULL,
	IP nvarchar(50) COLLATE SQL_Latin1_General_CP1_CI_AS NULL,
	TENANT_ID nvarchar(10) COLLATE SQL_Latin1_General_CP1_CI_AS NULL,
	CONSTRAINT PK__attendan__335588A9D919EBCC PRIMARY KEY (PDSNR)
);</t>
  </si>
  <si>
    <t>[Prod] Remove duplicate ratelimit config 02/01/2026</t>
  </si>
  <si>
    <t>2026-01-02T10:42:02.674+0700</t>
  </si>
  <si>
    <t>2026-01-02T10:42:06.839+0700</t>
  </si>
  <si>
    <t>Hi a Dũng, Nhờ anh chạy giúp em script dưới đây: Host:  172.31.1.41 Database:  vincart_rate_limit Script DELETE FROM variant_limit_config WHERE id=15141;</t>
  </si>
  <si>
    <t>[OM][MAG] Tiếp nhận thông tin MAG</t>
  </si>
  <si>
    <t>2026-01-02T09:25:26.584+0700</t>
  </si>
  <si>
    <t>2026-01-29T15:21:17.215+0700</t>
  </si>
  <si>
    <t>Tiếp nhận thông tin database MAG chi tiết:</t>
  </si>
  <si>
    <t>2026-01-02T09:23:57.688+0700</t>
  </si>
  <si>
    <t>2026-01-02T09:24:23.851+0700</t>
  </si>
  <si>
    <t>Dear các anh/em team DBA, Nhờ các anh update phần code update lên database của hệ thống ERP BRAVO theo file đính kèm Trân trọng,</t>
  </si>
  <si>
    <t>Urgent - Update DB hỗ trợ case đổi STK cho KH TCB</t>
  </si>
  <si>
    <t>2026-01-02T08:46:19.397+0700</t>
  </si>
  <si>
    <t>2026-01-02T08:46:35.682+0700</t>
  </si>
  <si>
    <t>Dear  team, nhờ  team cập thông tin trong DB với thông tin cụ thể như sau  Thông tin database saas_tpay:  pay-tidb.int.onemount.com:4000/saas_tpay Script:  UPDATE SMARTPOS_MERCHANT_CONTRACT SET STATUS = 'WAITING_ACTIVE' where id = '5086' and merchant_code = 'CIBGTRUTHHOME2026';</t>
  </si>
  <si>
    <t>[OMC][MFT][Flash Sale TCB] scale down 02/01/2026</t>
  </si>
  <si>
    <t>2026-01-02T01:12:30.906+0700</t>
  </si>
  <si>
    <t>2026-01-02T01:14:07.807+0700</t>
  </si>
  <si>
    <t>DBA, FlashSale</t>
  </si>
  <si>
    <t>  https://console.cloud.google.com/sql/instances/main/overview?project=vincart-prod 172.31.1.41 –  TO  @Nguyễn Tá Lợi :down: Từ: 32 CPUs 64 GB RAM  Xuống: 16 CPUs 32 GB RAM   https://console.cloud.google.com/sql/instances/ecom-medium-mysql/overview?project=vincart-prod  – TO  @Nguyễn Tá Lợi 172.31.4.9 Giữ nguyên v12CPU, 24GB RAM https://console.cloud.google.com/sql/instances/oneloyalty/overview?project=vinid-loyalty-prod 172.31.7.6 –  TO  @Nguyễn Ngọc Thạch   @Former user Giữ nguyên 8 CPUs    16 GB RAM https://console.cloud.google.com/sql/instances/onevoucher/overview?project=vinid-loyalty-prod 172.31.4.126  – TO  @Nguyễn Ngọc Thạch   @Former user Giữ nguyên  8 CPUs        24 GB RAM https://console.cloud.google.com/sql/instances/voucher-distribution/overview?project=vinid-loyalty-prod  – TO  @Nguyễn Ngọc Thạch   @Former user 172.31.4.82 Giữ nguyên  8 CPUs        16 GB RAM https://console.cloud.google.com/sql/instances/postgres-01/overview?authuser=0&amp;project=vinid-service-platform-prod  – TO  @Trần Minh Hoàng   @Nguyễn Đình Quang 172.31.7.11 Giữ nguyên 4 CPUs          8 GB RAM (dự án có yêu cầu khi hạ cấu hình thì vẫn giữ 4 CPUs để chạy hàng ngày)   giữ nguyên nên chắc skip https://console.cloud.google.com/sql/instances/omc-authentication/overview?project=omc-base-platform-prod 172.31.3.40 – TO  @Trần Minh Hoàng Giữ nguyên 4 CPUs          8 GB RAM  giữ nguyên nên chắc skip</t>
  </si>
  <si>
    <t>[Merchant-TCB] Hỗ trợ cập nhật dữ liệu 20251231 02</t>
  </si>
  <si>
    <t>2025-12-31T20:10:58.799+0700</t>
  </si>
  <si>
    <t>2025-12-31T20:11:03.506+0700</t>
  </si>
  <si>
    <t>Dear team, Nhờ team chạy giúp câu lệnh bên dưới ạ. Thông tin database https://console.cloud.google.com/sql/instances/merchant-tcb/overview?inv=1&amp;invt=AbsndA&amp;project=vinid-merchant-prod DB_MYSQL_HOST=172.31.4.108
DB_MYSQL_DATABASE=merchant_service_tcb Câu lệnh UPDATE
	tpay_merchant
SET
	business_license_number = 'testkey2505-1'
WHERE
	id = 12106;
-- ============
UPDATE
	tpay_request_merchant
SET
	business_license_number = 'testkey2505-1'
WHERE
	id IN(25092, 25093, 29261);
-- ============	
UPDATE
	tpay_request_merchant
SET
	business_license_number = 'testkey2505-1',
	tcb_customer_t24 = '35403593-1'
WHERE
	id IN(153318, 3587849, 3612453, 4242945);</t>
  </si>
  <si>
    <t>[PROD] [VCM-Product] Chạy script update voucher_accepted_store 31/12</t>
  </si>
  <si>
    <t>2025-12-31T15:58:32.113+0700</t>
  </si>
  <si>
    <t>2025-12-31T15:58:37.058+0700</t>
  </si>
  <si>
    <t>Hi anh Dũng, Anh chạy giúp em thông tin dưới đây: {{IP: 172.31.1.41 }} Bảng: vincart_mm_product.entity_attributes_values Script: #1. Select lấy thông tin id:
select id, type, name, value, channel from vincart_mm_product.entity_attributes_values 
where entity_id in (select id from vincart_mm_product.variants 
        where code in ('VD_VC_1764673103997',
'VD_VC_1764673872979',
'VD_VC_1765453715658',
'VD_VC_1765453714579',
'VD_VC_1765453713317',
'VD_VC_1765453711688',
'VD_VC_1765453709573',
'VD_VC_1765272943127',
'VD_VC_1765272941370',
'CV_WINMART500K250224_250224',
'VD_VC_1764673875481',
'VD_VC_1764673870143',
'VD_VC_1764674335932',
'VD_VC_1764674338485',
'VD_VC_1764673874290',
'VD_VC_1764673876506',
'VD_VC_1764674337193',
'VD_VC_1764673871768',
'VD_VC_1761630108004',
'VD_VC_1766483997789'))
 and type='VARIANT' and name = 'voucher_accepted_stores';
#2 Backup dữ liệu từ câu select trên
#3 Xóa dữ liệu với id lấy từ câu select ở #1
delete from vincart_mm_product.entity_attributes_values where id = {id} lấy ở lệnh trên</t>
  </si>
  <si>
    <t>[Production]Tạo topic cho hệ thống Suprema (cty MDPC) db MariaDB lên Kafka Confluent</t>
  </si>
  <si>
    <t>2025-12-31T14:58:15.405+0700</t>
  </si>
  <si>
    <t>2026-01-03T10:44:18.456+0700</t>
  </si>
  <si>
    <t>Dear team DBA, Nhờ team hỗ trợ cấu hình vào tạo topic cho hệ thống Suprema (MariaDB) bên MDPC. Thông tin db như sau: I. Bảng trên MariaDB: DB Name: biostar2_ac IP:  10.124.28.16 Các bảng: Bảng t_usr Bảng t_dev Bảng t_lgYYYYMM: kéo toàn bộ bảng với tên và định dạng t_lgYYYYMM vào chung một topic. Bảng t_evttyp Linh ơi, e lưu ý cấu hình bảng t_lgYYYYMM này nhé, bảng này cơ chế hiện tại là hàng tháng nó sẽ tự động tạo ra bảng mới trên hệ thống Suprema (MariaDB). Mình cần cấu hình để các bảng này nó sẽ tự động đẩy vào 1 topic duy nhất trên Kafka thôi nhé. Giống ticket a có ref trong này, e check lại cấu hình debezeium trước đây nhé.</t>
  </si>
  <si>
    <t>[SOFTPOS] Cập nhập thông tin CIF &amp; DKKD cho merchant</t>
  </si>
  <si>
    <t>2025-12-31T12:07:29.868+0700</t>
  </si>
  <si>
    <t>2025-12-31T12:07:44.719+0700</t>
  </si>
  <si>
    <t>Dear  team, nhờ  team cập thông tin trong DB với thông tin cụ thể như sau  Thông tin database saas_tpay:  pay-tidb.int.onemount.com:4000/saas_tpay Scripts: UPDATE UNIFIED_MERCHANT SET cif = '22220961-1' where id = '710445' and merchant_code = 'CIBGTRUTHHOME';</t>
  </si>
  <si>
    <t>[Merchant-TCB] Hỗ trợ cập nhật dữ liệu 20251231</t>
  </si>
  <si>
    <t>2025-12-31T12:06:02.214+0700</t>
  </si>
  <si>
    <t>2025-12-31T12:06:08.643+0700</t>
  </si>
  <si>
    <t>Dear team, Nhờ team chạy giúp câu lệnh bên dưới ạ. Thông tin database https://console.cloud.google.com/sql/instances/merchant-tcb/overview?inv=1&amp;invt=AbsndA&amp;project=vinid-merchant-prod DB_MYSQL_HOST=172.31.4.108
DB_MYSQL_DATABASE=merchant_service_tcb Câu lệnh UPDATE
	tpay_merchant
SET
	business_license_number = '0104298863-1'
WHERE
	id = 734593;
-- ============
UPDATE
	tpay_request_merchant
SET
	business_license_number = '0104298863-1'
WHERE
	id IN(3527978, 3527979);
-- ============	
UPDATE
	tpay_request_merchant
SET
	business_license_number = '0104298863-1',
	tcb_customer_t24 = '22220961-1'
WHERE
	id IN(3527992, 3527993, 3527994, 3529300, 3530453, 3579300, 3579847, 4039029, 4089493, 4233852);</t>
  </si>
  <si>
    <t>Hỗ trợ tạo dữ liệu mở kho MES_2D_030 - Phong Dương</t>
  </si>
  <si>
    <t>2025-12-31T12:01:00.406+0700</t>
  </si>
  <si>
    <t>2025-12-31T12:03:24.294+0700</t>
  </si>
  <si>
    <t>Hi DBA team, Hiện tại nghiệp vụ có nhu cầu mở mới kho MES_2D_030 - Phong Dương,  nhờ team DBA hỗ trợ cập nhật giá trị theo thông tin dưới đây.   Câu query đánh giá là có thể ảnh hưởng đến vận hành hệ thống nên mong muốn chạy vào thời gian vận hành thấp điểm (từ 22h-2h sáng). Cụm WMS Project : vinid-b2b-platform-prod Instance/IP : main (read-write): 172.31.4.59 Port : 3306 Database : omd_wms_core Script : file  omd_wms_core_mes030.sql  trong file đính kèm Cum WES Project : vinid-b2b-platform-prod Instance/IP : main (read-write): 172.31.1.143 Port : 3306 Database : wes_master Script : file  wes_master_mes030.sql  trong file đính kèm</t>
  </si>
  <si>
    <t xml:space="preserve">[OMC][Ticketing][Prod] Update table phục vụ golive </t>
  </si>
  <si>
    <t>2025-12-30T22:07:21.578+0700</t>
  </si>
  <si>
    <t>2025-12-30T22:07:43.943+0700</t>
  </si>
  <si>
    <t>Dear team, Nhờ team chạy giúp em ticket này để phục vụ golive ngày 30/12/2025 CR:  https://vinid-team.atlassian.net/servicedesk/customer/portal/15/SH-68159?created=true Thời gian chạy: 22h ngày 30/12/2025 Instance ID:  https://console.cloud.google.com/sql/instances/main-2/overview?authuser=0&amp;inv=1&amp;invt=Ab0Vzw&amp;project=vinticket-prod Database name: vinticket Query: ALTER TABLE events
	ADD COLUMN auto_distribute_seat BOOLEAN DEFAULT FALSE;
ALTER TABLE inventory
	ADD COLUMN ticket_status VARCHAR(255);
ALTER TABLE inventory
	ADD COLUMN purchase_status VARCHAR(255);
ALTER TABLE inventory
	ADD COLUMN stt BIGINT DEFAULT NULL;
ALTER TABLE inventory
	ADD COLUMN book_date VARCHAR(255);
ALTER TABLE inventory
	ADD COLUMN price VARCHAR(255);
ALTER TABLE inventory
	ADD COLUMN last_update_by VARCHAR(255);
ALTER TABLE inventory
	ADD COLUMN order_id BIGINT DEFAULT NULL;
ALTER TABLE inventory
	ADD COLUMN ticket_file TEXT DEFAULT NULL;
ALTER TABLE import_inventory_history
	ADD COLUMN total_success BIGINT;
ALTER TABLE import_inventory_history
	ADD COLUMN total_fail BIGINT;
ALTER TABLE import_inventory_history
	ADD COLUMN import_by VARCHAR(255);
#Tạo thêm index mới
CREATE UNIQUE INDEX inventory_code_idx
	ON inventory ((NULLIF(`code`, '')));
#Xóa index hiện tại vì không lưu được code rỗng:
DROP INDEX inventory_code_UNIQUE ON inventory; E cảm ơn!</t>
  </si>
  <si>
    <t>[UPAY][PROD] Update thông tin giao dịch installment do TCB lỗi không gửi trả kết quả cho OM</t>
  </si>
  <si>
    <t>2025-12-30T20:41:39.486+0700</t>
  </si>
  <si>
    <t>2025-12-30T20:41:51.941+0700</t>
  </si>
  <si>
    <t>Hi a  @Nguyễn Văn Dũng  nhờ a chạy script theo mô tả  dưới đây ở môi trường PRODUCTION theo thông tin dưới đây ạ: Thời gian chạy script: Vào lúc  Sau khi approve Thông tin database saas_tpay:  pay-tidb.int.onemount.com:4000/saas_tpay CR Ticket:    Script:  UPDATE CARD_PAYMENT_TRANSACTION_DETAIL SET installment_status = 'FAIL', bank_status = 'FAIL', reason = 'Sai số thẻ' WHERE transaction_id = '63c2903f6055421dbeba29638a245547' and transaction_type = 'PAYMENT' ;
UPDATE CARD_PAYMENT_TRANSACTION_DETAIL SET installment_status = 'FAIL', bank_status = 'FAIL', reason = 'Sai số thẻ' WHERE transaction_id = '7d6a1495f0764e5ab2d0b28ca632cf72' and transaction_type = 'PAYMENT' ;
UPDATE CARD_PAYMENT_TRANSACTION_DETAIL SET installment_status = 'FAIL', bank_status = 'FAIL', reason = 'Sai số thẻ' WHERE transaction_id = 'ed21172360f840769f83bde62684bbcf' and transaction_type = 'PAYMENT' ;
UPDATE CARD_PAYMENT_TRANSACTION_DETAIL SET installment_status = 'FAIL', bank_status = 'FAIL', reason = 'Data test' WHERE transaction_id = '298ae3be68fe4435acf9a7ce893f5a1c' and transaction_type = 'PAYMENT' ;
UPDATE CARD_PAYMENT_TRANSACTION_DETAIL SET installment_status = 'FAIL', bank_status = 'FAIL', reason = 'Sai số thẻ' WHERE transaction_id = '523ca2837fcc45319de9b6ba0fe8cd28' and transaction_type = 'PAYMENT' ;
UPDATE CARD_PAYMENT_TRANSACTION_DETAIL SET installment_status = 'FAIL', bank_status = 'FAIL', reason = 'Data test' WHERE transaction_id = '3bd7aeb0f781410091ac6a542772573d' and transaction_type = 'PAYMENT' ;
UPDATE CARD_PAYMENT_TRANSACTION_DETAIL SET installment_status = 'FAIL', bank_status = 'FAIL', reason = 'Data test' WHERE transaction_id = 'aac2254e9c8a4d7ea6c6780f12f35478' and transaction_type = 'PAYMENT' ;
UPDATE CARD_PAYMENT_TRANSACTION_DETAIL SET installment_status = 'FAIL', bank_status = 'FAIL', reason = 'Data test' WHERE transaction_id = '299259d38e194473b7876d315117d3be' and transaction_type = 'PAYMENT' ;</t>
  </si>
  <si>
    <t>[PROD] Xin cấp thêm quyền view DB user generated content</t>
  </si>
  <si>
    <t>2025-12-30T15:01:16.167+0700</t>
  </si>
  <si>
    <t>2025-12-30T15:01:52.667+0700</t>
  </si>
  <si>
    <t>Dear anh Linh, Để thuận tiện trong việc hỗ trợ vận hành trace data, team có request add thêm quyền view only cho user có sẵn với các thông tin dưới đây IP: 172.31.1.102
DB name: oneu_user_generated_content
User name: oneu_platform_common_readonly Em cảm ơn anh</t>
  </si>
  <si>
    <t>Hỗ trợ cấu hình whitelist user cho dịch vụ Cổng UPay x TCB Direct</t>
  </si>
  <si>
    <t>2025-12-30T12:44:11.814+0700</t>
  </si>
  <si>
    <t>2025-12-30T20:40:22.312+0700</t>
  </si>
  <si>
    <t>Hi team, Nhờ các anh chạy giúp team script bên dưới để add 2 user vào whitelist dịch vụ Cổng thanh toán UPay ạ Thông tin DB: DB:  172.31.1.148:3306/pay_payment_gateway UPDATE SYSTEM_CONFIGURATION SET system_param_value = '921183,8410315,215348,6394863,4979923,12600406,11374836,12575808,12601772,13444997,4107396,6475838,335497,8031', system_param_name='LIST USER_ID PILOT TCB DIRECT'
where system_param_code = 'USER_ID_PILOT_TCB_DIRECT' nhờ các anh hỗ trợ ạ</t>
  </si>
  <si>
    <t>[OMC][Loyalty MFT] VCM - Cập nhật thông tin sử dụng voucher ticket ngày 30/12/2025</t>
  </si>
  <si>
    <t>2025-12-30T09:58:24.687+0700</t>
  </si>
  <si>
    <t>2025-12-30T10:02:47.262+0700</t>
  </si>
  <si>
    <t>Theo yêu cầu từ phía đội vận hành CR  https://vinid-team.atlassian.net/browse/SH-68150 , cần cập nhật lại thông tin sử dụng voucher ticket của user, nhờ team hỗ trợ với ạ. Thông tin database - GCP project  vinid-loyalty-prod
- Instance name : onevoucher
- Instance IP : 172.31.4.126
- Database : onevc_vsm_prod Query UPDATE onevc_vsm_prod.ticket SET sale_history_id = 161212 WHERE sale_code = 'SLHL_NHAKHOAWILSON';
UPDATE onevc_vsm_prod.ticket SET sale_history_id = 167978 WHERE sale_code = 'SLHL_STARLUXVNDAILOAN';
UPDATE onevc_vsm_prod.ticket SET sale_history_id = 167977 WHERE sale_code = 'SLHL_STARLUXVNMY'; Thanks team.</t>
  </si>
  <si>
    <t>[OMC][Prod] Tạo mới DB User Generated Content</t>
  </si>
  <si>
    <t>2025-12-30T09:57:44.020+0700</t>
  </si>
  <si>
    <t>2025-12-30T10:50:07.129+0700</t>
  </si>
  <si>
    <t>Dear team DBA, Nhờ các anh hỗ trợ team tạo mới DB với các thông tin dưới đây ạ Project: vinid-service-platform-prod
IP: 172.31.1.102
DB name: oneu_user_generated_content
User name: oneu_user_generated_content SQL: -- Tạo các bảng cho hệ thống user-generated-content
CREATE TABLE `content_reviews`
(
    id               BIGINT AUTO_INCREMENT PRIMARY KEY,
    created_at       DATETIME DEFAULT CURRENT_TIMESTAMP,
    updated_at       DATETIME DEFAULT CURRENT_TIMESTAMP ON UPDATE CURRENT_TIMESTAMP,
    reference_id     VARCHAR(50) NOT NULL,
    content          TEXT     DEFAULT NULL,
    user_id          VARCHAR(50) NOT NULL,
    last_modified_by VARCHAR(255),
    service_code     VARCHAR(50) NOT NULL,
    image_urls       JSON,
    video_urls       JSON,
    status           VARCHAR(25) NOT NULL,
    type_checked     VARCHAR(25),
    reasons          TEXT,
    title            VARCHAR(500),
    last_updated_by  VARCHAR(500)
);
CREATE INDEX idx_contents_reference_id ON content_reviews (reference_id);
CREATE TABLE `service_info`
(
    id         BIGINT AUTO_INCREMENT PRIMARY KEY,
    created_at DATETIME DEFAULT CURRENT_TIMESTAMP,
    updated_at DATETIME DEFAULT CURRENT_TIMESTAMP ON UPDATE CURRENT_TIMESTAMP,
    code       VARCHAR(50)  NOT NULL,
    name       VARCHAR(255) NOT NULL,
    config     JSON     DEFAULT NULL,
    status     VARCHAR(25)  NOT NULL
);
CREATE INDEX idx_service_info_code ON service_info (code);
CREATE TABLE `content_versions`
(
    id             BIGINT AUTO_INCREMENT PRIMARY KEY,
    created_at     DATETIME DEFAULT CURRENT_TIMESTAMP,
    updated_at     DATETIME DEFAULT CURRENT_TIMESTAMP ON UPDATE CURRENT_TIMESTAMP,
    content_id     BIGINT NOT NULL,
    version_number INT    NOT NULL,
    payload        JSON,
    FOREIGN KEY (content_id) REFERENCES content_reviews (id)
);
CREATE TABLE `content_approvals`
(
    id                 BIGINT AUTO_INCREMENT PRIMARY KEY,
    created_at         DATETIME DEFAULT CURRENT_TIMESTAMP,
    updated_at         DATETIME DEFAULT CURRENT_TIMESTAMP ON UPDATE CURRENT_TIMESTAMP,
    content_id         BIGINT      NOT NULL,
    content_version_id BIGINT      NOT NULL,
    status             VARCHAR(25) NOT NULL,
    type_checked       VARCHAR(25),
    reviewed_by        VARCHAR(50),
    note               TEXT,
    FOREIGN KEY (content_id) REFERENCES content_reviews (id),
    FOREIGN KEY (content_version_id) REFERENCES content_versions (id)
); Chạy các câu lệnh dưới đây: Project: vincart-prod
IP: 172.31.1.41
DB name: oneu_merchant_rating SQL: ALTER TABLE `reviews`
    ADD COLUMN `reason` VARCHAR(1000) NULL,
    ADD COLUMN `type_checked` VARCHAR(25) NULL,
    ADD COLUMN `is_calculate_star` TINYINT(1) DEFAULT 0; SAD:  Team cần thêm thông tin nào thì comment giúp em ạ Em cảm ơn team</t>
  </si>
  <si>
    <t>[CUSTOMER-FRONT] Import data vào bảng mới trên DB merchant_service</t>
  </si>
  <si>
    <t>2025-12-30T09:46:05.479+0700</t>
  </si>
  <si>
    <t>2025-12-30T09:46:12.356+0700</t>
  </si>
  <si>
    <t>Others</t>
  </si>
  <si>
    <t>Dear a Linh, Do nhu cầu cần có dữ liệu để làm 1 feature trên app OneShop nên Team em cần import data test vào bảng lookback DB_MYSQL_HOST=172.31.1.44
DB_MYSQL_DATABASE=merchant_service File data import do hơi nặng nên em xin phép được gửi qua gmail ạ Thời gian : thứ 2 ngày 29/02/2025 vào lúc 22h00</t>
  </si>
  <si>
    <t>[UPAY][PS2][GL] Thêm column table general_ledger_cost và general_ledger_cost_request</t>
  </si>
  <si>
    <t>2025-12-30T09:42:53.166+0700</t>
  </si>
  <si>
    <t>2025-12-30T09:42:57.105+0700</t>
  </si>
  <si>
    <t>Hi các anh DBA, Hiện tại e nhận request từ PO cấu hình đẩy file tự động sang TCB. Nhờ các anh chạy giúp em câu lệnh này với ạ. alter table general_ledger_cost add voucher_type_config varchar(32) null;
alter table general_ledger_cost_request add voucher_type_config varchar(32) null; Em gửi thông tin DB :  tidb.int.onemount.com:4000/vinpay_vinpay_prod_saas_ps2_general_ledger . E  gửi link CR :    Thời gian chạy câu SQL : Sau 22h ngày 29/12</t>
  </si>
  <si>
    <t>[OMC][MTP] Clear dữ liệu tracking tháng 10/2025</t>
  </si>
  <si>
    <t>2025-12-30T09:41:10.277+0700</t>
  </si>
  <si>
    <t>2025-12-30T09:41:16.632+0700</t>
  </si>
  <si>
    <t>Dear anh  @Nguyễn Văn Dũng  , nhờ anh chạy giúp em script sau: -- OMC
use omc_mtp_tracking_events;
ALTER TABLE omc_mtp_tracking_events.mtp_tracking_events_omc  DROP INDEX idx_u_message_id;
ALTER TABLE omc_mtp_tracking_events.mtp_tracking_events_omc DROP PARTITION p20251001;
ALTER TABLE omc_mtp_tracking_events.mtp_tracking_events_omc DROP PARTITION p20251002;
ALTER TABLE omc_mtp_tracking_events.mtp_tracking_events_omc DROP PARTITION p20251101;
ALTER TABLE omc_mtp_tracking_events.mtp_tracking_events_context_omc DROP PARTITION p20251001;
ALTER TABLE omc_mtp_tracking_events.mtp_tracking_events_context_omc DROP PARTITION p20251002;
ALTER TABLE omc_mtp_tracking_events.mtp_tracking_events_context_omc DROP PARTITION p20251101;
ALTER TABLE omc_mtp_tracking_events.mtp_tracking_event_sessions DROP PARTITION p2025_10;
use omc_mtp_martech_activation;
ALTER TABLE omc_mtp_martech_activation.mtp_ads_events DROP PARTITION p2025_10;
ALTER TABLE omc_mtp_martech_activation.mtp_push_events DROP PARTITION p2025_10;
ALTER TABLE omc_mtp_martech_activation.mtp_tracking_email_events DROP PARTITION p2025_10;
ALTER TABLE omc_mtp_martech_activation.mtp_tracking_email_notifications DROP PARTITION p2025_10;
ALTER TABLE omc_mtp_martech_activation.mtp_tracking_fcm_messages DROP PARTITION p2025_10;
ALTER TABLE omc_mtp_martech_activation.mtp_tracking_push_notifications DROP PARTITION p2025_10;
-- OMRE
use omre_mtp_tracking_events;
ALTER TABLE omre_mtp_tracking_events.mtp_tracking_events_omre  DROP INDEX idx_u_message_id;
ALTER TABLE omre_mtp_tracking_events.mtp_tracking_events_omre drop partition p20251001;
ALTER TABLE omre_mtp_tracking_events.mtp_tracking_events_omre drop partition p20251002;
ALTER TABLE omre_mtp_tracking_events.mtp_tracking_events_omre drop partition p20251101;
ALTER TABLE omre_mtp_tracking_events.mtp_tracking_events_context_omre DROP PARTITION p20251001;
ALTER TABLE omre_mtp_tracking_events.mtp_tracking_events_context_omre DROP PARTITION p20251002;
ALTER TABLE omre_mtp_tracking_events.mtp_tracking_events_context_omre DROP PARTITION p20251101;
-- create global index
use omc_mtp_tracking_events;
ALTER TABLE omc_mtp_tracking_events.mtp_tracking_events_omc ADD UNIQUE INDEX idx_u_message_id (message_id) GLOBAL;
use omre_mtp_tracking_events;
ALTER TABLE omre_mtp_tracking_events.mtp_tracking_events_omre ADD UNIQUE INDEX idx_u_message_id (message_id) GLOBAL; Best regards Dinh Quang Nguyen</t>
  </si>
  <si>
    <t>2025-12-29T19:19:32.394+0700</t>
  </si>
  <si>
    <t>2025-12-29T19:19:36.908+0700</t>
  </si>
  <si>
    <t>Dear anh  @Nguyễn Văn Dũng  , Team em có nhu cầu cập nhật dữ liệu, nhờ team chạy script sau giúp em ạ. Thời gian chạy:   Team có thể chạy ngay giúp em ạ. Thông tin DB:   omc-mtp-tidb.int.onemount.com:4000 / omc_merchant_loyalty Script: update omc_merchant_loyalty.store set status = 'FAILED_LOYALTY_STORE' where status = 'ACTIVE' and ommp_store_code is null;
update omc_merchant_loyalty.contract set status = 'SIGNED' where contract_ref_no = 'D.0080/25/OMC-1081';
update omc_merchant_loyalty.contract set sales_agent = 'nguyenhhh@techcombank.com.vn', sales_manager = 'hieptq@techcombank.com.vn' where id = 4430;
update omc_merchant_loyalty.contract set sales_agent = 'chaucn@techcombank.com.vn', sales_manager = 'vangdk@techcombank.com.vn' where id = 1196; Ref :  https://chat.google.com/room/AAAA1XNmgYQ/IlaM-Bu0jjU/IlaM-Bu0jjU?cls=10 ,  https://chat.google.com/room/AAQAtRBds7U/nJmkWySlspY/nJmkWySlspY?cls=10 ,  https://chat.google.com/room/AAQAtRBds7U/y6Rdjq6kEKg/6z4FdBUqa68?cls=10 Thanks anh.</t>
  </si>
  <si>
    <t xml:space="preserve">[UPAY] Tác động database hỗ trợ thêm quyền </t>
  </si>
  <si>
    <t>2025-12-29T11:32:27.397+0700</t>
  </si>
  <si>
    <t>2025-12-29T11:32:39.938+0700</t>
  </si>
  <si>
    <t>Hi a  @Nguyễn Văn Dũng   nhờ a chạy giúp em ticket sau nhé ạ. Thời gian chạy: Ngay sau khi được approval  Thông tin db: project: vinid-service-platform-prod
instance: common
Master IP: 172.31.1.102
slave IP: 172.31.1.181
db: admin_service Script SELECT @service_id := id FROM service WHERE code = 'digital_content';
INSERT INTO module (name, code, service_id) VALUES('UGC Management', 'UGC_Management', @service_id);
SET @module_id = LAST_INSERT_ID();
INSERT INTO permission (module, name, code, new_code, new_name, module_id) VALUES ('UGC_Management', 'View', 1000, 1000, 'View', @module_id);
INSERT INTO permission (module, name, code, new_code, new_name, module_id) VALUES ('UGC_Management', 'Approve/Reject', 1007, 1007, 'Approve/Reject', @module_id);</t>
  </si>
  <si>
    <t>[Merchant-OM] Hỗ trợ cập nhật 20251227</t>
  </si>
  <si>
    <t>2025-12-29T10:30:51.486+0700</t>
  </si>
  <si>
    <t>2025-12-29T10:32:25.250+0700</t>
  </si>
  <si>
    <t>Dear team, Nhờ team chạy giúp câu lệnh bên dưới ạ. Thông tin database https://console.cloud.google.com/sql/instances/main/overview?inv=1&amp;invt=Abqw_w&amp;project=vinid-merchant-prod DB_MYSQL_HOST=172.31.1.44
DB_MYSQL_DATABASE=merchant_service Câu lệnh Cập nhật UPDATE
	staff
SET
	role_id = 1
WHERE
	id IN (403441, 403394); Import dữ liệu từ file  staff_create.sql  đính kèm</t>
  </si>
  <si>
    <t>[OMC][VCM][Prod][Discount] Run script update database cho Wincommerce</t>
  </si>
  <si>
    <t>2025-12-29T09:21:50.128+0700</t>
  </si>
  <si>
    <t>2026-01-02T09:03:22.951+0700</t>
  </si>
  <si>
    <t>Hi a  @Đoàn Việt Hưng   Anh chạy giúp e script update database: MYSQL_ADDRESS : 172.31.4.99:3306 MYSQL_DATABASE: discount_service Script update database INSERT INTO `condition_templates` (`code`, `type`, `name`, `description`, `status`, `statement`, `pattern`) VALUES ('DEFAULT', 'template', 'default', 'default for merchant pos', 'ACTIVE', '{\"Field\":{\"Default\":{\"Amount\":1.1,\"Description\":\"string\",\"FeeAmount\":1.1,\"ID\":1,\"Merchant\":{\"Code\":\"string\",\"Name\":\"string\"},\"MoneySources\":[{\"Amount\":1.1,\"ID\":\"string\",\"Name\":\"string\",\"PaidAmount\":1.1,\"PaymentMethodCode\":\"string\"}],\"OrderDetails\":{\"Code\":\"string\",\"CreatedAt\":1,\"ExpiredAt\":1,\"FinishedAt\":1,\"Items\":[{\"CategoryCode\":\"string\",\"CategoryName\":\"string\",\"Code\":\"string\",\"Description\":\"string\",\"DiscountPrice\":1.1,\"ExtraData\":{\"Barcode\":\"string\"},\"ImageURL\":\"string\",\"Merchant\":{\"MID\":\"string\",\"TID\":\"string\",\"Code\":\"string\",\"Name\":\"string\"},\"MerchantCode\":\"string\",\"MerchantName\":\"string\",\"Name\":\"string\",\"Price\":1.1,\"ProductCode\":\"string\",\"ProductID\":\"string\",\"Quantity\":1,\"Sku\":\"string\",\"Unit\":\"string\",\"UnitPrice\":1.1,\"VariantCode\":\"string\",\"VariantID\":\"string\"}],\"Loyalty\":{\"TotalRedeemPointAmount\":1},\"ShippingAddress\":{\"Address\":\"string\",\"District\":{\"Code\":\"string\",\"Name\":\"string\"},\"Province \":{\"Code\":\"string\",\"Name\":\"string\"},\"Receiver\":{\"Name\":\"string\",\"PhoneNumber\":\"string\"},\"Ward\":{\"Code\":\"string\",\"Name\":\"string\"}},\"ShippingFees\":[{\"MerchantCode\":\"string\",\"ShippingFee\":1.1}],\"ShippingMethod\":{\"Code\":\"string\",\"Name\":\"string\"},\"ShoppingMethod\":{\"Code\":\"string\",\"Name\":\"string\"},\"Status\":\"string\",\"TotalAmount\":1.1,\"TotalAppliedPromotionAmount\":1.1,\"TotalDiscount\":1.1,\"TotalItemsAmount\":1.1,\"TotalShippingFee\":1.1,\"UserID\":\"string\"},\"PaymentInstrument\":\"string\",\"ServiceCode\":\"string\",\"Status\":\"string\",\"Store\":{\"Code\":\"string\",\"Name\":\"string\"},\"TotalAmount\":1.1,\"UserID\":\"string\",\"VerificationMethod\":\"string\"}}}', 'DiscountFact');
INSERT INTO `condition_templates` (`code`, `type`, `name`, `description`, `status`, `statement`, `pattern`) VALUES ('WCM', 'template', 'wincommerce', 'wincommerce', 'ACTIVE', '{\"Field\":{\"WCM\":{\"ID\":1,\"Store\":{\"Code\":\"string\",\"Name\":\"string\"},\"Merchant\":{\"Code\":\"string\",\"Name\":\"string\"},\"TotalAmount\":1.1,\"MoneySources\":[{\"PaymentMethodCode\":\"string\"}],\"OrderDetails\":{\"Code\":\"string\",\"Items\":[{\"Price\":1.1,\"Quantity\":1,\"ExtraData\":{\"Barcode\":\"string\"},\"ProductCode\":\"string\",\"VariantCode\":\"string\",\"CategoryCode\":\"string\",\"CategoryName\":\"string\",\"DiscountPrice\":1.1,\"ItemAmount\":1.1}]}}}}', 'DiscountFact');</t>
  </si>
  <si>
    <t>[omd][clm][nonprod] Xin cấp account readonly clm - contract lifecycle management</t>
  </si>
  <si>
    <t>2025-12-29T09:21:45.315+0700</t>
  </si>
  <si>
    <t>2026-01-03T09:57:25.144+0700</t>
  </si>
  <si>
    <t>Hi  @Đoàn Việt Hưng   Theo ticket trước:    anh đã xin cấp DA cho project CLMS nay nhờ chú cấp giúp anh 1 tk read-only phục cho dự án chủ động vào read data trong quá trình phát triển username: clm-mysql-readonly  account này có quyền read luôn trên 3 DB:  clm-dev-mysql   clm-qc-mysql   clm-uat-mysql  luôn nhé! Anh cảm ơn!</t>
  </si>
  <si>
    <t>[OMC][Prod] Update disccount item info for voucher 27/12</t>
  </si>
  <si>
    <t>2025-12-27T13:12:08.183+0700</t>
  </si>
  <si>
    <t>2025-12-27T13:15:52.641+0700</t>
  </si>
  <si>
    <t>Hi anh  @Nguyễn Văn Dũng  , Nhờ anh chạy giúp thông tin dưới đây: IP:  172.31.1.41 Database:   vincart_mm_product Script: product_scripts.sql trong file đính kèm IP:  172.31.4.10 Database:  ecom_data_analytics Script:  ecom_data_analytics.sql  trong file đính kèm</t>
  </si>
  <si>
    <t>[OMC][ONEU] Tạo service code mới cho luồng thêm thẻ</t>
  </si>
  <si>
    <t>2025-12-27T11:02:03.707+0700</t>
  </si>
  <si>
    <t>2025-12-27T11:02:24.393+0700</t>
  </si>
  <si>
    <t>Dear team DBA Để phục vụ golive luồng thêm thẻ trên app ONEU, nhờ team chạy giúp em script sau ạ. Có thể chạy ngay sau khi ticket được approve project: vincart-prod ip: 172.31.4.9 instance: ecom-medium-mysql db: ecom_configuration INSERT INTO `services` (`code`, `name`, `vi_title`, `en_title`, `icon`) VALUES ('ONEU_PAYMENT', 'Thanh toán OneU', 'Thanh toán OneU', 'OneU payment', 'asset://ic_24transaction_cart')</t>
  </si>
  <si>
    <t>Mở quyền query cho toàn bộ acc it247 vào 2 bảng mới trên authSDK</t>
  </si>
  <si>
    <t>2025-12-27T10:53:56.579+0700</t>
  </si>
  <si>
    <t>2025-12-27T10:54:12.341+0700</t>
  </si>
  <si>
    <t>Permission</t>
  </si>
  <si>
    <t>Nhờ Dũng Add quyền select giúp anh vào 2 table bên dưới với nhé: IP: 172.31.3.40 authen SDK. vneid_login authen SDK. vneid_login_log</t>
  </si>
  <si>
    <t>Nhờ a Dũng update data giúp team OMS vào bảng CustomerUnit</t>
  </si>
  <si>
    <t>2025-12-27T10:47:19.914+0700</t>
  </si>
  <si>
    <t>2025-12-27T10:47:44.028+0700</t>
  </si>
  <si>
    <t>Dear a  @Nguyễn Văn Dũng , Team OMS đang có mong muốn update lại thông tin vào bảng Customer.consentGive = true. Condition Customer.consentGive in (danh sánh trong CSV) Nhờ a update giúp team vào tối nay lúc 9h tối với ạ E gửi thông tin DB ạ gcp project: vinid-b2b-platform-prod instance_name: b2b-commerce instanceIP: 172.31.4.113 dbname: b2b_user_prod</t>
  </si>
  <si>
    <t>[Merchant-OM] Hỗ trợ cập nhậtdữ liệu 20251226 02</t>
  </si>
  <si>
    <t>2025-12-26T17:27:43.719+0700</t>
  </si>
  <si>
    <t>2025-12-26T17:27:47.420+0700</t>
  </si>
  <si>
    <t>Dear team, Nhờ team chạy giúp câu lệnh bên dưới ạ. Thông tin database https://console.cloud.google.com/sql/instances/main/overview?inv=1&amp;invt=Abqw_w&amp;project=vinid-merchant-prod DB_MYSQL_HOST=172.31.1.44
DB_MYSQL_DATABASE=merchant_service Câu lệnh insert into merchant_role (created_at, updated_at, deleted_at, name, active, merchant_id)
values (now(), now(), null, 'Admin', 1, 367649),
       (now(), now(), null, 'Store', 1, 367649),
       (now(), now(), null, 'Staff', 1, 367649);</t>
  </si>
  <si>
    <t>2025-12-26T17:26:59.640+0700</t>
  </si>
  <si>
    <t>2025-12-26T17:27:03.866+0700</t>
  </si>
  <si>
    <t>Hi a  @Nguyễn Văn Dũng   nhờ a chạy giúp em ticket sau nhé ạ.  Thông tin database saas_tpay:  pay-tidb.int.onemount.com:4000/saas_tpay Scripts: UPDATE SOFTPOS_QR_MERCHANT SET MERCHANT_CODE = '74833967', UPDATED_AT = CURRENT_TIMESTAMP WHERE MERCHANT_CODE = 'MERCHANT7F9OY';
UPDATE SOFTPOS_QR_STORE SET MERCHANT_CODE = '74833967', UPDATED_AT = CURRENT_TIMESTAMP WHERE MERCHANT_CODE = 'MERCHANT7F9OY';
UPDATE SOFTPOS_QR_TERMINAL SET MERCHANT_CODE = '74833967', UPDATED_AT = CURRENT_TIMESTAMP WHERE MERCHANT_CODE = 'MERCHANT7F9OY';
UPDATE SERVICE SET MERCHANT_CODE = '74833967', MERCHANT_REF = '74833967', UPDATED_AT = CURRENT_TIMESTAMP WHERE MERCHANT_CODE = 'MERCHANT7F9OY';</t>
  </si>
  <si>
    <t>[PROD] [VCM-Product]  Chạy script update voucher_accepted_store</t>
  </si>
  <si>
    <t>2025-12-26T17:26:35.866+0700</t>
  </si>
  <si>
    <t>2025-12-26T17:26:40.242+0700</t>
  </si>
  <si>
    <t>Dear DBA team,  Do Merchant Vinmart có rất nhiều store. VH muốn sản phẩm này appied all store. Nhờ a/e hỗ trợ chạy lệnh xóa attribute  voucher_accepted_store  trong bảng  vincart_mm_product.entity_attributes_values Cho voucher VD_VC_1764673103997
VD_VC_1764673872979
VD_VC_1765453715658
VD_VC_1765453714579
VD_VC_1765453713317
VD_VC_1765453711688
VD_VC_1765453709573
VD_VC_1765272943127
VD_VC_1765272941370
CV_WINMART500K250224_250224
VD_VC_1764673875481
VD_VC_1764673870143
VD_VC_1764674335932
VD_VC_1764674338485
VD_VC_1764673874290
VD_VC_1764673876506
VD_VC_1764674337193
VD_VC_1764673871768 Thông tin db: IP: 172.31.1.41
Bảng: vincart_mm_product.entity_attributes_values Script: select id, type, name, value, channel from vincart_mm_product.entity_attributes_values 
where entity_id in (select id from vincart_mm_product.variants 
        where code in ('VD_VC_1764673103997',
'VD_VC_1764673872979',
'VD_VC_1765453715658',
'VD_VC_1765453714579',
'VD_VC_1765453713317',
'VD_VC_1765453711688',
'VD_VC_1765453709573',
'VD_VC_1765272943127',
'VD_VC_1765272941370',
'CV_WINMART500K250224_250224',
'VD_VC_1764673875481',
'VD_VC_1764673870143',
'VD_VC_1764674335932',
'VD_VC_1764674338485',
'VD_VC_1764673874290',
'VD_VC_1764673876506',
'VD_VC_1764674337193',
'VD_VC_1764673871768'))
 and type='VARIANT' and name = 'voucher_accepted_stores';
- backup dòng select.
delete from vincart_mm_product.entity_attributes_values where id = {id} lấy ở lệnh trên</t>
  </si>
  <si>
    <t>2025-12-26T17:22:06.702+0700</t>
  </si>
  <si>
    <t>2025-12-26T17:22:10.310+0700</t>
  </si>
  <si>
    <t>Dear anh  @Nguyễn Văn Dũng  , Team em có nhu cầu cập nhật dữ liệu, nhờ team chạy script sau giúp em ạ. Thời gian chạy:   Team có thể chạy ngay giúp em ạ. CR :    Thông tin DB:   omc-mtp-tidb.int.onemount.com:4000 / omc_merchant_loyalty Script: update omc_merchant_loyalty.contract
set hidden_signed_at = now(),
    reviewer = 'chuong.tran1@onemount.com',
    status = 'PENDING_APPROVE'
where contract_ref_no = 'D.0080/25/OMC-1081'; Ref :  https://chat.google.com/room/AAQAtRBds7U/Vy_e-k99SZo/Vy_e-k99SZo?cls=10 Thanks anh.</t>
  </si>
  <si>
    <t>Cập nhật lại tên kho M020 để triển khai kho OML</t>
  </si>
  <si>
    <t>2025-12-26T17:21:25.024+0700</t>
  </si>
  <si>
    <t>2025-12-26T17:21:28.784+0700</t>
  </si>
  <si>
    <t>Description Hi DBA team, Hiện tại nghiệp vụ có nhu cầu cập nhật lại tên kho M019 theo nhu cầu vận hành Câu query đánh giá là không ảnh hưởng đến vận hành hệ thống nên mong muốn chạy luôn Cụm WMS Project : vinid-b2b-platform-prod Instance/IP : main (read-write): 172.31.4.59 Port : 3306 Database : omd_wms_core Script update base_dc bd set bd.dc_name = 'Kho CĐT - Gia Lâm' where bd.dc_code  = 'M020'; Cum WES Project : vinid-b2b-platform-prod Instance/IP : main (read-write): 172.31.1.143 Port : 3306 Database : wes_master Script : update warehouse w set w.name = 'Kho CĐT - Gia Lâm' where w.code = 'M020';</t>
  </si>
  <si>
    <t>[OMC][Loyalty MFT] VCM - Cập nhật thông tin sử dụng voucher ticket</t>
  </si>
  <si>
    <t>2025-12-26T16:43:12.802+0700</t>
  </si>
  <si>
    <t>2025-12-26T16:47:29.809+0700</t>
  </si>
  <si>
    <t>Theo yêu cầu từ phía đội vận hành CR    , cần cập nhật lại thông tin sử dụng voucher ticket của user, nhờ team hỗ trợ với ạ. Thông tin database - GCP project  vinid-loyalty-prod
- Instance name : onevoucher
- Instance IP : 172.31.4.126
- Database : onevc_vsm_prod Query UPDATE onevc_vsm_prod.ticket SET sale_history_id = 159308 WHERE sale_code = 'SLHL_LEMONDESTEAK10P';
UPDATE onevc_vsm_prod.ticket SET sale_history_id = 159313 WHERE sale_code = 'SLHL_LEMONDESTEAK50K';
UPDATE onevc_vsm_prod.ticket SET sale_history_id = 159314 WHERE sale_code = 'SLHL_LEMONDESTEAK15P'; Thanks team.</t>
  </si>
  <si>
    <t>[OMC][ONEU] Chạy script update lại thông tin giá trị thực nhận của đơn hàng</t>
  </si>
  <si>
    <t>2025-12-26T12:18:41.979+0700</t>
  </si>
  <si>
    <t>2025-12-26T12:23:04.195+0700</t>
  </si>
  <si>
    <t>Dear team DBA Do vận hành phát sinh nhu cầu cập nhật giá trị thực nhận của đơn hàng, nhờ mọi người chạy giúp em script sau ạ Chạy ngay khi được approve project: vincart-prod instance: main ip: 172.31.1.41 JOIN 2 DB: vincart_mm_order &amp; vincart_mm_merchant CR:  https://vinid-team.atlassian.net/servicedesk/customer/portal/15/SH-68063?created=true UPDATE vincart_mm_order.order_merchant_fees f
    JOIN vincart_mm_order.orders o
    ON f.order_id = o.id
    JOIN vincart_mm_merchant.merchants m
    ON o.merchant_id = m.id
SET f.net_amount = o.total_items_amount - f.discount_amount - f.fee_amount
WHERE m.merchant_type = 'ENTERPRISE';</t>
  </si>
  <si>
    <t>[Merchant-OM] Hỗ trợ cập nhật dữ liệu 20251226</t>
  </si>
  <si>
    <t>2025-12-26T10:59:31.168+0700</t>
  </si>
  <si>
    <t>2025-12-26T10:59:52.478+0700</t>
  </si>
  <si>
    <t>Dear team, Nhờ team chạy giúp câu lệnh bên dưới ạ. Thông tin database https://console.cloud.google.com/sql/instances/main/overview?inv=1&amp;invt=Abqw_w&amp;project=vinid-merchant-prod DB_MYSQL_HOST=172.31.1.44
DB_MYSQL_DATABASE=merchant_service Câu lệnh UPDATE
	staff
SET
	role_id = 1
WHERE
	id = 399670;</t>
  </si>
  <si>
    <t>Mở quyền query cho account hoapd1 trên bảng mtp_tracking_sms_notifications db tidb_omc</t>
  </si>
  <si>
    <t>2025-12-26T10:47:54.501+0700</t>
  </si>
  <si>
    <t>2025-12-26T10:48:02.515+0700</t>
  </si>
  <si>
    <t>Nhờ Dũng mở quyền giúp anh với nhé Thanks em</t>
  </si>
  <si>
    <t>[MAG][IOTek][MCM][PROD] Cập nhật nội dung bảng casbin_rule trong service ces_mcm_storage</t>
  </si>
  <si>
    <t>2025-12-26T09:44:46.902+0700</t>
  </si>
  <si>
    <t>2025-12-26T09:48:47.375+0700</t>
  </si>
  <si>
    <t>iotek</t>
  </si>
  <si>
    <t>IP (Host):   ces-production.crcykac8kxtw.ap-southeast-1.rds.amazonaws.com Port:  3306 DB Name:  ces_mcm_storage Command: UPDATE casbin_rule cr SET v2 = 'admin' WHERE cr.v0 = '7b34f3d7-d81a-4cb7-8b7f-7bcd350d9836';</t>
  </si>
  <si>
    <t>[OMC][MCL][PROD] Hỗ trợ cập nhật database</t>
  </si>
  <si>
    <t>2025-12-25T21:05:12.158+0700</t>
  </si>
  <si>
    <t>2025-12-25T21:05:18.783+0700</t>
  </si>
  <si>
    <t>Team em có nhu cầu cập nhật cấu trúc bảng và dữ liệu, nhờ team chạy script sau giúp em ạ. Trong quá trình golive có thể phát sinh nhu cầu cập nhật dữ liệu nên nhờ team hỗ trợ trong giờ nếu cần ạ. Release Plan :    CR : Team em sẽ gửi lại trong chiều nay ạ. Thời gian chạy:   21h ngày 25/12/2025 Thông tin DB:   172.31.3.49:5432 / mtp_assets_management Script:  File đính kèm Thanks team ạ.</t>
  </si>
  <si>
    <t>[OMRE][Kafka][PROD] Tạo kafka topic cho các bảng ở db omre_cbp_cma</t>
  </si>
  <si>
    <t>2025-12-25T17:07:39.286+0700</t>
  </si>
  <si>
    <t>2025-12-25T17:09:26.630+0700</t>
  </si>
  <si>
    <t>CMA</t>
  </si>
  <si>
    <t>Dear team DBA, Team CNSP đang có nhu cầu kéo dữ liệu từ omre_cbp_cma mongodb lên DP. Nhờ các anh hỗ trợ tạo topic theo danh sách sau ạ: Môi trường Database Tables MongoDB:  PROD Host:  omre-cbp-prod.8j11t.mongodb.net Port: 27017 omre_cbp_cma cma_reports
comp_suggestion_cache
comp_valuation_cache
comparables
market_analysis_cache
staging_comparables
valuation_insights_cache</t>
  </si>
  <si>
    <t>[AuthOM] release sprint</t>
  </si>
  <si>
    <t>2025-12-25T17:06:08.558+0700</t>
  </si>
  <si>
    <t>2025-12-25T17:06:15.308+0700</t>
  </si>
  <si>
    <t xml:space="preserve">Vào lúc 23h59 ngay 24/12 bên em có release authOM, nhờ các anh chạy giúp em DB với ạ. E gửi thông tin chạy trong file. Em gửi thông tin DB project: onemg-general-prod instance: auth-om Master IP: 172.31.4.103 DB: auth_om Link CR :   </t>
  </si>
  <si>
    <t>Hỗ trợ tạo dữ liệu mở lại kho SUN01 - NPP SUNFLOWER</t>
  </si>
  <si>
    <t>2025-12-25T17:05:06.853+0700</t>
  </si>
  <si>
    <t>2025-12-25T17:05:12.049+0700</t>
  </si>
  <si>
    <t>Hi DBA team, Hiện tại nghiệp vụ có nhu cầu mở mới kho SUN01 - NPP SUNFLOWER,  nhờ team DBA hỗ trợ cập nhật giá trị theo thông tin dưới đây.   Câu query đánh giá là có thể ảnh hưởng đến vận hành hệ thống nên mong muốn chạy vào thời gian vận hành thấp điểm (từ 22h-2h sáng). Cụm WMS Project : vinid-b2b-platform-prod Instance/IP : main (read-write): 172.31.4.59 Port : 3306 Database : omd_wms_core Script : file  omd_wms_core_sun01.sql  trong file đính kèm Cum WES Project : vinid-b2b-platform-prod Instance/IP : main (read-write): 172.31.1.143 Port : 3306 Database : wes_master Script : file  wes_master_sun01.sql  trong file đính kèm</t>
  </si>
  <si>
    <t>2025-12-25T17:02:31.207+0700</t>
  </si>
  <si>
    <t>2025-12-25T17:02:35.838+0700</t>
  </si>
  <si>
    <t>Hi các anh DBA, Hiện tại team em cần update dữ liệu master data, nhờ các anh chạy giúp em câu lệnh sau với ạ. INSERT INTO MERCHANT_WHILELIST_CONFIG
(MERCHANT_CODE, IS_ACTIVE, UPDATED_DATE, CREATED_DATE)
VALUES('WINCOMMERCE', 1, '2025-12-25 15:20:00', '2025-12-25 15:20:00');
UPDATE MERCHANT_WHILELIST_CONFIG SET STORE_CODE = NULL, TERMINAL_CODE = NULL WHERE MERCHANT_CODE = 'VINIDPAY'; Thông tin DB : Tên schema:  osc IP:  pay-tidb.int.onemount.com:4000 Thanks các anh,</t>
  </si>
  <si>
    <t>[OMRE][Kafka][PROD] Tạo kafka topic cho các bảng ở db omre_cbp_listing mysql</t>
  </si>
  <si>
    <t>2025-12-25T16:13:53.479+0700</t>
  </si>
  <si>
    <t>2025-12-25T16:16:19.831+0700</t>
  </si>
  <si>
    <t>CBP, Listing</t>
  </si>
  <si>
    <t>Dear team DBA, Team CNSP đang có nhu cầu kéo dữ liệu từ omre_cbp_listing mysql lên DP. Nhờ các anh hỗ trợ tạo topic theo danh sách sau ạ: Môi trường Database Tables MySQL:  PROD Host: 172.31.4.127 Port: 3306 omre_cbp_listing addresses
building_addresses
buildings
characteristics
counters
legal_records
locations
media
precinct_addresses
precincts
properties
property_addresses
property_balcony_directions
property_current_uses
property_legal_records
property_media
property_parties
property_structure_links
property_views
structures
subdivision_addresses
subdivisions</t>
  </si>
  <si>
    <t>[BO] Cập nhập ngày xử lý job kéo đơn VMM gần nhất</t>
  </si>
  <si>
    <t>2025-12-25T15:03:28.085+0700</t>
  </si>
  <si>
    <t>2025-12-25T15:03:36.347+0700</t>
  </si>
  <si>
    <t>Hi a  @Nguyễn Văn Dũng , nhờ a chạy giúp e script bên dưới với ạ Thông tin database:  172.31.1.133:3306/bo Script: UPDATE BATCH_CONFIG SET END_SUCCESS_TIME = '2025-12-22 23:59:59.000' where id= 'batch.job.courier.dremio.order.new';</t>
  </si>
  <si>
    <t>2025-12-25T15:02:20.164+0700</t>
  </si>
  <si>
    <t>2025-12-25T18:18:17.818+0700</t>
  </si>
  <si>
    <t>Dear anh  @Nguyễn Văn Dũng  , Team em có nhu cầu cập nhật dữ liệu, nhờ team chạy script sau giúp em ạ. Thời gian chạy:   Team có thể chạy ngay giúp em ạ. Thông tin DB:   omc-mtp-tidb.int.onemount.com:4000 / omc_merchant_loyalty Script: update omc_merchant_loyalty.contract set status = 'PENDING_HIDDEN_SIGNATURE', submitted_at = now() where id = 6135;
update omc_merchant_loyalty.contract set sales_agent = 'huynd22@techcombank.com.vn' where id = 6820; Ref :  https://chat.google.com/room/AAQAtRBds7U/dltL3qfmIEA/dltL3qfmIEA?cls=10 ,  https://chat.google.com/room/AAQAtRBds7U/AOsjKdqJY9k/AOsjKdqJY9k?cls=10 Thanks anh.</t>
  </si>
  <si>
    <t>[Merchant-OM] Hỗ trợ cập nhật/query dữ liệu 20251225</t>
  </si>
  <si>
    <t>2025-12-25T14:56:19.893+0700</t>
  </si>
  <si>
    <t>2025-12-25T14:56:24.388+0700</t>
  </si>
  <si>
    <t>Dear team, Nhờ team chạy giúp câu lệnh bên dưới ạ. Thông tin database https://console.cloud.google.com/sql/instances/main/overview?inv=1&amp;invt=Abqw_w&amp;project=vinid-merchant-prod DB_MYSQL_HOST=172.31.1.44
DB_MYSQL_DATABASE=merchant_service Câu lệnh UPDATE
	merchant
SET
	parent_id = 362218,
	is_sap_debt = 1,
	sap_code = '0500181265'
WHERE
	id = 378899;</t>
  </si>
  <si>
    <t>[Prod][Order Service] Đánh index cho bảng Orders</t>
  </si>
  <si>
    <t>2025-12-25T14:50:23.186+0700</t>
  </si>
  <si>
    <t>2025-12-25T15:12:41.097+0700</t>
  </si>
  <si>
    <t>Hi anh Dũng, Anh chạy giúp em thông tin dưới đây: IP:  172.31.1.41 Database:  vincart_mm_order Scripts: create index order_status_created_at_index
    on orders (status, created_at);</t>
  </si>
  <si>
    <t>[UPAY][OPS] Update cấu hình tài khoản đi tiền</t>
  </si>
  <si>
    <t>2025-12-25T14:24:14.996+0700</t>
  </si>
  <si>
    <t>2025-12-25T14:24:19.165+0700</t>
  </si>
  <si>
    <t>Dear a  @Nguyễn Văn Dũng ,  Em có ticket update cấu hình tài khoản đi tiền nhờ anh hỗ trợ team ạ.  Thông tin db:  project: vinpay-prod
instance: low-performance
Master IP: 172.31.1.149
Slave IP: 172.31.1.179
DB: ops_pay_service Script tác động db UPDATE SYSTEM_CONFIGURATION_DETAIL SET CONFIG_DETAIL_VALUE = '19099995555661' WHERE CONFIG_DETAIL_CODE in ('ACCOUNT_VINID_PAYMENT_GATEWAY','ACCOUNT_VINID_COLLECTION');</t>
  </si>
  <si>
    <t>[OMC][ONEU] Chạy script update lại thông tin phí đơn hàng của merchant</t>
  </si>
  <si>
    <t>2025-12-25T12:16:55.394+0700</t>
  </si>
  <si>
    <t>2025-12-25T12:22:44.164+0700</t>
  </si>
  <si>
    <t>Dear team DBA Do vận hành phát sinh nhu cầu cập nhật phí đơn hàng của các merchant thuộc loại doanh nghiệp, nhờ team chạy giúp em câu lệnh sau ạ Chạy ngay khi được approve project: vincart-prod instance: main ip: 172.31.1.41 JOIN 2 DB: vincart_mm_order &amp; vincart_mm_merchant CR:  https://vinid-team.atlassian.net/servicedesk/customer/portal/15/SH-68063?created=true UPDATE vincart_mm_order.order_merchant_fees f
    JOIN vincart_mm_order.orders o
    ON f.order_id = o.id
    JOIN vincart_mm_merchant.merchants m
    ON o.merchant_id = m.id
SET f.vat_rate   = 0,
    f.vat_amount = 0,
    f.net_amount = o.total_items_amount - f.discount_amount
WHERE m.merchant_type = 'ENTERPRISE';</t>
  </si>
  <si>
    <t>2025-12-25T11:06:36.032+0700</t>
  </si>
  <si>
    <t>2025-12-25T12:07:52.790+0700</t>
  </si>
  <si>
    <t>Theo yêu cầu từ phía đội vận hành CR    , cần cập nhật lại thông tin sử dụng voucher ticket của user, nhờ team hỗ trợ với ạ. Thông tin database - GCP project  vinid-loyalty-prod
- Instance name : onevoucher
- Instance IP : 172.31.4.126
- Database : onevc_vsm_prod Query UPDATE onevc_vsm_prod.ticket SET sale_history_id = 148379 WHERE sale_code = 'SLHL_THEPIZZACOMPANY150K';
UPDATE onevc_vsm_prod.ticket SET sale_history_id = 148380 WHERE sale_code = 'SLHL_CHANGMODERN25P'; Thanks team.</t>
  </si>
  <si>
    <t>2025-12-25T11:03:18.605+0700</t>
  </si>
  <si>
    <t>2025-12-25T11:03:31.582+0700</t>
  </si>
  <si>
    <t>Em chào anh chị, Anh chị chạy giúp em lệnh SQL update DB với ạ. project: om-charity-prod Instance name: om-charity-fund-core IP: 172.31.4.7 DB name: fund-core user name: ? password: ? SQL: INSERT INTO txns.donation_merchant_setting
("type", ref_id, ref_name, merchant_info_id, created_by, updated_by, created_at, updated_at)
VALUES('POOL', 'db107f96-a075-427b-86a3-d24dc311a3a2', 'Quỹ Chạm Yêu Thương', 1, 'admin', 'admin', now(), now());</t>
  </si>
  <si>
    <t>[OMC][GAMI][OneU][Prod] Hỗ trợ lấy thông tin phát lượt thủ công chương trình Lì Xì trên OneU</t>
  </si>
  <si>
    <t>2025-12-25T10:38:17.000+0700</t>
  </si>
  <si>
    <t>2025-12-25T10:44:36.303+0700</t>
  </si>
  <si>
    <t>Hỗ trợ lấy thông tin phát lượt thủ công chương trình Lì Xì trên OneU Host:  172.31.1.14 DB:  gamezone SELECT * FROM `rule_logs` WHERE campaign_id = 671 &amp;&amp; rule_id = 5507; Theo yêu cầu của vận hành</t>
  </si>
  <si>
    <t>Hỗ trợ chạy câu lệnh DDL add column cho 1 số databases</t>
  </si>
  <si>
    <t>2025-12-25T00:15:28.346+0700</t>
  </si>
  <si>
    <t>2025-12-25T00:16:02.133+0700</t>
  </si>
  <si>
    <t>Hi DBA team, Hiện tại nghiệp vụ cần triển khai tính năng mới trên prod, cần thêm mới column trên 1 số databases có số lượng data lớn. Câu query đánh giá là có thể ảnh hưởng đến vận hành hệ thống nên mong muốn chạy vào thời gian vận hành thấp điểm (từ 21h30-0h sáng). Cụm WMS Project : vinid-b2b-platform-prod Instance/IP : main (read-write): 172.31.4.59 Port : 3306 Database : omd_wms_fm, omd_wms_thuanphong2, omd_wms_8115, omd_wms_mag  Query command:   ALTER TABLE  report_warehouse_stock_item ADD COLUMN  prod_ref_code  VARCHAR(100) NULL AFTER  product_name ;</t>
  </si>
  <si>
    <t xml:space="preserve">Tạo db PostGis &amp; migrate data </t>
  </si>
  <si>
    <t>2025-12-24T21:57:27.215+0700</t>
  </si>
  <si>
    <t>2025-12-24T21:57:30.579+0700</t>
  </si>
  <si>
    <t>1seal</t>
  </si>
  <si>
    <t xml:space="preserve">PostGIS Migrate dữ liệu từ non-prod lên production  Non-prod Host: 172.31.1.60 DB: geo_boundaries Tables: provinces_geog districts_geog wards_geog Prod  https://console.cloud.google.com/sql/instances/postgre-14-metrics/databases?project=vinid-b2b-platform-prod DB:  geo_boundaries Lưu ý: giữ đúng primary key vì e migrate dữ liệu bên 1S cần dùng chính xác pk.  Salestools (SRE chạy migrate job trước khi thực hiện bước này ) Migrate dữ liệu tuyến trong db salescore.  https://console.cloud.google.com/sql/instances/main/overview?project=vinid-integration-prod db  sales_tools file attachments </t>
  </si>
  <si>
    <t>[Prod] Update dữ liệu trên Prod</t>
  </si>
  <si>
    <t>2025-12-24T18:00:05.315+0700</t>
  </si>
  <si>
    <t>2025-12-24T18:16:15.222+0700</t>
  </si>
  <si>
    <t>Dear team, Hiện tại luồng vận hành merchant self onborad đang bị lỗi khi Reject.  Nhờ team chạy giúp query để update thông tin đang bị lỗi: Instance ID:  https://console.cloud.google.com/sql/instances/main/databases?project=vinid-service-platform-prod Database MySQL: merchant_app Query: # Hiện tại đang bị lỗi do để reject_reason là VARCHAR(127)
ALTER TABLE `merchant_onboards`
MODIFY COLUMN `reject_reason` TEXT;
# Sửa cho những Onboard bị sai:
UPDATE `merchant_onboards`  
SET `status` = "REJECTED" 
WHERE `contract_status` = "CANCELLED" and `id` in (157, 154)
 Em cảm ơn!</t>
  </si>
  <si>
    <t xml:space="preserve">[DBA-MAG] V/v migrate DEV CRM + tạo redis (elasticcache) </t>
  </si>
  <si>
    <t>2025-12-24T17:56:29.351+0700</t>
  </si>
  <si>
    <t>2025-12-24T17:57:08.612+0700</t>
  </si>
  <si>
    <t xml:space="preserve"> migrate DEV CRM + tạo redis (elasticcache) </t>
  </si>
  <si>
    <t>[QR247][PROD] Cấu hình thông tin kết nối dịch vụ QR247 cho BV Mắt Trung Ương</t>
  </si>
  <si>
    <t>2025-12-24T15:05:47.306+0700</t>
  </si>
  <si>
    <t>2025-12-24T15:05:51.832+0700</t>
  </si>
  <si>
    <t>Hi anh Nhờ anh chạy các script để cấu hình merchant BVMTW cho dịch vụ TPay QR247 ạ. Thông tin database saas_tpay: mysql://pay-tidb.int.onemount.com:4000/saas_tpay Script: INSERT INTO PARTNER (client_id, name, public_key, enable, merchant_code)
VALUES ('kOtJPrOiGgWbVHAzVCCgCVNVENkopAvh', 'BVMTW_KTYC', '-----BEGIN PUBLIC KEY-----
MIIBIjANBgkqhkiG9w0BAQEFAAOCAQ8AMIIBCgKCAQEA+nkZOCZHkQQ7u1V3X4D8
gXH8/6mTLKqlspnoO6YfvouJpaYj4SGdDBsIPvpTY7Or5iNXgmynIyfZwwfty38Y
R4ou21kaJozJjxQDZ0guud744AZOJoOQHIUNdd6uAI7kxJdGWvIa2PQ5PKVd/R5e
XfBaQ0sx4FlcBt9Wpr6cMkUrpf9ClPfiRtP6dFc52clpB+ASc4Mx64jAv70CTkdr
eM7pVWdvCTUiaa3N/4g3LtIXqvqv3jwB8MCNhxnYckT+7nfrsaQi7M0Y2JJLes3x
6Pejj5BcmwJDV8TaLhJ3wdEuXVdWLqOhh3U9COZ+3gWEGqMIu4iGVFY0UhnS3XGR
pwIDAQAB
-----END PUBLIC KEY-----
', 1, 'BVMTW_KTYC');</t>
  </si>
  <si>
    <t>2025-12-24T14:58:16.668+0700</t>
  </si>
  <si>
    <t>2025-12-24T14:58:23.130+0700</t>
  </si>
  <si>
    <t>Hỗ trợ lấy data chương trình Lì Xì trên OneU Host:  172.31.1.14 DB:  mystery-box-service-prod   SELECT * FROM `user_turns` WHERE campaign_id = 671 AND created_at &lt; '2025-12-24 00:00:00'; Theo yêu cầu của team MKT</t>
  </si>
  <si>
    <t>Kéo dữ liệu Task box ---&gt; Chấm công cho LLB</t>
  </si>
  <si>
    <t>2025-12-24T13:35:42.491+0700</t>
  </si>
  <si>
    <t>2025-12-24T13:35:48.086+0700</t>
  </si>
  <si>
    <t>Dear Anh Đăng, Anh phân quyền giúp em vào bảng bên dưới ạ. Tikcet trước đang tạo ở sai board ạ. Mục đích: Kéo dữ liệu Task box ---&gt; Chấm công cho LLB "tidb_ods"."omd_onemg_integration_platform_prd_main_omd_taskbox".TaskCenter Em cám ơn ạ.</t>
  </si>
  <si>
    <t>[OMC][ONEU] Chạy script phục vụ golibe 23/12/2025</t>
  </si>
  <si>
    <t>2025-12-23T22:00:06.269+0700</t>
  </si>
  <si>
    <t>2025-12-23T22:03:28.521+0700</t>
  </si>
  <si>
    <t>Dear team DBA nhờ mn chạy giúp em script sau ạ Chạy ngay khi được approve project: vincart-prod instance: main ip: 172.31.1.41 DB: vincart_mm_merchant ALTER TABLE merchants
    ADD COLUMN hidden_description TEXT NULL AFTER description;</t>
  </si>
  <si>
    <t>[Merchant-OM] Hỗ trợ cập nhật dữ liệu 20251223</t>
  </si>
  <si>
    <t>2025-12-23T13:28:43.360+0700</t>
  </si>
  <si>
    <t>2025-12-23T13:28:46.776+0700</t>
  </si>
  <si>
    <t>Dear team, Nhờ team chạy giúp câu lệnh bên dưới ạ. Thông tin database https://console.cloud.google.com/sql/instances/main/overview?inv=1&amp;invt=Abqw_w&amp;project=vinid-merchant-prod DB_MYSQL_HOST=172.31.1.44
DB_MYSQL_DATABASE=merchant_service Câu lệnh UPDATE
	merchant
SET
	parent_id = 329113,
	is_sap_debt = 1,
	sap_code = '500159435'
WHERE
	id = 377806;</t>
  </si>
  <si>
    <t xml:space="preserve">[SOFTPOS] Cập nhập merchant code đầu MP và PAY lệch với TCB </t>
  </si>
  <si>
    <t>2025-12-23T13:27:39.441+0700</t>
  </si>
  <si>
    <t>2025-12-23T13:27:53.418+0700</t>
  </si>
  <si>
    <t>ops_service</t>
  </si>
  <si>
    <t>Hi a  @Nguyễn Văn Dũng   nhờ a chạy giúp em ticket sau nhé ạ.  Thông tin database saas_tpay:  pay-tidb.int.onemount.com:4000/saas_tpay Scripts: UPDATE SOFTPOS_QR_MERCHANT SET MERCHANT_CODE = '74657007' WHERE MERCHANT_CODE = 'MERCHANTT6LY5';
UPDATE SOFTPOS_QR_MERCHANT SET MERCHANT_CODE = '74899360' WHERE MERCHANT_CODE = 'MERCHANTPW2CJ';
UPDATE SOFTPOS_QR_MERCHANT SET MERCHANT_CODE = '74754370' WHERE MERCHANT_CODE = 'MERCHANT2FGF3';
UPDATE SOFTPOS_QR_MERCHANT SET MERCHANT_CODE = '74417133' WHERE MERCHANT_CODE = 'MERCHANTKNL79';
UPDATE SOFTPOS_QR_MERCHANT SET MERCHANT_CODE = '74625753' WHERE MERCHANT_CODE = 'MERCHANT5JRBY';
UPDATE SOFTPOS_QR_MERCHANT SET MERCHANT_CODE = '36824097' WHERE MERCHANT_CODE = 'MERCHANTAUG6C';
UPDATE SOFTPOS_QR_MERCHANT SET MERCHANT_CODE = '74660018' WHERE MERCHANT_CODE = 'MERCHANTSO6UD';
UPDATE SOFTPOS_QR_MERCHANT SET MERCHANT_CODE = '74907452' WHERE MERCHANT_CODE = 'MERCHANTW9O3C';
UPDATE SOFTPOS_QR_STORE SET MERCHANT_CODE = '74657007' WHERE MERCHANT_CODE = 'MERCHANTT6LY5';
UPDATE SOFTPOS_QR_STORE SET MERCHANT_CODE = '74899360' WHERE MERCHANT_CODE = 'MERCHANTPW2CJ';
UPDATE SOFTPOS_QR_STORE SET MERCHANT_CODE = '74754370' WHERE MERCHANT_CODE = 'MERCHANT2FGF3';
UPDATE SOFTPOS_QR_STORE SET MERCHANT_CODE = '74417133' WHERE MERCHANT_CODE = 'MERCHANTKNL79';
UPDATE SOFTPOS_QR_STORE SET MERCHANT_CODE = '74625753' WHERE MERCHANT_CODE = 'MERCHANT5JRBY';
UPDATE SOFTPOS_QR_STORE SET MERCHANT_CODE = '36824097' WHERE MERCHANT_CODE = 'MERCHANTAUG6C';
UPDATE SOFTPOS_QR_STORE SET MERCHANT_CODE = '74660018' WHERE MERCHANT_CODE = 'MERCHANTSO6UD';
UPDATE SOFTPOS_QR_STORE SET MERCHANT_CODE = '74907452' WHERE MERCHANT_CODE = 'MERCHANTW9O3C';
UPDATE SOFTPOS_QR_TERMINAL SET MERCHANT_CODE = '74417133' WHERE MERCHANT_CODE = 'MERCHANTKNL79';
UPDATE SOFTPOS_QR_TERMINAL SET MERCHANT_CODE = '74625753' WHERE MERCHANT_CODE = 'MERCHANT5JRBY';
UPDATE SOFTPOS_QR_TERMINAL SET MERCHANT_CODE = '36824097' WHERE MERCHANT_CODE = 'MERCHANTAUG6C';
UPDATE SOFTPOS_QR_TERMINAL SET MERCHANT_CODE = '74660018' WHERE MERCHANT_CODE = 'MERCHANTSO6UD';
UPDATE SOFTPOS_QR_TERMINAL SET MERCHANT_CODE = '74907452' WHERE MERCHANT_CODE = 'MERCHANTW9O3C';
UPDATE SOFTPOS_QR_TERMINAL SET MERCHANT_CODE = '74657007' WHERE MERCHANT_CODE = 'MERCHANTT6LY5';
UPDATE SOFTPOS_QR_TERMINAL SET MERCHANT_CODE = '74899360' WHERE MERCHANT_CODE = 'MERCHANTPW2CJ';
UPDATE SOFTPOS_QR_TERMINAL SET MERCHANT_CODE = '74754370' WHERE MERCHANT_CODE = 'MERCHANT2FGF3';
UPDATE SERVICE SET MERCHANT_CODE = '74417133', MERCHANT_REF = '74417133' WHERE MERCHANT_CODE = 'MERCHANTKNL79';
UPDATE SERVICE SET MERCHANT_CODE = '74625753', MERCHANT_REF = '74625753' WHERE MERCHANT_CODE = 'MERCHANT5JRBY';
UPDATE SERVICE SET MERCHANT_CODE = '36824097', MERCHANT_REF = '36824097' WHERE MERCHANT_CODE = 'MERCHANTAUG6C';
UPDATE SERVICE SET MERCHANT_CODE = '74660018', MERCHANT_REF = '74660018' WHERE MERCHANT_CODE = 'MERCHANTSO6UD';
UPDATE SERVICE SET MERCHANT_CODE = '74907452', MERCHANT_REF = '74907452' WHERE MERCHANT_CODE = 'MERCHANTW9O3C';
UPDATE SERVICE SET MERCHANT_CODE = '74657007', MERCHANT_REF = '74657007' WHERE MERCHANT_CODE = 'MERCHANTT6LY5';
UPDATE SERVICE SET MERCHANT_CODE = '74899360', MERCHANT_REF = '74899360' WHERE MERCHANT_CODE = 'MERCHANTPW2CJ';
UPDATE SERVICE SET MERCHANT_CODE = '74754370', MERCHANT_REF = '74754370' WHERE MERCHANT_CODE = 'MERCHANT2FGF3';</t>
  </si>
  <si>
    <t>[MAG][IOTek][MCM][PROD] Thay đổi tên table trong dự án MCM</t>
  </si>
  <si>
    <t>2025-12-23T12:20:32.853+0700</t>
  </si>
  <si>
    <t>2025-12-23T14:23:09.491+0700</t>
  </si>
  <si>
    <t>IP (Host):   ces-production.crcykac8kxtw.ap-southeast-1.rds.amazonaws.com Port:   3306 DB Name:   mcm_storage Command:   ALTER TABLE casbin_rule RENAME TO casbin_rule_old;
CREATE TABLE casbin_rule LIKE casbin_rule_old;</t>
  </si>
  <si>
    <t>[BackuptoDC] Backup DB onehs_user_profile về dưới DC</t>
  </si>
  <si>
    <t>2025-12-23T12:09:03.870+0700</t>
  </si>
  <si>
    <t>2025-12-23T12:46:21.438+0700</t>
  </si>
  <si>
    <t>Dạ do nhu cầu cần thực hiện backup thêm DB onehs_user_profile từ Cloud về dưới DC (theo flow backup 7 DB chứa dữ liệu PSII,  chi tiết ) , nên nhờ các anh hỗ trợ dump data để team kéo về DC ạ Thông tin DB: DB name: onehs_user_profile Hosts:  1housing.8j11t.gcp.mongodb.net:27017 1housing-shard-00-01.8j11t.gcp.mongodb.net:27017 1housing-shard-00-00.8j11t.gcp.mongodb.net:27017 1housing-shard-00-02.8j11t.gcp.mongodb.net:27017 Nơi lưu trữ: dưới DC</t>
  </si>
  <si>
    <t>[OMC][MFT][Flash Sale TCB] scale up resource database campaign 22/12/2025</t>
  </si>
  <si>
    <t>2025-12-23T11:16:27.161+0700</t>
  </si>
  <si>
    <t>2025-12-23T11:16:44.524+0700</t>
  </si>
  <si>
    <t>Database, FlashSale</t>
  </si>
  <si>
    <t>Checklist:    CR:  https://vinid-team.atlassian.net/browse/SH-67696</t>
  </si>
  <si>
    <t>[B2B_OFS][PROD] update length column dc trong bảng wms_master_data_mapping</t>
  </si>
  <si>
    <t>2025-12-22T17:18:32.407+0700</t>
  </si>
  <si>
    <t>2025-12-22T17:18:57.896+0700</t>
  </si>
  <si>
    <t>Để phục vụ các yêu cầu mapping kho và các ngành hàng tương ứng nên team cần update thêm độ dài hiện tại của cột dc trong bảng wms_master_data_mapping. Vậy nhờ anh update độ dài cột giúp em theo theo script SQL sau :  ALTER TABLE `b2b_ofs`.`wms_master_data_mapping` 
CHANGE COLUMN `dc` `dc` VARCHAR(2000) NULL DEFAULT NULL ; Thời gian thực hiện 2025-12-22 22:00 Thông tb db : schema:  b2b_ofs project: vinid-b2b-platform-prod instance: main-integration Master IP:  172.31.1.143 Thanks anh ạ!!!!</t>
  </si>
  <si>
    <t>2025-12-22T16:14:27.012+0700</t>
  </si>
  <si>
    <t>2025-12-22T16:42:37.047+0700</t>
  </si>
  <si>
    <t>[Saitama] Release 20/12/2025</t>
  </si>
  <si>
    <t>2025-12-21T19:59:20.576+0700</t>
  </si>
  <si>
    <t>2025-12-21T19:59:29.622+0700</t>
  </si>
  <si>
    <t>Hi a  @Nguyễn Văn Dũng  nhờ a chạy script theo mô tả  dưới đây ở môi trường PRODUCTION theo thông tin dưới đây ạ: Thời gian chạy script: Vào lúc  23h59p ngày 20/12/2025 (0h00p ngày 21/12/2025)  -  Khi team thông báo    Thông tin database saas_tpay:  pay-tidb.int.onemount.com:4000/saas_tpay ALTER TABLE SOFTPOS_QR_STORE
    ADD COLUMN INDUSTRY VARCHAR(200) COLLATE utf8mb4_unicode_ci DEFAULT NULL;
INSERT INTO STEP_CONFIG (code, step_group, name, status, is_display, "order", created_at, onboarding_flow)
VALUES ('SOFTPOS_ONBOARD_REGISTER_STAFF_EMAIL', 'SOFTPOS_ONBOARD_VERIFY_ONBOARD',
        'SOFTPOS_ONBOARD_REGISTER_STAFF_EMAIL', 'ACTIVE', 1, 2, CURRENT_TIMESTAMP, 'SOFTPOS_QR_CARD');</t>
  </si>
  <si>
    <t>[UPAY][PROD] Private config chỉ chấp nhận thanh toán thẻ tín dụng TCB</t>
  </si>
  <si>
    <t>2025-12-21T19:57:40.363+0700</t>
  </si>
  <si>
    <t>2025-12-21T19:57:51.280+0700</t>
  </si>
  <si>
    <t>Hi a  @Nguyễn Văn Dũng  nhờ a chạy script theo mô tả  dưới đây ở môi trường PRODUCTION theo thông tin dưới đây ạ: Thời gian chạy script: Vào lúc  01h00 ngày 21/12/2025   - Khi team thông báo Thông tin database saas_tpay:  pay-tidb.int.onemount.com:4000/saas_tpay CR Ticket:    Script: Em sẽ bổ sung sau ạ</t>
  </si>
  <si>
    <t>[Merchant-TCB] Hỗ trợ cập nhật dữ liệu 20251220</t>
  </si>
  <si>
    <t>2025-12-20T22:44:06.196+0700</t>
  </si>
  <si>
    <t>2025-12-20T22:44:10.930+0700</t>
  </si>
  <si>
    <t>Dear team, Nhờ team hỗ trợ import thêm dữ liệu đơn vị hành chính theo file đính kèm Thông tin database https://console.cloud.google.com/sql/instances/merchant-tcb/overview?inv=1&amp;invt=AbsndA&amp;project=vinid-merchant-prod DB_MYSQL_HOST=172.31.4.108
DB_MYSQL_DATABASE=merchant_service_tcb Câu lệnh Import thêm vào bảng  tcb_address_master Thời gian 23h ngày 20/12/2025</t>
  </si>
  <si>
    <t>2025-12-20T22:36:20.019+0700</t>
  </si>
  <si>
    <t>2025-12-20T22:36:36.690+0700</t>
  </si>
  <si>
    <t>Dear anh  @Nguyễn Văn Dũng  , nhờ anh chạy giúp em script sau: -- DB: 172.31.1.21:3306
-- Schema: mtp_martech_profile
-- {"AND":[{"attribute":"cst_loyalty_tier","operator":"=","data_type":"STRING","value":"INS"},{"attribute":"cst_member_type","operator":"=","data_type":"STRING","value":"ETB"}]}
UPDATE mtp_anonymous_profile_segmentation_job
SET external_properties = '{"AND":[{"data_type":"STRING","label_code":"customer_tcb_member_type","label_value":"ETB","operator":"=","operator_expr":""},{"data_type":"DATE","label_code":"hv_tt_link_acc_days","label_value":"","operator":"","operator_expr":"CAST(hv_tt_link_acc_days AS DATE) &lt; ''2025-12-17''"},{"data_type":"STRING","label_code":"customer_tcb_tier","label_value":"INS","operator":"=","operator_expr":""}]}'
WHERE id = 'b4e332ec-fe81-49aa-a7c6-b1a2d28f074cz';
-- {"OR":[{"data_type":"STRING","label_code":"customer_tcb_member_type","label_value":"NTB","operator":"!=","operator_expr":""},{"data_type":"STRING","label_code":"customer_tcb_tier","label_value":"INS","operator":"!=","operator_expr":""}]}
UPDATE mtp_anonymous_profile_segmentation_job
SET external_properties = '{"AND":[{"AND":[{"data_type":"DATE","label_code":"hv_tt_link_acc_days","label_value":"2025-12-17","operator":"","operator_expr":"CAST(hv_tt_link_acc_days AS DATE) &lt; ''2025-12-17''"}]},{"OR":[{"data_type":"STRING","label_code":"customer_tcb_member_type","label_value":"NTB","operator":"!=","operator_expr":""},{"data_type":"STRING","label_code":"customer_tcb_tier","label_value":"INS","operator":"!=","operator_expr":""}]}]}'
WHERE id = '8758e8bd-2cda-4505-bf30-c5c751077125';
-- {"AND":[{"attribute":"cst_member_type","operator":"=","data_type":"STRING","value":"NTB"}]}
UPDATE mtp_anonymous_profile_segmentation_job
SET external_properties = '{"AND":[{"data_type":"STRING","label_code":"customer_tcb_member_type","label_value":"NTB","operator":"=","operator_expr":""},{"data_type":"DATE","label_code":"hv_tt_link_acc_days","label_value":"","operator":"","operator_expr":"CAST(hv_tt_link_acc_days AS DATE) &lt; ''2025-12-17''"}]}',
properties = '{}'
WHERE id = '8f93582d-c61b-4c71-8764-e5aad5430a5b'; Best regards Dinh Quang Nguyen</t>
  </si>
  <si>
    <t>[OMC][Prod] Update disccount item info for voucher 20/12</t>
  </si>
  <si>
    <t>2025-12-20T22:34:16.249+0700</t>
  </si>
  <si>
    <t>2025-12-20T22:36:57.936+0700</t>
  </si>
  <si>
    <t>Hi anh  @Nguyễn Văn Dũng  , Nhờ anh chạy giúp thông tin dưới đây: IP:  172.31.1.41 Database:   vincart_mm_product Script: INSERT INTO `entity_attributes_values` (`attribute_id`, `value`, `name`, `created_at`, `updated_at`, `entity_id`, `type`) VALUES ('60', '{"item_status":"SUCCESS","item_id":6868,"item_code":"DOTCB25345Ps1","merchant_code":"DOTCB25345Ps1","campaign_code":"CP24","voucher_code":"VD_VC_1765904408535","effective_from":1765499400,"effective_to":1767141000}', 'discount_item', now(), now(), '1049145', 'VARIANT');
INSERT INTO `entity_attributes_values` (`attribute_id`, `value`, `name`, `created_at`, `updated_at`, `entity_id`, `type`) VALUES ('60', '{"item_status":"SUCCESS","item_id":6869,"item_code":"MCL0XKAYLVUGZ","merchant_code":"MCL0XKAYLVUGZ","campaign_code":"CP24","voucher_code":"VD_VC_1765904402944","effective_from":1765499400,"effective_to":1767141000}', 'discount_item', now(), now(), '1049127', 'VARIANT');
INSERT INTO `entity_attributes_values` (`attribute_id`, `value`, `name`, `created_at`, `updated_at`, `entity_id`, `type`) VALUES ('60', '{"item_status":"SUCCESS","item_id":6870,"item_code":"MCL0WG63M30VB","merchant_code":"MCL0WG63M30VB","campaign_code":"CP25","voucher_code":"VD_VC_1765990813238","effective_from":1765499400,"effective_to":1767141000}', 'discount_item', now(), now(), '1050644', 'VARIANT');
INSERT INTO `entity_attributes_values` (`attribute_id`, `value`, `name`, `created_at`, `updated_at`, `entity_id`, `type`) VALUES ('60', '{"item_status":"SUCCESS","item_id":6871,"item_code":"DOTCB253490rL","merchant_code":"DOTCB253490rL","campaign_code":"CP26","voucher_code":"VD_VC_1766077214034","effective_from":1765499400,"effective_to":1767141000}', 'discount_item', now(), now(), '1052331', 'VARIANT');
INSERT INTO `entity_attributes_values` (`attribute_id`, `value`, `name`, `created_at`, `updated_at`, `entity_id`, `type`) VALUES ('60', '{"item_status":"SUCCESS","item_id":6872,"item_code":"MCL0MUXBS64O5","merchant_code":"MCL0MUXBS64O5","campaign_code":"CP26","voucher_code":"VD_VC_1766077207336","effective_from":1765499400,"effective_to":1767141000}', 'discount_item', now(), now(), '1052310', 'VARIANT');
INSERT INTO `entity_attributes_values` (`attribute_id`, `value`, `name`, `created_at`, `updated_at`, `entity_id`, `type`) VALUES ('60', '{"item_status":"SUCCESS","item_id":6873,"item_code":"DOTCB25351tJg","merchant_code":"DOTCB25351tJg","campaign_code":"CP26","voucher_code":"VD_VC_1766077206401","effective_from":1765499400,"effective_to":1767141000}', 'discount_item', now(), now(), '1052307', 'VARIANT');
INSERT INTO `entity_attributes_values` (`attribute_id`, `value`, `name`, `created_at`, `updated_at`, `entity_id`, `type`) VALUES ('60', '{"item_status":"SUCCESS","item_id":6874,"item_code":"MCL00UAQWW41F","merchant_code":"MCL00UAQWW41F","campaign_code":"CP26","voucher_code":"VD_VC_1766077201421","effective_from":1765499400,"effective_to":1767141000}', 'discount_item', now(), now(), '1052298', 'VARIANT');
INSERT INTO `entity_attributes_values` (`attribute_id`, `value`, `name`, `created_at`, `updated_at`, `entity_id`, `type`) VALUES ('60', '{"item_status":"SUCCESS","item_id":6875,"item_code":"MCL048T4VLJ3J","merchant_code":"MCL048T4VLJ3J","campaign_code":"CP27","voucher_code":"VD_VC_1766163613525","effective_from":1765499400,"effective_to":1767141000}', 'discount_item', now(), now(), '1053656', 'VARIANT');   IP:  172.31.4.10 Database:  ecom_data_analytics Script: UPDATE `ops_voucher_views` SET `discount_item` = '{"item_status":"SUCCESS","item_id":6868,"item_code":"DOTCB25345Ps1","merchant_code":"DOTCB25345Ps1","campaign_code":"CP24","voucher_code":"VD_VC_1765904408535","effective_from":1765499400,"effective_to":1767141000}' WHERE `ops_voucher_views`.`variant_id` = 1049145;
UPDATE `ops_voucher_views` SET `discount_item` = '{"item_status":"SUCCESS","item_id":6869,"item_code":"MCL0XKAYLVUGZ","merchant_code":"MCL0XKAYLVUGZ","campaign_code":"CP24","voucher_code":"VD_VC_1765904402944","effective_from":1765499400,"effective_to":1767141000}' WHERE `ops_voucher_views`.`variant_id` = 1049127;
UPDATE `ops_voucher_views` SET `discount_item` = '{"item_status":"SUCCESS","item_id":6870,"item_code":"MCL0WG63M30VB","merchant_code":"MCL0WG63M30VB","campaign_code":"CP25","voucher_code":"VD_VC_1765990813238","effective_from":1765499400,"effective_to":1767141000}' WHERE `ops_voucher_views`.`variant_id` = 1050644;
UPDATE `ops_voucher_views` SET `discount_item` = '{"item_status":"SUCCESS","item_id":6871,"item_code":"DOTCB253490rL","merchant_code":"DOTCB253490rL","campaign_code":"CP26","voucher_code":"VD_VC_1766077214034","effective_from":1765499400,"effective_to":1767141000}' WHERE `ops_voucher_views`.`variant_id` = 1052331;
UPDATE `ops_voucher_views` SET `discount_item` = '{"item_status":"SUCCESS","item_id":6872,"item_code":"MCL0MUXBS64O5","merchant_code":"MCL0MUXBS64O5","campaign_code":"CP26","voucher_code":"VD_VC_1766077207336","effective_from":1765499400,"effective_to":1767141000}' WHERE `ops_voucher_views`.`variant_id` = 1052310;
UPDATE `ops_voucher_views` SET `discount_item` = '{"item_status":"SUCCESS","item_id":6873,"item_code":"DOTCB25351tJg","merchant_code":"DOTCB25351tJg","campaign_code":"CP26","voucher_code":"VD_VC_1766077206401","effective_from":1765499400,"effective_to":1767141000}' WHERE `ops_voucher_views`.`variant_id` = 1052307;
UPDATE `ops_voucher_views` SET `discount_item` = '{"item_status":"SUCCESS","item_id":6874,"item_code":"MCL00UAQWW41F","merchant_code":"MCL00UAQWW41F","campaign_code":"CP26","voucher_code":"VD_VC_1766077201421","effective_from":1765499400,"effective_to":1767141000}' WHERE `ops_voucher_views`.`variant_id` = 1052298;
UPDATE `ops_voucher_views` SET `discount_item` = '{"item_status":"SUCCESS","item_id":6875,"item_code":"MCL048T4VLJ3J","merchant_code":"MCL048T4VLJ3J","campaign_code":"CP27","voucher_code":"VD_VC_1766163613525","effective_from":1765499400,"effective_to":1767141000}' WHERE `ops_voucher_views`.`variant_id` = 1053656;  </t>
  </si>
  <si>
    <t>[UPAY][NON-PROD] Private config chỉ chấp nhận thanh toán thẻ tín dụng TCB, thêm logo brand cho merchant</t>
  </si>
  <si>
    <t>2025-12-20T18:51:16.960+0700</t>
  </si>
  <si>
    <t>2025-12-20T18:51:28.537+0700</t>
  </si>
  <si>
    <t>Hi a  @Nguyễn Văn Dũng  nhờ a chạy script theo mô tả  dưới đây ở môi trường Staging theo thông tin dưới đây ạ: Thời gian chạy script:  Khi team thông báo Thông tin database saas_tpay:  tidb.int.onemount.dev:4000/vinpay_saas_tpay_staging CR Ticket:  Script:  ALTER TABLE ECOM_MERCHANT_CONFIG
    ADD COLUMN brand_logo varchar(255) NULL;</t>
  </si>
  <si>
    <t>[UPAY][NON-PROD] Private config chỉ chấp nhận thanh toán thẻ tín dụng TCB</t>
  </si>
  <si>
    <t>2025-12-20T18:50:34.029+0700</t>
  </si>
  <si>
    <t>2025-12-20T18:50:47.707+0700</t>
  </si>
  <si>
    <t>Hi a  @Nguyễn Văn Dũng  nhờ a chạy script theo mô tả  dưới đây ở môi trường NON-PRODUCTION theo thông tin dưới đây ạ: Thời gian chạy script: Vào lúc  Sau khi approve Thông tin database saas_tpay:  tidb.int.onemount.dev:4000/vinpay_saas_tpay_staging CR Ticket:    Script: Em sẽ bổ sung sau ạ</t>
  </si>
  <si>
    <t>Mở quyền query cho account team 247 query trên db noti V2</t>
  </si>
  <si>
    <t>2025-12-20T11:24:25.966+0700</t>
  </si>
  <si>
    <t>2025-12-20T11:35:34.597+0700</t>
  </si>
  <si>
    <t>Dear. Dũng Nhờ em tạo add giúp IT 247(đã có group member) trên db này với với: 172.31.4.103  auth_om sếp  @Nguyễn Trần Thành Nhật  confirm giúp em với nhé</t>
  </si>
  <si>
    <t>2025-12-20T10:56:41.464+0700</t>
  </si>
  <si>
    <t>2025-12-20T11:57:53.852+0700</t>
  </si>
  <si>
    <t>Dear anh  @Nguyễn Văn Dũng  , Team em có nhu cầu cập nhật dữ liệu, nhờ team chạy script sau giúp em ạ.  Thời gian chạy:   Team có thể chạy ngay giúp em ạ. Thông tin DB:   omc-mtp-tidb.int.onemount.com:4000 / omc_merchant_loyalty Script:   update omc_merchant_loyalty.contract set sales_agent = 'tinhtv2@techcombank.com.vn' where id = 2049; Ref :  https://chat.google.com/room/AAQAtRBds7U/HdbRTEgyJDg/HdbRTEgyJDg?cls=10 Thanks anh.</t>
  </si>
  <si>
    <t>Cấp quyền update trên db voucher</t>
  </si>
  <si>
    <t>2025-12-20T10:24:40.055+0700</t>
  </si>
  <si>
    <t>2025-12-20T10:24:44.106+0700</t>
  </si>
  <si>
    <t>Dear. Team Nhờ mọi người add giúp quyền update trên mấy bảng này của db voucher nhằm hỗ trợ vận hành với nhé onevc_vsm_prod.sale + onevc_vwm_prod.warehouse b2b_voucher_distribution.sale_order_item Cảm ơn,</t>
  </si>
  <si>
    <t>[OMD-MH_SCM] - Tạo kafka topic cho dự án MAG_SCM trên môi trường Nonprod (Bổ sung)</t>
  </si>
  <si>
    <t>2025-12-20T10:22:46.846+0700</t>
  </si>
  <si>
    <t>2025-12-20T12:20:09.227+0700</t>
  </si>
  <si>
    <t>Dear các anh, Nhờ các anh DBA kafka toptic để ingest dữ liệu cho dự án  SCM MAG  trên môi trường  NONPROD  với thông tin như sau: Dữ liệu MDM Host 172.31.0.68 Database/Schema omd_mdm_qc Tables: contractprojectmapping Em cảm ơn ạ.</t>
  </si>
  <si>
    <t>[PROD] [VCM] Chạy script update voucher_accepted_store</t>
  </si>
  <si>
    <t>2025-12-20T10:06:12.365+0700</t>
  </si>
  <si>
    <t>2025-12-20T10:06:18.632+0700</t>
  </si>
  <si>
    <t>Dear DBA team,  Do Merchant Vinmart có rất nhiều store. VH muốn sản phẩm này appied all store. Nếu sự dụng fire event update store thì sẽ gặp vấn đề lưu trữ lớn log và nhiều message. Nhờ a/e hỗ trợ chạy lệnh xóa attribute  voucher_accepted_store  trong bảng  vincart_mm_product.entity_attributes_values Cho voucher  VD_VC_1760009238214  id là  1012417 Thông tin db: IP: 172.31.1.41
Bảng: vincart_mm_product.entity_attributes_values Script: select * from vincart_mm_product.entity_attributes_values where entity_id=1012417 and type='VARIANT' and name = 'voucher_accepted_stores';
- backup dòng select.
delete from vincart_mm_product.entity_attributes_values where id = {id} lấy ở lệnh trên</t>
  </si>
  <si>
    <t>Cập nhật lại tên kho M019 từ  OCP2_CT2_ECB --&gt; OCP2_CT1_ECB</t>
  </si>
  <si>
    <t>2025-12-20T09:51:02.001+0700</t>
  </si>
  <si>
    <t>2025-12-20T09:51:07.258+0700</t>
  </si>
  <si>
    <t>Hi DBA team, Hiện tại nghiệp vụ có nhu cầu cập nhật lại tên kho M019 theo nhu cầu vận hành Câu query đánh giá là không ảnh hưởng đến vận hành hệ thống nên mong muốn chạy luôn Cụm WMS Project : vinid-b2b-platform-prod Instance/IP : main (read-write): 172.31.4.59 Port : 3306 Database : omd_wms_core Script update base_dc bd set bd.dc_name = 'OCP2_CT1_ECB' where bd.dc_code = 'M019'; Cum WES Project : vinid-b2b-platform-prod Instance/IP : main (read-write): 172.31.1.143 Port : 3306 Database : wes_master Script : update warehouse w set w.name = 'OCP2_CT1_ECB' where w.code = 'M019';</t>
  </si>
  <si>
    <t>Hỗ trợ tạo dữ liệu mở kho: 8125 - PACK&amp;GO MN</t>
  </si>
  <si>
    <t>2025-12-20T09:49:22.566+0700</t>
  </si>
  <si>
    <t>2025-12-20T09:49:27.690+0700</t>
  </si>
  <si>
    <t>Hi DBA team, Hiện tại nghiệp vụ có nhu cầu mở mới kho 8125 - PACK&amp;GO MN,  nhờ team DBA hỗ trợ cập nhật giá trị theo thông tin dưới đây.    Câu query đánh giá là có thể ảnh hưởng đến vận hành hệ thống nên mong muốn chạy vào thời gian vận hành thấp điểm (từ 22h-2h sáng). Cụm WMS Project : vinid-b2b-platform-prod Instance/IP : main (read-write): 172.31.4.59 Port : 3306 Database : omd_wms_core Script : file  omd_wms_core_8125.sql  trong file đính kèm Cum WES Project : vinid-b2b-platform-prod Instance/IP : main (read-write): 172.31.1.143 Port : 3306 Database : wes_master Script : file  wes_master_8125.sql  trong file đính kèm</t>
  </si>
  <si>
    <t>[OMC][OneU][Prod] Update và add thêm bảng mới AuthenSDK</t>
  </si>
  <si>
    <t>2025-12-19T22:23:12.522+0700</t>
  </si>
  <si>
    <t>2025-12-19T22:38:30.541+0700</t>
  </si>
  <si>
    <t>Nhờ team chạy giúp em ticket này để phục vụ golive ngày 19/12/2025 ạ Thời gian chạy: 22h ngày 19/12/2025 CR:    ALTER TABLE applications ADD COLUMN vneid_login_enabled boolean DEFAULT false;
	CREATE TABLE vneid_login
(
    id              SERIAL PRIMARY KEY,
    user_id         INTEGER      NOT NULL,
    identify_number VARCHAR(255) NOT NULL,
    channel         VARCHAR(50)  NOT NULL,
    identify_type   VARCHAR(50)  NOT NULL,
    account_level   INTEGER      NOT NULL,
    dob             INTEGER      NOT NULL,
    full_name       VARCHAR(255) NOT NULL,
    created_at      TIMESTAMP DEFAULT CURRENT_TIMESTAMP,
    updated_at      TIMESTAMP DEFAULT CURRENT_TIMESTAMP
);
CREATE UNIQUE INDEX identify_number_channel_uniq ON vneid_login (identify_number, channel);
CREATE TABLE vneid_login_log
(
    id                      SERIAL PRIMARY KEY,
    user_id                 VARCHAR(50)  DEFAULT NULL,
    identify_number_hashed  VARCHAR(255) DEFAULT NULL,
    identify_number_encoded VARCHAR(255) DEFAULT NULL,
    channel                 VARCHAR(50) NOT NULL,
    status                  VARCHAR(50) NOT NULL,
    detail                  VARCHAR(255) DEFAULT NULL,
    created_at              TIMESTAMP    DEFAULT CURRENT_TIMESTAMP,
    updated_at              TIMESTAMP    DEFAULT CURRENT_TIMESTAMP
); Em cảm ơn!</t>
  </si>
  <si>
    <t>[OMC][OneU] Update database Merchant App phục vụ golive</t>
  </si>
  <si>
    <t>2025-12-19T18:08:28.713+0700</t>
  </si>
  <si>
    <t>2025-12-19T18:11:14.917+0700</t>
  </si>
  <si>
    <t xml:space="preserve">Nhờ team add thêm field phục vụ golive: Thời gian chạy: 21h ngày 19/12/2025 Release plan:     CR :    Thông tin: Database MySQL: merchant_app Instance ID:  https://console.cloud.google.com/sql/instances/main/databases?project=vinid-service-platform-prod Thêm field: câu lệnh SQL: alter table merchant_onboards
    add column `sale_phone_number` VARCHAR(127); Em cảm ơn. </t>
  </si>
  <si>
    <t xml:space="preserve">Cung cấp tài khoản db production cho đội IT247  </t>
  </si>
  <si>
    <t>2025-12-19T16:59:34.981+0700</t>
  </si>
  <si>
    <t>2025-12-19T17:16:32.240+0700</t>
  </si>
  <si>
    <t>Hiện tại có nhiều ticket từ phía BQL, cư dân đang cần thao tác trên hệ thống 24/7. Để đảm bảo dịch vụ được thông suốt thì MPM sẽ được bên IT247 hỗ trợ các ticket đã được chuyển giao tại đây    Nhờ DBA tạo giúp các tài khoản truy cập db cho các account dưới đây để bên IT247 có thể hỗ trợ dự án . Thông tin DB:  Name: mpm-prod Cloud: aws  Endpoint:  mpm-prod.crcykac8kxtw.ap-southeast-1.rds.amazonaws.com Port: 3306  Link console:  https://ap-southeast-1.console.aws.amazon.com/rds/home?region=ap-southeast-1#database:id=mpm-prod;is-cluster=false nhatntt@onemount.com thanhdv19@onemount.com dungnt96@onemount.com huong.le3@onemount.com tung.hoang2@onemount.com kien.nguyen12@onemount.com hoang.phan@onemount.com cuong.nguyen8@onemount.com hoa.phan@onemount.com</t>
  </si>
  <si>
    <t>[OMC][GAMI][OneU][Prod] Hỗ trợ migration data cho campaign Đổi điểm Vietnam AirLine</t>
  </si>
  <si>
    <t>2025-12-19T15:39:01.741+0700</t>
  </si>
  <si>
    <t>2025-12-19T15:39:16.358+0700</t>
  </si>
  <si>
    <t>Gami-Campaign</t>
  </si>
  <si>
    <t>Hỗ trợ migration data cho campaign Đổi điểm Vietnam AirLine Host:  172.31.1.19 DB: pe_rule_engine INSERT INTO `rule_templates`(`id`, `name`, `code`, `description`, `payload`, `is_active`, `created_at`, `updated_at`) VALUES (48,'TOPUP - Save merchant account info','TOPUP_SAVE_MERCHANT_INFO','Save merchant account info','{\"id\":\"e88de30c-1b81-4b5c-ad12-9ce5a0caf5d2\",\"source\":\"oneu_service\",\"timestamp\":1765957634661590000,\"event\":\"SaveMerchantInfo\",\"user_id\":\"1857485892\",\"payload\":{\"merchant_code\":\"0a3fd113-5739-4968-99b3-3806e7dc9532\",\"rate_code\":\"OMC_UPOINT_VNA_MILES\",\"extra_data\":{\"member_no\":\"9550435730\",\"full_name\":\"KHOA VU ANH\",\"first_save\":true,\"id\":\"\"}}}',1,'2025-12-17 16:06:58','2025-12-17 16:06:58');
INSERT INTO `rule_template_job`(`id`, `module_name`, `rule_template_id`, `job_id`, `created_at`, `updated_at`) VALUES (48,'TOPUP_SAVE_MERCHANT_INFO',48,1,'2025-12-17 16:06:58','2025-12-17 16:06:58');
INSERT INTO `topic_mapping`(`id`, `topic`, `module`, `created_at`, `updated_at`) VALUES (48,'oneloyalty-event-save-merchant-info-uat','TOPUP_SAVE_MERCHANT_INFO','2025-12-17 16:06:58','2025-12-17 16:06:58');</t>
  </si>
  <si>
    <t>[PROD] Chạy câu lệnh SQL hỗ trợ golive ngày 20/12</t>
  </si>
  <si>
    <t>2025-12-19T15:11:37.129+0700</t>
  </si>
  <si>
    <t>2025-12-19T15:16:44.558+0700</t>
  </si>
  <si>
    <t>Dear anh Linh, Nhờ anh chạy các câu lệnh SQL dưới đây để ngày 20/12 team thực hiện golive nhé ạ Project: vinid-service-platform-prod
IP: 172.31.1.12
DB name: account_profile_service SQL: CREATE TABLE `user_tags`
(
    `id`         BIGINT UNSIGNED     NOT NULL AUTO_INCREMENT,
    `user_id`    VARCHAR(255) UNIQUE NOT NULL,
    `tags`       JSON     DEFAULT NULL,
    `created_at` DATETIME DEFAULT CURRENT_TIMESTAMP,
    `updated_at` DATETIME DEFAULT CURRENT_TIMESTAMP ON UPDATE CURRENT_TIMESTAMP,
    PRIMARY KEY (`id`)
) ENGINE = InnoDB
  DEFAULT CHARSET = utf8mb4
  COLLATE = utf8mb4_unicode_ci; Em cảm ơn anh</t>
  </si>
  <si>
    <t>Hỗ trợ tạo dữ liệu mở lại kho 8118 - Sơn Tây</t>
  </si>
  <si>
    <t>2025-12-19T14:55:14.042+0700</t>
  </si>
  <si>
    <t>2025-12-19T14:55:28.175+0700</t>
  </si>
  <si>
    <t>Hi DBA team, Hiện tại nghiệp vụ có nhu cầu mở mới kho 8118 - Sơn Tây,  nhờ team DBA hỗ trợ cập nhật giá trị theo thông tin dưới đây.   Câu query đánh giá là có thể ảnh hưởng đến vận hành hệ thống nên mong muốn chạy vào thời gian vận hành thấp điểm (từ 22h-2h sáng). Cụm WMS Project : vinid-b2b-platform-prod Instance/IP : main (read-write): 172.31.4.59 Port : 3306 Database : omd_wms_core Script : file  omd_wms_core_8118.sql  trong file đính kèm Cum WES Project : vinid-b2b-platform-prod Instance/IP : main (read-write): 172.31.1.143 Port : 3306 Database : wes_master Script : file  wes_master_8118.sql  trong file đính kèm</t>
  </si>
  <si>
    <t>[VCM][Prod] [2025/12/20] Release plan</t>
  </si>
  <si>
    <t>2025-12-19T14:17:22.834+0700</t>
  </si>
  <si>
    <t>2025-12-19T14:17:35.526+0700</t>
  </si>
  <si>
    <t>Hi a Dũng, Nhờ anh chạy giúp em thông tin dưới đây: Tạo database  ecom_context  và chạy scripts Project: vincart-prod Instance: ecom-medium-mysql IP: 	172.31.4.9 Database name:  ecom_context Script migration:   ecom_context.sql Chạy script migration cho ecom_rule_engine Instance: ecom-medium-mysql IP: 	172.31.4.9 Database name:  ecom_rule_engine Script migration:  ecom_rule_engine .sql Chạy script migration cho vincart_mm_product Instance: main IP: 	172.31.4.9 Database name:  vincart_mm_product Script migration:  vincart_mm_product .sql</t>
  </si>
  <si>
    <t>[OMC][VCM][NonProd] Tạo discount database for smartpos</t>
  </si>
  <si>
    <t>2025-12-19T11:23:25.623+0700</t>
  </si>
  <si>
    <t>2025-12-19T14:30:29.815+0700</t>
  </si>
  <si>
    <t>Hi a  @Nguyễn Văn Dũng , a hỗ trợ tao giúp em discount database for smartpos trên pt với ạ. Instances:  https://console.cloud.google.com/sql/instances/loadtest-main/overview?inv=1&amp;invt=Ab08Tw&amp;project=vinid-loyalty-nonprod Thông tin DB discount_smartpos_pt budget_smartpos_pt</t>
  </si>
  <si>
    <t>[OMC][ONEU] [Prod] Update table identity_document_ocr</t>
  </si>
  <si>
    <t>2025-12-19T10:57:06.090+0700</t>
  </si>
  <si>
    <t>2025-12-19T22:38:37.216+0700</t>
  </si>
  <si>
    <t>Nhờ team chạy giúp em ticket này để phục vụ golive ngày 19/12/2025 ạ Thời gian chạy: 22h ngày 19/12/2025 CR:  https://vinid-team.atlassian.net/servicedesk/customer/portal/15/SH-67971?created=true project: vinid-service-platform-prod db: ekyc_service ip: 172.31.1.12 instances: main ALTER TABLE identity_document_ocr
MODIFY COLUMN front_photo_directory varchar(255) null;
ALTER TABLE identity_document_ocr
MODIFY COLUMN rear_photo_directory varchar(255) null;
ALTER TABLE identity_document_ocr
MODIFY COLUMN face_photo_directory varchar(255) null;
ALTER TABLE identity_document_ocr
MODIFY COLUMN ocr_result_updated tinyint(1) null;
ALTER TABLE identity_document_ocr add column extra_data json null;</t>
  </si>
  <si>
    <t>Hỗ trợ tạo dữ liệu mở mới kho 8124 - Minh Việt - Hưng Yên</t>
  </si>
  <si>
    <t>2025-12-18T21:56:44.821+0700</t>
  </si>
  <si>
    <t>2025-12-18T21:56:50.991+0700</t>
  </si>
  <si>
    <t>Hi DBA team, Hiện tại nghiệp vụ có nhu cầu mở mới kho   8124 - Minh Việt - Hưng Yên ,  nhờ team DBA hỗ trợ cập nhật giá trị theo thông tin dưới đây.   Câu query đánh giá là có thể ảnh hưởng đến vận hành hệ thống nên mong muốn chạy vào thời gian vận hành thấp điểm (từ 22h-2h sáng). Cụm WMS Project : vinid-b2b-platform-prod Instance/IP : main (read-write): 172.31.4.59 Port : 3306 Database : omd_wms_core Script : file  omd_wms_core_8124.sql  trong file đính kèm Cum WES Project : vinid-b2b-platform-prod Instance/IP : main (read-write): 172.31.1.143 Port : 3306 Database : wes_master Script : file  wes_master_8124.sql  trong file đính kèm</t>
  </si>
  <si>
    <t>[OMC][LLM] Tạo Database cho hệ thống Tagging Systems</t>
  </si>
  <si>
    <t>2025-12-18T21:13:48.586+0700</t>
  </si>
  <si>
    <t>2025-12-18T21:13:53.562+0700</t>
  </si>
  <si>
    <t>llm</t>
  </si>
  <si>
    <t>Dear anh  @Nguyễn Văn Dũng  , nhờ anh tạo giúp em DB, user service và chạy giúp em script dưới với ạ. DB:  omc-tidb-mtp.int.onemount.com Schema:  omc-llm-taxonomy User:  omc_llm_taxonomy -- omc_llm_taxonomy.llm_taxonomy_profile definition
CREATE TABLE `llm_taxonomy_profile` (
  `id` bigint unsigned NOT NULL AUTO_INCREMENT,
  `user_id` varchar(255) COLLATE utf8mb4_unicode_ci NOT NULL,
  `tag` varchar(255) COLLATE utf8mb4_unicode_ci NOT NULL,
  `score` int DEFAULT NULL,
  `created_at` datetime DEFAULT CURRENT_TIMESTAMP,
  `updated_at` datetime DEFAULT CURRENT_TIMESTAMP ON UPDATE CURRENT_TIMESTAMP,
  PRIMARY KEY (`id`) /*T![clustered_index] CLUSTERED */,
  UNIQUE KEY `uniq_user_tag` (`user_id`,`tag`)
) ENGINE=InnoDB DEFAULT CHARSET=utf8mb4 COLLATE=utf8mb4_unicode_ci AUTO_ID_CACHE=1;
-- omc_llm_taxonomy.llm_taxonomy_request definition
CREATE TABLE `llm_taxonomy_request` (
  `id` bigint unsigned NOT NULL AUTO_INCREMENT,
  `request_id` varchar(255) COLLATE utf8mb4_unicode_ci DEFAULT NULL,
  `tenant_id` bigint unsigned DEFAULT NULL,
  `payload_size` int DEFAULT NULL,
  `operation` varchar(255) COLLATE utf8mb4_unicode_ci DEFAULT NULL,
  `created_at` datetime DEFAULT CURRENT_TIMESTAMP,
  `updated_at` datetime DEFAULT CURRENT_TIMESTAMP ON UPDATE CURRENT_TIMESTAMP,
  `created_date`         date GENERATED ALWAYS AS (date(`created_at`)
  PRIMARY KEY (`id`,`created_date`) /*T![clustered_index] CLUSTERED */
) ENGINE=InnoDB DEFAULT CHARSET=utf8mb4 COLLATE=utf8mb4_unicode_ci AUTO_ID_CACHE=1
PARTITION BY RANGE COLUMNS(`created_date`)
(PARTITION `p2025_12` VALUES LESS THAN ('2026-01-01'),
 PARTITION `p2026_01` VALUES LESS THAN ('2026-02-01'),
 PARTITION `p2026_02` VALUES LESS THAN ('2026-03-01'),
 PARTITION `p2026_03` VALUES LESS THAN ('2026-04-01'),
 PARTITION `p2026_04` VALUES LESS THAN ('2026-05-01'),
 PARTITION `p2026_05` VALUES LESS THAN ('2026-06-01'),
 PARTITION `p2026_06` VALUES LESS THAN ('2026-07-01'),
 PARTITION `p2026_07` VALUES LESS THAN ('2026-08-01'),
 PARTITION `p2026_08` VALUES LESS THAN ('2026-09-01'),
 PARTITION `p2026_09` VALUES LESS THAN ('2026-10-01'),
 PARTITION `p2026_10` VALUES LESS THAN ('2026-11-01'),
 PARTITION `p2026_11` VALUES LESS THAN ('2026-12-01'),
 PARTITION `p2026_12` VALUES LESS THAN ('2027-01-01'));
-- omc_llm_taxonomy.llm_taxonomy_score_rule definition
CREATE TABLE `llm_taxonomy_score_rule` (
  `event` varchar(255) COLLATE utf8mb4_unicode_ci NOT NULL,
  `source` varchar(255) COLLATE utf8mb4_unicode_ci NOT NULL,
  `base_score` int NOT NULL DEFAULT '0',
  `property_paths` json DEFAULT NULL,
  `created_at` timestamp NOT NULL DEFAULT CURRENT_TIMESTAMP,
  `updated_at` timestamp NOT NULL DEFAULT CURRENT_TIMESTAMP ON UPDATE CURRENT_TIMESTAMP,
  PRIMARY KEY (`event`,`source`) /*T![clustered_index] CLUSTERED */
) ENGINE=InnoDB DEFAULT CHARSET=utf8mb4 COLLATE=utf8mb4_unicode_ci;
-- omc_llm_taxonomy.llm_taxonomy_tenant definition
CREATE TABLE `llm_taxonomy_tenant` (
  `id` bigint unsigned NOT NULL AUTO_INCREMENT,
  `name` varchar(255) NOT NULL,
  `auth_key` varchar(255) NOT NULL,
  `status` varchar(20) NOT NULL,
  PRIMARY KEY (`id`) /*T![clustered_index] CLUSTERED */,
  UNIQUE KEY `uk_api_key` (`auth_key`)
) ENGINE=InnoDB DEFAULT CHARSET=utf8mb4 COLLATE=utf8mb4_bin AUTO_ID_CACHE=1;
-- omc_llm_taxonomy.llm_taxonomy_voucher_tags definition
CREATE TABLE `llm_taxonomy_voucher_tags` (
  `voucher_id` bigint NOT NULL,
  `voucher_code` varchar(255) COLLATE utf8mb4_unicode_ci NOT NULL,
  `tags` json DEFAULT NULL,
  `created_at` timestamp NOT NULL DEFAULT CURRENT_TIMESTAMP,
  `updated_at` timestamp NOT NULL DEFAULT CURRENT_TIMESTAMP ON UPDATE CURRENT_TIMESTAMP,
  PRIMARY KEY (`voucher_id`) /*T![clustered_index] CLUSTERED */,
  KEY `idx_tags_` ((cast(`tags` as char(50) array)))
) ENGINE=InnoDB DEFAULT CHARSET=utf8mb4 COLLATE=utf8mb4_unicode_ci; Best regards Dinh Quang Nguyen</t>
  </si>
  <si>
    <t>2025-12-18T21:05:12.666+0700</t>
  </si>
  <si>
    <t>2025-12-19T14:57:40.679+0700</t>
  </si>
  <si>
    <t>Dear team, Team em có nhu cầu cập nhật cấu trúc bảng và dữ liệu, nhờ team chạy script sau giúp em ạ. Trong quá trình golive có thể phát sinh nhu cầu cập nhật dữ liệu nên nhờ team hỗ trợ trong giờ nếu cần ạ. Release Plan :    CR : Team em sẽ gửi lại trong chiều nay ạ. Thời gian chạy:   21h ngày 18/12/2025 Thông tin DB:   omc-mtp-tidb.int.onemount.com:4000 / omc_merchant_loyalty Script:  File đính kèm</t>
  </si>
  <si>
    <t>[OMC][MCL][PROD] Hỗ trợ cập nhật cache - Merchant Loyalty</t>
  </si>
  <si>
    <t>2025-12-18T19:08:03.177+0700</t>
  </si>
  <si>
    <t>2025-12-18T19:08:14.223+0700</t>
  </si>
  <si>
    <t>Dear anh  @Nguyễn Văn Dũng  , Team em có nhu cầu cập nhật cấu trúc bảng và dữ liệu, nhờ team chạy script sau giúp em ạ. Thời gian chạy:   Nhờ team chạy luôn giúp em ạ. Script : DEL merchant_loyalty:total_reservation:campaign:12d7d0ce-8c97-490c-a994-15fec9d41bf8 Thanks anh.</t>
  </si>
  <si>
    <t>2025-12-18T17:57:00.619+0700</t>
  </si>
  <si>
    <t>2025-12-18T17:57:05.074+0700</t>
  </si>
  <si>
    <t>Cấp quyền truy cập DB RIMs prod (quyền select và execute)</t>
  </si>
  <si>
    <t>2025-12-18T16:30:23.997+0700</t>
  </si>
  <si>
    <t>2025-12-18T17:31:03.622+0700</t>
  </si>
  <si>
    <t>Dear anh/chị, nhờ anh/chị cấp quyền truy cập vào Data RIMs ( DB: rimprod, IP: 172.31.4.18 ) trên máy ảo để chạy data Bao gồm quyền select và execute để query data làm báo cáo nội bộ Sao Mộc cho các user huyen.nguyen7@onemount.com thao.tran1@onemount.com Em cảm ơn</t>
  </si>
  <si>
    <t>[OMC][MFT][Flash Sale TCB] Scale down db 18/12/2025</t>
  </si>
  <si>
    <t>2025-12-18T15:46:36.608+0700</t>
  </si>
  <si>
    <t>2025-12-18T15:46:48.104+0700</t>
  </si>
  <si>
    <t>FlashSale</t>
  </si>
  <si>
    <t>CR:      Thơì gian thực hiện: 1AM 18/12/2025     https://console.cloud.google.com/sql/instances/main/overview?project=vincart-prod 172.31.1.41 –  TO  @Nguyễn Tá Lợi :down: Từ: 32 CPUs 64 GB RAM  Xuống: 24 CPUs 47 GB RAM   https://console.cloud.google.com/sql/instances/ecom-medium-mysql/overview?project=vincart-prod  – TO  @Nguyễn Tá Lợi 172.31.4.9 Giữ nguyên v12CPU, 24GB RAM https://console.cloud.google.com/sql/instances/oneloyalty/overview?project=vinid-loyalty-prod 172.31.7.6 –  TO  @Nguyễn Ngọc Thạch   @Former user Giữ nguyên 8 CPUs    16 GB RAM https://console.cloud.google.com/sql/instances/onevoucher/overview?project=vinid-loyalty-prod 172.31.4.126  – TO  @Nguyễn Ngọc Thạch   @Former user Giữ nguyên  8 CPUs        24 GB RAM https://console.cloud.google.com/sql/instances/voucher-distribution/overview?project=vinid-loyalty-prod  – TO  @Nguyễn Ngọc Thạch   @Former user 172.31.4.82 Giữ nguyên  8 CPUs        16 GB RAM https://console.cloud.google.com/sql/instances/postgres-01/overview?authuser=0&amp;project=vinid-service-platform-prod  – TO  @Trần Minh Hoàng   @Nguyễn Đình Quang 172.31.7.11 Giữ nguyên 4 CPUs          8 GB RAM (dự án có yêu cầu khi hạ cấu hình thì vẫn giữ 4 CPUs để chạy hàng ngày)   giữ nguyên nên chắc skip https://console.cloud.google.com/sql/instances/omc-authentication/overview?project=omc-base-platform-prod 172.31.3.40 – TO  @Trần Minh Hoàng Giữ nguyên 4 CPUs          8 GB RAM  giữ nguyên nên chắc skip</t>
  </si>
  <si>
    <t>[DBA - GiaBinh] Cấu hình server sql 2022 và ssas + ad server</t>
  </si>
  <si>
    <t>2025-12-18T14:37:12.358+0700</t>
  </si>
  <si>
    <t>2025-12-18T14:46:53.770+0700</t>
  </si>
  <si>
    <t>Dự án GiaBinh Install database engine and analysis service and PowerBI gateway</t>
  </si>
  <si>
    <t>[DBA-MAG] Clone portal-dev to RDS</t>
  </si>
  <si>
    <t>2025-12-18T14:33:52.846+0700</t>
  </si>
  <si>
    <t>2025-12-18T14:34:31.962+0700</t>
  </si>
  <si>
    <t>DB_NAME=portal_dev DB_HOST= dev-congthongtin-db.masterisehomes.com DB_PORT=40000 DB_USERNAME=devuser DB_PASSWORD=&lt;&gt;</t>
  </si>
  <si>
    <t>[DBA] Create redis with elastic cache for CS-DEV</t>
  </si>
  <si>
    <t>2025-12-18T14:30:58.285+0700</t>
  </si>
  <si>
    <t>2025-12-18T14:35:56.374+0700</t>
  </si>
  <si>
    <t>REDIS_HOST=10.10.15.118 REDIS_PORT=6369 REDIS_PASSWORD= REDIS_PREFIX='cs-dev'</t>
  </si>
  <si>
    <t>[DBA-MAG] Clone SAP-GATEWAY to RDS</t>
  </si>
  <si>
    <t>2025-12-18T14:30:24.941+0700</t>
  </si>
  <si>
    <t>2025-12-18T14:32:54.616+0700</t>
  </si>
  <si>
    <t>DB_NAME=sap_gateway DB_HOST=10.10.15.118 DB_PORT=3306 DB_USERNAME=root DB_PASSWORD=&lt;&gt;</t>
  </si>
  <si>
    <t xml:space="preserve">[DBA] clone CS-DEV to RDS </t>
  </si>
  <si>
    <t>2025-12-18T14:28:28.342+0700</t>
  </si>
  <si>
    <t>2025-12-18T14:29:49.912+0700</t>
  </si>
  <si>
    <t>migrate db từ on-premise lên RDS DB MYSQL, config hiện tại trên on premise DB_CONNECTION=mysql DB_HOST=10.10.15.118 DB_PORT=3306 DB_DATABASE=cs-dev DB_USERNAME=root DB_PASSWORD=</t>
  </si>
  <si>
    <t>2025-12-17T18:10:11.726+0700</t>
  </si>
  <si>
    <t>2025-12-17T18:10:29.930+0700</t>
  </si>
  <si>
    <t>[MTP] Update thông tin segments</t>
  </si>
  <si>
    <t>2025-12-17T16:59:00.549+0700</t>
  </si>
  <si>
    <t>2025-12-17T17:57:44.792+0700</t>
  </si>
  <si>
    <t>Dear anh  @Hà Văn Vượng  , nhờ anh chạy giúp em script sau với ạ -- DB: 172.31.1.21:3306
-- Schema: mtp_martech_profile
UPDATE mtp_martech_profile.mtp_anonymous_profile_segmentation_job
SET display_name = 'Inspire_ETB'
WHERE id = '3745c00d-3108-49ea-8fd5-3cad47e51eb7';
-- DB: omc-tidb-mtp.int.onemount.com
-- Schema: omc_mtp_user_profile
UPDATE omc_mtp_user_profile.identified_profile
SET om_referral_id = 'qc'
WHERE uid IN (1981277, 20258588); Best regards Dinh Quang Nguyen</t>
  </si>
  <si>
    <t>[OMD-MH_SCM] - Tạo kafka topic cho dự án MAG_SCM trên môi trường Nonprod</t>
  </si>
  <si>
    <t>2025-12-17T15:55:48.379+0700</t>
  </si>
  <si>
    <t>2025-12-17T17:18:09.883+0700</t>
  </si>
  <si>
    <t>Dear các anh, Nhờ các anh DBA kafka toptic để ingest dữ liệu cho dự án  SCM MAG  trên môi trường  NONPROD  với thông tin như sau: Dữ liệu MDM Host 172.31.0.68 Database/Schema omd_mdm_qc Tables: BiddingPackage
BOQ
BOQitem
Contract
ContractItem
OrganizationAttribute
OrganizationInProject
OrganizationTemplate
OrganizationType
Product
ProductAttributeTemplate
SOW
WarehouseProductMapping
ProductAttribute
ProductAttributeTemplateOption
ProductTemplate
ProductType Dữ liệu SCC Host 172.31.0.16 Database/Schema sccollab_qc Tables: account
cm_pre_purchase_requisition_detail
cm_pre_purchase_requisition_master
contact
delivery_order
delivery_order_detail
job_title
product_master
product_unit
product_unit_name
purchase_order_detail
purchase_order_good_receipt_master
purchase_order_master
wms_appointment_info cc:  @Phạm Thị Thao   Em cảm ơn ạ.</t>
  </si>
  <si>
    <t>[Merchant-OM] Hỗ trợ cập nhật dữ liệu 20251217</t>
  </si>
  <si>
    <t>2025-12-17T15:53:26.167+0700</t>
  </si>
  <si>
    <t>2025-12-17T15:54:43.553+0700</t>
  </si>
  <si>
    <t>Dear team, Nhờ team chạy giúp câu lệnh bên dưới ạ. Thông tin database https://console.cloud.google.com/sql/instances/main/overview?inv=1&amp;invt=Abqw_w&amp;project=vinid-merchant-prod DB_MYSQL_HOST=172.31.1.44
DB_MYSQL_DATABASE=merchant_service Câu lệnh UPDATE address SET `type`='warehouse_address' WHERE id=64151;</t>
  </si>
  <si>
    <t>2025-12-17T15:30:25.973+0700</t>
  </si>
  <si>
    <t>2025-12-17T17:19:59.176+0700</t>
  </si>
  <si>
    <t>Nhờ team chạy các lệnh UPDATE trên MySQL Production như sau ạ: URL:  mysql://omre-onehs-mysql-main.int.onemount.com:3306/onehs_dictionary Query: UPDATE `INVENTORY_PROPERTIES` set status = "REVOKED", available_for_sale_status = "NOT_AVAILABLE", last_modified_date = "2025-12-17 12:00:00", last_modified_by = "master_data_admin" WHERE id = "1e93323b-2599-4241-89ab-344672fb02a6";
INSERT INTO `eav_attribute_json_values` 
(eav_attribute_id, entity_id, entity_id_v2, data_type, name, value, created_by, created_date, last_modified_by, last_modified_date) VALUES ((SELECT eav_attribute_id FROM `eav_attributes` WHERE field_name = "updating_status_reason"), 0, "1e93323b-2599-4241-89ab-344672fb02a6", "PICKLIST_MULTI_SELECT", "updating_status_reason", '[ { "id": null, "gid": null, "code": "OTHER", "name": "Không thu hồi được hàng: https://chat.google.com/room/AAAAzE1b5zI/WBnTI8oL7F8/WBnTI8oL7F8?cls=10", "uuid": null, "dname": null, "gcode": null, "gname": null, "order": null, "sector_id": null } ]', "master_data_admin", "2025-12-17 12:00:00", "master_data_admin", "2025-12-17 12:00:00");</t>
  </si>
  <si>
    <t>[UPAY][PROD] Update config mcc,website merchant tcbloyalty</t>
  </si>
  <si>
    <t>2025-12-17T11:53:58.999+0700</t>
  </si>
  <si>
    <t>2025-12-17T11:54:10.311+0700</t>
  </si>
  <si>
    <t>Thông tin database:   tidb.int.onemount.com:4000/vinpay_vinpay_prod_onehub_pay_payment_gateway SQL: UPDATE pay_payment_gateway.MERCHANT
SET mcc = "5411" WHERE id = 1215;
UPDATE pay_payment_gateway.MERCHANT
SET website = "techcombank.com" WHERE id = 1215;</t>
  </si>
  <si>
    <t>[UPAY][NONPROD] Cập nhập bảng phục vụ golive self onboard ngày 20/12</t>
  </si>
  <si>
    <t>2025-12-17T11:18:03.842+0700</t>
  </si>
  <si>
    <t>2025-12-17T11:18:18.488+0700</t>
  </si>
  <si>
    <t>self-onboarding</t>
  </si>
  <si>
    <t>Hi a  @Nguyễn Văn Dũng , nhờ anh chạy giúp e script bên dưới trên db staging với ạ Thông tin DB:  tidb.int.onemount.dev:4000 , schema :  vinpay_saas_tpay_staging ALTER TABLE SOFTPOS_QR_STORE
    ADD COLUMN INDUSTRY VARCHAR(200) COLLATE utf8mb4_unicode_ci DEFAULT NULL;
INSERT INTO STEP_CONFIG (code, step_group, name, status, is_display, "order", created_at, onboarding_flow)
VALUES ('SOFTPOS_ONBOARD_REGISTER_STAFF_EMAIL', 'SOFTPOS_ONBOARD_VERIFY_ONBOARD',
        'SOFTPOS_ONBOARD_REGISTER_STAFF_EMAIL', 'ACTIVE', 1, 2, CURRENT_TIMESTAMP, 'SOFTPOS_QR_CARD');</t>
  </si>
  <si>
    <t>[QR247] Hỗ trợ cấu hình thông tin merchant QR247</t>
  </si>
  <si>
    <t>2025-12-17T10:40:38.604+0700</t>
  </si>
  <si>
    <t>2025-12-17T11:13:54.446+0700</t>
  </si>
  <si>
    <t>Hi anh  Nhờ anh chạy các script để cấu hình merchant “QUYCYT” tích hợp TPAY ạ.  Thông tin database saas_tpay: mysql://pay-tidb.int.onemount.com:4000/saas_tpay  Script: INSERT INTO PARTNER (client_id, name, public_key, enable, merchant_code)
VALUES ('BWXsIvqQwRHqtMwsBAdFFNYBEVTxWnZL', 'QUYCYT', '-----BEGIN PUBLIC KEY-----
MIIBIjANBgkqhkiG9w0BAQEFAAOCAQ8AMIIBCgKCAQEAvlJ1wqx9Ki7hGXICsSlf
NEP1JK9Xp73RUofgRRC1BJDyTnpmYcM3F5io8V8gIK2pkrvKmxoLco4UzNHKwJlZ
lnpZIbg5wXpJzzVD9nySDBfMhcDO1/+UKN0MgLRons2+S60YSRZPXl1m29fgk/4B
9mBCCfos/OXcY/ltA7k48iSxqSLfMcdgtYIGTNIZgNvnCpTs1KRbZVjkPuze/Cuv
CdNN0UOcyYLDSeNQwo7Gx6lHyfICUCM94Yaw/qFAkourqPE3HZd1NwA76d2igHLH
BqlMQ+X2TBqjA6ZUpkNR4ekhZwaS5ds5InR9Fce9w6gGLXU9hZnUKyNr03xQ1Uv8
cwIDAQAB
-----END PUBLIC KEY-----', 1, 'QUYCYT');</t>
  </si>
  <si>
    <t>2025-12-16T15:33:29.010+0700</t>
  </si>
  <si>
    <t>2025-12-16T15:33:32.463+0700</t>
  </si>
  <si>
    <t>Em chào các anh ạ, Em là Ngọc Linh - QC team UPay Nhờ các anh approve và chạy giúp em script bên dưới để add thêm user  11283407  vào whitelist dịch vụ Cổng thanh toán UPay ạ Thông tin DB: DB:  172.31.1.148:3306/pay_payment_gateway UPDATE SYSTEM_CONFIGURATION SET system_param_value = '921183,8410315,215348,6394863,4979923,12600406,11374836,12575808,12601772,13444997,4107396,6475838,335497,11283407'
where system_param_code = 'USER_ID_PILOT_TCB_DIRECT' Em cảm ơn các anh ạ</t>
  </si>
  <si>
    <t>2025-12-16T15:19:10.331+0700</t>
  </si>
  <si>
    <t>2025-12-16T15:19:15.178+0700</t>
  </si>
  <si>
    <t>[HRMS][MDPC][NON-PROD] Tạo user truy cập vào id staff database non-prod</t>
  </si>
  <si>
    <t>2025-12-16T12:03:35.030+0700</t>
  </si>
  <si>
    <t>2025-12-16T14:10:54.299+0700</t>
  </si>
  <si>
    <t>Hi a Linh a tạo user và grant giúp e quyền truy cập vào id staff non-prod DB MySQL IP: 172.31.0.16 Port: 3306 DB name:  idstaff_uat user owner:  idstaff_uat</t>
  </si>
  <si>
    <t>[Non-prod]Tạo topic cho hệ thống Suprema (cty MDPC) db MariaDB lên Kafka Confluent</t>
  </si>
  <si>
    <t>2025-12-16T09:32:31.090+0700</t>
  </si>
  <si>
    <t>2025-12-18T16:26:59.580+0700</t>
  </si>
  <si>
    <t>Dear team DBA, Nhờ team hỗ trợ cấu hình vào tạo topic cho hệ thống Suprema (MariaDB) bên MDPC. Thông tin db như sau: I. Bảng trên MariaDB: DB Name: biostar2_ac IP:  10.124.28.16 Các bảng: Bảng t_usr Bảng t_dev Bảng t_lgYYYYMM: kéo toàn bộ bảng với tên và định dạng t_lgYYYYMM vào chung một topic. Bảng t_evttyp II. Bảng trên MySQL: IP: 10.31.0.16 Bảng:  qr_code_time_tracking_log Linh ơi, e lưu ý cấu hình bảng t_lgYYYYMM này nhé, bảng này cơ chế hiện tại là hàng tháng nó sẽ tự động tạo ra bảng mới trên hệ thống Suprema (MariaDB). Mình cần cấu hình để các bảng này nó sẽ tự động đẩy vào 1 topic duy nhất trên Kafka thôi nhé. Giống ticket a có ref trong này, e check lại cấu hình debezeium trước đây nhé.</t>
  </si>
  <si>
    <t>Tăng length size cho FraudCheckOrderValue DB B2B OMS</t>
  </si>
  <si>
    <t>2025-12-16T09:02:35.989+0700</t>
  </si>
  <si>
    <t>2025-12-16T09:02:43.767+0700</t>
  </si>
  <si>
    <t>Nhờ các anh hỗ trợ nâng length lên 1000 theo thông tin như sau ạ Bảng  FraudCheckOrderValue Cột  customerLabel thông tinDB gcp project: vinid-b2b-platform-prod
instance_name: b2b-commerce
instanceIP: 172.31.4.113
dbname: b2b_oms_prod Các anh đánh giá giúp nếu việc tăng length không ảnh hưởng thì chạy luôn giúp em, không thì vẫn 21h tối nay ạ. E cảm ơn</t>
  </si>
  <si>
    <t>[OMC][DP][PROD]V/v tạo topic bảng mới</t>
  </si>
  <si>
    <t>2025-12-15T16:38:56.020+0700</t>
  </si>
  <si>
    <t>2025-12-15T17:00:10.853+0700</t>
  </si>
  <si>
    <t>DP, OMC</t>
  </si>
  <si>
    <t>Dear Linh, Em tạo giúp anh topic cho 2 bảng này để anh kéo về DP với nhé: vincart_mm_product. store_product_groups vincart_mm_product. store_product_group_detail</t>
  </si>
  <si>
    <t>Hỗ trợ cập nhật trạng thái đơn treo tồn tháng 11 kho thuanphong2</t>
  </si>
  <si>
    <t>2025-12-15T12:30:45.455+0700</t>
  </si>
  <si>
    <t>2025-12-15T12:38:29.891+0700</t>
  </si>
  <si>
    <t>Hi DBA team, Hiện tại kho thuanphong2 cần fix lỗi dữ liệu bị lệch trạng thái đơn gây treo tồn, nhờ team DBA hỗ trợ cập nhật theo thông tin dưới đây: Project : vinid-b2b-platform-prod Instance/IP : main (read-write): 172.31.4.59 Port : 3306 Database : omd_wms_thuanphong2 Query update order_hdr oh 
join order_item oi on oi.order_hdr_id = oh.order_hdr_id
set oh.order_status = 'NEW',
	oh.last_modified_date = UTC_TIMESTAMP,
    oi.item_status = 'NEW',
    oi.last_modified_date = UTC_TIMESTAMP
where oh.order_hdr_id in (290385, 285872, 285871, 285857, 285870, 285865, 285861, 285866,
 285867, 285862, 285869,  285859, 285868, 285856, 285864,  285858,  285860, 285863,  285855, 283167);  </t>
  </si>
  <si>
    <t>[OMC][GAMI][OneU][Prod] Hỗ trợ migration data cho campaign Lì Xì OneU</t>
  </si>
  <si>
    <t>2025-12-15T12:13:56.915+0700</t>
  </si>
  <si>
    <t>2025-12-15T12:14:10.355+0700</t>
  </si>
  <si>
    <t>Hỗ trợ migration data cho campaign Lì Xì OneU Host:  172.31.1.19 DB: pe_rule_engine UPDATE `rule_templates` SET `payload` = '{\r\n  \"source\": \"not_used\",\r\n  \"timestamp\": 1765419574772,\r\n  \"id\": \"043bf80e-155d-4eae-92ca-5f8cf9f10546\",\r\n  \"event\": \"OrderFinishedEvent\",\r\n  \"service_code\": \"vincart-multimerchant-order-worker\",\r\n  \"user_id\": \"1003218046\",\r\n  \"payload\": {\r\n    \"timestamp\": 1765419574772,\r\n    \"prev_order_version\": 2,\r\n    \"order_detail\": {\r\n      \"id\": 5379059,\r\n      \"created_at\": 1765419572122,\r\n      \"updated_at\": 1765419574567,\r\n      \"merchant_id\": 331872,\r\n      \"store_id\": 332451,\r\n      \"store_code\": \"IOJ\",\r\n      \"merchant_code\": \"OMCPS2\",\r\n      \"merchant\": {\r\n        \"id\": 331872,\r\n        \"enable_membership\": false,\r\n        \"code\": \"OMCPS2\",\r\n        \"name\": \"One Mount Consumer\",\r\n        \"logo_url\": \"https://cdn-merchant.vinid.net/mpops/1727839614_OMCPS2.png\",\r\n        \"shipping_fee_rules\": [],\r\n        \"shipping_methods\": [],\r\n        \"shopping_methods\": [],\r\n        \"is_supported_limit_sku\": true\r\n      },\r\n      \"store\": {\r\n        \"id\": 332451,\r\n        \"code\": \"IOJ\",\r\n        \"name\": \"Store luồng bán voucher qua VMM\",\r\n        \"full_address\": \"\"\r\n      },\r\n      \"code\": \"MQLB6N2D\",\r\n      \"issued_at\": 1765419572000,\r\n      \"shipping_time_from\": 1765419572000,\r\n      \"shipping_time_to\": 1765592372000,\r\n      \"user_id\": \"1003218046\",\r\n      \"customer_name\": \"***\",\r\n      \"reference_number\": \"e289d29f361441709a2af11ebb0b1745\",\r\n      \"status\": \"FINISHED\",\r\n      \"fulfillment_status\": \"SHIPPED\",\r\n      \"payment_status\": \"PAID\",\r\n      \"order_discount_amount\": 0,\r\n      \"total_discount\": 0,\r\n      \"vpoint_amount\": 0,\r\n      \"vpoint_value\": 0,\r\n      \"upoint_amount\": 200000,\r\n      \"upoint_value\": 200000,\r\n      \"total_amount\": 200000,\r\n      \"debt_amount\": 0,\r\n      \"total_items_amount\": 200000,\r\n      \"paid_amount\": 0,\r\n      \"original_shipping_fee\": 0,\r\n      \"shipping_fee\": 0,\r\n      \"payment_method\": {\r\n        \"code\": \"UPOINT\",\r\n        \"name\": \"Tiêu điểm Upoint\",\r\n        \"vin_idpay\": false,\r\n        \"vin_idpoint\": false\r\n      },\r\n      \"shipping_method\": {\r\n        \"code\": \"DELIVERY\",\r\n        \"name\": \"Giao hàng tận nơi\"\r\n      },\r\n      \"shopping_method\": {\r\n        \"code\": \"REMOTE\",\r\n        \"name\": \"Remote shopping\"\r\n      },\r\n      \"finalized_at\": 1765419575000,\r\n      \"finished_at\": 1765419575000,\r\n      \"completed_at\": 1765419575000,\r\n      \"packed_at\": 1765419575000,\r\n      \"shipping_at\": 1765419575000,\r\n      \"channel\": \"TCBM\",\r\n      \"version\": 2,\r\n      \"additional_amount\": 0,\r\n      \"display_total_amount\": 200000,\r\n      \"display_total_items_amount\": 200000,\r\n      \"channel_code\": \"TCBM\",\r\n      \"items\": [\r\n        {\r\n          \"id\": 5761306,\r\n          \"created_at\": 1765419572000,\r\n          \"merchant_id\": 331872,\r\n          \"product_id\": 778129,\r\n          \"variant_id\": 1030168,\r\n          \"order_id\": 5379059,\r\n          \"product_name\": \"Giảm VND 200,000 - GrabGifts\",\r\n          \"variant_name\": \"Giảm VND 200,000 - GrabGifts\",\r\n          \"barcode\": \"VD_VC_1764586141578\",\r\n          \"sku\": \"VD_VC_1764586141578\",\r\n          \"description\": \"VD_VC_1764586141578\",\r\n          \"image_url\": \"https://cdn-onevoucher.onemount.com/prod/OMC/sale-banner/banner_7OuKebSWDXFBCjVZz0nJD_VD_VC_1764586141578.jpg\",\r\n          \"price\": 200000,\r\n          \"unit_price\": 200000,\r\n          \"retail_price\": 200000,\r\n          \"promotion_amount\": 0,\r\n          \"quantity\": 1,\r\n          \"available_quantity\": 1,\r\n          \"total_amount\": 200000,\r\n          \"discount_amount\": 0,\r\n          \"discount_items\": [\r\n            {\r\n              \"id\": 5425133,\r\n              \"merchant_id\": 331872,\r\n              \"order_id\": 5379059,\r\n              \"order_item_id\": 5761306,\r\n              \"amount\": 0\r\n            }\r\n          ],\r\n          \"total_discount\": 0,\r\n          \"line_amount\": 0,\r\n          \"display_price\": 200000,\r\n          \"display_promotion_price\": 200000,\r\n          \"display_currency\": \"UPOINT\",\r\n          \"uom\": \"voucher\",\r\n          \"uom_code\": \"VOUCHER\",\r\n          \"dimension_h\": 0,\r\n          \"dimension_l\": 0,\r\n          \"dimension_w\": 0,\r\n          \"weight_unit\": \"KG\",\r\n          \"weight_value\": 0,\r\n          \"is_bundle\": false,\r\n          \"is_digital\": true,\r\n          \"is_auto_complete\": true,\r\n          \"product_payment_type\": \"Point\",\r\n          \"applied_merchants\": [\r\n            {\r\n              \"id\": 331399,\r\n              \"code\": \"BRANDGRABGIFTS\",\r\n              \"name\": \"GrabGifts\",\r\n              \"logo_url\": \"https://cdn-merchant.vinid.net/mpops/1737520599_GRABGIFTS.png\",\r\n              \"shipping_fee_rules\": [],\r\n              \"shipping_methods\": [],\r\n              \"shopping_methods\": []\r\n            }\r\n          ],\r\n          \"effective_time_from\": 1764590440000,\r\n          \"effective_time_to\": 1924966799000,\r\n          \"accounting_source\": \"POSTPAID\",\r\n          \"original_price\": 200000,\r\n          \"voucher_uo_cate\": \"Transportation\",\r\n          \"postpaid_type\": \"PAY_AT_CLAIM\",\r\n          \"extra_data\": {\r\n            \"prices\": [\r\n              {\r\n                \"id\": 626272,\r\n                \"price\": 200000,\r\n                \"status\": \"active\",\r\n                \"created_at\": 1764588303000,\r\n                \"product_id\": 778129,\r\n                \"unit_price\": 200000,\r\n                \"updated_at\": 1764588303000,\r\n                \"variant_id\": 1030168,\r\n                \"merchant_id\": 331872,\r\n                \"channel_code\": \"TCBM\",\r\n                \"product_code\": \"VD_VC_1764586141578\",\r\n                \"variant_code\": \"VD_VC_1764586141578\",\r\n                \"default_price\": true,\r\n                \"display_price\": 200000,\r\n                \"merchant_code\": \"OMCPS2\",\r\n                \"price_list_id\": 1,\r\n                \"price_list_code\": \"RETAIL\",\r\n                \"discount_percent\": 0,\r\n                \"display_currency\": \"UPOINT\",\r\n                \"display_promotion_price\": 200000\r\n              }\r\n            ],\r\n            \"segment_ids\": [\r\n              \"06151bf4dcfd468ca5685fe6af3219\",\r\n              \"29c3e7d5-4f45-4666-89ae-88f7eec2a731\",\r\n              \"515bfc04-19ea-4c34-a0ef-067d1a9b8bb4\",\r\n              \"b4e332ec-fe81-49aa-a7c6-b1a2d28f074c\",\r\n              \"feec1444-994c-4230-b99d-d516d3122f27\"\r\n            ]\r\n          },\r\n          \"modified\": false,\r\n          \"type\": \"normal\"\r\n        }\r\n      ],\r\n      \"discounts\": [],\r\n      \"payments\": [\r\n        {\r\n          \"id\": 6320633,\r\n          \"created_at\": 1765419573000,\r\n          \"updated_at\": 1765419573000,\r\n          \"merchant_id\": 331872,\r\n          \"order_id\": 5379059,\r\n          \"payment_method\": {\r\n            \"code\": \"UPOINT\",\r\n            \"name\": \"UPOINT\",\r\n            \"vin_idpay\": false,\r\n            \"vin_idpoint\": false\r\n          },\r\n          \"paid_at\": 1765419573000,\r\n          \"amount\": 200000,\r\n          \"source\": \"NEWCHECKOUT\",\r\n          \"currency\": \"POINT\",\r\n          \"paid_amount\": 200000,\r\n          \"fee_amount\": 0,\r\n          \"reference\": \"LOC775395272113\",\r\n          \"status\": \"PAID\",\r\n          \"data\": \"{\\\"id\\\": 6248570, \\\"cod\\\": false, \\\"data\\\": {\\\"loc_ref_no\\\": \\\"LOC775395272113\\\", \\\"merchant_id\\\": \\\"IOJ\\\", \\\"terminal_id\\\": \\\"IOJKM\\\", \\\"merchant_code\\\": \\\"OMCPS2\\\"}, \\\"amount\\\": 200000.0, \\\"status\\\": \\\"SUCCEEDED\\\", \\\"pgw_code\\\": \\\"null\\\", \\\"fee_amount\\\": 0.0, \\\"paid_amount\\\": 200000.0, \\\"reference_id\\\": \\\"LOC775395272113\\\", \\\"transaction_id\\\": 6022175, \\\"money_source_id\\\": \\\"96618ce2-13ba-41f5-bfad-8002b0f8f9c2\\\", \\\"payment_method_code\\\": \\\"U_POINT\\\", \\\"ref_payment_method_code\\\": \\\"UPOINT\\\"}\",\r\n          \"returned_amount\": 0,\r\n          \"invoice_no\": \"MQLB6N2D\",\r\n          \"payment_method_name_display\": \"UPOINT\",\r\n          \"currency_display\": \" Điểm\",\r\n          \"payment_method_code\": \"UPOINT\",\r\n          \"promotion\": false,\r\n          \"cod\": false,\r\n          \"waiting_for_confirm\": false\r\n        }\r\n      ],\r\n      \"fulfillments\": [\r\n        {\r\n          \"id\": 5310087,\r\n          \"created_at\": 1765419572000,\r\n          \"updated_at\": 1765419575000,\r\n          \"merchant_id\": 331872,\r\n          \"store_id\": 332451,\r\n          \"store_code\": \"IOJ\",\r\n          \"order_id\": 5379059,\r\n          \"account_id\": \"331872\",\r\n          \"user_id\": \"1003218046\",\r\n          \"shipping_method_code\": \"DELIVERY\",\r\n          \"shipping_method_name\": \"Giao hàng tận nơi\",\r\n          \"code\": \"FULMQLB6N2D1765419572tGNz2N\",\r\n          \"discount_amount\": 0,\r\n          \"vpoint_amount\": 0,\r\n          \"vpoint_value\": 0,\r\n          \"upoint_amount\": 200000,\r\n          \"upoint_value\": 200000,\r\n          \"total_items_amount\": 200000,\r\n          \"total_discount\": 0,\r\n          \"total_amount\": 200000,\r\n          \"total_quantity\": 1,\r\n          \"display_total_amount\": 200000,\r\n          \"display_total_items_amount\": 200000,\r\n          \"status\": \"SHIPPED\",\r\n          \"pushing_status\": \"UNPUSH\",\r\n          \"packed_at\": 1765419575000,\r\n          \"received_at\": 1765419575000,\r\n          \"shipped_at\": 1765419575000,\r\n          \"shipping_time_text\": \"Bạn sẽ nhận được mã sản phẩm ngay sau khi thanh toán thành công\",\r\n          \"shipping_fee\": 0,\r\n          \"fulfillment_items\": [\r\n            {\r\n              \"id\": 5618849,\r\n              \"created_at\": 1765419572000,\r\n              \"updated_at\": 1765419572000,\r\n              \"merchant_id\": 331872,\r\n              \"product_id\": 778129,\r\n              \"variant_id\": 1030168,\r\n              \"fulfillment_id\": 5310087,\r\n              \"product_name\": \"Giảm VND 200,000 - GrabGifts\",\r\n              \"variant_name\": \"Giảm VND 200,000 - GrabGifts\",\r\n              \"description\": \"VD_VC_1764586141578\",\r\n              \"discount_amount\": 0,\r\n              \"total_amount\": 200000,\r\n              \"price\": 200000,\r\n              \"unit_price\": 200000,\r\n              \"display_price\": 200000,\r\n              \"display_promotion_price\": 200000,\r\n              \"display_currency\": \"UPOINT\",\r\n              \"quantity\": 1,\r\n              \"is_bundle\": false,\r\n              \"sku\": \"VD_VC_1764586141578\",\r\n              \"barcode\": \"VD_VC_1764586141578\",\r\n              \"uom\": \"voucher\",\r\n              \"image_url\": \"https://cdn-onevoucher.onemount.com/prod/OMC/sale-banner/banner_7OuKebSWDXFBCjVZz0nJD_VD_VC_1764586141578.jpg\",\r\n              \"dimension_h\": 0,\r\n              \"dimension_l\": 0,\r\n              \"dimension_w\": 0,\r\n              \"weight_unit\": \"KG\",\r\n              \"weight_value\": 0,\r\n              \"is_digital\": true,\r\n              \"is_auto_complete\": true,\r\n              \"no_promo_applied\": false,\r\n              \"product_payment_type\": \"Point\",\r\n              \"applied_merchants\": [\r\n                {\r\n                  \"id\": 331399,\r\n                  \"code\": \"BRANDGRABGIFTS\",\r\n                  \"name\": \"GrabGifts\",\r\n                  \"logo_url\": \"https://cdn-merchant.vinid.net/mpops/1737520599_GRABGIFTS.png\",\r\n                  \"shipping_fee_rules\": [],\r\n                  \"shipping_methods\": [],\r\n                  \"shopping_methods\": []\r\n                }\r\n              ],\r\n              \"effective_time_from\": 1764590440000,\r\n              \"effective_time_to\": 1924966799000,\r\n              \"distribute_one_voucher\": true\r\n            }\r\n          ],\r\n          \"can_refund\": false,\r\n          \"total_amount_exclude_points\": 0\r\n        }\r\n      ],\r\n      \"meta\": {\r\n        \"id\": 5152552,\r\n        \"created_at\": 1765419572000,\r\n        \"updated_at\": 1765419572000,\r\n        \"merchant_code\": \"OMCPS2\",\r\n        \"order_code\": \"MQLB6N2D\",\r\n        \"delivery_info\": {},\r\n        \"source\": \"VOUCHER\",\r\n        \"merchant_payment_status\": \"UNPAID\",\r\n        \"tax_amount\": 0\r\n      },\r\n      \"total_amount_exclude_voucher\": 200000,\r\n      \"shipping_address\": {\r\n        \"id\": 5186246,\r\n        \"created_at\": 1765419572000,\r\n        \"merchant_id\": 331872,\r\n        \"order_id\": 5379059,\r\n        \"shipping_address_id\": -1,\r\n        \"full_name\": \"Khách hàng\",\r\n        \"phone_number\": \"0000000000\",\r\n        \"address\": \"Times City\",\r\n        \"receiver\": {\r\n          \"name\": \"Khách hàng\",\r\n          \"phone_number\": \"0000000000\"\r\n        },\r\n        \"district\": {\r\n          \"code\": \"007\",\r\n          \"name\": \"Quận Hai Bà Trưng\"\r\n        },\r\n        \"province\": {\r\n          \"code\": \"01\",\r\n          \"name\": \"Hà Nội\"\r\n        },\r\n        \"ward\": {\r\n          \"code\": \"00283\",\r\n          \"name\": \"Phường Vĩnh Tuy\"\r\n        },\r\n        \"full_address\": \"Times City, Phường Vĩnh Tuy, Quận Hai Bà Trưng, Hà Nội\"\r\n      },\r\n      \"source\": \"VOUCHER\",\r\n      \"redeem_point_amount\": 0,\r\n      \"total_payment_amount\": 200000,\r\n      \"total_payment_amount_include_point_amount\": 200000,\r\n      \"total_payment_amount_exclude_promotion_shipping_fee\": 200000,\r\n      \"shopping_method_code\": \"REMOTE\",\r\n      \"accept_retry\": false,\r\n      \"available_for_shipping\": false,\r\n      \"total_amount_exclude_points\": 0\r\n    }\r\n  },\r\n  \"additional_data\": {\r\n    \"user_id\": \"1003218046\"\r\n  }\r\n}' WHERE `rule_templates`.`id` = 14;</t>
  </si>
  <si>
    <t>[UPAY][PROD] Backup dữ liệu phục vụ đồng bộ unified merchant</t>
  </si>
  <si>
    <t>2025-12-15T01:06:39.571+0700</t>
  </si>
  <si>
    <t>2025-12-15T01:06:53.396+0700</t>
  </si>
  <si>
    <t>Hi a  @Nguyễn Văn Dũng  nhờ a chạy script bên dưới với ạ Thông tin database saas_tpay:  pay-tidb.int.onemount.com:4000/saas_tpay Scripts: CREATE TABLE IF NOT EXISTS BACKUP_14122025_MERCHANT LIKE MERCHANT;
CREATE TABLE IF NOT EXISTS BACKUP_14122025_UNIFIED_MERCHANT LIKE UNIFIED_MERCHANT;
CREATE TABLE IF NOT EXISTS BACKUP_14122025_SOFTPOS_MERCHANT LIKE SOFTPOS_MERCHANT;
CREATE TABLE IF NOT EXISTS BACKUP_14122025_SOFTPOS_QR_MERCHANT LIKE SOFTPOS_QR_MERCHANT;
CREATE TABLE IF NOT EXISTS BACKUP_14122025_UNIFIED_MERCHANT_SERVICE LIKE UNIFIED_MERCHANT_SERVICE;
CREATE TABLE IF NOT EXISTS BACKUP_14122025_SERVICE LIKE SERVICE;
CREATE TABLE IF NOT EXISTS BACKUP_14122025_ACCOUNT LIKE ACCOUNT;
CREATE TABLE IF NOT EXISTS BACKUP_14122025_SERVICE_ACCOUNT LIKE SERVICE_ACCOUNT;
CREATE TABLE IF NOT EXISTS BACKUP_14122025_STORE LIKE STORE;
CREATE TABLE IF NOT EXISTS BACKUP_14122025_UNIFIED_STORE LIKE UNIFIED_STORE;
CREATE TABLE IF NOT EXISTS BACKUP_14122025_SOFTPOS_QR_STORE LIKE SOFTPOS_QR_STORE;
CREATE TABLE IF NOT EXISTS BACKUP_14122025_TERMINAL LIKE TERMINAL;
CREATE TABLE IF NOT EXISTS BACKUP_14122025_UNIFIED_TERMINAL LIKE UNIFIED_TERMINAL;
CREATE TABLE IF NOT EXISTS BACKUP_14122025_SOFTPOS_TERMINAL LIKE SOFTPOS_TERMINAL;
CREATE TABLE IF NOT EXISTS BACKUP_14122025_SOFTPOS_QR_TERMINAL LIKE SOFTPOS_QR_TERMINAL;
INSERT INTO BACKUP_14122025_MERCHANT SELECT * FROM MERCHANT;
INSERT INTO BACKUP_14122025_UNIFIED_MERCHANT SELECT * FROM UNIFIED_MERCHANT;
INSERT INTO BACKUP_14122025_SOFTPOS_MERCHANT SELECT * FROM SOFTPOS_MERCHANT;
INSERT INTO BACKUP_14122025_SOFTPOS_QR_MERCHANT SELECT * FROM SOFTPOS_QR_MERCHANT;
INSERT INTO BACKUP_14122025_UNIFIED_MERCHANT_SERVICE SELECT * FROM UNIFIED_MERCHANT_SERVICE;
INSERT INTO BACKUP_14122025_SERVICE
SELECT *
FROM SERVICE
WHERE id BETWEEN 1 AND 1000000; --985794
INSERT INTO BACKUP_14122025_SERVICE
SELECT *
FROM SERVICE
WHERE id BETWEEN 1000001 AND 3000000; --738310
INSERT INTO BACKUP_14122025_SERVICE
SELECT *
FROM SERVICE
WHERE id BETWEEN 3000001 and 4000000; --999898
INSERT INTO BACKUP_14122025_SERVICE
SELECT *
FROM SERVICE
WHERE id BETWEEN 4000001 and 5000000; --165056
INSERT INTO BACKUP_14122025_ACCOUNT
SELECT *
FROM ACCOUNT WHERE ID BETWEEN 1 AND 1000000; -- 976101
INSERT INTO BACKUP_14122025_ACCOUNT
SELECT *
FROM ACCOUNT WHERE ID BETWEEN 1000001 AND 2000000; -- max
INSERT INTO BACKUP_14122025_ACCOUNT
SELECT *
FROM ACCOUNT WHERE ID BETWEEN 2000001 AND 3000000; -- max
INSERT INTO BACKUP_14122025_ACCOUNT
SELECT *
FROM ACCOUNT WHERE ID BETWEEN 3000001 AND 4000000; -- 998279
INSERT INTO BACKUP_14122025_ACCOUNT
SELECT *
FROM ACCOUNT WHERE ID BETWEEN 4000001 AND 5000000; -- 295234
INSERT INTO BACKUP_14122025_SERVICE_ACCOUNT
SELECT *
FROM SERVICE_ACCOUNT WHERE ACCOUNT_ID BETWEEN 1 AND 1000000; -- 976138
INSERT INTO BACKUP_14122025_SERVICE_ACCOUNT
SELECT *
FROM SERVICE_ACCOUNT WHERE ACCOUNT_ID BETWEEN 1000001 AND 2000000; -- max
INSERT INTO BACKUP_14122025_SERVICE_ACCOUNT
SELECT *
FROM SERVICE_ACCOUNT WHERE ACCOUNT_ID BETWEEN 2000001 AND 3000000; -- max
INSERT INTO BACKUP_14122025_SERVICE_ACCOUNT
SELECT *
FROM SERVICE_ACCOUNT WHERE ACCOUNT_ID BETWEEN 3000001 AND 4000000; -- 998285
INSERT INTO BACKUP_14122025_SERVICE_ACCOUNT
SELECT *
FROM SERVICE_ACCOUNT WHERE ACCOUNT_ID BETWEEN 4000001 AND 5000000; -- 295234
INSERT INTO BACKUP_14122025_STORE SELECT * FROM STORE; 
INSERT INTO BACKUP_14122025_UNIFIED_STORE SELECT * FROM UNIFIED_STORE; 
INSERT INTO BACKUP_14122025_SOFTPOS_QR_STORE SELECT * FROM SOFTPOS_QR_STORE; 
INSERT INTO BACKUP_14122025_TERMINAL SELECT * FROM TERMINAL; 
INSERT INTO BACKUP_14122025_UNIFIED_TERMINAL SELECT * FROM UNIFIED_TERMINAL; 
INSERT INTO BACKUP_14122025_SOFTPOS_TERMINAL SELECT * FROM SOFTPOS_TERMINAL; 
INSERT INTO BACKUP_14122025_SOFTPOS_QR_TERMINAL SELECT * FROM SOFTPOS_QR_TERMINAL;</t>
  </si>
  <si>
    <t>[OMC][AuthOM] Hỗ trợ golive AuthOM</t>
  </si>
  <si>
    <t>2025-12-14T22:00:30.479+0700</t>
  </si>
  <si>
    <t>2025-12-14T22:00:42.080+0700</t>
  </si>
  <si>
    <t>Dear anh  @Nguyễn Văn Dũng  , nhờ anh chạy giúp em script sau: -- DB: 172.31.4.103
-- Schema: auth_om
UPDATE OTPSetting AS o
SET config = q.new_config
FROM OTPSetting_quangnd AS q
WHERE o.id = q.id
  AND o.config = q.org_config; Best regards Dinh Quang Nguyen</t>
  </si>
  <si>
    <t>[2025/12/13] Release plan - Migration</t>
  </si>
  <si>
    <t>2025-12-14T21:56:26.130+0700</t>
  </si>
  <si>
    <t>2025-12-14T21:56:29.915+0700</t>
  </si>
  <si>
    <t>Hi anh  @Nguyễn Văn Dũng  , Nhờ anh chạy giúp thông tin dưới đây: IP:  172.31.1.41 Database:   vincart_mm_product Script: CREATE TABLE IF NOT EXISTS object_mapping
(
    id          INT PRIMARY KEY AUTO_INCREMENT,
    source      varchar(100)  NOT NULL,
    target      varchar(100)  NOT NULL,
    type        varchar(50)   NOT NULL
);
CREATE INDEX object_mapping_source_type_idx
    ON object_mapping(`source`, `type`);
ALTER TABLE object_mapping ADD CONSTRAINT object_mapping_unique UNIQUE KEY (`source`,`target`,`type`);
ALTER TABLE object_mapping ADD COLUMN created_at TIMESTAMP DEFAULT CURRENT_TIMESTAMP;
ALTER TABLE object_mapping ADD COLUMN updated_at TIMESTAMP DEFAULT CURRENT_TIMESTAMP ON UPDATE CURRENT_TIMESTAMP;</t>
  </si>
  <si>
    <t>[OMC][Prod] Update disccount item info for voucher 13/12</t>
  </si>
  <si>
    <t>2025-12-14T21:56:10.014+0700</t>
  </si>
  <si>
    <t>2025-12-14T21:56:16.492+0700</t>
  </si>
  <si>
    <t>Hi anh  @Nguyễn Văn Dũng  , Nhờ anh chạy giúp thông tin dưới đây: IP:  172.31.1.41 Database:   vincart_mm_product Script: INSERT INTO `entity_attributes_values` (`attribute_id`, `value`, `name`, `created_at`, `updated_at`, `entity_id`, `type`) VALUES ('60', '{"item_status":"SUCCESS","item_id":6664,"item_code":"MCL0854K7EKA7","merchant_code":"MCL0854K7EKA7","campaign_code":"CP21","voucher_code":"VD_VC_1765558816958","effective_from":1765499400,"effective_to":1767141000}', 'discount_item', now(), now(), '1044912', 'VARIANT');
INSERT INTO `entity_attributes_values` (`attribute_id`, `value`, `name`, `created_at`, `updated_at`, `entity_id`, `type`) VALUES ('60', '{"item_status":"SUCCESS","item_id":6663,"item_code":"DOTCB25344wD2","merchant_code":"DOTCB25344wD2","campaign_code":"CP21","voucher_code":"VD_VC_1765558806996","effective_from":1765499400,"effective_to":1767141000}', 'discount_item', now(), now(), '1044886', 'VARIANT');
INSERT INTO `entity_attributes_values` (`attribute_id`, `value`, `name`, `created_at`, `updated_at`, `entity_id`, `type`) VALUES ('60', '{"item_status":"SUCCESS","item_id":6662,"item_code":"MCL02UT7OR4A9","merchant_code":"MCL02UT7OR4A9","campaign_code":"CP21","voucher_code":"VD_VC_1765558802583","effective_from":1765499400,"effective_to":1767141000}', 'discount_item', now(), now(), '1044882', 'VARIANT'); IP:  172.31.4.10 Database:  ecom_data_analytics Script: UPDATE `ops_voucher_views` SET `discount_item` = '{"item_status":"SUCCESS","item_id":6664,"item_code":"MCL0854K7EKA7","merchant_code":"MCL0854K7EKA7","campaign_code":"CP21","voucher_code":"VD_VC_1765558816958","effective_from":1765499400,"effective_to":1767141000}' WHERE `ops_voucher_views`.`id` = 13752;
UPDATE `ops_voucher_views` SET `discount_item` = '{"item_status":"SUCCESS","item_id":6663,"item_code":"DOTCB25344wD2","merchant_code":"DOTCB25344wD2","campaign_code":"CP21","voucher_code":"VD_VC_1765558806996","effective_from":1765499400,"effective_to":1767141000}' WHERE `ops_voucher_views`.`id` = 13726;
UPDATE `ops_voucher_views` SET `discount_item` = '{"item_status":"SUCCESS","item_id":6662,"item_code":"MCL02UT7OR4A9","merchant_code":"MCL02UT7OR4A9","campaign_code":"CP21","voucher_code":"VD_VC_1765558802583","effective_from":1765499400,"effective_to":1767141000}' WHERE `ops_voucher_views`.`id` = 13722;</t>
  </si>
  <si>
    <t>2025-12-14T21:55:28.671+0700</t>
  </si>
  <si>
    <t>2025-12-14T21:55:42.303+0700</t>
  </si>
  <si>
    <t>Vào lúc 23h59 bên em có release authOM, nhờ các anh chạy giúp em DB với ạ. E gửi thông tin chạy trong file. Em gửi thông tin DB project: onemg-general-prod instance: auth-om Master IP: 172.31.4.103 DB: auth_om CR :    Thanks các anh,</t>
  </si>
  <si>
    <t>Chạy lệnh update voucher sửa ngày có hiệu lực của voucher</t>
  </si>
  <si>
    <t>2025-12-13T13:37:03.778+0700</t>
  </si>
  <si>
    <t>2025-12-13T13:51:21.282+0700</t>
  </si>
  <si>
    <t xml:space="preserve">Nhờ linh chạy hộ 2 câu lệnh bên dưới với nhé: DB: 172.31.4.126 update onevc_vsm_prod.sale set effective_from ='2025-12-14 00:00:00' where code in ('VD_VC_1765386004047','VD_VC_1765472404550','VD_VC_1765472406079','VD_VC_1765558800895','VD_VC_1765558801710','VD_VC_1765558802197','VD_VC_1765558802583','VD_VC_1765558802967','VD_VC_1765558805063','VD_VC_1765558805714','VD_VC_1765558806996','VD_VC_1765558807361','VD_VC_1765558807746','VD_VC_1765558808052','VD_VC_1765558809134','VD_VC_1765558809646','VD_VC_1765558809953','VD_VC_1765558810238','VD_VC_1765558810520','VD_VC_1765558810835','VD_VC_1765558810982','VD_VC_1765558811601','VD_VC_1765558811911','VD_VC_1765558812497','VD_VC_1765558812823','VD_VC_1765558813127','VD_VC_1765558813474','VD_VC_1765558813842','VD_VC_1765558814227','VD_VC_1765558814560','VD_VC_1765558814858','VD_VC_1765558815180','VD_VC_1765558815514','VD_VC_1765558815856','VD_VC_1765558816013','VD_VC_1765558816603','VD_VC_1765558816958','VD_VC_1765558817249','VD_VC_1765558822348','VD_VC_1765558822668','VD_VC_1765558822972','VD_VC_1765558823423','VD_VC_1765558823614','VD_VC_1765558824089','VD_VC_1765472403719') ; commit; update onevc_vwm_prod.warehouse set effective_from ='2025-12-14 00:00:00' where code in ('VD_WH_1765386004010','VD_WH_1765472403673','VD_WH_1765472404460','VD_WH_1765472406040','VD_WH_1765558800266','VD_WH_1765558801608','VD_WH_1765558802108','VD_WH_1765558802521','VD_WH_1765558802915','VD_WH_1765558805034','VD_WH_1765558805676','VD_WH_1765558806927','VD_WH_1765558807309','VD_WH_1765558807698','VD_WH_1765558808014','VD_WH_1765558809084','VD_WH_1765558809390','VD_WH_1765558809910','VD_WH_1765558810209','VD_WH_1765558810486','VD_WH_1765558810807','VD_WH_1765558810954','VD_WH_1765558811566','VD_WH_1765558811880','VD_WH_1765558812467','VD_WH_1765558812791','VD_WH_1765558813081','VD_WH_1765558813429','VD_WH_1765558813806','VD_WH_1765558814175','VD_WH_1765558814527','VD_WH_1765558814826','VD_WH_1765558815132','VD_WH_1765558815490','VD_WH_1765558815828','VD_WH_1765558815980','VD_WH_1765558816478','VD_WH_1765558816929','VD_WH_1765558817216','VD_WH_1765558822315','VD_WH_1765558822630','VD_WH_1765558822937','VD_WH_1765558823390','VD_WH_1765558823584','VD_WH_1765558824056') ;commit; @Nguyễn Ngọc Thạch   confirm hộ anh theo yêu cầu của ticket này với nhé:  </t>
  </si>
  <si>
    <t>[OMD][DP][PROD] - Yêu cầu xin tạo kafka topic từ DB MDM cho dự án SCM</t>
  </si>
  <si>
    <t>2025-12-12T15:45:02.061+0700</t>
  </si>
  <si>
    <t>2025-12-12T16:18:19.679+0700</t>
  </si>
  <si>
    <t>DP, MAG_SCM</t>
  </si>
  <si>
    <t>Dear team, Em tạo ticket để xin kafka topic cho dự án SCM môi trường PROD theo thông tin như sau: Host: 172.31.0.16 Port: 3306 Schema: sccollab_prod Tables:  cm_pre_purchase_requisition_master, cm_pre_purchase_requisition_detail Do 2 bảng này chưa có dữ liệu nên sau khi cấu hinh nhờ anh  @Nguyễn Hoàng Hiệp  insert giúp em 1 row test cho mỗi bảng để lên được kafka topic ạ. Em cảm ơn ạ,</t>
  </si>
  <si>
    <t>[OMC][Kafka][PRD] Hỗ trợ tạo kafka topic DB merchant_service</t>
  </si>
  <si>
    <t>2025-12-12T15:44:48.735+0700</t>
  </si>
  <si>
    <t>2025-12-12T16:01:54.169+0700</t>
  </si>
  <si>
    <t>Dear anh Linh, Phục vụ xây dựng báo cáo food delivery. Nhờ anh tạo kafka topic cho bảng sau: IP:  172.31.1.44 DB name:  merchant_service Table:  store_pos_permission Em cảm ơn ạ.</t>
  </si>
  <si>
    <t>[TMS][Prod] Execute sql migration script for Golive TMS Sprint LOG S99 (12/12/2025)</t>
  </si>
  <si>
    <t>2025-12-12T15:22:40.433+0700</t>
  </si>
  <si>
    <t>2025-12-12T15:46:09.529+0700</t>
  </si>
  <si>
    <t xml:space="preserve">Do mobile app mới được publish cần cấu hình mới để chạy tính năng mới nên nhờ team thực hiện migration sql vào 15h30 ngày 12/12/2025 cho các database sau: Databasse:  omd_tms_onedriver_prod (SQL instance tms-mysql-01 (Private IP: 172.31.4.129)  https://console.cloud.google.com/sql/instances/tms-mysql-01/overview?project=onedc-tms-prod ): OD_S99_mySql 2 .sql </t>
  </si>
  <si>
    <t>[OMC][Prod] Update disccount item info for voucher 12/12</t>
  </si>
  <si>
    <t>2025-12-12T15:07:56.326+0700</t>
  </si>
  <si>
    <t>2025-12-12T15:08:08.370+0700</t>
  </si>
  <si>
    <t>Hi anh  @Nguyễn Văn Dũng  , Nhờ anh chạy giúp thông tin dưới đây: IP:  172.31.1.41 Database:   vincart_mm_product Script: INSERT INTO `entity_attributes_values` (`attribute_id`, `value`, `name`, `created_at`, `updated_at`, `entity_id`, `type`) VALUES ('60', '{"item_status":"SUCCESS","item_id":6606,"item_code":"MCL0D57ZZEJKE","merchant_code":"MCL0D57ZZEJKE","campaign_code":"CP17p1041225","voucher_code":"VD_VC_1765040403282","effective_from":1765499400,"effective_to":1767141000}', 'discount_item', now(), now(), '1037468', 'VARIANT');
INSERT INTO `entity_attributes_values` (`attribute_id`, `value`, `name`, `created_at`, `updated_at`, `entity_id`, `type`) VALUES ('60', '{"item_status":"SUCCESS","item_id":6623,"item_code":"MCL0O7EIU2HGH","merchant_code":"MCL0O7EIU2HGH","campaign_code":"CP19","voucher_code":"VD_VC_1765386003078","effective_from":1765499400,"effective_to":1767141000}', 'discount_item', now(), now(), '1042674', 'VARIANT'); IP:  172.31.4.10 Database:  ecom_data_analytics Script: UPDATE `ops_voucher_views` SET `discount_item` = '{"item_status":"SUCCESS","item_id":6606,"item_code":"MCL0D57ZZEJKE","merchant_code":"MCL0D57ZZEJKE","campaign_code":"CP17p1041225","voucher_code":"VD_VC_1765040403282","effective_from":1765499400,"effective_to":1767141000}' WHERE `ops_voucher_views`.`id` = 13132;
UPDATE `ops_voucher_views` SET `discount_item` = '{"item_status":"SUCCESS","item_id":6606,"item_code":"MCL0D57ZZEJKE","merchant_code":"MCL0D57ZZEJKE","campaign_code":"CP17p1041225","voucher_code":"VD_VC_1765040403282","effective_from":1765499400,"effective_to":1767141000}' WHERE `ops_voucher_views`.`id` = 13133;
UPDATE `ops_voucher_views` SET `discount_item` = '{"item_status":"SUCCESS","item_id":6623,"item_code":"MCL0O7EIU2HGH","merchant_code":"MCL0O7EIU2HGH","campaign_code":"CP19","voucher_code":"VD_VC_1765386003078","effective_from":1765499400,"effective_to":1767141000}' WHERE `ops_voucher_views`.`id` = 13415;
UPDATE `ops_voucher_views` SET `discount_item` = '{"item_status":"SUCCESS","item_id":6623,"item_code":"MCL0O7EIU2HGH","merchant_code":"MCL0O7EIU2HGH","campaign_code":"CP19","voucher_code":"VD_VC_1765386003078","effective_from":1765499400,"effective_to":1767141000}' WHERE `ops_voucher_views`.`id` = 13416;</t>
  </si>
  <si>
    <t>[MTP][Segmentation] Hỗ trợ tạo segmentation cho MKT và Clear dữ liệu noti cho CBP</t>
  </si>
  <si>
    <t>2025-12-11T18:24:47.363+0700</t>
  </si>
  <si>
    <t>2025-12-11T18:25:01.328+0700</t>
  </si>
  <si>
    <t>activation</t>
  </si>
  <si>
    <t>Dear anh  @Nguyễn Văn Dũng  , nhờ anh chạy giúp em script sau: -- DB: 172.31.1.21
-- Schema: mtp_martech_profile
INSERT INTO .mtp_martech_profile.mtp_anonymous_profile_segmentation_job 
  (`id`, `segmentation_id`, `status`, `hash`, `properties`, `external_properties`, `created_at`, `display_name`, `display_order`)
VALUES
(
    '99364e19-e3a1-4d9d-96a1-37a4ff717ec1',
    'f83a1b2542cd4e7b9a8c7fd638e2oskf',
    '',
    'fa6c46afa8558c80385509334ec58964c6ef875f1d58e61fbb06be96edd8dbe6',
    '{"AND":[{"data_type":"","attribute":"id","value":"","operator":"","operator_expr":"id IS NULL"},{"attribute":"tcb_created_at","operator":"","data_type":"","value":"","operator_expr":"tcb_created_at IS NOT NULL"}]}','{}',
    NOW(),
    'Do not link account to OneU',
    0
),
(
    '6d70715e-e6a4-460d-ab16-b32c41e885c6',
    'f83a1b2542cd4e7b9a8c7fd638e2oskf',
    '',
    'b150b0950877a79cb37370744ed2164f477d8e0d2ab44c60eb444d0b4f0c10a1',
    '{"AND":[{"data_type":"","attribute":"id","value":"","operator":"","operator_expr":"id IS NOT NULL"},{"attribute":"tcb_created_at","operator":"","data_type":"","value":"","operator_expr":"tcb_created_at IS NOT NULL"}]}','{}',
    NOW(),
    'Link account to OneU',
    0
);
-- DB: omc-mtp-tidb.int.onemount.com
-- Schema: omc_mtp_martech_activation
DELETE fcm
FROM omc_mtp_martech_activation.mtp_tracking_fcm_messages AS fcm
JOIN omc_mtp_martech_activation.mtp_tracking_push_notifications AS noti
    ON fcm.message_id = noti.message_id
WHERE noti.app_id = '6fbbefbf-8518-4eb3-8797-e58c8e41e84a'
  AND noti.created_date &lt; '2025-12-04'
  AND noti.created_at &lt; '2025-12-03 10:00:00';
DELETE FROM omc_mtp_martech_activation.mtp_tracking_push_notifications
WHERE app_id = '6fbbefbf-8518-4eb3-8797-e58c8e41e84a'
  AND created_date &lt; '2025-12-04'
  AND created_at &lt; '2025-12-03 10:00:00';
-- DB: 172.31.4.192
-- Schema: martech_notification_prod
DELETE FROM martech_notification_prod.cbp_push_notification
WHERE created_at &lt; '2025-12-03 03:00:00'; Best regards Dinh Quang Nguyen</t>
  </si>
  <si>
    <t>[PROD][QR247] Hỗ trợ update settlement date cho 2 giao dịch bị lệch</t>
  </si>
  <si>
    <t>2025-12-11T17:07:52.640+0700</t>
  </si>
  <si>
    <t>2025-12-11T17:07:56.957+0700</t>
  </si>
  <si>
    <t>Nhờ anh chạy các script để update lại thông tin 2 giao dịch bị lệch ạ. Thông tin database saas_tpay: mysql://pay-tidb.int.onemount.com:4000/saas_tpay Script: update TRANSACTION_DETAIL
set
    updated_date = '2025-11-23 21:32:20.000',
    merchant_code = 'CIRCLEK',
    merchant_id = 'M11756287264883',
    merchant_name = 'CONG TY TNHH VONG TRON DO',
    store_code = 'SG0156',
    store_id = 'S11757932827839',
    store_name = 'Circle K   295 Đỗ Xuân Hợp  KP 4',
    terminal_code = 'SG0156',
    terminal_id = 'T11757932827844',
    terminal_name = 'SG0156',
    partner = 'OME',
    receiver_bank_code  = 'VTCBVNVX',
    receiver_bank_name  = 'TCB'
where id = '925e787b70034604b6890998706e4934';
update TRANSACTION_DETAIL
set
    updated_date = '2025-11-23 13:32:53.000',
    merchant_code = 'CIRCLEK',
    merchant_id = 'M11756287264883',
    merchant_name = 'CONG TY TNHH VONG TRON DO',
    store_code = 'HN2238',
    store_id = 'S11757932431119',
    store_name = 'Circle K   25 Thái Phiên',
    terminal_code = 'HN2238',
    terminal_id = 'T11757932431123',
    terminal_name = 'HN2238',
    partner = 'OME',
    receiver_bank_code  = 'VTCBVNVX',
    receiver_bank_name  = 'TCB'
where id = 'becc9c117cf9481fa887c9c8fbee1240';</t>
  </si>
  <si>
    <t>[OMC][Prod] Update disccount item info for voucher 11/12</t>
  </si>
  <si>
    <t>2025-12-11T16:01:31.166+0700</t>
  </si>
  <si>
    <t>2025-12-11T16:02:01.600+0700</t>
  </si>
  <si>
    <t>Hi anh  @Nguyễn Văn Dũng  , Nhờ anh chạy giúp thông tin dưới đây: IP:  172.31.1.41 Database:   vincart_mm_product Script: INSERT INTO `entity_attributes_values` (`attribute_id`, `value`, `name`, `created_at`, `updated_at`, `entity_id`, `type`) VALUES ('60', '{"item_status":"SUCCESS","item_id":6604,"item_code":"DOTCB25338sLL","merchant_code":"DOTCB25338sLL","campaign_code":"CP18p1071225","voucher_code":"VD_VC_1765299604203","effective_from":1765499400,"effective_to":1767141000}', 'discount_item', now(), now(), '1041333', 'VARIANT');
INSERT INTO `entity_attributes_values` (`attribute_id`, `value`, `name`, `created_at`, `updated_at`, `entity_id`, `type`) VALUES ('60', '{"item_status":"SUCCESS","item_id":6605,"item_code":"DOTCB25342byH","merchant_code":"DOTCB25342byH","campaign_code":"CP18p1071225","voucher_code":"VD_VC_1765299608201","effective_from":1765499400,"effective_to":1767141000}', 'discount_item', now(), now(), '1041346', 'VARIANT');
-- Delete row is duplicate --&gt; ko ảnh hưởng dữ liệu hiện tại
DELETE FROM entity_attributes_values WHERE id in (457272, 457412, 457273, 457413, 457271, 457411, 457275, 457415, 457274, 457414); IP:  172.31.4.10 Database:  ecom_data_analytics Script: UPDATE `ops_voucher_views` SET `discount_item` = '{"item_status":"SUCCESS","item_id":6604,"item_code":"DOTCB25338sLL","merchant_code":"DOTCB25338sLL","campaign_code":"CP18p1071225","voucher_code":"VD_VC_1765299604203","effective_from":1765499400,"effective_to":1767141000}' WHERE `ops_voucher_views`.`id` = 13318;
UPDATE `ops_voucher_views` SET `discount_item` = '{"item_status":"SUCCESS","item_id":6604,"item_code":"DOTCB25338sLL","merchant_code":"DOTCB25338sLL","campaign_code":"CP18p1071225","voucher_code":"VD_VC_1765299604203","effective_from":1765499400,"effective_to":1767141000}' WHERE `ops_voucher_views`.`id` = 13319;
UPDATE `ops_voucher_views` SET `discount_item` = '{"item_status":"SUCCESS","item_id":6605,"item_code":"DOTCB25342byH","merchant_code":"DOTCB25342byH","campaign_code":"CP18p1071225","voucher_code":"VD_VC_1765299608201","effective_from":1765499400,"effective_to":1767141000}' WHERE `ops_voucher_views`.`id` = 13350;
UPDATE `ops_voucher_views` SET `discount_item` = '{"item_status":"SUCCESS","item_id":6605,"item_code":"DOTCB25342byH","merchant_code":"DOTCB25342byH","campaign_code":"CP18p1071225","voucher_code":"VD_VC_1765299608201","effective_from":1765499400,"effective_to":1767141000}' WHERE `ops_voucher_views`.`id` = 13351;</t>
  </si>
  <si>
    <t>[OMRE][CBP][NonProd] Triển khai hạ tầng MongoDB Atlas phục vụ chạy PT trên môi trường NonProduction</t>
  </si>
  <si>
    <t>2025-12-11T15:55:16.926+0700</t>
  </si>
  <si>
    <t>2025-12-11T15:55:20.833+0700</t>
  </si>
  <si>
    <t xml:space="preserve">Hi team DBA, Team dự án CBP đang tiến hành thực hiện performace test trên môi trường  nonprod , do đó cần tạo hạ tầng Mongo Atlas để thực hiện. Nhờ team DBA tạo và setup hạ tầng Mongo Atlas với cấu hình nhỏ nhất, trong quá trình chạy khi nào cần tăng cấu hình sẽ comment thêm tại ticket này. Nhờ team tạo giúp 2 schema sau (tên user trùng với tên schema, 2 user dùng chung 1 password) omre_cbp_listing_pt omre_cbp_cma_pt cc a  @Nguyễn Minh Khuê  a  @Đặng Văn Nam  a  @Nguyễn Mạnh Tưởng  c  @Nguyễn Minh Tiến  </t>
  </si>
  <si>
    <t>[OMD][DP][SCM-PROD] - Yêu cầu tạo kafka topic để kéo dữ liệu hợp đồng</t>
  </si>
  <si>
    <t>2025-12-11T14:32:53.958+0700</t>
  </si>
  <si>
    <t>2025-12-11T15:17:02.159+0700</t>
  </si>
  <si>
    <t>Hi các anh, Do yêu cầu phát sinh thêm cần bổ sung thêm thông tin của hợp đồng. Em tạo ticket để yêu cầu tạo kafka topic, phục vụ kéo thêm dữ liệu cho phần báo cáo cho dự án SCM với thông tin như sau: Nguồn MDM: Host: 172.31.1.118 Port: 3306 schema: omd_mdm_prod Danh sách bảng: ContractItem</t>
  </si>
  <si>
    <t>[OMC][Kafka][PROD] Hỗ trợ tạo kafka topic DB vincart_mm_merchant</t>
  </si>
  <si>
    <t>2025-12-11T14:30:20.954+0700</t>
  </si>
  <si>
    <t>2025-12-11T15:01:25.296+0700</t>
  </si>
  <si>
    <t>Dear anh Linh, Phục vụ theo dõi collection food delivery. Nhờ anh tạo kafka topic cho bảng sau: IP: {{172.31.1.41 }} DB name: {{vincart_mm_merchant }} Table:  collection_store_mappings Em cảm ơn ạ.</t>
  </si>
  <si>
    <t>[DBA-COMMON-NONPROD] Hỗ trợ tạo database common service postgres</t>
  </si>
  <si>
    <t>2025-12-11T10:55:32.774+0700</t>
  </si>
  <si>
    <t>2025-12-11T11:01:19.996+0700</t>
  </si>
  <si>
    <t>Supporting the creation of the database for the common service on RDS  host:  common-dev-postgres.cr62264i6qsz.ap-southeast-1.rds.amazonaws.com port: 5432 db_name: common_service user: common_service password:  v0XBbBHJIOqdXZyVH5Fy7ly</t>
  </si>
  <si>
    <t>[HRMS][MDPC] Tạo database và user lưu trữ liệu công cho MDPC</t>
  </si>
  <si>
    <t>2025-12-11T10:29:17.853+0700</t>
  </si>
  <si>
    <t>2025-12-11T12:09:15.861+0700</t>
  </si>
  <si>
    <t>Hi a Linh, a tạo giúp e database để lưu dữ liệu công cho MDPC ở nonprod: database name:  time_keeping_nonprod user:  time_keeping_nonprod  có quyền read và write tạo bảng  time_keeping_logs Column Type Description Format / Note ID int(20) auto_increment PEREM varchar(50) Email của nhân viên PERNR varchar(10) Mã nhân viên ERDATE varchar(8) Ngày Check in YYYYMMDD ERTIME varchar(6) Giờ Check in HHMMSS SATZA varchar(3) Kiểu Check in/Check out, trong đó P10: check in, chiều đi vào P20: check out, chiều đi ra ULDATE varchar(8) Ngày cập nhật dữ liệu từ server máy chấm công YYYYMMDD ULTIME varchar(6) Giờ cập nhât dự liệu từ server máy chấm công HHMMSS TERID varchar(50) Định danh để phân biệt các thiết bị máy chấm công IP varchar(45) Thông tin địa chỉ IP của máy chấm công, hoặc thông tin vị trí văn phòng để phân biệt với các văn phòng khác created_date datetime CURRENT_TIMESTAMP tenant_id varchar(10) mã của tenant tài liệu tham khảm:    Tạo bảng  time_keeping_daily CREATE TABLE `time_keeping_daily` (
  `id` bigint NOT NULL AUTO_INCREMENT,
  `check_date` varchar(8) NOT NULL,
  `employee_code` varchar(255) NOT NULL,
  `check_in_time` varchar(6) DEFAULT NULL,
  `check_out_time` varchar(6) DEFAULT NULL,
  `status` int DEFAULT NULL,
  `date_type` int DEFAULT NULL,
  `tenant_id` varchar(10) NOT NULL,
  `created_date` datetime DEFAULT NULL,
  `updated_date` datetime DEFAULT NULL,
  PRIMARY KEY (`id`),
  KEY `check_date` (`check_date`),
  KEY `employee_code` (`employee_code`),
  KEY `idx_tbl_stk_updated_date` (`updated_date`)
) ENGINE=InnoDB AUTO_INCREMENT=1838679 DEFAULT CHARSET=utf8mb3;</t>
  </si>
  <si>
    <t>2025-12-11T10:03:20.512+0700</t>
  </si>
  <si>
    <t>2025-12-11T10:23:40.390+0700</t>
  </si>
  <si>
    <t>Hỗ trợ migration data cho campaign Lì Xì OneU Host:  172.31.1.19 DB: pe_rule_engine  UPDATE `rule_templates` SET `payload`='{"source":"not_used","timestamp":1765419574772,"id":"043bf80e-155d-4eae-92ca-5f8cf9f10546","event":"OrderFinishedEvent","service_code":"vincart-multimerchant-order-worker","user_id":"1003218046","payload":{"timestamp":1765419574772,"prev_order_version":2,"order_detail":{"id":5379059,"created_at":1765419572122,"updated_at":1765419574567,"merchant_id":331872,"store_id":332451,"store_code":"IOJ","merchant_code":"OMCPS2","merchant":{"id":331872,"enable_membership":false,"code":"OMCPS2","name":"One Mount Consumer","logo_url":"https://cdn-merchant.vinid.net/mpops/1727839614_OMCPS2.png","shipping_fee_rules":[],"shipping_methods":[],"shopping_methods":[],"is_supported_limit_sku":true},"store":{"id":332451,"code":"IOJ","name":"Store luồng bán voucher qua VMM","full_address":""},"code":"MQLB6N2D","issued_at":1765419572000,"shipping_time_from":1765419572000,"shipping_time_to":1765592372000,"user_id":"1003218046","customer_name":"***","reference_number":"e289d29f361441709a2af11ebb0b1745","status":"FINISHED","fulfillment_status":"SHIPPED","payment_status":"PAID","order_discount_amount":0,"total_discount":0,"vpoint_amount":0,"vpoint_value":0,"upoint_amount":200000,"upoint_value":200000,"total_amount":200000,"debt_amount":0,"total_items_amount":200000,"paid_amount":0,"original_shipping_fee":0,"shipping_fee":0,"payment_method":{"code":"UPOINT","name":"Tiêu điểm Upoint","vin_idpay":false,"vin_idpoint":false},"shipping_method":{"code":"DELIVERY","name":"Giao hàng tận nơi"},"shopping_method":{"code":"REMOTE","name":"Remote shopping"},"finalized_at":1765419575000,"finished_at":1765419575000,"completed_at":1765419575000,"packed_at":1765419575000,"shipping_at":1765419575000,"channel":"TCBM","version":2,"additional_amount":0,"display_total_amount":200000,"display_total_items_amount":200000,"channel_code":"TCBM","items":[{"id":5761306,"created_at":1765419572000,"merchant_id":331872,"product_id":778129,"variant_id":1030168,"order_id":5379059,"product_name":"Giảm VND 200,000 - GrabGifts","variant_name":"Giảm VND 200,000 - GrabGifts","barcode":"VD_VC_1764586141578","sku":"VD_VC_1764586141578","description":"VD_VC_1764586141578","image_url":"https://cdn-onevoucher.onemount.com/prod/OMC/sale-banner/banner_7OuKebSWDXFBCjVZz0nJD_VD_VC_1764586141578.jpg","price":200000,"unit_price":200000,"retail_price":200000,"promotion_amount":0,"quantity":1,"available_quantity":1,"total_amount":200000,"discount_amount":0,"discount_items":[{"id":5425133,"merchant_id":331872,"order_id":5379059,"order_item_id":5761306,"amount":0}],"total_discount":0,"line_amount":0,"display_price":200000,"display_promotion_price":200000,"display_currency":"UPOINT","uom":"voucher","uom_code":"VOUCHER","dimension_h":0,"dimension_l":0,"dimension_w":0,"weight_unit":"KG","weight_value":0,"is_bundle":false,"is_digital":true,"is_auto_complete":true,"product_payment_type":"Point","applied_merchants":[{"id":331399,"code":"BRANDGRABGIFTS","name":"GrabGifts","logo_url":"https://cdn-merchant.vinid.net/mpops/1737520599_GRABGIFTS.png","shipping_fee_rules":[],"shipping_methods":[],"shopping_methods":[]}],"effective_time_from":1764590440000,"effective_time_to":1924966799000,"accounting_source":"POSTPAID","original_price":200000,"voucher_uo_cate":"Transportation","postpaid_type":"PAY_AT_CLAIM","extra_data":{"prices":[{"id":626272,"price":200000,"status":"active","created_at":1764588303000,"product_id":778129,"unit_price":200000,"updated_at":1764588303000,"variant_id":1030168,"merchant_id":331872,"channel_code":"TCBM","product_code":"VD_VC_1764586141578","variant_code":"VD_VC_1764586141578","default_price":true,"display_price":200000,"merchant_code":"OMCPS2","price_list_id":1,"price_list_code":"RETAIL","discount_percent":0,"display_currency":"UPOINT","display_promotion_price":200000}],"segment_ids":["06151bf4dcfd468ca5685fe6af3219","29c3e7d5-4f45-4666-89ae-88f7eec2a731","515bfc04-19ea-4c34-a0ef-067d1a9b8bb4","b4e332ec-fe81-49aa-a7c6-b1a2d28f074c","feec1444-994c-4230-b99d-d516d3122f27"]},"modified":false,"type":"normal"}],"discounts":[],"payments":[{"id":6320633,"created_at":1765419573000,"updated_at":1765419573000,"merchant_id":331872,"order_id":5379059,"payment_method":{"code":"UPOINT","name":"UPOINT","vin_idpay":false,"vin_idpoint":false},"paid_at":1765419573000,"amount":200000,"source":"NEWCHECKOUT","currency":"POINT","paid_amount":200000,"fee_amount":0,"reference":"LOC775395272113","status":"PAID","data":"{\"id\": 6248570, \"cod\": false, \"data\": {\"loc_ref_no\": \"LOC775395272113\", \"merchant_id\": \"IOJ\", \"terminal_id\": \"IOJKM\", \"merchant_code\": \"OMCPS2\"}, \"amount\": 200000.0, \"status\": \"SUCCEEDED\", \"pgw_code\": \"null\", \"fee_amount\": 0.0, \"paid_amount\": 200000.0, \"reference_id\": \"LOC775395272113\", \"transaction_id\": 6022175, \"money_source_id\": \"96618ce2-13ba-41f5-bfad-8002b0f8f9c2\", \"payment_method_code\": \"U_POINT\", \"ref_payment_method_code\": \"UPOINT\"}","returned_amount":0,"invoice_no":"MQLB6N2D","payment_method_name_display":"UPOINT","currency_display":" Điểm","payment_method_code":"UPOINT","promotion":false,"cod":false,"waiting_for_confirm":false}],"fulfillments":[{"id":5310087,"created_at":1765419572000,"updated_at":1765419575000,"merchant_id":331872,"store_id":332451,"store_code":"IOJ","order_id":5379059,"account_id":"331872","user_id":"1003218046","shipping_method_code":"DELIVERY","shipping_method_name":"Giao hàng tận nơi","code":"FULMQLB6N2D1765419572tGNz2N","discount_amount":0,"vpoint_amount":0,"vpoint_value":0,"upoint_amount":200000,"upoint_value":200000,"total_items_amount":200000,"total_discount":0,"total_amount":200000,"total_quantity":1,"display_total_amount":200000,"display_total_items_amount":200000,"status":"SHIPPED","pushing_status":"UNPUSH","packed_at":1765419575000,"received_at":1765419575000,"shipped_at":1765419575000,"shipping_time_text":"Bạn sẽ nhận được mã sản phẩm ngay sau khi thanh toán thành công","shipping_fee":0,"fulfillment_items":[{"id":5618849,"created_at":1765419572000,"updated_at":1765419572000,"merchant_id":331872,"product_id":778129,"variant_id":1030168,"fulfillment_id":5310087,"product_name":"Giảm VND 200,000 - GrabGifts","variant_name":"Giảm VND 200,000 - GrabGifts","description":"VD_VC_1764586141578","discount_amount":0,"total_amount":200000,"price":200000,"unit_price":200000,"display_price":200000,"display_promotion_price":200000,"display_currency":"UPOINT","quantity":1,"is_bundle":false,"sku":"VD_VC_1764586141578","barcode":"VD_VC_1764586141578","uom":"voucher","image_url":"https://cdn-onevoucher.onemount.com/prod/OMC/sale-banner/banner_7OuKebSWDXFBCjVZz0nJD_VD_VC_1764586141578.jpg","dimension_h":0,"dimension_l":0,"dimension_w":0,"weight_unit":"KG","weight_value":0,"is_digital":true,"is_auto_complete":true,"no_promo_applied":false,"product_payment_type":"Point","applied_merchants":[{"id":331399,"code":"BRANDGRABGIFTS","name":"GrabGifts","logo_url":"https://cdn-merchant.vinid.net/mpops/1737520599_GRABGIFTS.png","shipping_fee_rules":[],"shipping_methods":[],"shopping_methods":[]}],"effective_time_from":1764590440000,"effective_time_to":1924966799000,"distribute_one_voucher":true}],"can_refund":false,"total_amount_exclude_points":0}],"meta":{"id":5152552,"created_at":1765419572000,"updated_at":1765419572000,"merchant_code":"OMCPS2","order_code":"MQLB6N2D","delivery_info":{},"source":"VOUCHER","merchant_payment_status":"UNPAID","tax_amount":0},"total_amount_exclude_voucher":200000,"shipping_address":{"id":5186246,"created_at":1765419572000,"merchant_id":331872,"order_id":5379059,"shipping_address_id":-1,"full_name":"Khách hàng","phone_number":"0000000000","address":"Times City","receiver":{"name":"Khách hàng","phone_number":"0000000000"},"district":{"code":"007","name":"Quận Hai Bà Trưng"},"province":{"code":"01","name":"Hà Nội"},"ward":{"code":"00283","name":"Phường Vĩnh Tuy"},"full_address":"Times City, Phường Vĩnh Tuy, Quận Hai Bà Trưng, Hà Nội"},"source":"VOUCHER","redeem_point_amount":0,"total_payment_amount":200000,"total_payment_amount_include_point_amount":200000,"total_payment_amount_exclude_promotion_shipping_fee":200000,"shopping_method_code":"REMOTE","accept_retry":false,"available_for_shipping":false,"total_amount_exclude_points":0}},"additional_data":{"user_id":"1003218046"}}' WHERE id = 6;</t>
  </si>
  <si>
    <t>2025-12-11T09:20:31.390+0700</t>
  </si>
  <si>
    <t>2025-12-11T15:18:05.976+0700</t>
  </si>
  <si>
    <t>Dear team, Em tạo ticket để xin kafka topic cho dự án SCM môi trường PROD theo thông tin như sau: Host: 172.31.1.118 Port: 3306 Schema: omd_mdm_prod Tables:  ContractProjectMapping, WarehouseProductMapping Em cảm ơn ạ,</t>
  </si>
  <si>
    <t>[LP][Core] - Delete versioning data cho các bảng MEMBER_INFO_VERSIONING, CUSTOMER_CARD_INFO_VERSIONING, CUSTOMER_PROFILE_VERSIONING, CUSTOMER_PRODUCT_INFO_VERSIONING</t>
  </si>
  <si>
    <t>2025-12-11T09:18:25.065+0700</t>
  </si>
  <si>
    <t>2025-12-11T12:26:16.449+0700</t>
  </si>
  <si>
    <t>Dear Team DAB, Nhờ team  xoá tất cả các data  cho các bảng sau giúp ạ : OLOYALTY.MEMBER_INFO_VERSIONING
OLOYALTY.CUSTOMER_CARD_INFO_VERSIONING
OLOYALTY.CUSTOMER_PROFILE_VERSIONING
OLOYALTY.CUSTOMER_PRODUCT_INFO_VERSIONING Nguyên nhân : Data chưa sử dụng, giải phóng data lưu trữ</t>
  </si>
  <si>
    <t>Yêu cầu migration dữ liệu B2B OMS Database PROD</t>
  </si>
  <si>
    <t>2025-12-10T23:15:26.548+0700</t>
  </si>
  <si>
    <t>2025-12-10T23:15:34.281+0700</t>
  </si>
  <si>
    <t>Dear các anh DBA Nhờ các anh migration dữ liệu giúp team B2C OMS phục vụ cho US  PQ1D-1497 . Thời gian thực hiện: Sau khi deploy B2C OMS, dự kiến 10h tối 10/12/2025. Thông tin DB: gcp project: omd-pos-prod
instance: omd-pos-commerce (IP: 172.31.1.6)
DB: litepos_oms_prod Câu lệnh:  INSERT INTO AccountPaymentInfo (createdAt, createdBy, lastModifiedAt, lastModifiedBy, version,bankCode, accountName, merchantCode, isDefault, status, paymentMethod_id, initialBalance)
SELECT NOW(), 'SYSTEM_INIT', NOW(), 'SYSTEM_INIT',  0, 'CASH', 'Tiền mặt', bs.storeKey, 0, 'ACTIVE', 1, 0
FROM
    BaseStore AS bs
WHERE
    NOT EXISTS (SELECT 1 FROM AccountPaymentInfo AS api WHERE api.merchantCode = bs.storeKey AND api.paymentMethod_id = 1)
    AND bs.storeKey IS NOT NULL
    AND bs.isActive = 1; E cảm ơn !</t>
  </si>
  <si>
    <t>[TMS][Prod] Execute sql migration script for Golive TMS Sprint LOG S99 (10/12/2025)</t>
  </si>
  <si>
    <t>2025-12-10T22:07:27.164+0700</t>
  </si>
  <si>
    <t>2025-12-10T22:07:31.948+0700</t>
  </si>
  <si>
    <t>Nhờ team thực hiện migration sql 21h - 22h ngày 10/12/2025 cho các database sau: Databasse:  omd_tms_onedriver_prod (SQL instance tms-mysql-01 (Private IP: 172.31.4.129)  https://console.cloud.google.com/sql/instances/tms-mysql-01/overview?project=onedc-tms-prod ): OD_S99_mySql.sql</t>
  </si>
  <si>
    <t>2025-12-10T18:42:46.236+0700</t>
  </si>
  <si>
    <t>2025-12-10T18:42:52.661+0700</t>
  </si>
  <si>
    <t>Dear team, Team em có nhu cầu cập nhật cấu trúc bảng, nhờ team chạy script sau giúp em ạ. Release Plan :  CR :    Thời gian chạy:   Nhờ team chạy ngay giúp em ạ. Thông tin DB:   omc-mtp-tidb.int.onemount.com:4000 / omc_merchant_loyalty Script: delete from omc_merchant_loyalty.contract where id = 2260; Business Ref:   https://chat.google.com/room/AAQAtRBds7U/P5Y5_CXXTlM/P5Y5_CXXTlM?cls=10</t>
  </si>
  <si>
    <t>[Merchant-OM] Hỗ trợ cập nhật dữ liệu 20251210 02</t>
  </si>
  <si>
    <t>2025-12-10T18:41:39.044+0700</t>
  </si>
  <si>
    <t>2025-12-10T18:41:46.524+0700</t>
  </si>
  <si>
    <t>Dear team, Nhờ team chạy giúp câu lệnh bên dưới ạ. Thông tin database https://console.cloud.google.com/sql/instances/main/overview?inv=1&amp;invt=Abqw_w&amp;project=vinid-merchant-prod DB_MYSQL_HOST=172.31.1.44
DB_MYSQL_DATABASE=merchant_service Câu lệnh UPDATE loyalty_tier SET `rank`=0 WHERE id = 4;</t>
  </si>
  <si>
    <t>[Merchant-OM] Hỗ trợ cập nhật dữ liệu 20251210</t>
  </si>
  <si>
    <t>2025-12-10T18:40:08.919+0700</t>
  </si>
  <si>
    <t>2025-12-10T18:40:16.480+0700</t>
  </si>
  <si>
    <t>Dear team, Nhờ team chạy giúp câu lệnh bên dưới ạ. Thông tin database https://console.cloud.google.com/sql/instances/main/overview?inv=1&amp;invt=Abqw_w&amp;project=vinid-merchant-prod DB_MYSQL_HOST=172.31.1.44
DB_MYSQL_DATABASE=merchant_service Câu lệnh UPDATE
	merchant
SET
	parent_id = 378941,
	is_sap_debt = 1,
	sap_code = '0500188632'
WHERE
	id = 379217;</t>
  </si>
  <si>
    <t>[OMC][Kafka][PRD] Hỗ trợ tạo kafka topic DB merchant_app</t>
  </si>
  <si>
    <t>2025-12-10T16:44:20.833+0700</t>
  </si>
  <si>
    <t>2025-12-10T17:06:58.729+0700</t>
  </si>
  <si>
    <t>Dear anh Linh, Phục vụ xây dựng báo cáo luồng merchant self-onboarding. Nhờ anh tạo kafka topic cho bảng sau: DB:  merchant_app IP:  172.31.1.77:3306 Table:  merchant_onboards Em cảm ơn ạ.</t>
  </si>
  <si>
    <t>2025-12-09T21:08:21.342+0700</t>
  </si>
  <si>
    <t>2025-12-10T10:49:54.162+0700</t>
  </si>
  <si>
    <t>Dear team, Team em có nhu cầu cập nhật cấu trúc bảng, nhờ team chạy 2 script sau giúp em ạ. Trong quá trình golive có thể phát sinh nhu cầu cập nhật dữ liệu nên nhờ team hỗ trợ trong giờ nếu cần ạ. Release Plan :    CR : Team em sẽ gửi lại trong chiều nay ạ. Thời gian chạy:   21h ngày 09/12/2025 Thông tin DB:   omc-mtp-tidb.int.onemount.com:4000 / omc_merchant_loyalty Script: alter table omc_merchant_loyalty.contract
    add merchant_type varchar(30) null after sales_manager;
update omc_merchant_loyalty.contract
set merchant_type = (select merchant_type from merchant where contract.merchant_id = merchant.id)
where type = 'CONTRACT'; Thông tin DB:   172.31.3.49:5432 / mtp_assets_management Script : INSERT INTO public.mtp_assets_sms_template
(id, name, type, category, brand_name, sender_name, content, master_code, status, created_at, updated_at, es, department)
VALUES
('4742df06-e300-4ce4-8077-6423f10a43a9', 'Vinshop OTP Basic', 'CSKH', 'OTP', 'VinID Pay', 'VinID Pay', 'Ma OTP cua ban tren VinShop la {{otp}}. Khong cung cap ma nay cho bat ky ai', NULL, 'APPROVED', DEFAULT, DEFAULT, 'OMD', 'OMD Tech'),
('8f339379-7c5b-454a-ae89-6b9f655caaa4', 'Vinshop OTP With SMS ID', 'CSKH', 'OTP', 'VinID Pay', 'VinID Pay', 'Ma OTP cua ban tren VinShop la {{otp}}. Khong cung cap ma nay cho bat ky ai. SMSID: {{sms_id}}', NULL, 'APPROVED', DEFAULT, DEFAULT, 'OMD', 'OMD Tech'),
('77ab5584-40bb-4b4a-b141-ec506f6fd941', 'Vinshop OTP Basic 2', 'CSKH', 'OTP', 'VinID Pay', 'VinID Pay', 'Ma OTP cua ban tren VinShop la {{otp}}. Khong cung cap ma nay cho bat ky ai', NULL, 'APPROVED', DEFAULT, DEFAULT, 'OMD', 'OMD Tech'),
('38e3f54d-da27-4293-b569-0a91f1286e75', 'OneHousing Terms Verification OTP', 'CSKH', 'OTP', 'OneHousing', 'OneHousing', 'OneHousing: Nhap ma OTP {{otp}} de xac nhan Dieu khoan dieu kien kiem tra han muc vay mua nha. Vui long khong cung cap ma nay cho bat ky ai.', NULL, 'APPROVED', DEFAULT, DEFAULT, 'OMRE', 'OMRE Tech'),
('f0a824a4-b0c2-45de-9296-fdee3ce68915', 'VinID Account Deleted Notice', 'CSKH', 'OTP', 'VINID.net', 'VINID.net', 'Tai khoan VinID gan voi so {{phone_number}} da duoc xoa thanh cong. Cam on quy khach da su dung dich vu.', NULL, 'APPROVED', DEFAULT, DEFAULT, 'OMC', 'OMC Loyalty'),
('3794f63f-76f2-441b-9fc5-3aeec895da34', 'OneHousing OTP Basic', 'CSKH', 'OTP', 'OneHousing', 'OneHousing', 'Ma OTP cua quy khach tren OneHousing la {{otp}}. Khong cung cap ma nay cho bat ky ai. /EtAVa5GRcd', NULL, 'APPROVED', DEFAULT, DEFAULT, 'OMRE', 'OMRE Tech'),
('7618dda6-79fa-4e6b-ba88-f28191c902fd', 'VinID OTP Basic A', 'CSKH', 'OTP', 'VINID.net', 'VINID.net', 'Ma OTP cua quy khach tren VinID la {{otp}}. Khong cung cap ma nay cho bat ky ai. SwBuRdiIMmp', NULL, 'APPROVED', DEFAULT, DEFAULT, 'OMC', 'OMC Loyalty'),
('a6088a7d-36cc-4b45-89d6-e688188f2f24', 'VinID OTP Basic B', 'CSKH', 'OTP', 'VINID.net', 'VINID.net', 'Ma OTP cua quy khach tren VinID la {{otp}}. Khong cung cap ma nay cho bat ky ai. SwBuRdiIMmp', NULL, 'APPROVED', DEFAULT, DEFAULT, 'OMC', 'OMC Loyalty'),
('aa4e18ec-8bdd-401d-b939-cd6904f97cc8', 'OneHousing Pro Agent App PIN', 'CSKH', 'OTP', 'OneHousing', 'OneHousing', 'Tai khoan Pro Agent App cua ban da duoc khoi tao. Su dung ma {{pin}} (hieu luc 24h) de dang nhap. Link tai app https://onehousing.vn/housing-agent', NULL, 'APPROVED', DEFAULT, DEFAULT, 'OMRE', 'OMRE Tech'),
('67876c74-67e4-496d-bd56-35fcc1436132', 'Quet App OTP', 'CSKH', 'OTP', 'OneHousing', 'OneHousing', 'Ung dung Quet gui quy khach ma OTP la {{otp}}. Vui long khong cung cap ma nay cho bat ky ai.', NULL, 'APPROVED', DEFAULT, DEFAULT, 'OMC', 'OMC Loyalty'),
('12e2adc4-d902-4d43-b0a5-8a85e0d3241c', 'MOM OTP', 'CSKH', 'OTP', 'VINID.net', 'VINID.net', 'Ma OTP cua quy khach tren MOM la {{otp}}. Vui long khong cung cap ma nay cho bat ky ai.', NULL, 'APPROVED', DEFAULT, DEFAULT, 'OM', 'OM Tech'),
('51bafa90-10dd-424c-bc8b-90a815d0ed9f', 'OneHousing Website OTP', 'CSKH', 'OTP', 'OneHousing', 'OneHousing', 'Ma OTP cua quy khach tren OneHousing tại onehousing.vn la {{otp}}. Vui long khong cung cap ma nay cho bat ky ai.', NULL, 'APPROVED', DEFAULT, DEFAULT, 'OMRE', 'OMRE Tech'),
('2ffa20ed-7ee7-49e1-8ff7-30703b04f232', 'VinID OTP Basic C', 'CSKH', 'OTP', 'VINID.net', 'VINID.net', 'Ma OTP cua quy khach tren VinID la {{otp}}. Khong cung cap ma nay cho bat ky ai. SwBuRdiIMmp', NULL, 'APPROVED', DEFAULT, DEFAULT, 'OMC', 'OMC Loyalty'),
('d78cfa1d-cf4e-49f4-a93c-886e2090baac', 'VinID OTP Basic D', 'CSKH', 'OTP', 'VINID.net', 'VINID.net', 'Ma OTP cua quy khach tren VinID la {{otp}}. Khong cung cap ma nay cho bat ky ai. SwBuRdiIMmp', NULL, 'APPROVED', DEFAULT, DEFAULT, 'OMC', 'OMC Loyalty'),
('76ddb89c-042e-4dae-9d3c-719e7a79e632', 'VinID Password Reset OTP', 'CSKH', 'OTP', 'VINID.net', 'VINID.net', 'Ma OTP khoi phuc mat khau cho tai khoan so {{phone_number}} la {{otp}}', NULL, 'APPROVED', DEFAULT, DEFAULT, 'OMC', 'OMC Loyalty'),
('0b781ac9-8277-48be-b330-712582fab332', 'VinID Temporary Password', 'CSKH', 'OTP', 'VINID.net', 'VINID.net', 'Mat khau tam thoi cua quy khach la {{pwd}}. Khong cung cap ma nay cho bat ky ai.', NULL, 'APPROVED', DEFAULT, DEFAULT, 'OMC', 'OMC Loyalty'),
('265dd6fb-810b-4d42-bdf6-bc6b6a4068de', 'VinID OTP Basic E', 'CSKH', 'OTP', 'VINID.net', 'VINID.net', 'Ma OTP cua quy khach tren VinID la {{otp}}. Khong cung cap ma nay cho bat ky ai. SwBuRdiIMmp', NULL, 'APPROVED', DEFAULT, DEFAULT, 'OMC', 'OMC Loyalty'),
('c1283249-9b80-42de-bc0e-d9e16be5c22b', 'VinID Pay Transaction OTP', 'CSKH', 'OTP', 'VinID Pay', 'VinID Pay', 'Ma OTP cua quy khach la {{otp}} cho giao dich thanh toan {{money}}d tai {{store_label}} qua vi VinID Pay. Vui long khong chia se ma nay cho nguoi khac. {{sms_id}}', NULL, 'APPROVED', DEFAULT, DEFAULT, 'DFS', 'DFS Tech'),
('21c44725-cb10-4cf4-aedd-c0b85475b8bc', 'VinID Pay Biometric Activation OTP', 'CSKH', 'OTP', 'VinID Pay', 'VinID Pay', 'Ma OTP {{otp}} dung de dang ky xac thuc sinh trac hoc nang cao cua VinID Pay tren thiet bi moi. Ban vui long khong chia se ma nay voi nguoi khac. {{sms_id}}', NULL, 'APPROVED', DEFAULT, DEFAULT, 'DFS', 'DFS Tech'); Thanks team.</t>
  </si>
  <si>
    <t>[Soundbox] Cập nhập năm hết hạn bảo hành thiết bị</t>
  </si>
  <si>
    <t>2025-12-09T17:43:37.712+0700</t>
  </si>
  <si>
    <t>2025-12-09T17:43:49.762+0700</t>
  </si>
  <si>
    <t>Hi a  @Nguyễn Văn Dũng  , nhờ a chạy giúp e script bên dưới với ạ Thông tin database saas_tpay:  pay-tidb.int.onemount.com:4000/saas_tpay Script: UPDATE TCB_DEVICE SET warranty_expired_at = '2026-10-19 00:00:00.000'
WHERE device_serial_number IN ('38250821739651','38250821739652','38250821739653','38250821739654','38250821739655','38250821739656','38250821739657','38250821739658','38250821739659','38250821739660','38250821739661','38250821739662','38250821739663','38250821739664','38250821739665','38250821739666','38250821739667','38250821739668','38250821739669','38250821739670','38250821739671','38250821739672','38250821739673','38250821739674','38250821739675');</t>
  </si>
  <si>
    <t>Cập nhật pre_fix cho cấu hình gen_config của NPP Hải Anh</t>
  </si>
  <si>
    <t>2025-12-09T17:34:46.886+0700</t>
  </si>
  <si>
    <t>2025-12-09T17:34:56.749+0700</t>
  </si>
  <si>
    <t>Hi DBA team, Vận hành mong muốn cập nhật pre_fix cho cấu hình gen_config của NPP Hải Anh theo querry sau update gen_config gc set gc.prefix = REPLACE(gc.prefix, 'DYE', 'ANH') where gc.dc_code = 'ANH01'; Câu query đánh giá là không ảnh hưởng đến vận hành hệ thống nên mong muốn chạy luôn. Cụm WMS Project : vinid-b2b-platform-prod Instance/IP : main (read-write): 172.31.4.59 Port : 3306 Database : omd_wms_core</t>
  </si>
  <si>
    <t>[UPay][TPAY] [PROD] Script onboard merchant SAVILLS và update giao dịch QR247</t>
  </si>
  <si>
    <t>2025-12-09T17:31:13.485+0700</t>
  </si>
  <si>
    <t>2025-12-09T17:35:10.938+0700</t>
  </si>
  <si>
    <t>Hi anh Nhờ anh chạy các script để cấu hình merchant “LEKIEN” TPAY ạ. Thông tin database saas_tpay: mysql://pay-tidb.int.onemount.com:4000/saas_tpay Script: INSERT INTO PARTNER (client_id, name, public_key, enable, merchant_code)
VALUES ('GXmNxefWbZgbdnjiYcnZjTXPKMEfSite', 'SAVILLS', '-----BEGIN PUBLIC KEY-----
MIIBIjANBgkqhkiG9w0BAQEFAAOCAQ8AMIIBCgKCAQEA1A6fW2XzSLHuyHWHAgK9
oCynlNX9OMOBUz0kIv0Xt3h0dIwzYZ9vZGylDK7bVri1LV1wHLqBA4aZ4XBp39FM
6SCGmIZ/XU2Kgs+mKPHfaimHKzjEmSY0gsEoh/5LVKbsM7Kww2sXx5QmxUHs1JiC
3epcIN+e3WMc0a+/vRtDrTWeVh6IrWuzI+YP2CnU72OZ1Z8Qhf2jMkyrNQcc4RWz
nBdWT/UTkCk1lOqKLf6m06ZjGwuppCZ9t2/3Du8+n96msQdAT3LyrE7Vk4sBVQg9
bDHMI7O8xipeywI5Bb41Rx03NK1KYFRzJULvvofe+mdEuewiR3DQCv6lDgLu0GdB
WQIDAQAB
-----END PUBLIC KEY-----', 1, 'SAVILLS');
update TRANSACTION_DETAIL
set
    updated_date = '2025-11-22 18:27:24.000',
    merchant_code = 'CIRCLEK',
    merchant_id = 'M11756287264883',
    merchant_name = 'CONG TY TNHH VONG TRON DO',
    store_code = 'SG0155',
    store_id = 'S11757932828880',
    store_name = 'Circle K   144 Lê Trọng Tấn',
    terminal_code = 'SG0155',
    terminal_id = 'T11757932828886',
    terminal_name = 'SG0155',
    partner = 'OME',
    receiver_bank_code  = 'VTCBVNVX',
    receiver_bank_name  = 'TCB'
where id = '0b4d530e279347ec81578be7b06e53b0';
update TRANSACTION_DETAIL
set
    updated_date = '2025-11-22 07:26:17.000',
    merchant_code = 'CIRCLEK',
    merchant_id = 'M11756287264883',
    merchant_name = 'CONG TY TNHH VONG TRON DO',
    store_code = 'CT5019',
    store_id = 'S11757932533208',
    store_name = 'Circle K   134A Đường 3 2',
    terminal_code = 'CT5019',
    terminal_id = 'T11757932533214',
    terminal_name = 'CT5019',
    partner = 'OME',
    receiver_bank_code  = 'VTCBVNVX',
    receiver_bank_name  = 'TCB'
where id = '2a830f75c25b439fb792bda98888a7f7'; CR:  https://vinid-team.atlassian.net/servicedesk/customer/portal/15/SH-67522?created=true</t>
  </si>
  <si>
    <t>[Merchant-OM] Hỗ trợ cập nhậtdữ liệu 20251209</t>
  </si>
  <si>
    <t>2025-12-09T16:54:33.778+0700</t>
  </si>
  <si>
    <t>2025-12-09T17:02:47.222+0700</t>
  </si>
  <si>
    <t>Dear team, Nhờ team chạy giúp câu lệnh bên dưới ạ. Thông tin database https://console.cloud.google.com/sql/instances/main/overview?inv=1&amp;invt=Abqw_w&amp;project=vinid-merchant-prod DB_MYSQL_HOST=172.31.1.44
DB_MYSQL_DATABASE=merchant_service Câu lệnh insert into merchant_role (created_at, updated_at, deleted_at, name, active, merchant_id)
values (now(), now(), null, 'Admin', 1, 361647),
       (now(), now(), null, 'Store', 1, 361647),
       (now(), now(), null, 'Staff', 1, 361647);</t>
  </si>
  <si>
    <t>[OMD][Kafka][Prod] Tạo kafka topic cho các bảng bổ sung của WMS MiniDC MAG</t>
  </si>
  <si>
    <t>2025-12-09T14:11:37.756+0700</t>
  </si>
  <si>
    <t>2025-12-09T15:01:04.597+0700</t>
  </si>
  <si>
    <t>Hiện tại OMD đang có nhu cầu kéo thêm dữ liệu những bảng sau để xây dựng báo cáo nhờ anh Linh tạo kafka topic ở môi trường PROD giúp team để kéo data về DP nhé ạ! PROD: Project: vinid-b2b-platform-prod IP host: 172.31.4.59:3306 (mysql) Schema: omd_wms_mag Table list: product_kitting
product_kitting_item Thanks and regards! cong.do1</t>
  </si>
  <si>
    <t>[OMC]Xin cấp quyền view DB với tài khoản oneu_vincart_platform_readonly</t>
  </si>
  <si>
    <t>2025-12-09T14:10:49.965+0700</t>
  </si>
  <si>
    <t>2025-12-09T14:20:15.923+0700</t>
  </si>
  <si>
    <t>Dear anh Linh, Để tiện hỗ trợ các issue liên quan đến review merchant trên production . Team mong muốn cấp thêm quyền view DB với các thông tin sau. Thông tin database: Project: vincart-prod
IP: 172.31.1.41
Username: oneu_vincart_platform_readonly (Đã có)
DB name: oneu_merchant_rating Em cảm ơn ạ.</t>
  </si>
  <si>
    <t>2025-12-09T11:05:27.581+0700</t>
  </si>
  <si>
    <t>2025-12-09T11:05:33.431+0700</t>
  </si>
  <si>
    <t>Hi a  @Nguyễn Văn Dũng   nhờ a chạy giúp em ticket sau nhé ạ.  Thông tin database saas_tpay:  pay-tidb.int.onemount.com:4000/saas_tpay Script: delete from merchant where MERCHANT_CODE in ('36629238');
delete from SERVICE where MERCHANT_CODE in ('36629238');
delete from STORE where MERCHANT_CODE in ('36629238');
delete from TERMINAL where MERCHANT_CODE in ('36629238');</t>
  </si>
  <si>
    <t>Xin account vào database Matomo</t>
  </si>
  <si>
    <t>2025-12-09T09:09:00.082+0700</t>
  </si>
  <si>
    <t>2025-12-09T11:15:45.042+0700</t>
  </si>
  <si>
    <t>Dear Hưng, Nhờ em cấp lại giúp anh tài khoản vào database matomo - trước đây a có account rồi nhưng từ khi có database incident thì không vào được nữa.</t>
  </si>
  <si>
    <t>[PROD] Chạy câu lệnh SQL phục vụ golive ngày 09/12/2025</t>
  </si>
  <si>
    <t>2025-12-08T16:59:01.682+0700</t>
  </si>
  <si>
    <t>2025-12-08T17:04:49.823+0700</t>
  </si>
  <si>
    <t>Dear anh Linh, Nhờ anh hỗ trợ team chạy các câu lệnh sau để phục vụ golive ạ Project: vincart-prod
IP: 172.31.1.41
DB name: vincart_mm_merchant SQL: CREATE TABLE IF NOT EXISTS `collection_store_mappings`
(
    `id`                  BIGINT      NOT NULL AUTO_INCREMENT PRIMARY KEY,
    `created_at`          DATETIME    NOT NULL DEFAULT CURRENT_TIMESTAMP,
    `updated_at`          DATETIME    NOT NULL DEFAULT CURRENT_TIMESTAMP ON UPDATE CURRENT_TIMESTAMP,
    `merchant_id`         BIGINT      NOT NULL,
    `collection_store_id` BIGINT      NOT NULL,
    `store_code`          VARCHAR(25) NOT NULL
);
CREATE INDEX idx_collection_store_id_collection_store_mappings ON `collection_store_mappings` (`collection_store_id`);
ALTER TABLE `collection_stores`
    ADD COLUMN `type` VARCHAR(25) NULL DEFAULT 'TAG'; Cần thêm thông tin nào nhờ anh comment giúp em nhé ạ Em cảm ơn anh ạ</t>
  </si>
  <si>
    <t>[TMS][Prod] Execute sql update data script xử lý sự vụ</t>
  </si>
  <si>
    <t>2025-12-08T16:00:59.810+0700</t>
  </si>
  <si>
    <t>2025-12-08T16:08:30.035+0700</t>
  </si>
  <si>
    <t>Nhờ team thực hiện update data cho database sau: Database  bytm_prod  (Oracle instance on GCE oracle-primary (Private IP: 10.255.24.170) (see attachments) bytm_prod_update_data_loadEX_dlvy_method_12_08_2025.sql</t>
  </si>
  <si>
    <t>2025-12-08T14:56:17.924+0700</t>
  </si>
  <si>
    <t>2025-12-08T15:13:56.096+0700</t>
  </si>
  <si>
    <t>Dear anh Linh, Phục vụ xây dựng báo cáo luồng food delivery. Nhờ anh tạo kafka topic cho bảng sau: DB:  merchant_app IP:  172.31.1.12:3306 Table:  merchant_mappings Em cảm ơn ạ.</t>
  </si>
  <si>
    <t xml:space="preserve">[PROD] Xin quyền view các bảng merchant_app </t>
  </si>
  <si>
    <t>2025-12-08T14:38:28.621+0700</t>
  </si>
  <si>
    <t>2025-12-08T14:38:32.934+0700</t>
  </si>
  <si>
    <t>Dear team DBA, Để tiện hỗ trợ các issue liên quan đến phần merchant login và merchant self onboard trên production . Nhờ team add thêm quyền readonly các bảng mới với tài khoản hiện có.  Thông tin database: Project: vinid-service-platform-prod IP: 172.31.1.77 Port: 3306 User hiện tại: oneu_platform_readonly Read all tables trong database merchant_app  Em cảm ơn ạ.</t>
  </si>
  <si>
    <t>Team TaskBox nhờ chạy câu lệnh update dữ liệu ở bảng AssignmentCampaign</t>
  </si>
  <si>
    <t>2025-12-08T12:12:12.220+0700</t>
  </si>
  <si>
    <t>2025-12-08T12:12:23.577+0700</t>
  </si>
  <si>
    <t>taskbox</t>
  </si>
  <si>
    <t>Do vận hành cài lại campaign nên dữ liệu bị sai lệnh, nhờ a Dũng chạy giúp tean câu lệnh dưới với ạ. Câu lệnh select  SELECT DISTINCT  có khoảng 8k kết quả ạ ========== Thông tin DB gcp project: onemg-integration-platform-prd instance: main (172.31.1.118) DB: omd_taskbox ========== UPDATE AssignmentCampaign SET {{    campaignCode = 'OBSOTELECAMPAIGN'}} WHERE {{    campaignCode = 'SC0000000024'}} {{        AND customerCode IN (SELECT DISTINCT}} {{            customerCode}} {{        FROM}} {{            Evidence}} {{        WHERE}} {{            campaignCode = 'SC0000000022')}}</t>
  </si>
  <si>
    <t>[OM][Charity][Non-Prod][Health Hub] Cấp quyền truy cập database trên môi trường QC/UAT</t>
  </si>
  <si>
    <t>2025-12-08T11:59:04.833+0700</t>
  </si>
  <si>
    <t>2025-12-08T11:59:15.521+0700</t>
  </si>
  <si>
    <t>Em chào anh chị, Anh chị hỗ trợ cấp quyền đọc, sửa cho em đối với database trên môi trường QC/UAT với ạ. project: omc-charity-np Instance name: omc-charity-core IP: 172.31.0.71 DB name: fund-core-uat/qc user name: ? password: ?</t>
  </si>
  <si>
    <t>[Non-Prod] Request tạo database cho ecom context service</t>
  </si>
  <si>
    <t>2025-12-08T11:11:43.153+0700</t>
  </si>
  <si>
    <t>2025-12-08T11:49:31.220+0700</t>
  </si>
  <si>
    <t xml:space="preserve">Hi a Dũng, Nhờ anh tạo giúp em thông tin database dưới đây: Project: vinid-app-common-dev Instance:  main-utc-0 IP: 	172.31.0.61 Database name:  ecom_context_uat|qc  </t>
  </si>
  <si>
    <t>[OMC][PROD] Remove các instance redis không sử dụng nữa project vincart-prod</t>
  </si>
  <si>
    <t>2025-12-08T10:00:45.519+0700</t>
  </si>
  <si>
    <t>2025-12-08T10:00:56.834+0700</t>
  </si>
  <si>
    <t>Remove các instance redis VM không còn sử dụng nữa project vincart-prod Project: vincart-prod Instance:  redis-vmm-01 , redis-vmm-02 ,  redis-cache-01</t>
  </si>
  <si>
    <t>[OMC][ONEU] [Prod] Xóa data backup</t>
  </si>
  <si>
    <t>2025-12-08T09:55:27.702+0700</t>
  </si>
  <si>
    <t>2025-12-08T09:55:42.409+0700</t>
  </si>
  <si>
    <t>Nhờ team chạy giúp em ticket này để xóa data backup ạ CR:    project: vincart-prod instance: main ip: 172.31.1.41 DB: address_book DROP TABLE delivery_address_DBASD_9232</t>
  </si>
  <si>
    <t>Team Taskbox nhờ đánh index trên các bảng omd_taskbox</t>
  </si>
  <si>
    <t>2025-12-08T08:54:19.946+0700</t>
  </si>
  <si>
    <t>2025-12-08T08:54:30.945+0700</t>
  </si>
  <si>
    <t>Dear a Dũng,  Nhờ a Dũng đánh giúp e 1 số index của các bảng sau với ạ, team sẽ update lại code vào ngày 10/12 sau ạ: Thông tin DB gcp project: onemg-integration-platform-prd instance: main (172.31.1.118) DB: omd_taskbox Bảng  Campaign: code Evidence: campaignCode, offerCode, customerCode AssignmentCampaign: customerCode, saId, campaignCode</t>
  </si>
  <si>
    <t>[BO] Cập nhập cấu trúc bảng SAP_TRANS_SUM</t>
  </si>
  <si>
    <t>2025-12-06T10:20:34.064+0700</t>
  </si>
  <si>
    <t>2025-12-06T10:20:42.961+0700</t>
  </si>
  <si>
    <t>Hi a  @Nguyễn Văn Dũng , nhờ a chạy giúp e script bên dưới với ạ Thông tin database:  172.31.1.133:3306/bo Script: ALTER TABLE SAP_TRANS_SUM MODIFY COLUMN ITEM_TEXT varchar(500) COLLATE utf8mb4_general_ci DEFAULT NULL;</t>
  </si>
  <si>
    <t xml:space="preserve">[PROD] [VCM] Chạy script update voucher_accepted_store </t>
  </si>
  <si>
    <t>2025-12-06T10:12:27.645+0700</t>
  </si>
  <si>
    <t>2025-12-06T10:12:40.927+0700</t>
  </si>
  <si>
    <t>Do voucher vimmart đang có nhiều store thiếu lat,log. MÌnh đang gặp vấn đề nếu họ update store gây ra bắn nhiều event message update. Nên việc này nhờ A/e DBA hỗ chợ update voucher  {{IP: 172.31.1.41 }} Dbname:  vincart_mm_product Bảng: vincart_mm_product.entity_attributes_values select * from vincart_mm_product.entity_attributes_values where entity_id in (1012255, 1012282) and type='VARIANT' and name = 'voucher_accepted_stores'
- backup dòng select.
delete from vincart_mm_product.entity_attributes_values where id = {id} lấy ở lệnh trên</t>
  </si>
  <si>
    <t>[Merchant-OM] Hỗ trợ cập nhật dữ liệu 20251205</t>
  </si>
  <si>
    <t>2025-12-06T09:47:47.210+0700</t>
  </si>
  <si>
    <t>2025-12-06T09:47:53.542+0700</t>
  </si>
  <si>
    <t>Dear team, Nhờ team chạy giúp câu lệnh bên dưới ạ. Thông tin database https://console.cloud.google.com/sql/instances/main/overview?inv=1&amp;invt=Abqw_w&amp;project=vinid-merchant-prod DB_MYSQL_HOST=172.31.1.44
DB_MYSQL_DATABASE=merchant_service Câu lệnh UPDATE address SET verification_status='VERIFIED', updated_at=NOW() WHERE id = 379710;</t>
  </si>
  <si>
    <t>Hỗ trợ cài đặt server intergration framework cho SAP B1</t>
  </si>
  <si>
    <t>2025-12-06T09:39:47.727+0700</t>
  </si>
  <si>
    <t>2026-01-03T09:59:33.517+0700</t>
  </si>
  <si>
    <t xml:space="preserve">Dự án cần hỗ trợ cấu hình B1 intergration framework (b1if) để sử dụng event sender trigger data </t>
  </si>
  <si>
    <t>2025-12-05T13:32:39.906+0700</t>
  </si>
  <si>
    <t>2025-12-05T14:38:12.376+0700</t>
  </si>
  <si>
    <t>Dear team, Nhờ team chạy giúp câu lệnh bên dưới ạ. Thông tin database https://console.cloud.google.com/sql/instances/main/overview?inv=1&amp;invt=Abqw_w&amp;project=vinid-merchant-prod DB_MYSQL_HOST=172.31.1.44
DB_MYSQL_DATABASE=merchant_service Câu lệnh UPDATE reward SET code='MM_campaign_checkin_T12.25' WHERE id=2201;</t>
  </si>
  <si>
    <t>[PROD] Thêm table cho Merchant Mini App</t>
  </si>
  <si>
    <t>2025-12-04T22:50:21.734+0700</t>
  </si>
  <si>
    <t>2025-12-04T22:50:37.188+0700</t>
  </si>
  <si>
    <t>Nhờ team add thêm table phục vụ golive: Release plan:     CR :  https://vinid-team.atlassian.net/servicedesk/customer/portal/15/SH-67738?created=true Thông tin: Database MySQL: merchant_app Instance ID:  https://console.cloud.google.com/sql/instances/main/databases?project=vinid-service-platform-prod Thêm table: câu lệnh SQL: CREATE TABLE merchant_onboards
(
    `id`                                     BIGINT       NOT NULL AUTO_INCREMENT PRIMARY KEY,
    `provider_user_id`                       VARCHAR(127) NOT NULL,
    `provider_name`                          VARCHAR(127) NOT NULL,
    `status`                                 VARCHAR(127) NOT NULL,
    `merchant_type`                          VARCHAR(127),
    `identity_type`                          VARCHAR(127),
    `identity_number`                        VARCHAR(127),
    `identity_front_side_url`                LONGTEXT,
    `identity_back_side_url`                 LONGTEXT,
    `passport_url`                           LONGTEXT,
    `business_certificate_url`               LONGTEXT,
    `food_safety_certificate_url`            LONGTEXT,
    `certificate_of_origin_url`              LONGTEXT,
    `brand_logo_url`                         LONGTEXT,
    `merchant_id`                            BIGINT,
    `merchant_code`                          VARCHAR(127),
    `legal_name`                             VARCHAR(127),
    `trade_name`                             VARCHAR(127),
    `merchant_short_name`                    VARCHAR(127),
    `merchant_address_province_code`         VARCHAR(127),
    `merchant_address_province_name`         VARCHAR(127),
    `merchant_address_ward_code`             VARCHAR(127),
    `merchant_address_ward_name`             VARCHAR(127),
    `merchant_address_street`                TEXT,
    `bank_id`                                INT,
    `bank_code`                              VARCHAR(127),
    `card_holder_name`                       VARCHAR(127),
    `account_number`                         VARCHAR(127),
    `merchant_hotline`                       VARCHAR(127),
    `business_license_number`                VARCHAR(127),
    `business_license_date_of_issue`         VARCHAR(127),
    `business_license_issued_agency`         VARCHAR(127),
    `identity_card_passport_identity_number` VARCHAR(127),
    `identity_card_passport_date_of_issue`   VARCHAR(127),
    `identity_card_passport_issued_agency`   VARCHAR(127),
    `legal_representative_phone_number`      VARCHAR(127),
    `legal_representative_name`              VARCHAR(127),
    `legal_representative_email`             VARCHAR(127),
    `vat_code`                               VARCHAR(127),
    `stores`                                 LONGTEXT,
    `operator_name`                          VARCHAR(127),
    `operator_phone_number`                  VARCHAR(127),
    `operator_email`                         VARCHAR(127),
    `reconciler_name`                        VARCHAR(127),
    `reconciler_phone_number`                VARCHAR(127),
    `reconciler_email`                       VARCHAR(127),
    `staff_biz_name`                         VARCHAR(127),
    `staff_biz_phone_number`                 VARCHAR(127),
    `staff_biz_email`                        VARCHAR(127),
    `contract_status`                        VARCHAR(63),
    `contract_ref_no`                        VARCHAR(127),
    `last_updated_by`                        VARCHAR(127),
    `reject_reason`                          VARCHAR(127),
    `display_status`                         VARCHAR(127),
    `error_message`                          TEXT,
    `merchant_store_upsert_status`           VARCHAR(20),
    `created_at`                             TIMESTAMP    NOT NULL DEFAULT CURRENT_TIMESTAMP,
    `updated_at`                             TIMESTAMP    NOT NULL DEFAULT CURRENT_TIMESTAMP,
    `submitted_at`                           TIMESTAMP    NULL     DEFAULT NULL,
    `effective_at`                           DATE         NUll     DEFAULT NULL,
    `old_onboard_id`                         BIGINT                DEFAULT NULL
); E cảm ơn!</t>
  </si>
  <si>
    <t>Cập nhật lại tên kho M001 -&gt; M038 cho dự án Masterise</t>
  </si>
  <si>
    <t>2025-12-04T15:44:20.584+0700</t>
  </si>
  <si>
    <t>2025-12-04T15:44:35.434+0700</t>
  </si>
  <si>
    <t>Hi DBA team, Hiện tại nghiệp vụ có nhu cầu cập nhật lại tên kho M001, M002, .... M0038 nhờ team DBA hỗ trợ cập nhật giá trị theo thông tin dưới đây https://vinid-team.atlassian.net/wiki/spaces/WM/pages/3353640961/2025+10+Kh+i+t+o+75+kho+ph+c+v+d+n+MAG Câu query đánh giá là không ảnh hưởng đến vận hành hệ thống nên mong muốn chạy luôn Cụm WMS Project : vinid-b2b-platform-prod Instance/IP : main (read-write): 172.31.4.59 Port : 3306 Database : omd_wms_core Script : trong field  omd_wms_update_warehouse_out Cum WES Project : vinid-b2b-platform-prod Instance/IP : main (read-write): 172.31.1.143 Port : 3306 Database : wes_master Script :trong field  wes_master_update_warehouse_out</t>
  </si>
  <si>
    <t xml:space="preserve">[UPAY] Tác động database hỗ trợ config admin service </t>
  </si>
  <si>
    <t>2025-12-04T14:52:02.345+0700</t>
  </si>
  <si>
    <t>2025-12-04T14:52:07.876+0700</t>
  </si>
  <si>
    <t>Hi a  @Nguyễn Văn Dũng   nhờ a chạy giúp em ticket sau nhé ạ. Thời gian chạy: Ngay sau khi được approval  Thông tin db:  project: vinid-service-platform-prod
instance: common
Master IP: 172.31.1.102
slave IP: 172.31.1.181
db: admin_service Script SELECT @service_id := id FROM service WHERE code = 'merchant_management';
INSERT INTO module (name, code, service_id) VALUES('Onboard Management', 'Vcart_MerchantManagement_OnboardManagement', @service_id);
SET @module_id = LAST_INSERT_ID();
INSERT INTO permission (module, name, code, new_code, new_name, module_id) VALUES ('Vcart_MerchantManagement_OnboardManagement', 'View', 1000, 1000, 'View', @module_id);
INSERT INTO permission (module, name, code, new_code, new_name, module_id) VALUES ('Vcart_MerchantManagement_OnboardManagement', 'Edit', 1002, 1002, 'Edit', @module_id);
INSERT INTO permission (module, name, code, new_code, new_name, module_id) VALUES ('Vcart_MerchantManagement_OnboardManagement', 'Create', 1001, 1001, 'Create', @module_id);
INSERT INTO permission (module, name, code, new_code, new_name, module_id) VALUES ('Vcart_MerchantManagement_OnboardManagement', 'Delete', 1003, 1003, 'Delete', @module_id);
INSERT INTO permission (module, name, code, new_code, new_name, module_id) VALUES ('Vcart_MerchantManagement_OnboardManagement', 'Approve/Reject', 1007, 1007, 'Approve/Reject', @module_id);</t>
  </si>
  <si>
    <t>2025-12-04T09:47:13.101+0700</t>
  </si>
  <si>
    <t>2025-12-04T09:47:29.639+0700</t>
  </si>
  <si>
    <t>[OMC][ONEU] [Prod] Cập nhật lại địa chỉ của cửa hàng</t>
  </si>
  <si>
    <t>2025-12-04T09:20:59.072+0700</t>
  </si>
  <si>
    <t>2025-12-04T09:21:09.640+0700</t>
  </si>
  <si>
    <t>Dear team DBA Do vận hành phát sinh nhu cầu cập nhật lại địa chỉ hoàng loạt cửa hàng, nhờ team chạy giúp em file sql sau ạ Chạy ngay khi được approve project: vincart-prod instance: main ip: 172.31.1.41 DB: vincart_mm_merchant</t>
  </si>
  <si>
    <t>[PROD] [VCM]  Chạy script update voucher_accepted_store</t>
  </si>
  <si>
    <t>2025-12-03T18:04:48.641+0700</t>
  </si>
  <si>
    <t>2025-12-03T18:04:59.922+0700</t>
  </si>
  <si>
    <t>Dear DBA team,  Do Merchant Vinmart có rất nhiều store. VH muốn sản phẩm này appied all store. Nếu sự dụng fire event update store thì sẽ gặp vấn đề lưu trữ lớn log và nhiều message. Nhờ a/e hỗ trợ chạy lệnh xóa attribute  voucher_accepted_store  trong bảng  vincart_mm_product.entity_attributes_values Cho voucher  VD_VC_1764059770635  id là  1024297 Thông tin db: IP: 172.31.1.41
Bảng: vincart_mm_product.entity_attributes_values Script: select * from vincart_mm_product.entity_attributes_values where entity_id=1024297 and type='VARIANT' and name = 'voucher_accepted_stores';
- backup dòng select.
delete from vincart_mm_product.entity_attributes_values where id = {id} lấy ở lệnh trên</t>
  </si>
  <si>
    <t>[UPAY] Update DB hỗ trợ refund merchant NCCAH6RZ - PHARMACITY</t>
  </si>
  <si>
    <t>2025-12-03T18:03:58.229+0700</t>
  </si>
  <si>
    <t>2025-12-03T18:04:10.369+0700</t>
  </si>
  <si>
    <t>Hi a  @Nguyễn Văn Dũng   nhờ a chạy giúp em ticket sau nhé ạ.  Thông tin database saas_tpay:  pay-tidb.int.onemount.com:4000/saas_tpay Thời gian chạy: Ngay sau khi được approval  Scripts  UPDATE TRANSACTION_DETAIL SET transaction_id = 'error_d845828a416540ccb1fd472032702775'
WHERE transaction_id = 'd845828a416540ccb1fd472032702775' and ft_id = 'FT25319816264010' and merchant_code = 'PHARMACITY';</t>
  </si>
  <si>
    <t>[SCM-PROD] - Yêu cầu tạo kafka topic để kéo dữ liệu hợp đồng, Goods receipt</t>
  </si>
  <si>
    <t>2025-12-03T17:30:33.503+0700</t>
  </si>
  <si>
    <t>2025-12-03T17:30:56.908+0700</t>
  </si>
  <si>
    <t>Hi các anh, Em tạo ticket để yêu cầu tạo kafka topic, phục vụ kéo thêm dữ liệu cho phần báo cáo Hợp đồng và Goods Receipt cho dự án SCM với thông tin như sau: 1. Nguồn MDM: Host: 172.31.1.118 Port: 3306 schema: omd_mdm_prod Danh sách bảng:  Contract
biddingPackage
OrganizationType
boqitem
boq
sow 2.  Nguồn SCCOLLAB: Host: 172.31.1.143 Port: 3306 schema: sccollab_prod Danh sách bảng:  product_master
product_unit
product_unit_name
supplier
warehouse
organization
cm_project
account
job_title
contact
purchase_order_master
purchase_order_detail
cm_purchase_order_master
delivery_order
delivery_order_detail
wms_appointment_info
purchase_order_good_receipt_master Nhờ team hỗ trợ ạ. cc: @Phạm Thị Thao   Trân trọng,</t>
  </si>
  <si>
    <t>[Onehub] Cập nhật thông tin cấu hình DB</t>
  </si>
  <si>
    <t>2025-12-03T17:00:07.389+0700</t>
  </si>
  <si>
    <t>2025-12-03T17:00:20.969+0700</t>
  </si>
  <si>
    <t>​Nhờ team thực hiện cập nhật thông tin cấu hình trên database  omre_cbp_agent_core  sau:  INSERT INTO  command_templates  VALUES (1,'PLATFORM_TASK','Ký hợp đồng với OneHub','Hoàn thành thủ tục pháp lý, minh bạch thông tin hợp tác','[{\"type\": \"MODAL_OPEN\", \"style\": \"LINK\", \"title\": \"Chi tiết nhiệm vụ\", \"app_link\": \"cbpagent://started.deeplink/sign-contract-cbp?task_code= primary_button_link \", \"web_link\": \" primary_button_link \"}]',NULL,'HIGH','STANDARD','bach.nguyen4@onemount.com','chi.duong@onemount.com','2025-11-13 11:20:32','2025-11-26 04:33:01',NULL,NULL,'Ký hợp đồng với OneHub',' https://cdn.cobroker.dev/cbp-web/Icon/32  Function/ic_32function_job.svg',NULL),(2,'PLATFORM_TASK','Khoá học  task_name ','Nền tảng trang bị cho bạn những khoá đào tạo nền tảng, giúp rút ngắn quá trình hội nhập, và nhanh chóng bắt đầu công việc tại OneHub','[{\"type\": \"MODAL_OPEN\", \"style\": \"LINK\", \"title\": \"Xem chi tiết\", \"app_link\": \"cbpagent://started.deeplink/tasks-onboard?task_code= primary_button_link \", \"web_link\": \" primary_button_link \"}]',NULL,'HIGH','STANDARD','bach.nguyen4@onemount.com','bach.nguyen4@onemount.com','2025-11-13 11:24:30','2025-11-26 02:58:07','[{\"label\": \"+ 200 XP\", \"style\": \"SOFT_INFO\"}]',NULL,'Nhiệm vụ đào tạo hội nhập',' https://cdn.cobroker.dev/cbp-web/Icon/32  Function/ic_32function_chance.svg','Khoá đào tạo hội nhập'),(3,'PLATFORM_TASK','Nhiệm vụ  task_name ','Bắt đầu những kết nối đầu tiên của bạn trên nền tảng','[{\"type\": \"MODAL_OPEN\", \"style\": \"LINK\", \"title\": \"Xem chi tiết\", \"app_link\": \"cbpagent://started.deeplink/task-onboard?task_code= primary_button_link \", \"web_link\": \" primary_button_link \"}]',NULL,'HIGH','STANDARD','bach.nguyen4@onemount.com','bach.nguyen4@onemount.com','2025-11-13 11:28:41','2025-11-26 02:58:21','[{\"label\": \"+ 200 XP\", \"style\": \"SOFT_INFO\"}]',NULL,'Nhiệm vụ tương tác lần đầu',' https://cdn.cobroker.dev/cbp-web/Icon/32  Function/ic_32function_handover.svg','Nhiệm vụ tương tác lần đầu'),(4,'CBA','Lịch hẹn gặp đối tác đi xem nhà','Bạn có một lịch hẹn với khách hàng quan trọng','[{\"type\": \"DIRECT_LINK\", \"style\": \"PRIMARY_SUCCESS\", \"title\": \"Tôi đã hiểu\", \"web_link\": \" https://agent.onehub.vn/customer\ "}, {\"type\": \"DIRECT_LINK\", \"style\": \"PRIMARY_INFO\", \"title\": \"Bỏ qua\", \"web_link\": \" https://agent.onehub.vn/opportunity?tab=inquiry&amp;value=bd218ec8-b3d0-4f6b-886e-3b597558d4ff\ "}]',' https://cdn-merchant-sandbox.vinid.dev/images/gallery/omre_home/1746182693_image.jpeg ','HIGH','STANDARD','giang.le5@onemount.com','giang.le5@onemount.com','2025-11-26 09:23:46','2025-11-26 09:23:46','[{\"label\": \"Chưa xác nhận\", \"style\": \"SOFT_WARNING\"}, {\"label\": \"CMA\", \"style\": \"SOFT_INFO\"}]',1,'Template Lịch hẹn đối tác',' https://cdn.cobroker.dev/cbp-web/Icon/32  Function/ic_32function_livingroom.svg','Hợp tác'),(5,'CBA','Lịch đi chốt cọc với khách hàng','Bạn có một lịch hẹn gặp đối tác mời chốt cọc','[{\"type\": \"DIRECT_LINK\", \"style\": \"OUTLINE_WARNING\", \"title\": \"Tôi đã biết\", \"web_link\": \" https://agent.onehub.vn/dealroom\ "}, {\"type\": \"DIRECT_LINK\", \"style\": \"PRIMARY_ERROR\", \"title\": \"Không xác nhận\", \"web_link\": \" https://agent.onehub.vn/\ "}]',' https://cdn-merchant-sandbox.vinid.dev/images/gallery/omre_home/1746182693_image.jpeg ','HIGH','APPOINTMENT','giang.le5@onemount.com','giang.le5@onemount.com','2025-11-29 05:49:21','2025-11-29 05:49:21','[{\"label\": \"Đang chờ duyệt\", \"style\": \"SOFT_WARNING\"}, {\"label\": \"Giao dịch\", \"style\": \"SUCCESS\"}]',72,'Template lịch mời chốt cọc',' https://cdn.cobroker.dev/cbp-web/Icon/32  Function/ic_32function_house_condition.svg','chốt cọc'),(6,'OFFER','Ký hợp đồng với OneHub','Hoàn thành thủ tục pháp lý, minh bạch thông tin hợp tác','[{\"type\": \"DIRECT_LINK\", \"style\": \"PRIMARY_SUCCESS\", \"title\": \"Ok\"}]',' https://cdn-merchant-sandbox.vinid.dev/images/gallery/omre_home/1746182693_image.jpeg ','MEDIUM','STANDARD','giang.le5@onemount.com','giang.le5@onemount.com','2025-11-29 05:54:42','2025-11-29 05:54:42','[{\"label\": \"chờ xác nhận\", \"style\": \"PRIMARY_INFO\"}]',NULL,'Ký hợp đồng',' https://cdn.cobroker.dev/cbp-web/Icon/32  Function/ic_32function_chance.svg','ký hợp đồng');</t>
  </si>
  <si>
    <t>Update data ở bảng data source_config do sai dữ liệu trên WES DB</t>
  </si>
  <si>
    <t>2025-12-03T15:24:20.093+0700</t>
  </si>
  <si>
    <t>2025-12-03T15:24:24.931+0700</t>
  </si>
  <si>
    <t>Hi DBA team, Câu query đánh giá là không ảnh hưởng đến vận hành hệ thống nên mong muốn chạy ngay lập tức. Cum WES Project : vinid-b2b-platform-prod Instance/IP : main (read-write): 172.31.1.143 Port : 3306 Database : wes_master Script : file  wes_master_update_ hai_anh.sql  trong file đính kèm</t>
  </si>
  <si>
    <t>[OMC][MFT][Flash Sale TCB]  scale up resource database campaign 03/12/2025</t>
  </si>
  <si>
    <t>2025-12-03T12:49:56.330+0700</t>
  </si>
  <si>
    <t>2025-12-03T12:52:20.499+0700</t>
  </si>
  <si>
    <t xml:space="preserve">  CR:   </t>
  </si>
  <si>
    <t>[OMC][ONEU] [Prod] Tạo bản ghi trong orders_await_expire cho các đơn thiếu bị thiếu event</t>
  </si>
  <si>
    <t>2025-12-03T11:18:16.635+0700</t>
  </si>
  <si>
    <t>2025-12-03T11:41:19.325+0700</t>
  </si>
  <si>
    <t>Dear team DBA Do phát sinh lỗi ko fire event kafka nên nhờ team chạy giúp em câu lệnh sau ạ project: vincart-prod instance: main ip: 172.31.1.41 DB: vincart_mm_order INSERT INTO orders_await_expire (order_id, notified, type)
values (4191363, 0, 'EXPIRE'),
       (4192260, 0, 'EXPIRE'),
       (4192925, 0, 'EXPIRE'),
       (4207067, 0, 'EXPIRE'),
       (4207810, 0, 'EXPIRE'),
       (4209311, 0, 'EXPIRE'),
       (4211773, 0, 'EXPIRE'),
       (4212592, 0, 'EXPIRE'),
       (4216455, 0, 'EXPIRE'),
       (4217876, 0, 'EXPIRE'),
       (4218045, 0, 'EXPIRE'),
       (4218121, 0, 'EXPIRE'),
       (4218196, 0, 'EXPIRE'),
       (4229498, 0, 'EXPIRE'),
       (4231560, 0, 'EXPIRE'),
       (4231671, 0, 'EXPIRE'),
       (4231683, 0, 'EXPIRE'),
       (4231684, 0, 'EXPIRE'),
       (4231711, 0, 'EXPIRE'),
       (4231769, 0, 'EXPIRE'),
       (4231805, 0, 'EXPIRE'),
       (4231806, 0, 'EXPIRE'),
       (4231883, 0, 'EXPIRE'),
       (4231901, 0, 'EXPIRE'),
       (4232008, 0, 'EXPIRE'),
       (4232048, 0, 'EXPIRE'),
       (4232142, 0, 'EXPIRE'),
       (4232159, 0, 'EXPIRE'),
       (4232303, 0, 'EXPIRE'),
       (4232461, 0, 'EXPIRE'),
       (4232480, 0, 'EXPIRE'),
       (4232484, 0, 'EXPIRE'),
       (4232590, 0, 'EXPIRE'),
       (4232689, 0, 'EXPIRE'),
       (4232889, 0, 'EXPIRE'),
       (4233037, 0, 'EXPIRE'),
       (4233049, 0, 'EXPIRE'),
       (4233082, 0, 'EXPIRE'),
       (4233181, 0, 'EXPIRE'),
       (4233271, 0, 'EXPIRE'),
       (4233367, 0, 'EXPIRE'),
       (4233846, 0, 'EXPIRE'),
       (4233920, 0, 'EXPIRE'),
       (4233940, 0, 'EXPIRE'),
       (4233982, 0, 'EXPIRE'),
       (4234090, 0, 'EXPIRE'),
       (4234096, 0, 'EXPIRE'),
       (4234111, 0, 'EXPIRE'),
       (4234280, 0, 'EXPIRE'),
       (4234310, 0, 'EXPIRE'),
       (4234505, 0, 'EXPIRE'),
       (4234748, 0, 'EXPIRE'),
       (4235301, 0, 'EXPIRE'),
       (4235430, 0, 'EXPIRE'),
       (4235474, 0, 'EXPIRE'),
       (4235862, 0, 'EXPIRE'),
       (4236369, 0, 'EXPIRE'),
       (4236453, 0, 'EXPIRE'),
       (4238443, 0, 'EXPIRE'),
       (4238545, 0, 'EXPIRE'),
       (4238757, 0, 'EXPIRE'),
       (4239024, 0, 'EXPIRE'),
       (4239382, 0, 'EXPIRE'),
       (4239789, 0, 'EXPIRE'),
       (4239808, 0, 'EXPIRE'),
       (4240406, 0, 'EXPIRE'),
       (4240586, 0, 'EXPIRE'),
       (4240622, 0, 'EXPIRE'),
       (4240641, 0, 'EXPIRE'),
       (4240652, 0, 'EXPIRE'),
       (4240723, 0, 'EXPIRE'),
       (4240999, 0, 'EXPIRE'),
       (4241063, 0, 'EXPIRE'),
       (4241684, 0, 'EXPIRE'),
       (4242716, 0, 'EXPIRE'),
       (4243937, 0, 'EXPIRE'),
       (4244372, 0, 'EXPIRE'),
       (4244550, 0, 'EXPIRE'),
       (4244824, 0, 'EXPIRE'),
       (4247319, 0, 'EXPIRE'),
       (4249513, 0, 'EXPIRE'),
       (4252478, 0, 'EXPIRE'),
       (4253563, 0, 'EXPIRE'),
       (4254231, 0, 'EXPIRE'),
       (4254273, 0, 'EXPIRE'),
       (4265011, 0, 'EXPIRE'),
       (4274361, 0, 'EXPIRE'),
       (4274484, 0, 'EXPIRE'),
       (4274745, 0, 'EXPIRE'),
       (4274873, 0, 'EXPIRE'),
       (4274879, 0, 'EXPIRE'),
       (4274965, 0, 'EXPIRE'),
       (4275024, 0, 'EXPIRE'),
       (4275031, 0, 'EXPIRE'),
       (4275186, 0, 'EXPIRE'),
       (4275401, 0, 'EXPIRE'),
       (4275564, 0, 'EXPIRE'),
       (4276136, 0, 'EXPIRE'),
       (4276276, 0, 'EXPIRE'),
       (4277718, 0, 'EXPIRE'),
       (4278013, 0, 'EXPIRE'),
       (4280502, 0, 'EXPIRE'),
       (4281713, 0, 'EXPIRE'),
       (4281730, 0, 'EXPIRE'),
       (4282295, 0, 'EXPIRE'),
       (4282401, 0, 'EXPIRE'),
       (4282685, 0, 'EXPIRE'),
       (4282745, 0, 'EXPIRE'),
       (4282853, 0, 'EXPIRE'),
       (4282864, 0, 'EXPIRE'),
       (4283008, 0, 'EXPIRE'),
       (4283029, 0, 'EXPIRE'),
       (4283039, 0, 'EXPIRE'),
       (4283052, 0, 'EXPIRE'),
       (4283092, 0, 'EXPIRE'),
       (4283433, 0, 'EXPIRE'),
       (4288993, 0, 'EXPIRE'),
       (4289444, 0, 'EXPIRE'),
       (4290324, 0, 'EXPIRE'),
       (4290955, 0, 'EXPIRE'),
       (4292450, 0, 'EXPIRE'),
       (4292736, 0, 'EXPIRE'),
       (4292938, 0, 'EXPIRE'),
       (4293171, 0, 'EXPIRE'),
       (4293220, 0, 'EXPIRE'),
       (4293223, 0, 'EXPIRE'),
       (4293308, 0, 'EXPIRE'),
       (4293333, 0, 'EXPIRE'),
       (4293533, 0, 'EXPIRE'),
       (4293534, 0, 'EXPIRE'),
       (4293630, 0, 'EXPIRE'),
       (4293639, 0, 'EXPIRE'),
       (4293796, 0, 'EXPIRE'),
       (4293980, 0, 'EXPIRE'),
       (4294551, 0, 'EXPIRE'),
       (4294701, 0, 'EXPIRE'),
       (4295013, 0, 'EXPIRE'),
       (4295025, 0, 'EXPIRE'),
       (4295094, 0, 'EXPIRE'),
       (4295131, 0, 'EXPIRE'),
       (4295176, 0, 'EXPIRE'),
       (4295391, 0, 'EXPIRE'),
       (4295432, 0, 'EXPIRE'),
       (4295471, 0, 'EXPIRE'),
       (4295483, 0, 'EXPIRE'),
       (4295500, 0, 'EXPIRE'),
       (4295502, 0, 'EXPIRE'),
       (4295528, 0, 'EXPIRE'),
       (4295666, 0, 'EXPIRE'),
       (4295678, 0, 'EXPIRE'),
       (4295857, 0, 'EXPIRE'),
       (4295974, 0, 'EXPIRE'),
       (4296225, 0, 'EXPIRE'),
       (4296826, 0, 'EXPIRE'),
       (4297840, 0, 'EXPIRE'),
       (4298275, 0, 'EXPIRE'),
       (4298396, 0, 'EXPIRE'),
       (4298814, 0, 'EXPIRE'),
       (4299185, 0, 'EXPIRE'),
       (4299224, 0, 'EXPIRE'),
       (4299250, 0, 'EXPIRE'),
       (4299553, 0, 'EXPIRE'),
       (4299672, 0, 'EXPIRE'),
       (4300696, 0, 'EXPIRE'),
       (4303994, 0, 'EXPIRE'),
       (4304157, 0, 'EXPIRE'),
       (4305274, 0, 'EXPIRE'),
       (4306241, 0, 'EXPIRE'),
       (4306480, 0, 'EXPIRE'),
       (4306960, 0, 'EXPIRE'),
       (4307331, 0, 'EXPIRE'),
       (4307368, 0, 'EXPIRE'),
       (4307693, 0, 'EXPIRE'),
       (4307768, 0, 'EXPIRE'),
       (4307776, 0, 'EXPIRE'),
       (4307994, 0, 'EXPIRE'),
       (4308490, 0, 'EXPIRE'),
       (4310168, 0, 'EXPIRE'),
       (4310905, 0, 'EXPIRE'),
       (4311687, 0, 'EXPIRE'),
       (4312171, 0, 'EXPIRE'),
       (4312356, 0, 'EXPIRE'),
       (4312365, 0, 'EXPIRE'),
       (4312618, 0, 'EXPIRE'),
       (4313226, 0, 'EXPIRE'),
       (4313256, 0, 'EXPIRE'),
       (4313619, 0, 'EXPIRE'),
       (4315371, 0, 'EXPIRE'),
       (4315627, 0, 'EXPIRE'),
       (4315736, 0, 'EXPIRE'),
       (4315925, 0, 'EXPIRE'),
       (4316118, 0, 'EXPIRE'),
       (4316175, 0, 'EXPIRE'),
       (4316398, 0, 'EXPIRE'),
       (4316568, 0, 'EXPIRE'),
       (4317931, 0, 'EXPIRE'),
       (4318187, 0, 'EXPIRE'),
       (4318643, 0, 'EXPIRE'),
       (4318674, 0, 'EXPIRE'),
       (4319215, 0, 'EXPIRE'),
       (4319569, 0, 'EXPIRE'),
       (4319984, 0, 'EXPIRE'),
       (4320070, 0, 'EXPIRE'),
       (4320542, 0, 'EXPIRE'),
       (4320951, 0, 'EXPIRE'),
       (4321201, 0, 'EXPIRE'),
       (4324347, 0, 'EXPIRE'),
       (4324723, 0, 'EXPIRE'),
       (4325023, 0, 'EXPIRE'),
       (4325306, 0, 'EXPIRE'),
       (4325317, 0, 'EXPIRE'),
       (4325470, 0, 'EXPIRE'),
       (4325667, 0, 'EXPIRE'),
       (4325791, 0, 'EXPIRE'),
       (4326744, 0, 'EXPIRE'),
       (4326780, 0, 'EXPIRE'),
       (4326975, 0, 'EXPIRE'),
       (4327202, 0, 'EXPIRE'),
       (4327237, 0, 'EXPIRE'),
       (4327348, 0, 'EXPIRE'),
       (4327446, 0, 'EXPIRE'),
       (4327595, 0, 'EXPIRE'),
       (4327734, 0, 'EXPIRE'),
       (4327737, 0, 'EXPIRE'),
       (4328389, 0, 'EXPIRE'),
       (4328892, 0, 'EXPIRE'),
       (4329217, 0, 'EXPIRE'),
       (4329505, 0, 'EXPIRE'),
       (4329574, 0, 'EXPIRE'),
       (4329642, 0, 'EXPIRE'),
       (4330006, 0, 'EXPIRE'),
       (4330652, 0, 'EXPIRE'),
       (4330699, 0, 'EXPIRE'),
       (4331858, 0, 'EXPIRE'),
       (4332667, 0, 'EXPIRE'),
       (4333056, 0, 'EXPIRE'),
       (4333673, 0, 'EXPIRE'),
       (4333870, 0, 'EXPIRE'),
       (4336703, 0, 'EXPIRE'),
       (4337905, 0, 'EXPIRE'),
       (4338847, 0, 'EXPIRE'),
       (4339018, 0, 'EXPIRE'),
       (4339037, 0, 'EXPIRE'),
       (4339557, 0, 'EXPIRE'),
       (4339742, 0, 'EXPIRE'),
       (4339960, 0, 'EXPIRE'),
       (4340010, 0, 'EXPIRE'),
       (4340192, 0, 'EXPIRE'),
       (4340201, 0, 'EXPIRE'),
       (4340233, 0, 'EXPIRE'),
       (4340339, 0, 'EXPIRE'),
       (4340993, 0, 'EXPIRE'),
       (4341010, 0, 'EXPIRE'),
       (4341339, 0, 'EXPIRE'),
       (4341798, 0, 'EXPIRE'),
       (4342497, 0, 'EXPIRE'),
       (4343011, 0, 'EXPIRE'),
       (4343193, 0, 'EXPIRE'),
       (4343305, 0, 'EXPIRE'),
       (4343325, 0, 'EXPIRE'),
       (4343643, 0, 'EXPIRE'),
       (4343707, 0, 'EXPIRE'),
       (4344056, 0, 'EXPIRE'),
       (4344063, 0, 'EXPIRE'),
       (4344101, 0, 'EXPIRE'),
       (4344520, 0, 'EXPIRE'),
       (4344559, 0, 'EXPIRE'),
       (4344921, 0, 'EXPIRE'),
       (4344936, 0, 'EXPIRE'),
       (4345080, 0, 'EXPIRE'),
       (4345192, 0, 'EXPIRE'),
       (4345362, 0, 'EXPIRE'),
       (4345489, 0, 'EXPIRE'),
       (4345537, 0, 'EXPIRE'),
       (4345760, 0, 'EXPIRE'),
       (4345797, 0, 'EXPIRE'),
       (4345860, 0, 'EXPIRE'),
       (4345861, 0, 'EXPIRE'),
       (4346028, 0, 'EXPIRE'),
       (4346117, 0, 'EXPIRE'),
       (4346320, 0, 'EXPIRE'),
       (4346348, 0, 'EXPIRE'),
       (4346636, 0, 'EXPIRE'),
       (4347095, 0, 'EXPIRE'),
       (4347588, 0, 'EXPIRE'),
       (4347663, 0, 'EXPIRE'),
       (4347746, 0, 'EXPIRE'),
       (4347783, 0, 'EXPIRE'),
       (4347900, 0, 'EXPIRE'),
       (4347902, 0, 'EXPIRE'),
       (4347956, 0, 'EXPIRE'),
       (4347966, 0, 'EXPIRE'),
       (4348172, 0, 'EXPIRE'),
       (4348202, 0, 'EXPIRE'),
       (4348297, 0, 'EXPIRE'),
       (4348330, 0, 'EXPIRE'),
       (4348484, 0, 'EXPIRE'),
       (4348510, 0, 'EXPIRE'),
       (4348654, 0, 'EXPIRE'),
       (4348693, 0, 'EXPIRE'),
       (4348717, 0, 'EXPIRE'),
       (4348746, 0, 'EXPIRE'),
       (4348946, 0, 'EXPIRE'),
       (4348968, 0, 'EXPIRE'),
       (4349065, 0, 'EXPIRE'),
       (4349140, 0, 'EXPIRE'),
       (4349227, 0, 'EXPIRE'),
       (4349280, 0, 'EXPIRE'),
       (4349553, 0, 'EXPIRE'),
       (4349794, 0, 'EXPIRE'),
       (4350027, 0, 'EXPIRE'),
       (4350082, 0, 'EXPIRE'),
       (4350293, 0, 'EXPIRE'),
       (4350312, 0, 'EXPIRE'),
       (4350360, 0, 'EXPIRE'),
       (4350440, 0, 'EXPIRE'),
       (4350631, 0, 'EXPIRE'),
       (4350826, 0, 'EXPIRE'),
       (4350888, 0, 'EXPIRE'),
       (4351035, 0, 'EXPIRE'),
       (4351782, 0, 'EXPIRE'),
       (4351786, 0, 'EXPIRE'),
       (4351793, 0, 'EXPIRE'),
       (4351823, 0, 'EXPIRE'),
       (4351877, 0, 'EXPIRE'),
       (4352043, 0, 'EXPIRE'),
       (4352076, 0, 'EXPIRE'),
       (4352084, 0, 'EXPIRE'),
       (4352288, 0, 'EXPIRE'),
       (4352485, 0, 'EXPIRE'),
       (4352645, 0, 'EXPIRE'),
       (4352664, 0, 'EXPIRE'),
       (4352684, 0, 'EXPIRE'),
       (4352770, 0, 'EXPIRE'),
       (4352821, 0, 'EXPIRE'),
       (4352856, 0, 'EXPIRE'),
       (4352858, 0, 'EXPIRE'),
       (4352871, 0, 'EXPIRE'),
       (4353092, 0, 'EXPIRE'),
       (4353196, 0, 'EXPIRE'),
       (4353199, 0, 'EXPIRE'),
       (4353489, 0, 'EXPIRE'),
       (4353662, 0, 'EXPIRE'),
       (4353849, 0, 'EXPIRE'),
       (4353904, 0, 'EXPIRE'),
       (4353948, 0, 'EXPIRE'),
       (4354067, 0, 'EXPIRE'),
       (4354145, 0, 'EXPIRE'),
       (4354365, 0, 'EXPIRE'),
       (4354366, 0, 'EXPIRE'),
       (4354465, 0, 'EXPIRE'),
       (4354594, 0, 'EXPIRE'),
       (4354625, 0, 'EXPIRE'),
       (4354762, 0, 'EXPIRE'),
       (4354831, 0, 'EXPIRE'),
       (4355073, 0, 'EXPIRE'),
       (4355094, 0, 'EXPIRE'),
       (4355141, 0, 'EXPIRE'),
       (4355397, 0, 'EXPIRE'),
       (4355483, 0, 'EXPIRE'),
       (4356199, 0, 'EXPIRE'),
       (4356263, 0, 'EXPIRE'),
       (4356273, 0, 'EXPIRE'),
       (4356854, 0, 'EXPIRE'),
       (4356965, 0, 'EXPIRE'),
       (4357103, 0, 'EXPIRE'),
       (4357292, 0, 'EXPIRE'),
       (4357463, 0, 'EXPIRE'),
       (4357575, 0, 'EXPIRE'),
       (4357727, 0, 'EXPIRE'),
       (4357890, 0, 'EXPIRE'),
       (4357970, 0, 'EXPIRE'),
       (4358248, 0, 'EXPIRE'),
       (4358797, 0, 'EXPIRE'),
       (4358951, 0, 'EXPIRE'),
       (4359088, 0, 'EXPIRE'),
       (4359168, 0, 'EXPIRE'),
       (4360083, 0, 'EXPIRE'),
       (4360272, 0, 'EXPIRE'),
       (4360293, 0, 'EXPIRE'),
       (4360313, 0, 'EXPIRE'),
       (4360341, 0, 'EXPIRE'),
       (4360410, 0, 'EXPIRE'),
       (4362700, 0, 'EXPIRE'),
       (4362777, 0, 'EXPIRE'),
       (4366019, 0, 'EXPIRE'),
       (4366193, 0, 'EXPIRE'),
       (4366927, 0, 'EXPIRE'),
       (4367080, 0, 'EXPIRE'),
       (4367133, 0, 'EXPIRE'),
       (4367210, 0, 'EXPIRE'),
       (4367470, 0, 'EXPIRE'),
       (4367544, 0, 'EXPIRE'),
       (4367869, 0, 'EXPIRE'),
       (4367928, 0, 'EXPIRE'),
       (4370242, 0, 'EXPIRE'),
       (4370969, 0, 'EXPIRE'),
       (4371192, 0, 'EXPIRE'),
       (4371686, 0, 'EXPIRE'),
       (4371694, 0, 'EXPIRE'),
       (4371912, 0, 'EXPIRE'),
       (4374616, 0, 'EXPIRE'),
       (4375306, 0, 'EXPIRE'),
       (4375469, 0, 'EXPIRE'),
       (4375482, 0, 'EXPIRE'),
       (4375913, 0, 'EXPIRE'),
       (4375998, 0, 'EXPIRE'),
       (4376073, 0, 'EXPIRE'),
       (4377387, 0, 'EXPIRE'),
       (4377443, 0, 'EXPIRE'),
       (4377623, 0, 'EXPIRE'),
       (4379499, 0, 'EXPIRE'),
       (4380202, 0, 'EXPIRE'),
       (4380364, 0, 'EXPIRE'),
       (4382776, 0, 'EXPIRE'),
       (4383179, 0, 'EXPIRE'),
       (4383986, 0, 'EXPIRE'),
       (4385160, 0, 'EXPIRE'),
       (4386337, 0, 'EXPIRE'),
       (4386373, 0, 'EXPIRE'),
       (4386436, 0, 'EXPIRE'),
       (4386535, 0, 'EXPIRE'),
       (4387140, 0, 'EXPIRE'),
       (4387328, 0, 'EXPIRE'),
       (4387593, 0, 'EXPIRE'),
       (4391044, 0, 'EXPIRE'),
       (4391297, 0, 'EXPIRE'),
       (4394260, 0, 'EXPIRE'),
       (4394280, 0, 'EXPIRE'),
       (4394559, 0, 'EXPIRE'),
       (4396395, 0, 'EXPIRE'),
       (4396918, 0, 'EXPIRE'),
       (4396921, 0, 'EXPIRE'),
       (4398771, 0, 'EXPIRE'),
       (4398989, 0, 'EXPIRE'),
       (4400034, 0, 'EXPIRE'),
       (4401416, 0, 'EXPIRE'),
       (4401750, 0, 'EXPIRE'),
       (4404674, 0, 'EXPIRE'),
       (4405653, 0, 'EXPIRE'),
       (4406163, 0, 'EXPIRE'),
       (4408712, 0, 'EXPIRE'),
       (4408819, 0, 'EXPIRE'),
       (4411291, 0, 'EXPIRE'),
       (4413567, 0, 'EXPIRE'),
       (4415673, 0, 'EXPIRE'),
       (4415886, 0, 'EXPIRE'),
       (4420278, 0, 'EXPIRE'),
       (4424100, 0, 'EXPIRE'),
       (4425041, 0, 'EXPIRE'),
       (4431111, 0, 'EXPIRE'),
       (4433170, 0, 'EXPIRE'),
       (4435797, 0, 'EXPIRE'),
       (4438396, 0, 'EXPIRE'),
       (4441588, 0, 'EXPIRE'),
       (4443303, 0, 'EXPIRE'),
       (4444075, 0, 'EXPIRE'),
       (4445856, 0, 'EXPIRE'),
       (4446166, 0, 'EXPIRE'),
       (4447772, 0, 'EXPIRE'),
       (4448221, 0, 'EXPIRE'),
       (4450771, 0, 'EXPIRE'),
       (4450804, 0, 'EXPIRE'),
       (4451398, 0, 'EXPIRE'),
       (4454721, 0, 'EXPIRE'),
       (4454837, 0, 'EXPIRE'),
       (4455156, 0, 'EXPIRE'),
       (4455430, 0, 'EXPIRE'),
       (4459666, 0, 'EXPIRE'),
       (4459686, 0, 'EXPIRE'),
       (4462806, 0, 'EXPIRE'),
       (4485152, 0, 'EXPIRE'),
       (4500369, 0, 'EXPIRE'),
       (4504722, 0, 'EXPIRE'),
       (4520500, 0, 'EXPIRE'),
       (4532563, 0, 'EXPIRE'),
       (4577942, 0, 'EXPIRE'),
       (4600286, 0, 'EXPIRE'),
       (4619132, 0, 'EXPIRE'),
       (4640210, 0, 'EXPIRE'),
       (4678146, 0, 'EXPIRE'),
       (4713733, 0, 'EXPIRE'),
       (4739385, 0, 'EXPIRE'),
       (4788342, 0, 'EXPIRE'),
       (4869826, 0, 'EXPIRE'),
       (4954373, 0, 'EXPIRE'),
       (5062551, 0, 'EXPIRE'),
       (5067514, 0, 'EXPIRE'),
       (5084943, 0, 'EXPIRE'),
       (5103667, 0, 'EXPIRE'),
       (5116322, 0, 'EXPIRE'),
       (5116336, 0, 'EXPIRE'),
       (5116467, 0, 'EXPIRE'),
       (5116507, 0, 'EXPIRE'),
       (5116515, 0, 'EXPIRE'),
       (5116525, 0, 'EXPIRE'),
       (5116543, 0, 'EXPIRE'),
       (5116559, 0, 'EXPIRE'),
       (5116565, 0, 'EXPIRE'),
       (5116578, 0, 'EXPIRE'),
       (5116634, 0, 'EXPIRE'),
       (5116795, 0, 'EXPIRE'),
       (5116969, 0, 'EXPIRE'),
       (5116987, 0, 'EXPIRE'),
       (5119795, 0, 'EXPIRE'),
       (5120012, 0, 'EXPIRE'),
       (5120111, 0, 'EXPIRE');</t>
  </si>
  <si>
    <t>2025-12-03T09:37:31.692+0700</t>
  </si>
  <si>
    <t>2025-12-03T10:58:45.558+0700</t>
  </si>
  <si>
    <t>Dear DBA team, Nhờ team thực hiện cập nhật thông tin Agent cho OMRE nhé UPDATE ekyc SET issue_date = '31/12/2021' WHERE agent_code = '1021476829'   Thông tin DB : HOST = " 172.31.4.83 " PORT = 3306 DATABASE = "agent-platform"</t>
  </si>
  <si>
    <t>[OMC][ONEU] [Prod] Migate đơn vị hành chính</t>
  </si>
  <si>
    <t>2025-12-02T23:18:03.318+0700</t>
  </si>
  <si>
    <t>2025-12-02T23:18:09.622+0700</t>
  </si>
  <si>
    <t>Dear team DBA Nhờ team chạy giúp em ticket này để bổ migrate đơn bị hành chính ạ Thời gian thực hiện: 21h ngày 02/12/2025 project: vincart-prod instance: main ip: 172.31.1.41 DB: address_book Các bước thực hiện Backup data bảng  delivery_address chạy scrip trong file:  Sau khi chạy xong câu lệnh trên thì chạy tiếp câu lệnh sau ALTER TABLE delivery_address ADD INDEX province_id_district_id_ward_id_idx (province_id,district_id,ward_id), ALGORITHM=INPLACE, LOCK=NONE; 
UPDATE delivery_address d
    JOIN dvhc t
    ON d.province_id = t.old_province_id
        AND d.district_id = t.old_district_id
        AND d.ward_id = t.old_ward_id
SET d.province_id   = t.province_id,
    d.district_id   = t.district_id,
    d.ward_id       = t.ward_id,
    d.province_name = t.province_name,
    d.district_name = t.district_name,
    d.ward_name     = t.ward_name
WHERE d.disabled = 0 and t.type = 'Toàn bộ'; Thank team</t>
  </si>
  <si>
    <t>2025-12-02T23:17:02.280+0700</t>
  </si>
  <si>
    <t>2025-12-02T23:17:15.559+0700</t>
  </si>
  <si>
    <t>Dear anh  @Nguyễn Văn Dũng  , thời gian chạy:  22h ngày 02/12/2025 nhờ anh chạy giúp em script sau: -- OMC
use omc_mtp_tracking_events;
ALTER TABLE omc_mtp_tracking_events.mtp_tracking_events_omc  DROP INDEX idx_u_message_id;
ALTER TABLE omc_mtp_tracking_events.mtp_tracking_events_omc DROP PARTITION p20251001;
-- ALTER TABLE omc_mtp_tracking_events.mtp_tracking_events_omc DROP PARTITION p20250902;
ALTER TABLE omc_mtp_tracking_events.mtp_tracking_events_context_omc DROP PARTITION p20251001;
-- ALTER TABLE omc_mtp_tracking_events.mtp_tracking_events_context_omc DROP PARTITION p20250902;
ALTER TABLE omc_mtp_tracking_events.mtp_tracking_event_sessions DROP PARTITION p2025_10;
use omc_mtp_martech_activation;
ALTER TABLE omc_mtp_martech_activation.mtp_ads_events DROP PARTITION p2025_10;
ALTER TABLE omc_mtp_martech_activation.mtp_push_events DROP PARTITION p2025_10;
ALTER TABLE omc_mtp_martech_activation.mtp_tracking_email_events DROP PARTITION p2025_10;
ALTER TABLE omc_mtp_martech_activation.mtp_tracking_email_notifications DROP PARTITION p2025_10;
ALTER TABLE omc_mtp_martech_activation.mtp_tracking_fcm_messages DROP PARTITION p2025_10;
ALTER TABLE omc_mtp_martech_activation.mtp_tracking_push_notifications DROP PARTITION p2025_10;
-- OMRE
use omre_mtp_tracking_events;
ALTER TABLE omre_mtp_tracking_events.mtp_tracking_events_omre  DROP INDEX idx_u_message_id;
ALTER TABLE omre_mtp_tracking_events.mtp_tracking_events_omre drop partition p20251001;
-- ALTER TABLE omre_mtp_tracking_events.mtp_tracking_events_omre drop partition p20250902;
ALTER TABLE omre_mtp_tracking_events.mtp_tracking_events_context_omre DROP PARTITION p20251001;
-- ALTER TABLE omre_mtp_tracking_events.mtp_tracking_events_context_omre DROP PARTITION p20250902;
-- create global index
use omc_mtp_tracking_events;
ALTER TABLE omc_mtp_tracking_events.mtp_tracking_events_omc ADD UNIQUE INDEX idx_u_message_id (message_id) GLOBAL;
use omre_mtp_tracking_events;
ALTER TABLE omre_mtp_tracking_events.mtp_tracking_events_omre ADD UNIQUE INDEX idx_u_message_id (message_id) GLOBAL; Best regards Dinh Quang Nguyen</t>
  </si>
  <si>
    <t>[OMRE][Prod] Backup/Cleanup dữ liệu MongoDB dự án CBP trước khi golive chính thức</t>
  </si>
  <si>
    <t>2025-12-02T22:01:42.078+0700</t>
  </si>
  <si>
    <t>2025-12-02T22:02:16.980+0700</t>
  </si>
  <si>
    <t>Nhờ team DBA hỗ trợ backup/cleanup dữ liệu trên  mongoDB  của dự án CBP trước khi sản phẩm golive chính thức. Instance:  omre-cbp-prod.8j11t.mongodb.net:27017 TO is updating…</t>
  </si>
  <si>
    <t>[OMC][MTP] Xoá index không sử dụng</t>
  </si>
  <si>
    <t>2025-12-02T21:19:23.085+0700</t>
  </si>
  <si>
    <t>2025-12-02T21:19:39.899+0700</t>
  </si>
  <si>
    <t>Dear anh  @Nguyễn Văn Dũng , nhờ anh chạy giúp em script sau: --- OMC ---
DROP INDEX idx_anonymous_api_mid ON mtp_tracking_events_omc;
DROP INDEX idx_session ON mtp_tracking_events_omc;
DROP INDEX idx_mid_hid ON mtp_tracking_events_omc;
DROP INDEX idx_anonymous_api ON mtp_tracking_events_omc;
DROP INDEX idx_mid_bid ON mtp_tracking_events_omc;
DROP INDEX idx_session_id ON mtp_tracking_events_omc;
DROP INDEX idx_mid ON mtp_tracking_events_omc;
DROP INDEX mtp_tracking_events_id_index ON mtp_tracking_events_omc;
DROP INDEX idx_mtp_tracking_events_context_hash_id_namespace ON mtp_tracking_events_context_omc;
DROP INDEX idx_session ON mtp_tracking_events_context_omc;
DROP INDEX idx_mobile_device ON mtp_tracking_events_context_omc;
DROP INDEX idx_device_type_app_version ON mtp_tracking_events_context_omc;
DROP INDEX idx_ano ON mtp_tracking_session;
DROP INDEX idx_time_platform ON mtp_tracking_session;
DROP INDEX index_namespace_device_version ON mtp_tracking_events_counter;
DROP INDEX idx_ev_path ON mtp_custom_event_fields;
DROP INDEX idx_path_type ON mtp_custom_event_fields;
--- OMRE ---
DROP INDEX idx_anonymous_api_mid ON mtp_tracking_events_omre;
DROP INDEX idx_session ON mtp_tracking_events_omre;
DROP INDEX idx_anonymous_api ON mtp_tracking_events_omre;
DROP INDEX idx_mid_hid ON mtp_tracking_events_omre;
DROP INDEX idx_mid_bid ON mtp_tracking_events_omre;
DROP INDEX idx_hid ON mtp_tracking_events_omre;
DROP INDEX idx_mid ON mtp_tracking_events_omre;
DROP INDEX idx_bid ON mtp_tracking_events_omre;
DROP INDEX mtp_tracking_events_id_index ON mtp_tracking_events_omre;
DROP INDEX idx_event ON mtp_tracking_events_omre;
DROP INDEX idx_date_event ON mtp_tracking_events_omre;
-- bảng mtp_tracking_events_omre_new
DROP INDEX idx_anonymous_api ON mtp_tracking_events_omre_new;
DROP INDEX idx_anonymous_api_mid ON mtp_tracking_events_omre_new;
DROP INDEX idx_session ON mtp_tracking_events_omre_new;
DROP INDEX idx_anonymous_time ON mtp_tracking_events_omre_new;
DROP INDEX idx_mid_hid ON mtp_tracking_events_omre_new;
DROP INDEX idx_user_id ON mtp_tracking_events_omre_new;
DROP INDEX idx_event ON mtp_tracking_events_omre_new;
DROP INDEX idx_date ON mtp_tracking_events_omre_new;
DROP INDEX idx_mid_bid ON mtp_tracking_events_omre_new;
DROP INDEX idx_bid ON mtp_tracking_events_omre_new;
DROP INDEX idx_hid ON mtp_tracking_events_omre_new;
DROP INDEX idx_mid ON mtp_tracking_events_omre_new;
DROP INDEX idx_session_event ON mtp_tracking_events_omre_new;
DROP INDEX idx_date_event ON mtp_tracking_events_omre_new;
DROP INDEX mtp_tracking_events_id_index ON mtp_tracking_events_omre_new;
DROP INDEX idx_session_id ON mtp_tracking_events_omre_new;
-- context
DROP INDEX idx_device_type_app_version ON mtp_tracking_events_context_omre;
DROP INDEX idx_mobile_device ON mtp_tracking_events_context_omre;
DROP INDEX idx_api_key ON mtp_tracking_events_context_omre;
DROP INDEX idx_mtp_tracking_events_context_hash_id_namespace ON mtp_tracking_events_context_omre;
DROP INDEX idx_device ON mtp_tracking_events_context_omre; Best regards Dinh Quang nguyen P.s: -- Old DDL ---
CREATE TABLE `mtp_tracking_events_context_omc` (
  `id` varchar(36) COLLATE utf8mb4_unicode_ci NOT NULL,
  `api_key` varchar(128) COLLATE utf8mb4_unicode_ci NOT NULL,
  `event` varchar(50) COLLATE utf8mb4_unicode_ci NOT NULL,
  `namespace` varchar(100) COLLATE utf8mb4_unicode_ci GENERATED ALWAYS AS (json_unquote(json_extract(`properties`, _utf8mb4'$.app.namespace'))) STORED,
  `app_version` varchar(50) COLLATE utf8mb4_unicode_ci GENERATED ALWAYS AS (json_unquote(json_extract(`properties`, _utf8mb4'$.app.version'))) STORED,
  `build_number` varchar(50) COLLATE utf8mb4_unicode_ci GENERATED ALWAYS AS (json_unquote(json_extract(`properties`, _utf8mb4'$.app.build'))) STORED,
  `device_id` varchar(128) COLLATE utf8mb4_unicode_ci GENERATED ALWAYS AS (json_unquote(json_extract(`properties`, _utf8mb4'$.device.id'))) STORED,
  `device_type` varchar(128) COLLATE utf8mb4_unicode_ci GENERATED ALWAYS AS (json_unquote(json_extract(`properties`, _utf8mb4'$.device.type'))) STORED,
  `os_name` varchar(128) COLLATE utf8mb4_unicode_ci GENERATED ALWAYS AS (json_unquote(json_extract(`properties`, _utf8mb4'$.os.name'))) STORED,
  `os_version` varchar(128) COLLATE utf8mb4_unicode_ci GENERATED ALWAYS AS (json_unquote(json_extract(`properties`, _utf8mb4'$.os.version'))) STORED,
  `event_timestamp` datetime NOT NULL,
  `properties` json DEFAULT NULL,
  `source` varchar(50) COLLATE utf8mb4_unicode_ci NOT NULL,
  `created_at` datetime DEFAULT CURRENT_TIMESTAMP,
  `created_date` date NOT NULL DEFAULT (CURRENT_DATE),
  `session_id` varchar(50) COLLATE utf8mb4_unicode_ci DEFAULT NULL,
  `hash_id` varchar(255) COLLATE utf8mb4_unicode_ci NOT NULL,
  PRIMARY KEY (`id`,`created_date`) /*T![clustered_index] CLUSTERED */,
  UNIQUE KEY `idx_hash_date` (`hash_id`,`created_date`),
  KEY `idx_session` (`session_id`),
  KEY `idx_api_key` (`api_key`),
  KEY `idx_hid` (`hash_id`),
  KEY `idx_device_type_app_version` (`device_type`,`app_version`),
  KEY `idx_created_at` (`created_at`),
  KEY `idx_device` (`device_id`),
  KEY `idx_did_ak_ns_av_bn_ca` (`device_id`,`api_key`,`namespace`,`app_version`,`build_number`,`created_at`),
  KEY `idx_mobile` (`namespace`,`app_version`,`build_number`),
  KEY `idx_mobile_device` (`namespace`,`device_type`,`app_version`),
  KEY `idx_mtp_tracking_events_context_hash_id_namespace` (`hash_id`,`namespace`,`app_version`)
) ENGINE=InnoDB DEFAULT CHARSET=utf8mb4 COLLATE=utf8mb4_unicode_ci
PARTITION BY RANGE COLUMNS(`created_date`)
(PARTITION `p20250101` VALUES LESS THAN ('2025-01-15'),
 PARTITION `p20250102` VALUES LESS THAN ('2025-02-01'),
 PARTITION `p20250201` VALUES LESS THAN ('2025-02-15'),
 PARTITION `p20250202` VALUES LESS THAN ('2025-03-01'),
 PARTITION `p20250301` VALUES LESS THAN ('2025-03-15'),
 PARTITION `p20250302` VALUES LESS THAN ('2025-04-01'),
 PARTITION `p20250401` VALUES LESS THAN ('2025-04-15'),
 PARTITION `p20251001` VALUES LESS THAN ('2025-10-15'),
 PARTITION `p20251002` VALUES LESS THAN ('2025-11-01'),
 PARTITION `p20251101` VALUES LESS THAN ('2025-11-15'),
 PARTITION `p20251102` VALUES LESS THAN ('2025-12-01'),
 PARTITION `p20251201` VALUES LESS THAN ('2025-12-15'),
 PARTITION `p20251202` VALUES LESS THAN ('2026-01-01'));
CREATE TABLE `mtp_tracking_events_omc` (
  `id` varchar(50) COLLATE utf8mb4_unicode_ci NOT NULL,
  `api_key` varchar(255) COLLATE utf8mb4_unicode_ci NOT NULL,
  `session_id` varchar(50) COLLATE utf8mb4_unicode_ci NOT NULL,
  `batch_id` varchar(50) COLLATE utf8mb4_unicode_ci NOT NULL,
  `message_id` varchar(50) COLLATE utf8mb4_unicode_ci NOT NULL,
  `tab_id` varchar(50) COLLATE utf8mb4_unicode_ci DEFAULT NULL,
  `anonymous_id` varchar(50) COLLATE utf8mb4_unicode_ci NOT NULL,
  `user_id` varchar(50) COLLATE utf8mb4_unicode_ci DEFAULT NULL,
  `type` varchar(255) COLLATE utf8mb4_unicode_ci NOT NULL,
  `event` varchar(100) COLLATE utf8mb4_unicode_ci NOT NULL,
  `timestamp` datetime(6) NOT NULL,
  `properties` json DEFAULT NULL,
  `time_diff` int unsigned NOT NULL,
  `source` varchar(255) COLLATE utf8mb4_unicode_ci NOT NULL,
  `created_at` datetime DEFAULT CURRENT_TIMESTAMP,
  `screen_view_id` varchar(255) COLLATE utf8mb4_unicode_ci DEFAULT NULL,
  `date_time` date GENERATED ALWAYS AS (date(`timestamp`)) STORED NOT NULL,
  `hash_id` varchar(255) COLLATE utf8mb4_unicode_ci NOT NULL,
  PRIMARY KEY (`id`,`date_time`) /*T![clustered_index] CLUSTERED */,
  KEY `idx_mid` (`message_id`),
  KEY `idx_anonymous_api` (`anonymous_id`,`api_key`),
  KEY `idx_anonymous_api_mid` (`anonymous_id`,`api_key`,`message_id`),
  KEY `idx_anonymous_time` (`anonymous_id`,`timestamp`),
  KEY `idx_bid` (`batch_id`),
  KEY `idx_hid` (`hash_id`),
  KEY `idx_date` (`date_time`),
  KEY `idx_date_event` (`date_time`,`event`),
  KEY `idx_event` (`event`),
  KEY `idx_mid_bid` (`message_id`,`batch_id`),
  KEY `idx_mid_hid` (`message_id`,`hash_id`),
  KEY `idx_session` (`anonymous_id`,`api_key`,`date_time`),
  KEY `idx_session_event` (`session_id`,`event`),
  KEY `idx_session_id` (`session_id`),
  KEY `idx_user_id` (`user_id`),
  KEY `mtp_tracking_events_id_index` (`id`),
  UNIQUE KEY `idx_message_id` (`message_id`,`date_time`),
  UNIQUE KEY `idx_u_message_id` (`message_id`) /*T![global_index] GLOBAL */
) ENGINE=InnoDB DEFAULT CHARSET=utf8mb4 COLLATE=utf8mb4_unicode_ci
PARTITION BY RANGE COLUMNS(`date_time`)
(PARTITION `p20251001` VALUES LESS THAN ('2025-10-15'),
 PARTITION `p20251002` VALUES LESS THAN ('2025-11-01'),
 PARTITION `p20251101` VALUES LESS THAN ('2025-11-15'),
 PARTITION `p20251102` VALUES LESS THAN ('2025-12-01'),
 PARTITION `p20251201` VALUES LESS THAN ('2025-12-15'),
 PARTITION `p20251202` VALUES LESS THAN ('2026-01-01'));
CREATE TABLE `mtp_tracking_events_context_omre` (
  `id` varchar(36) COLLATE utf8mb4_unicode_ci NOT NULL,
  `api_key` varchar(128) COLLATE utf8mb4_unicode_ci NOT NULL,
  `event` varchar(50) COLLATE utf8mb4_unicode_ci NOT NULL,
  `namespace` varchar(100) COLLATE utf8mb4_unicode_ci GENERATED ALWAYS AS (json_unquote(json_extract(`properties`, _utf8mb4'$.app.namespace'))) STORED,
  `app_version` varchar(50) COLLATE utf8mb4_unicode_ci GENERATED ALWAYS AS (json_unquote(json_extract(`properties`, _utf8mb4'$.app.version'))) STORED,
  `build_number` varchar(50) COLLATE utf8mb4_unicode_ci GENERATED ALWAYS AS (json_unquote(json_extract(`properties`, _utf8mb4'$.app.build'))) STORED,
  `device_id` varchar(128) COLLATE utf8mb4_unicode_ci GENERATED ALWAYS AS (json_unquote(json_extract(`properties`, _utf8mb4'$.device.id'))) STORED,
  `device_type` varchar(128) COLLATE utf8mb4_unicode_ci GENERATED ALWAYS AS (json_unquote(json_extract(`properties`, _utf8mb4'$.device.type'))) STORED,
  `os_name` varchar(128) COLLATE utf8mb4_unicode_ci GENERATED ALWAYS AS (json_unquote(json_extract(`properties`, _utf8mb4'$.os.name'))) STORED,
  `os_version` varchar(128) COLLATE utf8mb4_unicode_ci GENERATED ALWAYS AS (json_unquote(json_extract(`properties`, _utf8mb4'$.os.version'))) STORED,
  `event_timestamp` datetime NOT NULL,
  `properties` json DEFAULT NULL,
  `source` varchar(50) COLLATE utf8mb4_unicode_ci NOT NULL,
  `created_at` datetime DEFAULT CURRENT_TIMESTAMP,
  `created_date` date NOT NULL DEFAULT (CURRENT_DATE),
  `session_id` varchar(50) COLLATE utf8mb4_unicode_ci DEFAULT NULL,
  `hash_id` varchar(255) COLLATE utf8mb4_unicode_ci NOT NULL,
  PRIMARY KEY (`id`,`created_date`) /*T![clustered_index] CLUSTERED */,
  UNIQUE KEY `idx_hash_date` (`hash_id`,`created_date`),
  KEY `idx_session` (`session_id`),
  KEY `idx_api_key` (`api_key`),
  KEY `idx_hid` (`hash_id`),
  KEY `idx_device_type_app_version` (`device_type`,`app_version`),
  KEY `idx_created_at` (`created_at`),
  KEY `idx_device` (`device_id`),
  KEY `idx_did_ak_ns_av_bn_ca` (`device_id`,`api_key`,`namespace`,`app_version`,`build_number`,`created_at`),
  KEY `idx_mobile` (`namespace`,`app_version`,`build_number`),
  KEY `idx_mobile_device` (`namespace`,`device_type`,`app_version`),
  KEY `idx_mtp_tracking_events_context_hash_id_namespace` (`hash_id`,`namespace`,`app_version`)
) ENGINE=InnoDB DEFAULT CHARSET=utf8mb4 COLLATE=utf8mb4_unicode_ci
PARTITION BY RANGE COLUMNS(`created_date`)
(PARTITION `p20250101` VALUES LESS THAN ('2025-01-15'),
 PARTITION `p20250102` VALUES LESS THAN ('2025-02-01'),
 PARTITION `p20250201` VALUES LESS THAN ('2025-02-15'),
 PARTITION `p20250202` VALUES LESS THAN ('2025-03-01'),
 PARTITION `p20250301` VALUES LESS THAN ('2025-03-15'),
 PARTITION `p20250302` VALUES LESS THAN ('2025-04-01'),
 PARTITION `p20250401` VALUES LESS THAN ('2025-04-15'),
 PARTITION `p20251001` VALUES LESS THAN ('2025-10-15'),
 PARTITION `p20251002` VALUES LESS THAN ('2025-11-01'),
 PARTITION `p20251101` VALUES LESS THAN ('2025-11-15'),
 PARTITION `p20251102` VALUES LESS THAN ('2025-12-01'),
 PARTITION `p20251201` VALUES LESS THAN ('2025-12-15'),
 PARTITION `p20251202` VALUES LESS THAN ('2026-01-01'));
CREATE TABLE `mtp_tracking_events_omre` (
  `id` varchar(50) COLLATE utf8mb4_unicode_ci NOT NULL,
  `api_key` varchar(255) COLLATE utf8mb4_unicode_ci NOT NULL,
  `session_id` varchar(50) COLLATE utf8mb4_unicode_ci NOT NULL,
  `batch_id` varchar(50) COLLATE utf8mb4_unicode_ci NOT NULL,
  `message_id` varchar(50) COLLATE utf8mb4_unicode_ci NOT NULL,
  `tab_id` varchar(50) COLLATE utf8mb4_unicode_ci DEFAULT NULL,
  `anonymous_id` varchar(50) COLLATE utf8mb4_unicode_ci NOT NULL,
  `user_id` varchar(50) COLLATE utf8mb4_unicode_ci DEFAULT NULL,
  `type` varchar(255) COLLATE utf8mb4_unicode_ci NOT NULL,
  `event` varchar(100) COLLATE utf8mb4_unicode_ci NOT NULL,
  `timestamp` datetime(6) NOT NULL,
  `properties` json DEFAULT NULL,
  `time_diff` int unsigned NOT NULL,
  `source` varchar(255) COLLATE utf8mb4_unicode_ci NOT NULL,
  `created_at` datetime DEFAULT CURRENT_TIMESTAMP,
  `screen_view_id` varchar(255) COLLATE utf8mb4_unicode_ci DEFAULT NULL,
  `date_time` date GENERATED ALWAYS AS (date(`timestamp`)) STORED NOT NULL,
  `hash_id` varchar(255) COLLATE utf8mb4_unicode_ci NOT NULL,
  PRIMARY KEY (`id`,`date_time`) /*T![clustered_index] CLUSTERED */,
  UNIQUE KEY `idx_message_id` (`message_id`,`date_time`),
  KEY `idx_mid` (`message_id`),
  KEY `idx_anonymous_api` (`anonymous_id`,`api_key`),
  KEY `idx_anonymous_api_mid` (`anonymous_id`,`api_key`,`message_id`),
  KEY `idx_anonymous_time` (`anonymous_id`,`timestamp`),
  KEY `idx_bid` (`batch_id`),
  KEY `idx_hid` (`hash_id`),
  KEY `idx_date` (`date_time`),
  KEY `idx_date_event` (`date_time`,`event`),
  KEY `idx_event` (`event`),
  KEY `idx_mid_bid` (`message_id`,`batch_id`),
  KEY `idx_mid_hid` (`message_id`,`hash_id`),
  KEY `idx_session` (`anonymous_id`,`api_key`,`date_time`),
  KEY `idx_session_event` (`session_id`,`event`),
  KEY `idx_session_id` (`session_id`),
  KEY `idx_user_id` (`user_id`),
  KEY `mtp_tracking_events_id_index` (`id`),
  UNIQUE KEY `idx_u_message_id` (`message_id`) /*T![global_index] GLOBAL */
) ENGINE=InnoDB DEFAULT CHARSET=utf8mb4 COLLATE=utf8mb4_unicode_ci
PARTITION BY RANGE COLUMNS(`date_time`)
(PARTITION `p20251001` VALUES LESS THAN ('2025-10-15'),
 PARTITION `p20251002` VALUES LESS THAN ('2025-11-01'),
 PARTITION `p20251101` VALUES LESS THAN ('2025-11-15'),
 PARTITION `p20251102` VALUES LESS THAN ('2025-12-01'),
 PARTITION `p20251201` VALUES LESS THAN ('2025-12-15'),
 PARTITION `p20251202` VALUES LESS THAN ('2026-01-01'));</t>
  </si>
  <si>
    <t>[OMRE][CBP] Cleanup dữ liệu Memorystore Redis dự án CBP trước khi golive chính thức</t>
  </si>
  <si>
    <t>2025-12-02T21:18:03.376+0700</t>
  </si>
  <si>
    <t>2025-12-02T21:18:17.524+0700</t>
  </si>
  <si>
    <t>Nhờ team DBA hỗ trợ clear data của instance redis sau trước khi sản phẩm golive chính thức  Instance:  omre-cbp-prod-redis  - 172.31.8.12 Thời gian cụ thể sẽ update sau. Thanks team.</t>
  </si>
  <si>
    <t>[SOFTPOS] Xóa thông tin merchant bị lỗi</t>
  </si>
  <si>
    <t>2025-12-02T20:40:22.093+0700</t>
  </si>
  <si>
    <t>2025-12-02T20:40:27.025+0700</t>
  </si>
  <si>
    <t>Hi a  @Nguyễn Văn Dũng   nhờ a chạy giúp em ticket sau nhé ạ.  Thông tin database saas_tpay:  pay-tidb.int.onemount.com:4000/saas_tpay Scripts: delete from merchant where MERCHANT_CODE in ('73761245');
delete from SERVICE where MERCHANT_CODE in ('73761245');
delete from STORE where MERCHANT_CODE in ('73761245');
delete from TERMINAL where MERCHANT_CODE in ('73761245');</t>
  </si>
  <si>
    <t>2025-12-02T16:39:52.733+0700</t>
  </si>
  <si>
    <t>2025-12-02T16:40:07.126+0700</t>
  </si>
  <si>
    <t>Hỗ trợ lấy danh sách accept challenge cho campaign TCB Host:  172.31.4.75 DB: promo_gamezone Query: SELECT DISTINCT user_id FROM `accept_challenge` WHERE campaign_id IN(56, 64, 75); Theo yêu cầu vận hành campaign TCB</t>
  </si>
  <si>
    <t>[MAG][IOTek][MCM][PROD] Cập nhật trường thông tin vào DB và đổi tên DB</t>
  </si>
  <si>
    <t>2025-12-02T15:08:09.711+0700</t>
  </si>
  <si>
    <t>2025-12-04T18:09:12.343+0700</t>
  </si>
  <si>
    <t>[MCM]</t>
  </si>
  <si>
    <t>IP (host):  ces-production.crcykac8kxtw.ap-southeast-1.rds.amazonaws.com port: 3306 DB name:  ces_mcm_storage  đổi qua  mcm_storage command  UPDATE  dc_documents  dd   SET  document_type_code = 'folder', is_folder = 1 WHERE   dd .id  = '70818906-c352-4d33-8388-40c88e7673f2'; UPDATE  dc_documents  dd   SET  document_type_code = 'folder', is_folder = 1 WHERE   dd .id  = '5ed98edc-a1ba-4835-afaf-acd14a0e1fc7';</t>
  </si>
  <si>
    <t>[OMC][PS2][Loyalty][PROD] - archive dữ liệu history cho các bảng cần move data sang COLD - Tháng 12/2025</t>
  </si>
  <si>
    <t>2025-12-02T14:40:59.768+0700</t>
  </si>
  <si>
    <t>2025-12-08T12:07:47.277+0700</t>
  </si>
  <si>
    <t>Các bảng cần move data sang COLD, sau đó archive lên GCS: TRANSACTION_HISTORY_ATTRIBUTE TRANSACTION_HISTORY POINT_TRANSACTION COUNTER_TRANSACTION_HISTORY 3 bảng TRANSACTION_HISTORY, POINT_TRANSACTION, COUNTER_TRANSACTION_HISTORY : Trên môi trường PROD (HOT), Giữ lại data đầy đủ của 6 tháng gần nhất. (tháng n-1, n-2, n-3, n-4, n-5, n-6). Trên môi trường PROD (HOT), Giữ lại data đầy đủ của 6 tháng gần nhất. (tháng n-1, n-2, n-3, n-4, n-5, n-6). Trên môi trường COLD, sẽ có data lịch sử (history 6 tháng tiếp theo) n-7, n-8, n-9, n-10, n-11, n-12. Ví dụ, hiện tại là tháng 12/2025, thì data giữ lại ở db chính PROD là tháng 11/2025, 10/2025, 9/2025, 8/2025, 7/2025, 6/2025. Các tháng lịch sử khác (history 6 tháng tiếp theo) sẽ khai thác trên db COLD: tháng 5/2025, 4/2025, 3/2025, 2/2025, 1/2025, 12/2024. Bảng TRANSACTION_HISTORY_ATTRIBUTE  : Tháng hiện tại là tháng n.  Trên DB chính PROD (HOT), giữ lại data đầy đủ của 3 tháng gần nhất (tháng thứ n-1,n-2,n-3 sau tháng hiện tại). Các data tháng thứ n-4,n-5,n-6 sau tháng n hiện tại thì chuyển sang db COLD.) Ví dụ, hiện tại là tháng 12/2025, thì data giữ lại ở db chính PROD là tháng 11/2025, 10/2025, 9/2025. Các tháng 8/2025, 7/2025, 6/2025 sẽ khai thác trên db COLD.</t>
  </si>
  <si>
    <t>[OMC][PS2][Loyalty][PROD] - archive dữ liệu history cho các bảng PAY_WITH_POINT_TRANSACTION_HISTORY - Tháng 12/2025</t>
  </si>
  <si>
    <t>2025-12-02T14:40:43.694+0700</t>
  </si>
  <si>
    <t>2025-12-05T14:55:00.524+0700</t>
  </si>
  <si>
    <t>Giữ nguyên các partition,chỉ DELETE xóa data theo điều kiện where là:  status = 'F'  and transaction_time đủ full  1 tháng  gần nhất Ví dụ, hiện tại tháng 12/2025, thì sẽ thực hiện DELETE Xóa data có: status = 'F' and transaction_time &lt; to_date('01/11/2025','dd/MM/yyyy')</t>
  </si>
  <si>
    <t>[OMC][PS2][Loyalty][PROD] - archive dữ liệu history cho các bảng KAFKA_ , TIER_HISTORY - Tháng 12/2025</t>
  </si>
  <si>
    <t>2025-12-02T14:38:57.017+0700</t>
  </si>
  <si>
    <t>2025-12-02T14:53:21.014+0700</t>
  </si>
  <si>
    <t>[OMC][PS2][Loyalty][PROD] - Thực hiện archive dữ liệu history cho DB Loyalty - Tháng 12/2025</t>
  </si>
  <si>
    <t>2025-12-02T14:34:33.040+0700</t>
  </si>
  <si>
    <t>2025-12-08T12:07:56.291+0700</t>
  </si>
  <si>
    <t>Link CR:    Team DBA cần thực hiện archive dữ liệu lịch sử của 1 số bảng lớn trong DB LOYALTY, để tối ưu dung lượng lưu trữ data , tránh để data lưu trữ quá lớn trong DB dẫn tới chi phí phần cứng tăng và giảm hiệu suất IO khi truy xuất data lớn. Quy định về thời gian lưu trữ data (dự án đã confirm với TCB qua email): Live data tier: không TTL expired bất kể dữ liệu nào Backup tier: Thực hiện backup full 2 lần/tuần và incremental các ngày còn lại Archiving tier:  Dữ liệu Archive được thực hiện 6 tháng/lần và store với retention là 365 days Kế hoạch thực hiện archive dữ liệu history của DB Loyalty , thực hiện trong  tháng 12 năm 2025 Các bảng cần lưu trữ data và thực hiện xóa data history: Danh sách các bảng archive data history   Tables Partition column Life time Note KAFKA_AUDIT_TRAIL_PRODUCT_INFO CREATED_AT 1 month   KAFKA_AUDIT_TRAIL_CARD_INFO CREATED_AT 1 month   KAFKA_AUDIT_TRAIL_CUSTOMER_PROFILE CREATED_AT 1 month   KAFKA_AUDIT_TRAIL_EARN_TRANSACTION CREATED_AT 1 month   KAFKA_AUDIT_TRAIL_EARN_EVENT CREATED_AT 1 month   TIER_HISTORY CREATED_AT 6 month   POINT_TRANSACTION_ACCOUNT_BALANCE CREATED_AT 6 month Từ tháng 5/2025,  tạm dừng ko xóa data history bảng này nữa , để CNSP review lại xem có dùng dữ liệu quá 6 tháng ko? PAY_WITH_POINT_TRANSACTION_HISTORY TRANSACTION_TIME Giữ nguyên các partition,chỉ DELETE xóa data theo điều kiện where là:  status = 'F'  and transaction_time đủ full  1 tháng  gần nhất Ví dụ, hiện tại tháng 12/2025, thì sẽ thực hiện DELETE Xóa data có: status = 'F' and transaction_time &lt; to_date('01/11/2025','dd/MM/yyyy') TRANSACTION_HISTORY_ATTRIBUTE CREATED_AT 3 month Tháng hiện tại là tháng n. Trên DB chính PROD (HOT), giữ lại data đầy đủ của 3 tháng gần nhất (tháng thứ n-1,n-2,n-3 sau tháng hiện tại). Các data tháng thứ n-4,n-5,n-6 sau tháng n hiện tại thì chuyển sang db COLD.) Ví dụ, hiện tại là tháng 12/2025, thì data giữ lại ở db chính PROD là tháng 11/2025, 10/2025, 9/2025. Các tháng 8/2025, 7/2025, 6/2025 sẽ khai thác trên db COLD. TRANSACTION_HISTORY TRANSACTION_TIME 6 month Trên môi trường PROD (HOT), Giữ lại data đầy đủ của 6 tháng gần nhất. (tháng n-1, n-2, n-3, n-4, n-5, n-6). Trên môi trường COLD, sẽ có data lịch sử (history 6 tháng tiếp theo) n-7, n-8, n-9, n-10, n-11, n-12. Ví dụ, hiện tại là tháng 12/2025, thì data giữ lại ở db chính PROD là tháng 11/2025, 10/2025, 9/2025, 8/2025, 7/2025, 6/2025. Các tháng lịch sử khác (history 6 tháng tiếp theo) sẽ khai thác trên db COLD: tháng 5/2025, 4/2025, 3/2025, 2/2025, 1/2025, 12/2024. POINT_TRANSACTION TRANSACTION_TIME 6 month Trên môi trường PROD (HOT), Giữ lại data đầy đủ của 6 tháng gần nhất. (tháng n-1, n-2, n-3, n-4, n-5, n-6). Trên môi trường COLD, sẽ có data lịch sử (history 6 tháng tiếp theo) n-7, n-8, n-9, n-10, n-11, n-12. Ví dụ, hiện tại là tháng 12/2025, thì data giữ lại ở db chính PROD là tháng 11/2025, 10/2025, 9/2025, 8/2025, 7/2025, 6/2025. Các tháng lịch sử khác (history 6 tháng tiếp theo) sẽ khai thác trên db COLD: tháng 5/2025, 4/2025, 3/2025, 2/2025, 1/2025, 12/2024. COUNTER_TRANSACTION_HISTORY CREATED_AT 6 month Trên môi trường PROD (HOT), Giữ lại data đầy đủ của 6 tháng gần nhất. (tháng n-1, n-2, n-3, n-4, n-5, n-6). Trên môi trường COLD, sẽ có data lịch sử (history 6 tháng tiếp theo) n-7, n-8, n-9, n-10, n-11, n-12. Ví dụ, hiện tại là tháng 12/2025, thì data giữ lại ở db chính PROD là tháng 11/2025, 10/2025, 9/2025, 8/2025, 7/2025, 6/2025. Các tháng lịch sử khác (history 6 tháng tiếp theo) sẽ khai thác trên db COLD: tháng 5/2025, 4/2025, 3/2025, 2/2025, 1/2025, 12/2024. COUNTER_HISTORY CREATED_AT Không xóa data select /*+ parallel(8) */ count(*) from OLOYALTY.COUNTER_HISTORY; -- Jun25: 1.239.192.444, Jul25: 1.241.861.674, Aug25: 1.243.737.744, Sep25: 1.245.368.045, oct25: 1.246.539.190 , Nov25: 1.247.733.183 Chạy Gather statistic + rebuild index bảng COUNTER_HISTORY Phương án làm archive data cho các bảng này: export các partition vi phạm thời gian lưu trữ data life time ONLINE Lưu trữ các partition đã export lên GCS (thời gian lưu trữ trên GCS là 1 năm). Các dữ liệu nào cần khai thác trên COLD, thì sẽ import sang db COLD. Drop các partition đã export + archived trên DB PROD Chạy lại gather statistic cho bảng vừa drop partition (có thể để DB auto chạy cũng được)</t>
  </si>
  <si>
    <t>[DP][MH_SCM-PROD] - Cấu hình kafka topic cho dự án SCM</t>
  </si>
  <si>
    <t>2025-12-02T11:59:22.941+0700</t>
  </si>
  <si>
    <t>2025-12-02T16:45:28.519+0700</t>
  </si>
  <si>
    <t>Hi các Anh, Nhờ các anh DBA kafka toptic để ingest dữ liệu cho dự án  SCM MAG  trên môi trường  PRODUCTION  với thông tin như sau: Host 172.31.1.118 Database/Schema omd_mdm_prod Danh sách các bảng cần tạo Kafka topic: ProductAttributeTemplate
ProductAttributeTemplateOption
OrganizationAttribute
OrganizationContactMapping
OrganizationInProject
OrganizationTemplate Ref:  https://vinid-team.atlassian.net/browse/DBA-3078 Em cảm ơn ạ</t>
  </si>
  <si>
    <t>[DP][MH_SCM-NP] - Cấu hình kafka topic cho dự án SCM</t>
  </si>
  <si>
    <t>2025-12-02T11:59:15.556+0700</t>
  </si>
  <si>
    <t>2025-12-02T17:12:23.801+0700</t>
  </si>
  <si>
    <t xml:space="preserve">Hi các Anh, Nhờ các anh DBA kafka toptic để ingest dữ liệu cho dự án  SCM MAG  trên môi trường  NONPROD  với thông tin như sau: Host 172.31.0.68 Database/Schema omd_mdm_qc Danh sách các bảng cần tạo Kafka topic: ProductAttributeTemplate
ProductAttributeTemplateOption
OrganizationAttribute
OrganizationContactMapping
OrganizationInProject
OrganizationTemplate  </t>
  </si>
  <si>
    <t>[UPP] Enable tính năng thanh toán thẻ quốc tế qua Cybersource PCI cho cổng UPP</t>
  </si>
  <si>
    <t>2025-12-02T11:44:15.360+0700</t>
  </si>
  <si>
    <t>2025-12-02T11:44:19.456+0700</t>
  </si>
  <si>
    <t>Hi a  @Nguyễn Văn Dũng  nhờ a chạy script theo mô tả  dưới đây ở môi trường PRODUCTION theo thông tin dưới đây ạ: Thời gian chạy script: Vào lúc  sau khi được approve Thông tin database   pay_payment_gateway :  mysql://vinpay-sql-onehub-master.int.vinid.net:3306/pay_payment_gateway CR Ticket:  https://vinid-team.atlassian.net/servicedesk/customer/portal/15/SH-67693?created=true Script:  update PROVIDER_PAY_OPERATION set is_active = 1 where id = 4;</t>
  </si>
  <si>
    <t>[Merchant-OM] Hỗ trợ cập nhật dữ liệu 20251201</t>
  </si>
  <si>
    <t>2025-12-02T11:34:34.682+0700</t>
  </si>
  <si>
    <t>2025-12-02T11:34:59.698+0700</t>
  </si>
  <si>
    <t>Dear team, Nhờ team chạy giúp câu lệnh bên dưới ạ. Thông tin database https://console.cloud.google.com/sql/instances/main/overview?inv=1&amp;invt=Abqw_w&amp;project=vinid-merchant-prod DB_MYSQL_HOST=172.31.1.44
DB_MYSQL_DATABASE=merchant_service Câu lệnh insert into merchant_role (created_at, updated_at, deleted_at, name, active, merchant_id)
values (now(), now(), null, 'Admin', 1, 102449),
        (now(), now(), null, 'Store', 1, 102449),
        (now(), now(), null, 'Staff', 1, 102449);</t>
  </si>
  <si>
    <t>[Merchant-OM] Hỗ trợ cập nhật dữ liệu 20251202</t>
  </si>
  <si>
    <t>2025-12-02T09:48:15.404+0700</t>
  </si>
  <si>
    <t>2025-12-02T09:48:20.400+0700</t>
  </si>
  <si>
    <t>Dear team, Nhờ team chạy giúp câu lệnh bên dưới ạ. Thông tin database https://console.cloud.google.com/sql/instances/main/overview?inv=1&amp;invt=Abqw_w&amp;project=vinid-merchant-prod DB_MYSQL_HOST=172.31.1.44
DB_MYSQL_DATABASE=merchant_service Câu lệnh UPDATE store_register_services
SET register_service_id = 5 
WHERE id IN (983897, 983898, 983899, 983900, 983901, 983902, 983903, 983904, 983905, 983906, 983907, 983908, 983909, 983910, 983911, 983912, 983913, 983914, 983915, 983916, 983917, 983918, 983919, 983920, 983921, 983922, 983923, 983924, 983925, 983926, 983927, 983928, 983929, 983930, 983991, 983993);
UPDATE store_register_services
SET register_service_id = 9
WHERE id IN (983931, 983932, 983933, 983934, 983935, 983936, 983937, 983938, 983939, 983940, 983941, 983942, 983943, 983944, 983945, 983946, 983947, 983948, 983949, 983950, 983951, 983952, 983953, 983954, 983955, 983956, 983957, 983958, 983959, 983960, 983961, 983962, 983963, 983964, 983992, 983994);</t>
  </si>
  <si>
    <t>[OMC][ONEU] [Prod] Bổ sung thêm index và unique index</t>
  </si>
  <si>
    <t>2025-12-02T07:13:58.136+0700</t>
  </si>
  <si>
    <t>2025-12-02T07:14:12.188+0700</t>
  </si>
  <si>
    <t>Dear team DBA Nhờ team chạy giúp em ticket này để bổ sung thêm unique index ạ project: vincart-prod instance: main ip: 172.31.1.41 DB: vincart_mm_merchant DELETE t1
FROM stores_settings t1
JOIN stores_settings t2
  ON t1.store_id = t2.store_id
 AND t1.setting_key = t2.setting_key
 AND t1.id &gt; t2.id;
DELETE t1
FROM settings t1
JOIN settings t2
  ON t1.merchant_id = t2.merchant_id
 AND t1.setting_key = t2.setting_key
 AND t1.id &gt; t2.id;
ALTER TABLE stores_settings DROP INDEX stores_settings_store_id_and_setting_key_index;
ALTER TABLE stores_settings ADD UNIQUE INDEX unique_store_id_setting_key (store_id, setting_key);
ALTER TABLE settings ADD UNIQUE INDEX unique_merchant_id_setting_key (merchant_id, setting_key);
ALTER TABLE staff ADD INDEX phone_number_idx (phone_number);</t>
  </si>
  <si>
    <t>[VINPAY][PROD] Cấu hình bộ thông tin QR247 cho merchant MEDIPLUS - ISOFH</t>
  </si>
  <si>
    <t>2025-12-01T17:45:51.629+0700</t>
  </si>
  <si>
    <t>2025-12-01T17:46:00.279+0700</t>
  </si>
  <si>
    <t>Dear team DBA, Team dự án có các cấu hình QR247 cho khách hàng ISOFH, nhờ các anh chạy các script theo thông tin bên dưới giúp em ạ Thông tin DB:  pay-tidb.int.onemount.com:4000/saas_tpay INSERT INTO PARTNER (client_id, name, public_key, enable, merchant_code) VALUES ('EAiPbfvbVKZuFYSqHEwBurumIJLDIiFc', 'MEDIPLUS01', '---- BEGIN PUBLIC KEY ---- MIIBIjANBgkqhkiG9w0BAQEFAAOCAQ8AMIIBCgKCAQEAu8RuV0S7LxDFni38JoC1 5p9Cn7RWYy+To4wlTH+XTs59xQP/7khPE2ao02zRViZuNXt4D/PcH1HRs/xzw7Qn kBFni78Syxzn+ovQ7oTAjma1rXbyQz089qL4EIwAyrH0daeofRLV6uoeCjMyrypF FMj/HWFrBr2Lskt1xHBraaXqhfVuKMk7/td65J1FWFT5rkVeUv8D2R/XBytWyHMr mCcjNEggzTuToIV9mwkNnzKW4tuld5iAv/mpWR8ZzlXuJgJWN8iMRjno9vygdSqG nIyo4c552KT6HYAtQbwN673E0wcfnwpfMMWdxXgwk+R2cHwPldOQSBVir5vT5LJW mQIDAQAB ---- END PUBLIC KEY ---- ', 1, '36959980'); INSERT INTO PARTNER (client_id, name, public_key, enable, merchant_code) VALUES ('LsCeWdpZIwUwtmTNhwouJKvoYULfjtKv', 'MEDIPLUS02', '---- BEGIN PUBLIC KEY ---- MIIBIjANBgkqhkiG9w0BAQEFAAOCAQ8AMIIBCgKCAQEAjYk3O0KbayzPIwr6BsDA awreEktsnCqvCpIDEq/qkmf1/L8bX0spqhA5JYsPQQzuDimYbZEfeND9OBjxkJct 3rJXgDdvm47aQNy8vtBCtMtdeo8WAIxUYZ069KhRsX1Vx8lENdGEniDeamp/xFEx bZ5g7cfhFcVvq8pAv7Bit5udybVn0GYADpVQcogl04RYvF5p6Q9qeYb30fvm7a04 j4rFk+CIFlDSfNKqL5uQtQ8V669jlGwBtQj6L+zgqqf8rfDW9cbNYjjQxrZWK5on p3T3Oi5hDpPrruOdeiG2rhyIpId5D0VG7wKxD+u/aDXy02qoATYMme3+IMdETyBt YQIDAQAB ---- END PUBLIC KEY ---- ', 1, 'MEDIPLUS02');</t>
  </si>
  <si>
    <t>Hỗ trợ chuyển đổi dữ liệu môi trường staging sang môi trường pt</t>
  </si>
  <si>
    <t>2025-12-01T16:02:22.039+0700</t>
  </si>
  <si>
    <t>2025-12-02T08:54:37.534+0700</t>
  </si>
  <si>
    <t xml:space="preserve">Hi các anh ,  Nhờ  các a support team chuyển dữ liệu database của mysql và Es từ môi trường staging sang môi trường pt với nhé ạ.  thông tin server : server pt :  mas-mysql-performance-test.cr62264i6qsz.ap-southeast-1.rds.amazonaws.com   server staging :  mas-mysql-dev.cr62264i6qsz.ap-southeast-1.rds.amazonaws.com mpm_mh_mpm_stg -&gt; mpm_mh_mpm_pt mpm_master_data_stg -&gt; mpm_master_data_pt mpm_reference_data_stg -&gt; mpm_reference_data_pt mpm_workflow_service_stg → mpm_workflow_service_pt E cảm ơn các anh </t>
  </si>
  <si>
    <t>[OM][PROD][ALL] Add partition table for year 2026 project vinid-integration-prod</t>
  </si>
  <si>
    <t>2025-12-01T14:40:23.457+0700</t>
  </si>
  <si>
    <t>2025-12-02T11:38:52.620+0700</t>
  </si>
  <si>
    <t>use omd_cdp_data_from_ingest;
ALTER TABLE `engagement_event` ADD PARTITION (
    PARTITION p202601 VALUES LESS THAN (740013), -- Tương ứng &lt; 2026-02-01 (Chứa T1/2026)
    PARTITION p202602 VALUES LESS THAN (740041), -- Tương ứng &lt; 2026-03-01 (Chứa T2/2026 - Năm thường 28 ngày)
    PARTITION p202603 VALUES LESS THAN (740072), -- Tương ứng &lt; 2026-04-01 (Chứa T3/2026)
    PARTITION p202604 VALUES LESS THAN (740102), -- Tương ứng &lt; 2026-05-01 (Chứa T4/2026)
    PARTITION p202605 VALUES LESS THAN (740133), -- Tương ứng &lt; 2026-06-01 (Chứa T5/2026)
    PARTITION p202606 VALUES LESS THAN (740163), -- Tương ứng &lt; 2026-07-01 (Chứa T6/2026)
    PARTITION p202607 VALUES LESS THAN (740194), -- Tương ứng &lt; 2026-08-01 (Chứa T7/2026)
    PARTITION p202608 VALUES LESS THAN (740225), -- Tương ứng &lt; 2026-09-01 (Chứa T8/2026)
    PARTITION p202609 VALUES LESS THAN (740255), -- Tương ứng &lt; 2026-10-01 (Chứa T9/2026)
    PARTITION p202610 VALUES LESS THAN (740286), -- Tương ứng &lt; 2026-11-01 (Chứa T10/2026)
    PARTITION p202611 VALUES LESS THAN (740316), -- Tương ứng &lt; 2026-12-01 (Chứa T11/2026)
    PARTITION p202612 VALUES LESS THAN (740347)  -- Tương ứng &lt; 2027-01-01 (Chứa T12/2026)
);</t>
  </si>
  <si>
    <t>[OM][PROD][ALL] Add partition table for year 2026 project vinid-b2b-platform-prod</t>
  </si>
  <si>
    <t>2025-12-01T14:39:26.989+0700</t>
  </si>
  <si>
    <t>2025-12-02T11:38:29.300+0700</t>
  </si>
  <si>
    <t>use omd_cdp_data_from_dp;
 ALTER TABLE `DP_PROMOTION_TRANSACTION` ADD PARTITION (
    -- Bổ sung tháng 12/2025 (vì partition cũ mới chỉ đến &lt; 2025-12-01)
    PARTITION `P_LT_2026-01-01` VALUES LESS THAN ('2026-01-01'),
    -- Các tháng của năm 2026
    PARTITION `P_LT_2026-02-01` VALUES LESS THAN ('2026-02-01'),
    PARTITION `P_LT_2026-03-01` VALUES LESS THAN ('2026-03-01'),
    PARTITION `P_LT_2026-04-01` VALUES LESS THAN ('2026-04-01'),
    PARTITION `P_LT_2026-05-01` VALUES LESS THAN ('2026-05-01'),
    PARTITION `P_LT_2026-06-01` VALUES LESS THAN ('2026-06-01'),
    PARTITION `P_LT_2026-07-01` VALUES LESS THAN ('2026-07-01'),
    PARTITION `P_LT_2026-08-01` VALUES LESS THAN ('2026-08-01'),
    PARTITION `P_LT_2026-09-01` VALUES LESS THAN ('2026-09-01'),
    PARTITION `P_LT_2026-10-01` VALUES LESS THAN ('2026-10-01'),
    PARTITION `P_LT_2026-11-01` VALUES LESS THAN ('2026-11-01'),
    PARTITION `P_LT_2026-12-01` VALUES LESS THAN ('2026-12-01'),
    -- Tháng 12/2026 (kết thúc năm 2026)
    PARTITION `P_LT_2027-01-01` VALUES LESS THAN ('2027-01-01')
);
   use omd_cdp_data_from_dp;
 ALTER TABLE `DP_SALESFORCE_CS_CALL` ADD PARTITION (
    PARTITION `P_LT_2027-01-01` VALUES LESS THAN ('2027-01-01')
); use omd_cdp_data_from_dp;
ALTER TABLE `DP_STAT_TRANSACTION_DAILY` ADD PARTITION (
    -- Partition cho tháng 12/2025 (Vì partition cũ mới chỉ đến &lt; 2025-12-01)
    PARTITION `P_LT_2026-01-01` VALUES LESS THAN ('2026-01-01'),
    -- Các partition cho năm 2026
    PARTITION `P_LT_2026-02-01` VALUES LESS THAN ('2026-02-01'),
    PARTITION `P_LT_2026-03-01` VALUES LESS THAN ('2026-03-01'),
    PARTITION `P_LT_2026-04-01` VALUES LESS THAN ('2026-04-01'),
    PARTITION `P_LT_2026-05-01` VALUES LESS THAN ('2026-05-01'),
    PARTITION `P_LT_2026-06-01` VALUES LESS THAN ('2026-06-01'),
    PARTITION `P_LT_2026-07-01` VALUES LESS THAN ('2026-07-01'),
    PARTITION `P_LT_2026-08-01` VALUES LESS THAN ('2026-08-01'),
    PARTITION `P_LT_2026-09-01` VALUES LESS THAN ('2026-09-01'),
    PARTITION `P_LT_2026-10-01` VALUES LESS THAN ('2026-10-01'),
    PARTITION `P_LT_2026-11-01` VALUES LESS THAN ('2026-11-01'),
    PARTITION `P_LT_2026-12-01` VALUES LESS THAN ('2026-12-01'),
    -- Partition cho tháng 12/2026 (kết thúc năm 2026)
    PARTITION `P_LT_2027-01-01` VALUES LESS THAN ('2027-01-01')
);
 use omd_cdp_data_from_dp;
ALTER TABLE `DP_STAT_TRANSACTION_DAILY_QC` ADD PARTITION (
    -- Partition cho tháng 12/2025 (Vì partition cũ mới chỉ đến &lt; 2025-12-01)
    PARTITION `P_LT_2026-01-01` VALUES LESS THAN ('2026-01-01'),
    -- Các partition cho năm 2026
    PARTITION `P_LT_2026-02-01` VALUES LESS THAN ('2026-02-01'),
    PARTITION `P_LT_2026-03-01` VALUES LESS THAN ('2026-03-01'),
    PARTITION `P_LT_2026-04-01` VALUES LESS THAN ('2026-04-01'),
    PARTITION `P_LT_2026-05-01` VALUES LESS THAN ('2026-05-01'),
    PARTITION `P_LT_2026-06-01` VALUES LESS THAN ('2026-06-01'),
    PARTITION `P_LT_2026-07-01` VALUES LESS THAN ('2026-07-01'),
    PARTITION `P_LT_2026-08-01` VALUES LESS THAN ('2026-08-01'),
    PARTITION `P_LT_2026-09-01` VALUES LESS THAN ('2026-09-01'),
    PARTITION `P_LT_2026-10-01` VALUES LESS THAN ('2026-10-01'),
    PARTITION `P_LT_2026-11-01` VALUES LESS THAN ('2026-11-01'),
    PARTITION `P_LT_2026-12-01` VALUES LESS THAN ('2026-12-01'),
    -- Partition cho tháng 12/2026 (kết thúc năm 2026)
    PARTITION `P_LT_2027-01-01` VALUES LESS THAN ('2027-01-01')
);</t>
  </si>
  <si>
    <t>[OMC][Nonprod] Tạo mới DB User Generated Content</t>
  </si>
  <si>
    <t>2025-12-01T14:25:52.185+0700</t>
  </si>
  <si>
    <t>2025-12-01T17:48:43.118+0700</t>
  </si>
  <si>
    <t>Dear anh Dũng, Nhờ anh hỗ trợ team tạo mới DB với các thông tin dưới đây ạ Project: vinid-app-common-dev 
IP: 172.31.0.61
DB name: oneu_user_generated_content_uat/qc
User name: oneu_user_generated_content_uat/qc SAD:    Anh cần thêm thông tin nào thì comment giúp em ạ Em cảm ơn anh</t>
  </si>
  <si>
    <t>[Data Platform][Non-Prod] Tạo Database chứa dữ liệu chi phí Data Platform</t>
  </si>
  <si>
    <t>2025-12-01T13:16:27.044+0700</t>
  </si>
  <si>
    <t>2025-12-01T13:16:40.714+0700</t>
  </si>
  <si>
    <t>Dear team, Vì nhu cầu chứa dữ liệu chi phí của Data Platform, team DP xin được hỗ trợ tạo DB sau cho account  dataplatform_ingestion  trên môi trường Non-Prod ạ, thông tin cụ thể: Host : 172.31.0.68 Port : 3306 Account : data_platform Database : dp_billing_reports Data Sizing: 10.000 dòng / tháng Em cảm ơn ạ</t>
  </si>
  <si>
    <t>[UPAY] [SOUNDBOX] Thêm master data</t>
  </si>
  <si>
    <t>2025-12-01T10:44:12.093+0700</t>
  </si>
  <si>
    <t>2025-12-01T10:44:19.404+0700</t>
  </si>
  <si>
    <t>Hi các anh DBA,  Vào lúc 0h00 ngày 29/11/2025  team e có release các tính năng cho SoundBox, Nhờ các anh chạy giúp em câu lệnh update DB  DB : jdbc:mysql://pay-tidb.int.onemount.com:4000/saas_tpay
INSERT INTO SYSTEM_CONFIGURATION (SYSTEM_PARAM_CODE, SYSTEM_PARAM_NAME, SYSTEM_PARAM_VALUE, IS_ACTIVE, CREATED_DATE) VALUES ('SOUNDBOX_MQTT_CONFIG_TRANSACTION_AMOUNT', 'SOUNDBOX_MQTT_CONFIG_TRANSACTION_AMOUNT', '10000', 1, DEFAULT);
INSERT INTO SYSTEM_CONFIGURATION (SYSTEM_PARAM_CODE, SYSTEM_PARAM_NAME, SYSTEM_PARAM_VALUE, IS_ACTIVE, CREATED_DATE) VALUES ('SOUNDBOX_MQTT_CONFIG_DEVICE_SETTING_AMOUNT', 'SOUNDBOX_MQTT_CONFIG_DEVICE_SETTING_AMOUNT', '[{"device_model":"38","vendor_code":"MF"}]', 1, DEFAULT); DB : jdbc:mysql://pay-tidb.int.onemount.com:4000/vinpay_soundbox_mqtt_user
INSERT INTO mqtt_acl (username, action, permission, topic) VALUES ('$all', 'subscribe','allow', '/ota/pFppbioOCKlo5c8E/broadcast/#'); Thanks các anh,</t>
  </si>
  <si>
    <t>2025-12-01T10:42:52.387+0700</t>
  </si>
  <si>
    <t>2025-12-01T10:43:01.260+0700</t>
  </si>
  <si>
    <t>Dear team, Vì nhu cầu chứa dữ liệu chi phí của Data Platform, team DP xin được hỗ trợ tạo 2 DB sau cho account  dataplatform_ingestion  trên môi trường Non-Prod ạ, thông tin cụ thể: Host: tidb.int.onemount.dev Port: 4000 Account: dataplatform_ingestion Database: - dp_billing_reports
- dp_billing_reports_adhoc Data Sizing: 10.000 dòng trên 1 DB / tháng Em cảm ơn ạ</t>
  </si>
  <si>
    <t>Hỗ trợ tạo dữ liệu mở mới kho NPP Hải Anh (ANH01)</t>
  </si>
  <si>
    <t>2025-12-01T09:44:10.031+0700</t>
  </si>
  <si>
    <t>2025-12-01T10:42:06.381+0700</t>
  </si>
  <si>
    <t>Hi DBA team, Hiện tại nghiệp vụ có nhu cầu mở mới kho NPP Hải Anh (ANH01),  nhờ team DBA hỗ trợ cập nhật giá trị theo thông tin dưới đây. Câu query đánh giá là có thể ảnh hưởng đến vận hành hệ thống nên mong muốn chạy vào thời gian vận hành thấp điểm (từ 22h-2h sáng). Cụm WMS Project : vinid-b2b-platform-prod Instance/IP : main (read-write): 172.31.4.59 Port : 3306 Database : omd_wms_core Script : file  omd_wms_core_hai_anh.sql  trong file đính kèm Database : omd_wms_dye Script : file  wms_hai_anh.sql  trong file đính kèm Cum WES Project : vinid-b2b-platform-prod Instance/IP : main (read-write): 172.31.1.143 Port : 3306 Database : wes_master Script : file  wes_master_hai_anh.sql  trong file đính kèm Database : wes_dye Script : file  wes_hai_anh.sql  trong file đính kèm</t>
  </si>
  <si>
    <t>Cấp tài khoản quyền read-only db của P6</t>
  </si>
  <si>
    <t>2025-12-01T09:11:46.971+0700</t>
  </si>
  <si>
    <t>2026-01-22T12:19:43.013+0700</t>
  </si>
  <si>
    <t>primavera</t>
  </si>
  <si>
    <t>Để triển khai DA CT-CDE Gia Bình, nhờ team cấp giúp tài khoản P6 trên môi trường hiện tại (được truy cập từ mạng nội bộ OMG ở 2 site HN, HCM):  Tài khoản truy cập Database với quyền read-only</t>
  </si>
  <si>
    <t>[OM][TCB Sales App][PROD] Thêm cột và tạo index trên bảng Store</t>
  </si>
  <si>
    <t>2025-11-29T21:12:30.175+0700</t>
  </si>
  <si>
    <t>2025-12-01T14:34:29.187+0700</t>
  </si>
  <si>
    <t>Dự án deploy tính năng mới cần thêm 1 cột trong DB , nhờ team chạy giúp e script dưới với ạ Thời gian thực hiện: Do thời gian deploy  dự án bắt đầu lúc 21h nên cần chạy script vào khoảng 21h Thông tin update DB như sau Project: omd-pos-prod Instance:  main-pos-integration IP: 172.31.3.63 DB: omd_saleapp_tcb_prod Script ALTER TABLE Store ADD COLUMN latestConsultationResult VARCHAR(255) NULL;
CREATE INDEX latestConsultationResultIdx ON Store(latestConsultationResult) LOCK=NONE;</t>
  </si>
  <si>
    <t>[MTP][Prod][MongoDB] Request chạy script MongoDB</t>
  </si>
  <si>
    <t>2025-11-29T11:40:16.343+0700</t>
  </si>
  <si>
    <t>2025-11-29T11:40:52.076+0700</t>
  </si>
  <si>
    <t>Nhờ anh chạy giúp em script sau ạ: URL:  OMC-MTP-Martech DB:  notification-hubs-template-prod Script:  db.content_element.updateMany(
    {_id: {
        $in: [
            ObjectId("641bd56bd2304e019198cda4"),
            ObjectId("60da993eb8310c7a33cc3f24"),
            ObjectId("60da96c4b8310c7a33cc3f04"),
        ]
    }},
    {
        $set: {
            "elementConfig.validations.$[elem].maxLength": NumberInt(250)
        }
    },
    {
        arrayFilters: [
            { "elem.code": "LIMIT_CHAR" }
        ]
    }
);</t>
  </si>
  <si>
    <t>[OMC][MCL][PROD] Hỗ trợ cập nhật dữ liệu cấu hình</t>
  </si>
  <si>
    <t>2025-11-29T11:17:18.176+0700</t>
  </si>
  <si>
    <t>2025-11-29T11:17:21.489+0700</t>
  </si>
  <si>
    <t>Dear anh  @Nguyễn Văn Dũng  , Team em có nhu cầu cập nhật config vào database theo như script dưới đây, nhờ team chạy giúp ạ. Thông tin DB:  172.31.4.192/martech_notification_prod Thời điểm chạy: Nhờ team chạy luôn ạ. update martech_notification_prod.app_config set name = 'OMRE CBP APP', code = 'OMRE_CBP_APP' where id = '6fbbefbf-8518-4eb3-8797-e58c8e41e84a'; Thanks anh,  Thành An.</t>
  </si>
  <si>
    <t>[OMC][ONEU][Prod] Xóa bản ghi staff bị thừa</t>
  </si>
  <si>
    <t>2025-11-29T10:33:15.641+0700</t>
  </si>
  <si>
    <t>2025-11-29T10:33:29.960+0700</t>
  </si>
  <si>
    <t>Dear team DBA Nhờ team chạy giúp em ticket này để xóa dữ liệu thừa ạ project: vincart-prod instance: main ip: 172.31.1.41 DB: vincart_mm_merchant DELETE FROM staff WHERE id = 5141</t>
  </si>
  <si>
    <t>[TMS] import dữ liệu lộ trình hàng loạt cho vận hành Miền Bắc</t>
  </si>
  <si>
    <t>2025-11-29T08:44:38.572+0700</t>
  </si>
  <si>
    <t>2025-11-29T08:45:07.252+0700</t>
  </si>
  <si>
    <t>tms_onegate</t>
  </si>
  <si>
    <t>Hi team DBA. Nhờ team thực hiện import dữ liệu SQL cho database theo thông tin bên dưới: Lưu ý:  thực hiện vào sau khung giờ 21h30 ngày 28/11/2025 Instance/IP : Instance:  tms-mysql-01  ( https://console.cloud.google.com/sql/instances/tms-mysql-01/overview?project=onedc-tms-prod ) IP:  172.31.4.129 Database :  omd_tms_planning_prod Query   (file SQL đính kèm)</t>
  </si>
  <si>
    <t>[UPay][TPAY] [PROD] Update giao dịch lệch cho merchant</t>
  </si>
  <si>
    <t>2025-11-28T17:52:28.626+0700</t>
  </si>
  <si>
    <t>2025-11-28T17:52:32.335+0700</t>
  </si>
  <si>
    <t>Hi anh Nhờ anh chạy các script để update giao dịch lệch cho merchant ạ Thông tin database saas_tpay: mysql://pay-tidb.int.onemount.com:4000/saas_tpay Script: update TRANSACTION_DETAIL
set transaction_time = '2025-11-23 12:02:13.000'
where id = 'b330be9959d246f7a29816db134c3a51' CR:  https://vinid-team.atlassian.net/servicedesk/customer/portal/15/SH-67522?created=true</t>
  </si>
  <si>
    <t>[Merchant-OM] Hỗ trợ cập nhật dữ liệu 20251128</t>
  </si>
  <si>
    <t>2025-11-28T17:51:37.340+0700</t>
  </si>
  <si>
    <t>2025-11-28T17:51:53.505+0700</t>
  </si>
  <si>
    <t>Dear team, Nhờ team chạy giúp câu lệnh bên dưới ạ. Thông tin database https://console.cloud.google.com/sql/instances/main/overview?inv=1&amp;invt=Abqw_w&amp;project=vinid-merchant-prod DB_MYSQL_HOST=172.31.1.44
DB_MYSQL_DATABASE=merchant_service Câu lệnh UPDATE store_register_services
SET register_service_id = 5 
WHERE id IN (983493, 983494, 983495, 983496, 983497, 983498, 983499, 983500, 983501, 983502, 983503, 983504, 983505, 983506, 983507, 983508, 983509, 983510, 983511, 983512, 983513, 983514, 983515, 983516, 983517, 983518);
UPDATE store_register_services
SET register_service_id = 9
WHERE id IN (983519, 983520, 983521, 983522, 983523, 983524, 983525, 983526, 983527, 983528, 983529, 983530, 983531, 983532, 983533, 983534, 983535, 983536, 983537, 983538, 983539, 983540, 983541, 983542, 983543, 983544);</t>
  </si>
  <si>
    <t>[OMD CDP][Prod] Tạo mới bảng DP_GT_LABEL_LIFETIME</t>
  </si>
  <si>
    <t>2025-11-28T17:48:12.423+0700</t>
  </si>
  <si>
    <t>2025-11-28T17:48:18.453+0700</t>
  </si>
  <si>
    <t>Nhờ các anh tạo giúp bảng DP_GT_LABEL_LIFETIME trên CDP để deploy luồng reverse data Database: omd_cdp_data_from_dp Review script và tạo bảng dữ liệu  omd_cdp_data_from_dp.DP_GT_LABEL_LIFETIME : Script: CREATE TABLE IF NOT EXISTS omd_cdp_data_from_dp.DP_GT_LABEL_LIFETIME (
    pk varchar(100),
    d_month date NOT NULL,
    gt_code varchar(60) COLLATE utf8mb4_unicode_ci NOT NULL,
    gt_label_good_gmv varchar(8),
    gap_gmv_total_vs_label_xanh DOUBLE,
    gap_good_gmv_vs_label_xanh DOUBLE,
    gap_blue_gmv_vs_label_xanh DOUBLE,
    data_sync_ts TIMESTAMP,
    PRIMARY KEY (`pk`, `d_month`)
)
PARTITION BY RANGE COLUMNS(`d_month`) (
  PARTITION `p202509` VALUES LESS THAN ('2025-10-01'),
  PARTITION `p202510` VALUES LESS THAN ('2025-11-01'),
  PARTITION `p202511` VALUES LESS THAN ('2025-12-01'),
  PARTITION `p202512` VALUES LESS THAN ('2026-01-01'),
  PARTITION `p202601` VALUES LESS THAN ('2026-02-01'),
  PARTITION `p202602` VALUES LESS THAN ('2026-03-01'),
  PARTITION `p202603` VALUES LESS THAN ('2026-04-01'),
  PARTITION `p202604` VALUES LESS THAN ('2026-05-01'),
  PARTITION `p202605` VALUES LESS THAN ('2026-06-01'),
  PARTITION `p202606` VALUES LESS THAN ('2026-07-01'),
  PARTITION `p202607` VALUES LESS THAN ('2026-08-01'),
  PARTITION `p202608` VALUES LESS THAN ('2026-09-01'),
  PARTITION `p202609` VALUES LESS THAN ('2026-10-01'),
  PARTITION `p202610` VALUES LESS THAN ('2026-11-01'),
  PARTITION `p202611` VALUES LESS THAN ('2026-12-01'),
  PARTITION `p202612` VALUES LESS THAN ('2027-01-01')
); Em cảm ơn ạ.</t>
  </si>
  <si>
    <t>[PROD][UPay]Bổ sung thông tin thiết bị di động phục vụ luồng send email TT50</t>
  </si>
  <si>
    <t>2025-11-28T17:44:27.769+0700</t>
  </si>
  <si>
    <t>2025-11-28T17:44:32.844+0700</t>
  </si>
  <si>
    <t>Hi các anh team DBA, Thông tin database saas_tpay:  pay-tidb.int.onemount.com:4000/saas_tpay Nhờ anh  @Nguyễn Văn Dũng chạy giúp em script sau ạ: INSERT INTO DEVICE_MODEL_MAPPING(model_code, model_name, manufacturer, os_platform) VALUES
('Lmi', 'K30 PRO', 'Redmi', 'Android'),
('Redmi K30 Pro', 'K30 PRO', 'Redmi', 'Android'),
('Redmi K20 Pro', 'Mi  9T  Pro', 'Redmi', 'Android'),
('23049PCD8I', 'POCO F5', 'Redmi', 'Android'),
('25078RA3EA', 'REDMI 15C', 'Redmi', 'Android'),
('25078RA3EE', 'REDMI 15C', 'Redmi', 'Android'),
('25078RA3EL', 'REDMI 15C', 'Redmi', 'Android'),
('25078RA3EY', 'REDMI 15C', 'Redmi', 'Android'),
('2508CRN2BI', 'REDMI 15C 5G', 'Redmi', 'Android'),
('25079RPDCC', 'REDMI K Pad', 'Redmi', 'Android'),
('24117RK2CC', 'REDMI K80', 'Redmi', 'Android'),
('24122RKC7C', 'REDMI K80 Pro', 'Redmi', 'Android'),
('25060RK16C', 'REDMI K80 Ultra', 'Redmi', 'Android'),
('2510DRK44C', 'REDMI K90', 'Redmi', 'Android'),
('25102RK69C', 'REDMI K90 Pro Max', 'Redmi', 'Android'),
('25102RKBEC', 'REDMI K90 Pro Max', 'Redmi', 'Android'),
('25098RA98C', 'REDMI Note 15', 'Redmi', 'Android'),
('25080RABDC', 'REDMI Note 15 Pro', 'Redmi', 'Android'),
('25104RADAC', 'REDMI Note 15 Pro+', 'Redmi', 'Android'),
('2510ERA8BC', 'REDMI Note 15 Pro+', 'Redmi', 'Android'),
('25057RA09C', 'REDMI Note 15R', 'Redmi', 'Android'),
('25040RP0AC', 'REDMI Pad 2', 'Redmi', 'Android'),
('24129RT7CC', 'REDMI Turbo 4', 'Redmi', 'Android'),
('25053RT47C', 'REDMI Turbo 4 Pro', 'Redmi', 'Android'),
('Redmi 7A', 'Redmi  7A', 'Redmi', 'Android'),
('pine', 'Redmi  7A', 'Redmi', 'Android'),
('Redmi Note 7', 'Redmi  Note  7', 'Redmi', 'Android'),
('21061119DG', 'Redmi 10', 'Redmi', 'Android'),
('22011119UY', 'Redmi 10', 'Redmi', 'Android'),
('220333QBI', 'Redmi 10', 'Redmi', 'Android'),
('21061119DG', 'Redmi 10 2022', 'Redmi', 'Android'),
('22011119UY', 'Redmi 10 2022', 'Redmi', 'Android'),
('21061119AG', 'Redmi 10 2022', 'Redmi', 'Android'),
('21061119AL', 'Redmi 10 2022', 'Redmi', 'Android'),
('21121119SG', 'Redmi 10 2022', 'Redmi', 'Android'),
('21121119VL', 'Redmi 10 2022', 'Redmi', 'Android'),
('22041219G', 'Redmi 10 5G', 'Redmi', 'Android'),
('22041219NY', 'Redmi 10 5G', 'Redmi', 'Android'),
('220333QBI', 'Redmi 10 Power', 'Redmi', 'Android'),
('220233L2C', 'Redmi 10A', 'Redmi', 'Android'),
('220233L2G', 'Redmi 10A', 'Redmi', 'Android'),
('220233L2I', 'Redmi 10A Sport', 'Redmi', 'Android'),
('220333QAG', 'Redmi 10C', 'Redmi', 'Android'),
('220333QNY', 'Redmi 10C', 'Redmi', 'Android'),
('220333QL', 'Redmi 10C', 'Redmi', 'Android'),
('M2004J7AC', 'Redmi 10X', 'Redmi', 'Android'),
('M2004J7AC', 'Redmi 10X', 'Redmi', 'Android'),
('atom', 'Redmi 10X', 'Redmi', 'Android'),
('M2003J15SC', 'Redmi 10X 4G', 'Redmi', 'Android'),
('M2004J7BC', 'Redmi 10X Pro', 'Redmi', 'Android'),
('M2004J7BC', 'Redmi 10X pro', 'Redmi', 'Android'),
('bomb', 'Redmi 10X pro', 'Redmi', 'Android'),
('22071219AI', 'Redmi 11 Prime', 'Redmi', 'Android'),
('22041219I', 'Redmi 11 Prime 5G', 'Redmi', 'Android'),
('23053RN02A', 'Redmi 12', 'Redmi', 'Android'),
('23053RN02I', 'Redmi 12', 'Redmi', 'Android'),
('23053RN02L', 'Redmi 12', 'Redmi', 'Android'),
('23053RN02Y', 'Redmi 12', 'Redmi', 'Android'),
('XIG03', 'Redmi 12 5G', 'Redmi', 'Android'),
('23076RA4BR', 'Redmi 12 5G', 'Redmi', 'Android'),
('23076RN8DY', 'Redmi 12 5G', 'Redmi', 'Android'),
('A401XM', 'Redmi 12 5G', 'Redmi', 'Android'),
('22126RN91Y', 'Redmi 12C', 'Redmi', 'Android'),
('22120RN86G', 'Redmi 12C', 'Redmi', 'Android'),
('22120RN86I', 'Redmi 12C', 'Redmi', 'Android'),
('2212ARNC4L', 'Redmi 12C', 'Redmi', 'Android'),
('24040RN64Y', 'Redmi 13', 'Redmi', 'Android'),
('24049RN28L', 'Redmi 13', 'Redmi', 'Android'),
('2404ARN45A', 'Redmi 13', 'Redmi', 'Android'),
('2406ERN9CI', 'Redmi 13 5G', 'Redmi', 'Android'),
('23100RN82L', 'Redmi 13C', 'Redmi', 'Android'),
('23106RN0DA', 'Redmi 13C', 'Redmi', 'Android'),
('2311DRN14I', 'Redmi 13C', 'Redmi', 'Android'),
('23108RN04Y', 'Redmi 13C', 'Redmi', 'Android'),
('23124RN87I', 'Redmi 13C 5G', 'Redmi', 'Android'),
('23124RN87G', 'Redmi 13C 5G', 'Redmi', 'Android'),
('24040RN64Y', 'Redmi 13x', 'Redmi', 'Android'),
('24049RN28L', 'Redmi 13x', 'Redmi', 'Android'),
('2404ARN45A', 'Redmi 13x', 'Redmi', 'Android'),
('2409BRN2CY', 'Redmi 14C', 'Redmi', 'Android'),
('2409BRN2CA', 'Redmi 14C', 'Redmi', 'Android'),
('2409BRN2CL', 'Redmi 14C', 'Redmi', 'Android'),
('2411DRN47I', 'Redmi 14C 5G', 'Redmi', 'Android'),
('25062RN2DE', 'Redmi 15', 'Redmi', 'Android'),
('25062RN2DL', 'Redmi 15', 'Redmi', 'Android'),
('25062RN2DY', 'Redmi 15', 'Redmi', 'Android'),
('25057RN09E', 'Redmi 15 5G', 'Redmi', 'Android'),
('25057RN09G', 'Redmi 15 5G', 'Redmi', 'Android'),
('25057RN09I', 'Redmi 15 5G', 'Redmi', 'Android'),
('2508CRN2BE', 'Redmi 15C 5G', 'Redmi', 'Android'),
('Redmi 6', 'Redmi 6', 'Redmi', 'Android'),
('Redmi 7', 'Redmi 7', 'Redmi', 'Android'),
('Redmi Y3', 'Redmi 7', 'Redmi', 'Android'),
('Redmi 7A', 'Redmi 7A', 'Redmi', 'Android'),
('Redmi 8', 'Redmi 8', 'Redmi', 'Android'),
('Redmi 8A', 'Redmi 8A', 'Redmi', 'Android'),
('Redmi 8A Dual', 'Redmi 8A Dual', 'Redmi', 'Android'),
('Redmi 8A Pro', 'Redmi 8A Dual', 'Redmi', 'Android'),
('M2006C3MII', 'Redmi 9', 'Redmi', 'Android'),
('cattail', 'Redmi 9', 'Redmi', 'Android'),
('M2004J19C', 'Redmi 9', 'Redmi', 'Android'),
('galahad', 'Redmi 9', 'Redmi', 'Android'),
('M2004J19C', 'Redmi 9', 'Redmi', 'Android'),
('M2004J19G', 'Redmi 9', 'Redmi', 'Android'),
('M2010J19SI', 'Redmi 9 Power', 'Redmi', 'Android'),
('M2004J19C', 'Redmi 9 Prime', 'Redmi', 'Android'),
('M2004J19I', 'Redmi 9 Prime', 'Redmi', 'Android'),
('220233L2G', 'Redmi 9A', 'Redmi', 'Android'),
('M2006C3LC', 'Redmi 9A', 'Redmi', 'Android'),
('M2006C3LG', 'Redmi 9A', 'Redmi', 'Android'),
('M2006C3LI', 'Redmi 9A', 'Redmi', 'Android'),
('M2006C3LVG', 'Redmi 9A', 'Redmi', 'Android'),
('dandelion', 'Redmi 9A', 'Redmi', 'Android'),
('M2006C3MG', 'Redmi 9C', 'Redmi', 'Android'),
('angelica', 'Redmi 9C', 'Redmi', 'Android'),
('M2006C3MNG', 'Redmi 9C NFC', 'Redmi', 'Android'),
('angelican', 'Redmi 9C NFC', 'Redmi', 'Android'),
('M2010J19SY', 'Redmi 9T', 'Redmi', 'Android'),
('M2010J19SG', 'Redmi 9T', 'Redmi', 'Android'),
('M2010J19SL', 'Redmi 9T', 'Redmi', 'Android'),
('220733SG', 'Redmi A1', 'Redmi', 'Android'),
('220733SI', 'Redmi A1', 'Redmi', 'Android'),
('220733SL', 'Redmi A1', 'Redmi', 'Android'),
('220733SFG', 'Redmi A1+', 'Redmi', 'Android'),
('220743FI', 'Redmi A1+', 'Redmi', 'Android'),
('23026RN54G', 'Redmi A2', 'Redmi', 'Android'),
('23028RN4DG', 'Redmi A2', 'Redmi', 'Android'),
('23028RNCAG', 'Redmi A2+', 'Redmi', 'Android'),
('23129RN51H', 'Redmi A3', 'Redmi', 'Android'),
('23129RN51X', 'Redmi A3', 'Redmi', 'Android'),
('2312CRNCCL', 'Redmi A3', 'Redmi', 'Android'),
('2409BRN2CG', 'Redmi A3 Pro', 'Redmi', 'Android'),
('24044RN32L', 'Redmi A3x', 'Redmi', 'Android'),
('24048RN6CG', 'Redmi A3x', 'Redmi', 'Android'),
('24048RN6CI', 'Redmi A3x', 'Redmi', 'Android'),
('24116RNC1I', 'Redmi A4 5G', 'Redmi', 'Android'),
('25028RN03A', 'Redmi A5', 'Redmi', 'Android'),
('25028RN03I', 'Redmi A5', 'Redmi', 'Android'),
('25028RN03L', 'Redmi A5', 'Redmi', 'Android'),
('25028RN03Y', 'Redmi A5', 'Redmi', 'Android'),
('Mi 9T', 'Redmi K20', 'Redmi', 'Android'),
('Redmi K20', 'Redmi K20', 'Redmi', 'Android'),
('Redmi K20', 'Redmi K20', 'Redmi', 'Android'),
('Mi 9T Pro', 'Redmi K20 Pro', 'Redmi', 'Android'),
('Redmi K20 Pro', 'Redmi K20 Pro', 'Redmi', 'Android'),
('Redmi K20 Pro Premium Edition', 'Redmi K20 Pro', 'Redmi', 'Android'),
('Redmi K30', 'Redmi K30', 'Redmi', 'Android'),
('Redmi K30 5G', 'Redmi K30 5G', 'Redmi', 'Android'),
('M2006J10C', 'Redmi K30 Ultra', 'Redmi', 'Android'),
('M2007J3SC', 'Redmi K30S Ultra', 'Redmi', 'Android'),
('Redmi K30i 5G', 'Redmi K30i 5G', 'Redmi', 'Android'),
('M2012K11AC', 'Redmi K40', 'Redmi', 'Android'),
('M2012K10C', 'Redmi K40 Gaming', 'Redmi', 'Android'),
('M2012K11C', 'Redmi K40 Pro', 'Redmi', 'Android'),
('M2012K11C', 'Redmi K40 Pro +', 'Redmi', 'Android'),
('22021211RC', 'Redmi K40S', 'Redmi', 'Android'),
('22041211AC', 'Redmi K50', 'Redmi', 'Android'),
('22011211C', 'Redmi K50 Pro', 'Redmi', 'Android'),
('21121210C', 'Redmi K50G', 'Redmi', 'Android'),
('22041216I', 'Redmi K50i', 'Redmi', 'Android'),
('23013RK75C', 'Redmi K60', 'Redmi', 'Android'),
('22127RK46C', 'Redmi K60 Pro', 'Redmi', 'Android'),
('23078RKD5C', 'Redmi K60 Ultra', 'Redmi', 'Android'),
('22122RK93C', 'Redmi K60E', 'Redmi', 'Android'),
('23113RKC6C', 'Redmi K70', 'Redmi', 'Android'),
('23117RK66C', 'Redmi K70 Pro', 'Redmi', 'Android'),
('2407FRK8EC', 'Redmi K70 Ultra', 'Redmi', 'Android'),
('2311DRK48C', 'Redmi K70E', 'Redmi', 'Android'),
('M2103K19C', 'Redmi Note 10', 'Redmi', 'Android'),
('M2101K7AG', 'Redmi Note 10', 'Redmi', 'Android'),
('M2101K7AI', 'Redmi Note 10', 'Redmi', 'Android'),
('M2103K19G', 'Redmi Note 10 5G', 'Redmi', 'Android'),
('XIG02', 'Redmi Note 10 JE', 'Redmi', 'Android'),
('21061110AG', 'Redmi Note 10 Pro', 'Redmi', 'Android'),
('M2101K6G', 'Redmi Note 10 Pro', 'Redmi', 'Android'),
('M2101K6P', 'Redmi Note 10 Pro', 'Redmi', 'Android'),
('M2101K6I', 'Redmi Note 10 Pro Max', 'Redmi', 'Android'),
('M2104K10AC', 'Redmi Note 10 pro', 'Redmi', 'Android'),
('M2101K7BL', 'Redmi Note 10S', 'Redmi', 'Android'),
('M2101K7BL', 'Redmi Note 10S', 'Redmi', 'Android'),
('M2101K7BNY', 'Redmi Note 10S', 'Redmi', 'Android'),
('M2101K7BG', 'Redmi Note 10S', 'Redmi', 'Android'),
('M2101K7BI', 'Redmi Note 10S', 'Redmi', 'Android'),
('M2103K19Y', 'Redmi Note 10T', 'Redmi', 'Android'),
('M2103K19I', 'Redmi Note 10T 5G', 'Redmi', 'Android'),
('TBD', 'Redmi Note 10T 5G', 'Redmi', 'Android'),
('2201117TG', 'Redmi Note 11', 'Redmi', 'Android'),
('2201117TI', 'Redmi Note 11', 'Redmi', 'Android'),
('2201117TL', 'Redmi Note 11', 'Redmi', 'Android'),
('2201117TY', 'Redmi Note 11', 'Redmi', 'Android'),
('21121119SC', 'Redmi Note 11 4G', 'Redmi', 'Android'),
('21091116AC', 'Redmi Note 11 5G', 'Redmi', 'Android'),
('21091116C', 'Redmi Note 11 Pro', 'Redmi', 'Android'),
('2201116TI', 'Redmi Note 11 Pro', 'Redmi', 'Android'),
('2201116TG', 'Redmi Note 11 Pro', 'Redmi', 'Android'),
('2201116SG', 'Redmi Note 11 Pro 5G', 'Redmi', 'Android'),
('2201116SR', 'Redmi Note 11 Pro 5G', 'Redmi', 'Android'),
('21091116UC', 'Redmi Note 11 Pro+', 'Redmi', 'Android'),
('2201116SI', 'Redmi Note 11 Pro+ 5G', 'Redmi', 'Android'),
('21091116UG', 'Redmi Note 11 Pro+ 5G', 'Redmi', 'Android'),
('22087RA4DI', 'Redmi Note 11 SE', 'Redmi', 'Android'),
('M2101K7BI', 'Redmi Note 11 SE', 'Redmi', 'Android'),
('22041219C', 'Redmi Note 11E', 'Redmi', 'Android'),
('2201116SC', 'Redmi Note 11E Pro', 'Redmi', 'Android'),
('2201117SY', 'Redmi Note 11S', 'Redmi', 'Android'),
('2201117SG', 'Redmi Note 11S', 'Redmi', 'Android'),
('2201117SI', 'Redmi Note 11S', 'Redmi', 'Android'),
('2201117SL', 'Redmi Note 11S', 'Redmi', 'Android'),
('22031116BG', 'Redmi Note 11S 5G', 'Redmi', 'Android'),
('21091116AI', 'Redmi Note 11T 5G', 'Redmi', 'Android'),
('22041216C', 'Redmi Note 11T Pro', 'Redmi', 'Android'),
('22041216UC', 'Redmi Note 11T Pro +', 'Redmi', 'Android'),
('23021RAAEG', 'Redmi Note 12', 'Redmi', 'Android'),
('23027RAD4I', 'Redmi Note 12', 'Redmi', 'Android'),
('23028RA60L', 'Redmi Note 12', 'Redmi', 'Android'),
('23021RAA2Y', 'Redmi Note 12', 'Redmi', 'Android'),
('22101317C', 'Redmi Note 12 5G', 'Redmi', 'Android'),
('22101316UC', 'Redmi Note 12', 'Redmi', 'Android'),
('22101316C', 'Redmi Note 12 Pro', 'Redmi', 'Android'),
('2209116AG', 'Redmi Note 12 Pro', 'Redmi', 'Android'),
('22101316UP', 'Redmi Note 12 Pro + 5G', 'Redmi', 'Android'),
('22101316G', 'Redmi Note 12 Pro 5G', 'Redmi', 'Android'),
('22101316I', 'Redmi Note 12 Pro 5G', 'Redmi', 'Android'),
('22101320C', 'Redmi Note 12 Pro Speed', 'Redmi', 'Android'),
('22101316UCP', 'Redmi Note 12 Pro+', 'Redmi', 'Android'),
('22101316UG', 'Redmi Note 12 Pro+ 5G', 'Redmi', 'Android'),
('23049RAD8C', 'Redmi Note 12 Turbo', 'Redmi', 'Android'),
('2303CRA44A', 'Redmi Note 12S', 'Redmi', 'Android'),
('2303ERA42L', 'Redmi Note 12S', 'Redmi', 'Android'),
('23030RAC7Y', 'Redmi Note 12S', 'Redmi', 'Android'),
('23054RA19C', 'Redmi Note 12T Pro', 'Redmi', 'Android'),
('23129RA5FL', 'Redmi Note 13', 'Redmi', 'Android'),
('23129RAA4G', 'Redmi Note 13', 'Redmi', 'Android'),
('23124RA7EO', 'Redmi Note 13', 'Redmi', 'Android'),
('2312DRAABC', 'Redmi Note 13 5G', 'Redmi', 'Android'),
('2312DRAABI', 'Redmi Note 13 5G', 'Redmi', 'Android'),
('2312DRAABG', 'Redmi Note 13 5G', 'Redmi', 'Android'),
('23117RA68G', 'Redmi Note 13 Pro', 'Redmi', 'Android'),
('XIG05', 'Redmi Note 13 Pro 5G', 'Redmi', 'Android'),
('2312CRAD3C', 'Redmi Note 13 Pro 5G', 'Redmi', 'Android'),
('2312DRA50C', 'Redmi Note 13 Pro 5G', 'Redmi', 'Android'),
('2312DRA50G', 'Redmi Note 13 Pro 5G', 'Redmi', 'Android'),
('2312DRA50I', 'Redmi Note 13 Pro 5G', 'Redmi', 'Android'),
('23090RA98C', 'Redmi Note 13 Pro+', 'Redmi', 'Android'),
('23090RA98G', 'Redmi Note 13 Pro+ 5G', 'Redmi', 'Android'),
('23090RA98I', 'Redmi Note 13 Pro+ 5G', 'Redmi', 'Android'),
('24040RA98R', 'Redmi Note 13 Pro+ 5G', 'Redmi', 'Android'),
('2406ERN9CC', 'Redmi Note 13R', 'Redmi', 'Android'),
('2311FRAFDC', 'Redmi Note 13R Pro', 'Redmi', 'Android'),
('24117RN76E', 'Redmi Note 14', 'Redmi', 'Android'),
('24117RN76G', 'Redmi Note 14', 'Redmi', 'Android'),
('24117RN76L', 'Redmi Note 14', 'Redmi', 'Android'),
('24117RN76O', 'Redmi Note 14', 'Redmi', 'Android'),
('24094RAD4C', 'Redmi Note 14 5G', 'Redmi', 'Android'),
('24094RAD4I', 'Redmi Note 14 5G', 'Redmi', 'Android'),
('24094RAD4G', 'Redmi Note 14 5G', 'Redmi', 'Android'),
('24090RA29C', 'Redmi Note 14 Pro', 'Redmi', 'Android'),
('24116RACCG', 'Redmi Note 14 Pro', 'Redmi', 'Android'),
('24090RA29G', 'Redmi Note 14 Pro 5G', 'Redmi', 'Android'),
('24090RA29I', 'Redmi Note 14 Pro 5G', 'Redmi', 'Android'),
('24115RA8EC', 'Redmi Note 14 Pro+', 'Redmi', 'Android'),
('24115RA8EG', 'Redmi Note 14 Pro+ 5G', 'Redmi', 'Android'),
('24115RA8EI', 'Redmi Note 14 Pro+ 5G', 'Redmi', 'Android'),
('2502FRA65G', 'Redmi Note 14S', 'Redmi', 'Android'),
('Redmi Note 7', 'Redmi Note 7', 'Redmi', 'Android'),
('M1908C3JGG', 'Redmi Note 8', 'Redmi', 'Android'),
('GINKGO', 'Redmi Note 8', 'Redmi', 'Android'),
('Redmi Note 8', 'Redmi Note 8', 'Redmi', 'Android'),
('Redmi Note 8 Pro', 'Redmi Note 8 Pro', 'Redmi', 'Android'),
('begonia', 'Redmi Note 8 Pro', 'Redmi', 'Android'),
('Redmi Note 8 Pro', 'Redmi Note 8 pro', 'Redmi', 'Android'),
('Redmi Note 8T', 'Redmi Note 8T', 'Redmi', 'Android'),
('willow', 'Redmi Note 8T', 'Redmi', 'Android'),
('M2007J22C', 'Redmi Note 9', 'Redmi', 'Android'),
('M2003J15SC', 'Redmi Note 9', 'Redmi', 'Android'),
('M2003J15SI', 'Redmi Note 9', 'Redmi', 'Android'),
('M2003J15SS', 'Redmi Note 9', 'Redmi', 'Android'),
('M2003J15SC', 'Redmi Note 9', 'Redmi', 'Android'),
('M2003J15SG', 'Redmi Note 9', 'Redmi', 'Android'),
('M2010J19SC', 'Redmi Note 9 4G', 'Redmi', 'Android'),
('Redmi Note 9 Pro', 'Redmi Note 9 Pro', 'Redmi', 'Android'),
('curtana', 'Redmi Note 9 Pro', 'Redmi', 'Android'),
('Redmi Note 9 Pro', 'Redmi Note 9 Pro', 'Redmi', 'Android'),
('Redmi Note 9 Pro Max', 'Redmi Note 9 Pro Max', 'Redmi', 'Android'),
('M2007J17C', 'Redmi Note 9 pro', 'Redmi', 'Android'),
('Redmi Note 9 Pro', 'Redmi Note 9S', 'Redmi', 'Android'),
('Redmi Note 9S', 'Redmi Note 9S', 'Redmi', 'Android'),
('A001XM', 'Redmi Note 9T', 'Redmi', 'Android'),
('M2007J22G', 'Redmi Note 9T', 'Redmi', 'Android'),
('24069RA21C', 'Redmi Turbo 3', 'Redmi', 'Android');</t>
  </si>
  <si>
    <t>[Prod] Update attribute of voucher on Prod</t>
  </si>
  <si>
    <t>2025-11-28T15:43:47.469+0700</t>
  </si>
  <si>
    <t>2025-11-28T15:44:10.437+0700</t>
  </si>
  <si>
    <t>Hi anh  @Nguyễn Văn Dũng  , Nhờ anh chạy giúp thông tin dưới đây: IP:  172.31.1.41 Database:   vincart_mm_product Script: INSERT INTO entity_attributes_values
(attribute_id, value, name, created_at, updated_at, entity_id, `type`, display_order, channel_code)
VALUES(7, '[{"merchant_code":"DOSALESFORCE22193V19","merchant_name":"Phúc Long Coffee &amp; Tea","merchant_name_en":"Phuc Long Coffee &amp; Tea","logo_url":"https://cdn-merchant.vinid.net/mpops/1761275650_PHUCLONG.png","merchant_id":256511},{"merchant_code":"URBOXAO","merchant_name":"Urbox","merchant_name_en":"Urbox","logo_url":"https://cdn-merchant.vinid.net/mpops/1722570932_ub.png","merchant_id":332784}]', 'voucher_accepted_merchants', now(), now(), 1007541, 'VARIANT', 0, 'ONEU');</t>
  </si>
  <si>
    <t xml:space="preserve">Update data bảng DATABASECHANGELOGLOCK để release lock và restart lại service init schema </t>
  </si>
  <si>
    <t>2025-11-28T12:17:11.472+0700</t>
  </si>
  <si>
    <t>2025-11-28T12:17:37.846+0700</t>
  </si>
  <si>
    <t>Hi DBA team,  Team muốn update data bảng  DATABASECHANGELOGLOCK  để release lock và restart lại service init schema  UPDATE DATABASECHANGELOGLOCK SET LOCKED=0, LOCKGRANTED=null, LOCKEDBY=null where ID=1; Câu query đánh giá là có thể ảnh hưởng đến vận hành hệ thống nên mong muốn chạy vào thời gian vận hành thấp điểm (từ 22h-2h sáng). Cum WES Project : vinid-b2b-platform-prod Instance/IP : main (read-write): 172.31.1.143 Port : 3306 Database : wes_mag</t>
  </si>
  <si>
    <t>[OMRE] [PROD] Cập nhật ekyc cho Agent</t>
  </si>
  <si>
    <t>2025-11-28T11:07:30.224+0700</t>
  </si>
  <si>
    <t>2025-11-28T11:12:46.099+0700</t>
  </si>
  <si>
    <t>Dear DBA team, Nhờ team thực hiện xoá thông tin ekyc bị thừa của Agent cho OMRE nhé DELETE FROM ekyc WHERE agent_code = '1026242353' AND status = 'FACE_VERIFIED'   Thông tin DB : HOST = " 172.31.4.83 " PORT = 3306 DATABASE = "agent-platform"</t>
  </si>
  <si>
    <t>[OMC][PROD] modify column id từ int sang bigint</t>
  </si>
  <si>
    <t>2025-11-27T22:43:16.117+0700</t>
  </si>
  <si>
    <t>2025-11-27T22:47:35.779+0700</t>
  </si>
  <si>
    <t>Labelling_PRM</t>
  </si>
  <si>
    <t>IP: 172.31.4.9 Thời gian thực hiện:  22h 27/11/2025 Database: vincart_rec Các bước thực hiện mơí cho an toàn: Truncate dữ liêụ ( hơn 2 tỷ rows ) TRUNCATE TABLE voucher_recommendation_partition; Modify column đôi type cuả id từ int sang bigint ALTER TABLE voucher_recommendation_partition MODIFY COLUMN id BIGINT NOT NULL AUTO_INCREMENT, ALGORITHM=INPLACE, LOCK=NONE; Sau khi thực hiện bước 1 và 2. Sẽ thực hiện bước  3 :  Tạo procedure để xoá dữ liệu quá cũ đi DELIMITER $$
CREATE PROCEDURE delete_old_voucher_recommendation_batch()
BEGIN
    DECLARE rows_affected INT DEFAULT 0;
    REPEAT
        -- Xóa tối đa 10.000 bản ghi mỗi lần
        DELETE FROM voucher_recommendation_partition
        WHERE updated_at &lt; NOW() - INTERVAL 7 DAY
          AND user_id &lt;&gt; 'new_user'
        LIMIT 10000;
        SET rows_affected = ROW_COUNT();
    UNTIL rows_affected = 0
    END REPEAT;
END $$
DELIMITER ; Tạo event để gọi procedure NOTE: event chỉ chạy khi có config SET GLOBAL event_scheduler = ON;
// nêú có rồi thì bỏ qua, chưa có thì set CREATE EVENT IF NOT EXISTS auto_clean_voucher_recommendation
ON SCHEDULE EVERY 1 DAY
DO
    CALL delete_old_voucher_recommendation_batch();</t>
  </si>
  <si>
    <t>[OMD][mongoDB][PROD]Nhờ hỗ trợ Query DB Mongo B2B PROD</t>
  </si>
  <si>
    <t>2025-11-27T17:59:59.022+0700</t>
  </si>
  <si>
    <t>2025-11-27T18:01:08.245+0700</t>
  </si>
  <si>
    <t>Như tiêu đề ạ. Do mongo khá nặng nên đầu client bọn em search data nhiều bị timeout, đang cần xử lý sự vụ PROD. Vậy nhờ các anh hỗ trợ lấy data DB mongo PROD theo thông tin sau ạ, e cảm ơn. Query theo điều kiện sau (do không nhớ chính xác tên field nên nhờ các anh check và viết query giúp ạ) get cột Transaction ID theo điều kiện:
Service ID = KAFKA_SERVICE
Target system = ONE_SEAL
Connector ID = sendOneSealNotification
Status = Failed
Source system = oms_internal_api
Completed Time &gt;= 24-11-2025 00:00 Thông tin DB INTEGRATION_MONGODB_HOST: '10.255.32.55'
  INTEGRATION_MONGODB_PORT: '27017'
  INTEGRATION_MONGODB_DB_NAME: 'omd_b2b_integration'</t>
  </si>
  <si>
    <t>[OMC][Prod] Update disccount item info for voucher 27/11</t>
  </si>
  <si>
    <t>2025-11-27T17:46:39.505+0700</t>
  </si>
  <si>
    <t>2025-11-27T17:48:06.678+0700</t>
  </si>
  <si>
    <t>Hi anh  @Nguyễn Văn Dũng  , Nhờ anh chạy giúp thông tin dưới đây: IP:  172.31.1.41 Database:   vincart_mm_product Script: INSERT INTO `entity_attributes_values` (`attribute_id`, `value`, `name`, `created_at`, `updated_at`, `entity_id`, `type`) VALUES ('60', '{"item_status":"SUCCESS","item_id":6504,"item_code":"DOTCB25329lgb","merchant_code":"DOTCB25329lgb","campaign_code":"CP13p1221125","voucher_code":"VD_VC_1764090001622","effective_from":1762794000,"effective_to":1815411599}', 'discount_item', now(), now(), '1024564', 'VARIANT'); IP:  172.31.4.10 Database:  ecom_data_analytics Script: UPDATE `ops_voucher_views` SET `discount_item` = '{"item_status":"SUCCESS","item_id":6504,"item_code":"DOTCB25329lgb","merchant_code":"DOTCB25329lgb","campaign_code":"CP13p1221125","voucher_code":"VD_VC_1764090001622","effective_from":1762794000,"effective_to":1815411599}' WHERE `ops_voucher_views`.`id` = 12011;</t>
  </si>
  <si>
    <t>[OMC][PROD] Chạy câu lệnh SQL ngày 27/11</t>
  </si>
  <si>
    <t>2025-11-27T17:39:54.628+0700</t>
  </si>
  <si>
    <t>2025-11-27T17:40:13.974+0700</t>
  </si>
  <si>
    <t>Dear anh Dũng, Nhờ anh hỗ trợ team chạy SQL với các thông tin dưới đây ạ Project: vincart-prod
IP: 172.31.1.41
DB-name: vincart-mm-merchant SQL:  ALTER TABLE `merchant_vat_info`
MODIFY COLUMN `buyer_name` varchant(500), ALGORITHM=INPLACE, LOCK=NONE; Em cảm ơn anh CR:  https://vinid-team.atlassian.net/servicedesk/customer/portal/15/SH-67618</t>
  </si>
  <si>
    <t xml:space="preserve">[OMC][PRODUCTION] grant view access database vincart_rec cho user readonly_ecom phục vụ tra cứu dữ liệu </t>
  </si>
  <si>
    <t>2025-11-27T14:11:01.485+0700</t>
  </si>
  <si>
    <t>2025-11-27T14:27:10.365+0700</t>
  </si>
  <si>
    <t xml:space="preserve">IP: 172.31.4.9 Database: vincart_rec User: readonly_ecom Permission: read only  Mục đích: tra cứu dữ liệu </t>
  </si>
  <si>
    <t xml:space="preserve">[Gửi lại] Hỗ trợ tạo dữ liệu mở mới 72 kho kho M004, M005, .... M0075 </t>
  </si>
  <si>
    <t>2025-11-27T12:27:58.649+0700</t>
  </si>
  <si>
    <t>2025-11-27T12:28:04.582+0700</t>
  </si>
  <si>
    <t>Hi DBA team,  Hiện tại nghiệp vụ có nhu cầu mở mới 72 kho M004, M005, .... M0075  nhờ team DBA hỗ trợ cập nhật giá trị theo thông tin dưới đây   Câu query đánh giá là có thể ảnh hưởng đến vận hành hệ thống nên mong muốn chạy vào thời gian vận hành thấp điểm (từ 22h-2h sáng). Cụm WMS Project : vinid-b2b-platform-prod Instance/IP : main (read-write): 172.31.4.59 Port : 3306 Database : omd_wms_core Script : trong field  omd_wms_core_all_dc Cum WES Project : vinid-b2b-platform-prod Instance/IP : main (read-write): 172.31.1.143 Port : 3306 Database : wes_master Script :trong field  wes_master_all_dc</t>
  </si>
  <si>
    <t>[PROD][UPay] Update whitelist merchant luồng thanh toán Cybersource qua provider TCB</t>
  </si>
  <si>
    <t>2025-11-27T12:27:27.674+0700</t>
  </si>
  <si>
    <t>2025-11-27T12:27:39.170+0700</t>
  </si>
  <si>
    <t xml:space="preserve">Hi các anh team DBA, Nhờ các anh chạy script bên dưới để update whitelist merchant đi luồng thanh toán Cybersource TCB ạ Thông tin DB:  vinpay-sql-onehub-master.int.vinid.net:3306/pay_payment_gateway Thời gian: 2025/11/27 01:00:00 Script: UPDATE SYSTEM_CONFIGURATION
    SET SYSTEM_PARAM_VALUE = ''
where system_param_code='MERCHANT_CONFIG_PILOT_CBS_TCB'; CR:  https://vinid-team.atlassian.net/servicedesk/customer/portal/15/SH-67522?created=true  </t>
  </si>
  <si>
    <t>[UPay][TPAY] [PROD] Script onboard bổ xung merchant LEKIEN</t>
  </si>
  <si>
    <t>2025-11-27T12:27:01.362+0700</t>
  </si>
  <si>
    <t>2025-11-27T12:27:05.103+0700</t>
  </si>
  <si>
    <t>Hi anh Nhờ anh chạy các script để cấu hình merchant “LEKIEN” TPAY ạ. Thông tin database saas_tpay: mysql://pay-tidb.int.onemount.com:4000/saas_tpay Script: CR:  https://vinid-team.atlassian.net/servicedesk/customer/portal/15/SH-67522?created=true</t>
  </si>
  <si>
    <t>[Prod] Clear cart voucher cho user</t>
  </si>
  <si>
    <t>2025-11-27T12:25:07.700+0700</t>
  </si>
  <si>
    <t>2025-11-27T12:25:16.750+0700</t>
  </si>
  <si>
    <t>Hi anh Dũng, Nhờ anh chạy giúp em thông tin dưới đây: IP: 172.31.8.100
Domain: vincart-prod--vmm.memstore.int
Database: 4
Script:
redis-cli -h vincart-prod--vmm.memstore.int -n 4 keys 'vincart:vmm:cart:331872:*' | xargs redis-cli -h vincart-prod--vmm.memstore.int -n 4 del</t>
  </si>
  <si>
    <t>[OM][PROD][ALL] Rà soát partitions tables cho năm 2026</t>
  </si>
  <si>
    <t>2025-11-27T10:47:54.028+0700</t>
  </si>
  <si>
    <t>2026-01-02T08:57:51.341+0700</t>
  </si>
  <si>
    <t xml:space="preserve">Rà soát partitions table cho năm 2026 của OM theo sheet sau  </t>
  </si>
  <si>
    <t>Migration database cho dự án B2B môi trường dev</t>
  </si>
  <si>
    <t>2025-11-27T09:09:14.300+0700</t>
  </si>
  <si>
    <t>2025-11-27T10:24:18.325+0700</t>
  </si>
  <si>
    <t>Nhờ các anh migrate data từ DB QC về DB dev giúp team với ạ jdbc:mysql://vinid-app-common-dev--main-mysql-8.cloudsql.int:3306/omd_b2b_custom_promotion_qc
ụp vào jdbc:mysql://vinid-app-common-dev--main-mysql-8.cloudsql.int:3306/omd_b2b_custom_promotion_dev</t>
  </si>
  <si>
    <t>[SCC][Prod] Execute sql migration script for SCM Sprint 4 (26/11/2025)</t>
  </si>
  <si>
    <t>2025-11-26T21:39:28.305+0700</t>
  </si>
  <si>
    <t>2025-11-26T21:40:50.684+0700</t>
  </si>
  <si>
    <t>SCM.SCC</t>
  </si>
  <si>
    <t xml:space="preserve">Nhờ team thực hiện chạy script sql cho db sau: Thực hiện 21h - 22h ngày 26/11/2025 Database mySQL:  sccollab_prod , host:  172.31.1.143 Script: SCM_Sprint4_scc_script.sql CR planning:   </t>
  </si>
  <si>
    <t>[Merchant-OM] Hỗ trợ cập nhật dữ liệu 20251126</t>
  </si>
  <si>
    <t>2025-11-26T21:13:48.681+0700</t>
  </si>
  <si>
    <t>2025-11-26T21:13:57.099+0700</t>
  </si>
  <si>
    <t>Dear team, Nhờ team chạy giúp câu lệnh bên dưới. Thời gian 21h30' ngày 26/11/2025 Thông tin database https://console.cloud.google.com/sql/instances/main/overview?inv=1&amp;invt=Abqw_w&amp;project=vinid-merchant-prod DB_MYSQL_HOST=172.31.1.44
DB_MYSQL_DATABASE=merchant_service Câu lệnh INSERT INTO store_register_services (updated_at, deleted_at, created_by, updated_by,
                                     merchant_id, store_id, register_service_id, status)
SELECT NOW(),
       NULL,
       'OPS',
       'OPS',
       s.merchant_id,
       s.id AS store_id,
       mrs.register_service_id,
       'ACTIVE'
FROM merchant_register_services AS mrs
         JOIN merchant AS m
              ON mrs.merchant_id = m.id
         JOIN store AS s
              ON m.id = s.merchant_id
WHERE mrs.deleted_at IS NULL AND mrs.status = 'ACTIVE'
ON DUPLICATE KEY UPDATE updated_at = NOW(),
                        updated_by = 'OPS',
                        deleted_at = VALUES(deleted_at),
                        status     = VALUES(status);</t>
  </si>
  <si>
    <t>[OMC][ONEU][Prod] Chạy script phục vụ golive 26/11/2025</t>
  </si>
  <si>
    <t>2025-11-26T21:03:58.010+0700</t>
  </si>
  <si>
    <t>2025-11-26T21:04:21.991+0700</t>
  </si>
  <si>
    <t>Dear team DBA Nhờ team chạy giúp em ticket này để phục vụ golive  ạ Thời gian chạy dự kiến 21h ngày 26/11/2025 project: vincart-prod instance: main ip: 172.31.1.41 DB: vincart_mm_merchant CREATE TABLE IF NOT EXISTS store_register_services
(
    `id`                    INT          NOT NULL AUTO_INCREMENT PRIMARY KEY,
    `created_at`            DATETIME     NOT NULL DEFAULT CURRENT_TIMESTAMP,
    `updated_at`            DATETIME     NOT NULL DEFAULT CURRENT_TIMESTAMP ON UPDATE CURRENT_TIMESTAMP,
    `merchant_code`         VARCHAR(50)  NOT NULL,
    `store_code`            VARCHAR(50)  NOT NULL,
    `register_service_code` VARCHAR(50)  NOT NULL,
    `register_service_name` VARCHAR(255) NOT NULL
);
create index store_code_register_service_code_index
    on store_register_services (store_code, register_service_code);
create index merchant_code_store_code_index
    on store_register_services (merchant_code, store_code);
create index store_code_index on stores (code);</t>
  </si>
  <si>
    <t>[MCL] Request chạy script trên TiDB OMC</t>
  </si>
  <si>
    <t>2025-11-26T21:02:15.631+0700</t>
  </si>
  <si>
    <t>2025-11-26T21:02:26.739+0700</t>
  </si>
  <si>
    <t xml:space="preserve">Nhờ anh chạy giúp em script sau ạ: Thông tin DB: URL:  omc-mtp-tidb.int.onemount.com:4000 Schema:  omc_merchant_loyalty Thời gian chạy: 21h00 ngày 26/11/2025 Script: alter table omc_merchant_loyalty.store add ommp_store_service_ids json;
alter table contract add sales_manager varchar(255) null after sales_agent;
update banners set deeplink = '/contract-status-information' where id = 14; CR:   </t>
  </si>
  <si>
    <t>[OMD] Hỗ trợ cập nhật trạng thái đơn treo tồn (bảng flat) kho thuanphong2</t>
  </si>
  <si>
    <t>2025-11-26T19:59:55.820+0700</t>
  </si>
  <si>
    <t>2025-11-26T20:00:00.008+0700</t>
  </si>
  <si>
    <t>Hi DBA team, Hiện tại kho thuanphong2 cần fix lỗi dữ liệu bị lệch trạng thái đơn gây treo tồn, nhờ team DBA hỗ trợ cập nhật theo thông tin dưới đây: Project : vinid-b2b-platform-prod Instance/IP : main (read-write): 172.31.4.59 Port : 3306 Database : omd_wms_thuanphong2 Query — update for SO 
update report_order_item roi 
join report_order_header roh on roh.original_id = roi.original_header_id
set roi.item_status = 'NEW',
    roh.order_status = 'NEW'
where roh.original_id in (266464, 190985, 262545, 196220);    
— update for DO
update report_order_item roi 
join report_order_header roh on roh.original_id = roi.original_header_id
set roi.item_status = 'NEW',
    roh.order_status = 'NEW'
where roh.original_id in (260917, 244079, 261590, 244078, 249816, 251382, 260916, 258502, 261589, 267865, 244443);</t>
  </si>
  <si>
    <t>[OMC][Topic Kafka]V/v tạo topic bảng mới</t>
  </si>
  <si>
    <t>2025-11-26T17:23:30.647+0700</t>
  </si>
  <si>
    <t>2025-11-27T14:44:11.965+0700</t>
  </si>
  <si>
    <t>Dear Linh, Em tạo giúp anh topic và grant quyền query cho account dataplatform_ingestion giúp anh vào bảng sau với nhé: Host: 172.31.4.9 DB:  ecom_rule_engine Tables:  rule_configs</t>
  </si>
  <si>
    <t>[OMRE][AgentPlatform][PROD] Cập nhật ekyc cho agent</t>
  </si>
  <si>
    <t>2025-11-26T16:49:53.649+0700</t>
  </si>
  <si>
    <t>2025-11-26T18:02:06.467+0700</t>
  </si>
  <si>
    <t>Dear DBA team, Nhờ team thực hiện cập nhật thông tin Agent cho OMRE nhé UPDATE ekyc SET identity_type = 'CCCD' WHERE agent_code = '1026242353'   Thông tin DB : HOST = " 172.31.4.83 " PORT = 3306 DATABASE = "agent-platform"</t>
  </si>
  <si>
    <t>[2025/11/26] Release plan- Migraion</t>
  </si>
  <si>
    <t>2025-11-26T15:25:02.925+0700</t>
  </si>
  <si>
    <t>2025-11-26T15:25:13.919+0700</t>
  </si>
  <si>
    <t>Hi anh Dũng, Nhờ anh chạy giúp thông tin dưới đây: IP:  172.31.1.41 Database:  vincart_rate_limit ALTER TABLE limit_config ADD apply_type varchar(50) DEFAULT "PRIVATE"; Database:   vincart_mm_product insert into attributes (name, status)
values
    ('rate_limit_apply_type', 'ACTIVE');
create index products_created_at_index
    on products (created_at); IP*:* 172.31.4.10 Database:  ecom_data_analytics create index ops_voucher_views_created_at_index
    on ops_voucher_views (created_at);</t>
  </si>
  <si>
    <t>[TMS][Prod] Execute sql migration script for Golive TMS Sprint LOG S98 (26/11/2025)</t>
  </si>
  <si>
    <t>2025-11-26T10:48:35.125+0700</t>
  </si>
  <si>
    <t>2025-11-26T22:05:32.217+0700</t>
  </si>
  <si>
    <t>Nhờ team thực hiện migration sql 21h - 22h ngày 26/11/2025 cho các database sau: Databasse:  omd_tms_onedriver_prod (SQL instance tms-mysql-01 (Private IP: 172.31.4.129)  https://console.cloud.google.com/sql/instances/tms-mysql-01/overview?project=onedc-tms-prod ): OD_S98_mySql.sql</t>
  </si>
  <si>
    <t>[OMC][Flash Sale TCB] Scale up database resource for campaign 26 -&gt; 30/11/2025</t>
  </si>
  <si>
    <t>2025-11-26T09:12:22.158+0700</t>
  </si>
  <si>
    <t>2025-11-26T09:12:39.416+0700</t>
  </si>
  <si>
    <t>FlashSale, database</t>
  </si>
  <si>
    <t xml:space="preserve">  Thời gian thực hiện: Scale up 1h AM 26/11/2025 Scale down: ticket khác  Chi tiết như sau:   https://console.cloud.google.com/sql/instances/main/overview?project=vincart-prod 172.31.1.41 –  TO  @Nguyễn Tá Lợi   Từ: 12 CPUs 24 GB RAM , innodb_buffer_pool_size  8589934592 Lên: 32 CPUs 64 GB RAM, innodb_buffer_pool_size  34359738368 (~ 50% RAM)  :up: https://console.cloud.google.com/sql/instances/ecom-medium-mysql/overview?project=vincart-prod  – TO  @Nguyễn Tá Lợi 172.31.4.9 Từ: 8 vCPUs 12 GB RAM , innodb_buffer_pool_size  4294967296 Lên: 12 CPUs 24 GB RAM, innodb_buffer_pool_size  11811160064 :up: https://console.cloud.google.com/sql/instances/oneloyalty/overview?project=vinid-loyalty-prod 172.31.7.6 –  TO  @Nguyễn Ngọc Thạch   @Former user Từ: 4 CPUs     8 GB RAM , innodb_buffer_pool_size    3294967296 Lên: 8 CPUs    16 GB RAM , innodb_buffer_pool_size   10037418240 :up: https://console.cloud.google.com/sql/instances/onevoucher/overview?project=vinid-loyalty-prod 172.31.4.126  – TO  @Nguyễn Ngọc Thạch   @Former user Từ: 4 CPUs          16 GB RAM , innodb_buffer_pool_size  8589934592 Lên: 8 CPUs        24 GB RAM , innodb_buffer_pool_size  12884901888 :up: (DBA check: đang 8 CPUs 24 GB RAM, nên ko cần tăng) https://console.cloud.google.com/sql/instances/voucher-distribution/overview?project=vinid-loyalty-prod  – TO  @Nguyễn Ngọc Thạch   @Former user 172.31.4.82 Từ: 2 CPUs          8 GB RAM , innodb_buffer_pool_size   4294967283 Lên: 8 CPUs        16 GB RAM , innodb_buffer_pool_size  10037418240 :up:  (DBA check: đang 8 CPUs 16 GB RAM, nên ko cần tăng) https://console.cloud.google.com/sql/instances/postgres-01/overview?authuser=0&amp;project=vinid-service-platform-prod  – TO  @Trần Minh Hoàng   @Nguyễn Đình Quang 172.31.7.11 4 CPUs          8 GB RAM (dự án có yêu cầu khi hạ cấu hình thì vẫn giữ 4 CPUs để chạy hàng ngày)   https://console.cloud.google.com/sql/instances/omc-authentication/overview?project=omc-base-platform-prod 172.31.3.40 – TO  @Trần Minh Hoàng Từ: 4 CPUs          8 GB RAM    </t>
  </si>
  <si>
    <t>Hỗ trợ tạo dữ liệu mở mới kho 8123 - Hưng Lộc - Hồ Chí Minh</t>
  </si>
  <si>
    <t>2025-11-25T22:11:40.947+0700</t>
  </si>
  <si>
    <t>2025-11-26T09:13:17.421+0700</t>
  </si>
  <si>
    <t>Hi DBA team,  Hiện tại nghiệp vụ có nhu cầu mở mới kho 8123 - Hưng Lộc - Hồ Chí Minh,  nhờ team DBA hỗ trợ cập nhật giá trị theo thông tin dưới đây   Cụm WMS Project : vinid-b2b-platform-prod Instance/IP : main (read-write): 172.31.4.59 Port : 3306 Database : omd_wms_core Script : file  omd_wms_core_8123.sql  trong file đính kèm Cum WES Project : vinid-b2b-platform-prod Instance/IP : main (read-write): 172.31.1.143 Port : 3306 Database : wes_master Script : file  wes_master_8123.sql  trong file đính kèm Câu query đánh giá là có thể ảnh hưởng đến vận hành hệ thống nên mong muốn chạy vào thời gian vận hành thấp điểm (từ 22h-2h sáng).</t>
  </si>
  <si>
    <t>Hỗ trợ tạo dữ liệu mở mới 72 kho kho M004, M005, .... M0075 ( Đã tạo trước 3 kho M001,M002,M003)</t>
  </si>
  <si>
    <t>2025-11-25T22:08:14.302+0700</t>
  </si>
  <si>
    <t>2025-11-26T20:03:02.084+0700</t>
  </si>
  <si>
    <t>Description Hi DBA team,  Hiện tại nghiệp vụ có nhu cầu mở mới 72 kho M004, M005, .... M0075  nhờ team DBA hỗ trợ cập nhật giá trị theo thông tin dưới đây   Câu query đánh giá là có thể ảnh hưởng đến vận hành hệ thống nên mong muốn chạy vào thời gian vận hành thấp điểm (từ 22h-2h sáng). Cụm WMS Project : vinid-b2b-platform-prod Instance/IP : main (read-write): 172.31.4.59 Port : 3306 Database : omd_wms_core Script : trong field  omd_wms_core Cum WES Project : vinid-b2b-platform-prod Instance/IP : main (read-write): 172.31.1.143 Port : 3306 Database : wes_master Script :trong field  wes_master</t>
  </si>
  <si>
    <t>[OMD] Hỗ trợ cập nhật trạng thái đơn treo tồn kho thuanphong2</t>
  </si>
  <si>
    <t>2025-11-25T18:04:46.772+0700</t>
  </si>
  <si>
    <t>2025-11-25T18:04:50.309+0700</t>
  </si>
  <si>
    <t>Hi DBA team, Hiện tại kho thuanphong2 cần fix lỗi dữ liệu bị lệch trạng thái đơn gây treo tồn, nhờ team DBA hỗ trợ cập nhật theo thông tin dưới đây: Project : vinid-b2b-platform-prod Instance/IP : main (read-write): 172.31.4.59 Port : 3306 Database : omd_wms_thuanphong2 Query — update for SO
update order_hdr oh 
join order_item oi on oi.order_hdr_id = oh.order_hdr_id
set oh.order_status = 'NEW',
    oi.item_status = 'NEW'
where oh.order_hdr_id in (266464, 190985, 262545, 196220);    
— update for DO
update order_hdr oh 
join order_item oi on oi.order_hdr_id = oh.order_hdr_id
set oh.order_status = 'NEW',
    oi.item_status = 'NEW'
where oh.order_hdr_id in (260917, 244079, 261590, 244078, 249816, 251382, 260916, 258502, 261589, 267865, 244443); Các câu query đánh giá là an toàn nên có thể thực hiện cập nhật bất kỳ lúc nào mà không ảnh hưởng đến vận hành hệ thống.</t>
  </si>
  <si>
    <t>2025-11-25T18:03:06.824+0700</t>
  </si>
  <si>
    <t>2025-11-25T18:03:11.491+0700</t>
  </si>
  <si>
    <t>Hi a  @Nguyễn Văn Dũng   nhờ a chạy giúp em ticket sau nhé ạ.  Thông tin database saas_tpay:  pay-tidb.int.onemount.com:4000/saas_tpay Script: delete from merchant where MERCHANT_CODE in ('30761706');
delete from SERVICE where MERCHANT_CODE in ('30761706');
delete from STORE where MERCHANT_CODE in ('30761706');
delete from TERMINAL where MERCHANT_CODE in ('30761706');</t>
  </si>
  <si>
    <t>[OMC][MCL][PROD] Hỗ trợ cập nhật dữ liệu</t>
  </si>
  <si>
    <t>2025-11-25T15:35:22.061+0700</t>
  </si>
  <si>
    <t>2025-11-25T15:35:34.422+0700</t>
  </si>
  <si>
    <t>Dear team, Team em có nhu cầu bổ sung config vào database theo như script dưới đây, nhờ team chạy giúp ạ. Thông tin DB:  172.31.4.192/martech_notification_prod Thời điểm chạy: Nhờ team chạy luôn ạ. INSERT INTO martech_notification_prod.category (name_vn, name_en, description_vn, status, created_at, created_by,
                                               updated_by, updated_at, description_en, code, icon_url, note)
VALUES 
    ('Thông báo chung', 'Common', null, DEFAULT, DEFAULT, null, null, DEFAULT, null, 'CBP_OTHERS',
        'https://cdn-crm.vinid.net/martech/notification-hubs/CBP_Cate_Others.png', null),
    ('Cơ hội', 'Opportunity', null, DEFAULT, DEFAULT, null, null, DEFAULT, null, 'CBP_OPPORTUNITY',
        'https://cdn-crm.vinid.net/martech/notification-hubs/CBP_Cate_Opportunity.png', null),
    ('Giao dịch', 'Deal', null, DEFAULT, DEFAULT, null, null, DEFAULT, null, 'CBP_DEAL',
        'https://cdn-crm.vinid.net/martech/notification-hubs/CBP_Cate_Deal.png', null),
    ('Hoạt động', 'Activity', null, DEFAULT, DEFAULT, null, null, DEFAULT, null, 'CBP_ACTIVITY',
        'https://cdn-crm.vinid.net/martech/notification-hubs/CBP_Cate_Activity.png', null),
    ('Trò chuyện', 'Chat', null, DEFAULT, DEFAULT, null, null, DEFAULT, null, 'CBP_CHAT',
        'https://cdn-crm.vinid.net/martech/notification-hubs/CBP_Cate_Chat.png', null); Ref:  https://vinid-team.atlassian.net/browse/TCW-6355 Thanks team, Thành An.</t>
  </si>
  <si>
    <t>[UPP] Enable tính năng void cho app softpos 25/11/2025</t>
  </si>
  <si>
    <t>2025-11-25T11:40:27.353+0700</t>
  </si>
  <si>
    <t>2025-11-25T11:40:58.513+0700</t>
  </si>
  <si>
    <t>Hi a  @Nguyễn Văn Dũng  nhờ a chạy script theo mô tả  dưới đây ở môi trường PRODUCTION theo thông tin dưới đây ạ: Thời gian chạy script: Vào lúc  Sau khi approve CR Ticket:  Thông tin database 1  saas_tpay:  pay-tidb.int.onemount.com:4000/saas_tpay UPDATE SYSTEM_CONFIGURATION
SET IS_ACTIVE = 1
WHERE SYSTEM_PARAM_CODE = 'CONFIG_VOID_AND_REFUND_CHANNEL_SOFTPOS';</t>
  </si>
  <si>
    <t>2025-11-25T09:45:21.318+0700</t>
  </si>
  <si>
    <t>2025-11-26T15:25:56.426+0700</t>
  </si>
  <si>
    <t>Nhờ các anh migrate data từ DB QC về DB dev giúp team với ạ B2B OMS jdbc:mysql://vinid-app-common-dev--main-mysql-8.cloudsql.int:3306/omd_b2b_custom_oms_qc
ụp vào jdbc:mysql://vinid-app-common-dev--main-mysql-8.cloudsql.int:3306/omd_b2b_custom_oms_dev B2B PCM jdbc:mysql://vinid-app-common-dev--main-mysql-8.cloudsql.int:3306/omd_b2b_custom_pcm_qc
ụp vào jdbc:mysql://vinid-app-common-dev--main-mysql-8.cloudsql.int:3306/omd_b2b_custom_pcm_dev E cảm ơn ạ</t>
  </si>
  <si>
    <t>[UPP] Update thông tin giao dịch không tự update được trạng thái 24/11/2025</t>
  </si>
  <si>
    <t>2025-11-25T09:00:31.033+0700</t>
  </si>
  <si>
    <t>2025-11-25T09:01:30.315+0700</t>
  </si>
  <si>
    <t>Hi a  @Nguyễn Văn Dũng  nhờ a chạy script theo mô tả  dưới đây ở môi trường PRODUCTION theo thông tin dưới đây ạ: Thời gian chạy script: Vào lúc  Sau khi approve CR Ticket:  Thông tin database 1  saas_tpay:  pay-tidb.int.onemount.com:4000/saas_tpay UPDATE TRANSACTION_MASTER m
SET m.transaction_status = 'SUCCESS'
WHERE m.id = '1ed189c27ffd4935b00cc84dd963a566';
UPDATE CARD_PAYMENT_TRANSACTION_DETAIL c 
SET c.card_transaction_id = '006936934108' ,
c.transaction_time = '2025-11-23 13:05:15.000',
c.card_transaction_status = 'SUCCESS',
c.sender_card_number = '4839 31** **** 0489',
c.card_type = 'VISA',
c.sender_card_type = 'VISA',
c.sender_card_label = 'ONUS',
c.sender_card_name = 'PHAM THANH HUYEN',
c.transaction_status = 'SUCCESS',
c.card_transaction_time = '2025-11-23 13:05:15.000',
c.authorization_id = '790311',
c.provider_transaction_id = '000099',
c.service_type = 'OMSMARTPOS',
c.installment_status = 'PROCESSING'
WHERE c.transaction_id  = '1ed189c27ffd4935b00cc84dd963a566';
INSERT INTO TRANSACTION_EXTRA_DATA
(id_reference, system_key, value, updated_date, created_date, created_by, updated_by)
VALUES ('1ed189c27ffd4935b00cc84dd963a566', 'SDK_RESPONSE', '{"command":"sale","requestId":" ","status":"DONE","transInfo":{"amount":"39279000","appVersion":"1.0.20","approvalCode":"790311","batchNo":"000037","cardInput":"C","cardNo":"4839 31** **** 0489","cardType":"VISA","cardholder":"PHAM THANH HUYEN","currencyCode":"704","emvAID":"A0000000031010","emvAppLabel":"TCB VISA","emvTCOrARQC":"FF33D52651185124","expireDate":"xx/xx","mid":"099999999999999","posSerial":"V9E0701256","rcptHeader1":"CTY TNHH DIGI PLANET","rcptHeader2":"DIGIBOX LOTTE MALL TAY HO","rcptHeader3":"TANG 9 29A NGUYEN DINH CHIEU P DA KAO Q1 HCM","rcptHeader4":"LO 129 TANG 1 LOTTEMALL HN 272 VCC P TH TP HN","receiptNo":"000099","refNo":"006936934108","returnCode":"00","tid":"60000812","time":"20251124112939","transName":"SALE","transStatus":"Approved","transType":"1"}}', '2025-11-24 15:54:33', '2025-11-24 15:54:33', NULL, 'OMUPDATE');   Thông tin database 2 :  mysql://vinpay-sql-hp-master.int.vinid.net:3306/transaction_log UPDATE transaction_histories set transaction_status = 'SUCCESS' where transaction_ref = 'pg-PItBEcmfxRQSatOcExxoZY';</t>
  </si>
  <si>
    <t>[Prod] Cài đặt bổ sung Qualys Agent [oracle-primary-tms]</t>
  </si>
  <si>
    <t>2025-11-24T17:30:35.659+0700</t>
  </si>
  <si>
    <t>2025-11-24T17:31:11.460+0700</t>
  </si>
  <si>
    <t>Request từ team security về việc rà soát và fix lỗ hỗ hổng. Nhờ các PIC hỗ trợ cài đặt qualys agent theo danh sách sau:    Hướng dẫn cài đặt Qualys Agent ở link:    Ưu tiên high priority cài đặt qualys agent. Nhờ ae sắp xếp triển ASAP để team security thực hiện scanning vul, đưa ra bản guideline fix vul và report cho sếp Quang và sếp Điệp. Thanks ae.</t>
  </si>
  <si>
    <t>[Prod] Cài đặt bổ sung Qualys Agent [oracle-standby-tms]</t>
  </si>
  <si>
    <t>2025-11-24T17:29:14.852+0700</t>
  </si>
  <si>
    <t>2025-11-24T17:31:25.258+0700</t>
  </si>
  <si>
    <t>[Prod] Cài đặt bổ sung Qualys Agent [ewallet-oracle-19c-primary]</t>
  </si>
  <si>
    <t>2025-11-24T17:22:57.483+0700</t>
  </si>
  <si>
    <t>2025-11-24T17:31:31.882+0700</t>
  </si>
  <si>
    <t>[OMD] [CDP] UPDATE cấu hình ingest worker cho job caresoft customer.customer_code</t>
  </si>
  <si>
    <t>2025-11-24T16:17:59.338+0700</t>
  </si>
  <si>
    <t>2025-11-24T16:18:10.089+0700</t>
  </si>
  <si>
    <t>CDP_Collab</t>
  </si>
  <si>
    <t>Dear  @Nguyễn Văn Dũng   hỗ trợ anh con CDP với nhé UPDATE omd_cdp_orchestration.event
SET ingest_transform_spec='[{"operation":"shift","spec":{"payload":{"contact":{"@":"&amp;1","address":"address","campaign_handler_id":"campaign_handler_id","city_id":"city_id","created_at":"caresoft_created_at","created_from":"created_from","custom_fields":{"*":{"lable":{"Kênh tiếp cận":{"@2":{"value":"approach_channel_tmp"}},"GT code":{"@2":{"value":"customer_code_tmp"}}}}},"district_id":"district_id","email":"email","email2":"email2","gender":"gender","id":"caresoft_customer_id","organization":"organization","organization_id":"organization_id","phone_no":"phone_no","phone_no2":"phone_no2","take_email_at":"take_email_at","take_phone_at":"take_phone_at","updated_at":"caresoft_updated_at","username":"username","zalo_id":"zalo_id"}}}}]'
WHERE code ='CaresoftCustomerEvent'; Thanks</t>
  </si>
  <si>
    <t>[CBP] Delete data trên PROD</t>
  </si>
  <si>
    <t>2025-11-24T15:59:39.657+0700</t>
  </si>
  <si>
    <t>2025-11-24T16:06:25.137+0700</t>
  </si>
  <si>
    <t>Nhờ team chạy câu lệnh Delete cho dự án CBP trên Production như sau: Database: omre_cbp_collab Query: DELETE FROM `sc_source_channels` WHERE source_channel_id="6a8cdc22-3b4c-4ad1-aacd-663a697ae66c"</t>
  </si>
  <si>
    <t>[OMC][ONEU] Chạy câu lệnh SQL update lại trạng thái món</t>
  </si>
  <si>
    <t>2025-11-24T14:54:32.952+0700</t>
  </si>
  <si>
    <t>2025-11-24T14:54:37.033+0700</t>
  </si>
  <si>
    <t>Dear team DBA, Do vận hành có nhu cầu update hàng loạt sản phẩm ko có ảnh nên nhờ team chạy giúp em câu lệnh sau project: vincart-prod instance: main ip: 172.31.1.41 DB: vincart_mm_product UPDATE products p
set p.status = 'inactive'
WHERE p.type = 'FOOD' AND p.status = 'active'
  AND NOT EXISTS (
        SELECT 1 
        FROM variant_images i
        WHERE i.product_id = p.id
          AND i.path IS NOT NULL
          AND i.path &lt;&gt; ''
  )</t>
  </si>
  <si>
    <t>[UPAY][TPAY][SOUNDBOX] [NONPROD] Update dữ liệu bảng system config</t>
  </si>
  <si>
    <t>2025-11-24T14:05:27.685+0700</t>
  </si>
  <si>
    <t>2025-11-24T14:05:38.862+0700</t>
  </si>
  <si>
    <t>Hi các anh DBA,  Hiện e cần thêm config trên DB staging ,nhờ các anh chạy giúp e câu lệnh  INSERT INTO SYSTEM_CONFIGURATION (SYSTEM_PARAM_CODE, SYSTEM_PARAM_NAME, SYSTEM_PARAM_VALUE, IS_ACTIVE, CREATED_DATE) VALUES ('SOUNDBOX_MQTT_CONFIG_TRANSACTION_AMOUNT', 'SOUNDBOX_MQTT_CONFIG_TRANSACTION_AMOUNT', '10000', 1, DEFAULT);
INSERT INTO SYSTEM_CONFIGURATION (SYSTEM_PARAM_CODE, SYSTEM_PARAM_NAME, SYSTEM_PARAM_VALUE, IS_ACTIVE, CREATED_DATE) VALUES ('SOUNDBOX_MQTT_CONFIG_DEVICE_SETTING_AMOUNT', 'SOUNDBOX_MQTT_CONFIG_DEVICE_SETTING_AMOUNT', '[{"device_model":"38","vendor_code":"MF"}]', 1, DEFAULT); Thông tin DB :  URL :  tidb.int.onemount.dev:4000 Schema :  vinpay_saas_tpay_staging Thanks anh,</t>
  </si>
  <si>
    <t>[Merchant-OM] Hỗ trợ cập nhật dữ liệu 20251124</t>
  </si>
  <si>
    <t>2025-11-24T14:02:38.246+0700</t>
  </si>
  <si>
    <t>2025-11-24T14:09:33.527+0700</t>
  </si>
  <si>
    <t>Dear team, Nhờ team chạy giúp câu lệnh bên dưới ạ. Thông tin database https://console.cloud.google.com/sql/instances/main/overview?inv=1&amp;invt=Abqw_w&amp;project=vinid-merchant-prod DB_MYSQL_HOST=172.31.1.44
DB_MYSQL_DATABASE=merchant_service Câu lệnh insert into merchant_role (created_at, updated_at, deleted_at, name, active, merchant_id)
values (now(), now(), null, 'Admin', 1, 62981),
        (now(), now(), null, 'Store', 1, 62981),
        (now(), now(), null, 'Staff', 1, 62981);</t>
  </si>
  <si>
    <t>[OMD-SCM] - Yêu cầu ingest dữ liệu Sccollab Product</t>
  </si>
  <si>
    <t>2025-11-24T12:24:18.846+0700</t>
  </si>
  <si>
    <t>2025-11-24T18:18:49.712+0700</t>
  </si>
  <si>
    <t>Em gửi ticket tạo kafka topic cho các bảng thuộc Sccollab phục vụ dự án MH SCM, thông tin như sau: Host: 172.31.1.143 Port: 3306 Schema: sccollab_prod Tables: cm_purchase_order_master
purchase_requisition_master
cm_purchase_order_detail
cm_project
warehouse
organization
supplier
supplier_profile
supplier_contact Em cảm ơn ạ.</t>
  </si>
  <si>
    <t>[OMD-SCM] - Yêu cầu ingest dữ liệu Sccollab nonprod</t>
  </si>
  <si>
    <t>2025-11-24T12:22:42.635+0700</t>
  </si>
  <si>
    <t>2025-11-24T17:27:42.641+0700</t>
  </si>
  <si>
    <t>MH, OMD, SCM_MAG</t>
  </si>
  <si>
    <t>Em gửi ticket tạo kafka topic cho các bảng thuộc Sccollab phục vụ dự án MH SCM, thông tin như sau: Host: 172.31.0.16 Port: 3306 Schema: sccollab_qc Tables: cm_purchase_order_master
purchase_requisition_master
cm_purchase_order_detail
cm_project
warehouse
organization
supplier
supplier_profile
supplier_contact Em cảm ơn ạ.</t>
  </si>
  <si>
    <t>[Prod] Cài đặt bổ sung Qualys Agent</t>
  </si>
  <si>
    <t>2025-11-24T11:10:35.779+0700</t>
  </si>
  <si>
    <t>2025-11-24T11:10:49.835+0700</t>
  </si>
  <si>
    <t>Request từ team security về việc rà soát và fix lỗ hỗ hổng. Nhờ các PIC hỗ trợ cài đặt qualys agent theo danh sách sau:    Hướng dẫn cài đặt Qualys Agent ở link:    Ưu tiên high priority cài đặt qualys agent. Nhờ ae sắp xếp triển ASAP để team security thực hiện scanning vul, đưa ra bản guideline fix vul và report cho sếp Quang và sếp Điệp.  Thanks ae.</t>
  </si>
  <si>
    <t>Cần cấp 1 tài khoản db CusApp prod readonly để làm báo cáo và analytics trên trang https://c-app-redash.masterisehomes.com/</t>
  </si>
  <si>
    <t>2025-11-24T11:05:31.484+0700</t>
  </si>
  <si>
    <t>2025-12-01T16:32:04.076+0700</t>
  </si>
  <si>
    <t>mh-postgres-production.crcykac8kxtw.ap-southeast-1.rds.amazonaws.com database name: customer_app_prod</t>
  </si>
  <si>
    <t>[OMC][ONEU][Prod] Xóa dữ liệu trùng</t>
  </si>
  <si>
    <t>2025-11-24T11:03:18.279+0700</t>
  </si>
  <si>
    <t>2025-11-24T11:03:21.539+0700</t>
  </si>
  <si>
    <t>Dear team DBA Nhờ team chạy giúp em ticket này để xóa dữ liệu trùng ạ project: vincart-prod instance: main ip: 172.31.1.41 DB: vincart_mm_merchant DELETE FROM `stores_settings` WHERE id = 18863</t>
  </si>
  <si>
    <t>[Merchant-TCB] Hỗ trợ cập nhật dữ liệu 20251124</t>
  </si>
  <si>
    <t>2025-11-24T10:40:31.547+0700</t>
  </si>
  <si>
    <t>2025-11-24T10:40:35.187+0700</t>
  </si>
  <si>
    <t>Dear team, Nhờ team chạy giúp câu lệnh bên dưới ạ. Thông tin database https://console.cloud.google.com/sql/instances/merchant-tcb/overview?inv=1&amp;invt=AbsndA&amp;project=vinid-merchant-prod DB_MYSQL_HOST=172.31.4.108
DB_MYSQL_DATABASE=merchant_service_tcb Câu lệnh INSERT INTO `tpay_staff` (`approved_at`, `approved_by`, `created_at`, `created_by`, `status`, `updated_at`, `updated_by`, `tcb_merchant_code`, `user_name`, `full_name`, `email`, `phone`, `role_id`, `user_id`, `manage_all_store`, `source`, `must_change_password`)
VALUES 
	('2025-11-22 03:19:33', 'SYSTEM', '2025-11-22 03:19:33', 'SYSTEM', 'ACTIVE', '2025-11-22 03:19:33', 'SYSTEM', '33511662', 'lekhanhvlk', 'VO LE KHANH', 'lekhanhvlk@gmail.com', '0935654957', 34, '81db43097f33459a89749a1400bbd78c', TRUE, 'APP_SOFTPOS', 0),
	('2025-11-19 12:39:08', 'SYSTEM', '2025-11-19 12:39:08', 'SYSTEM', 'ACTIVE', '2025-11-19 12:39:08', 'SYSTEM', '40028231', 'daiichluong', 'DAI ICH LUONG', 'daiichluong@gmail.com', '0907284689', 34, 'e43c4702fb53472588470cae9270fa80', TRUE, 'APP_SOFTPOS', 0);</t>
  </si>
  <si>
    <t>[UPP][PROD] Script support TCB PAT</t>
  </si>
  <si>
    <t>2025-11-24T09:07:30.430+0700</t>
  </si>
  <si>
    <t>2025-11-24T09:08:12.211+0700</t>
  </si>
  <si>
    <t>Hi a  @Nguyễn Văn Dũng  nhờ a chạy script theo mô tả  dưới đây ở môi trường PRODUCTION theo thông tin dưới đây ạ: Thời gian chạy script: Vào lúc  01h00 ngày 24/11/2025   - Khi team thông báo Thông tin database saas_tpay:  pay-tidb.int.onemount.com:4000/saas_tpay CR Ticket:  Script: UPDATE SYSTEM_CONFIGURATION
SET SYSTEM_PARAM_VALUE = '{
      "disallowed_void_bins_tcb": [
    "401148",
    "402156",
    "422149",
    "422150",
    "457451",
    "478097",
    "489044",
    "970407"
  ],
      "void_config": {
          "international_card": {
              "allowed_transaction_type": ["PAYMENT"],
              "disallowed_void_bins": [],
              "void_cutoff_schedule": [
                  {
                      "days": ["MONDAY"],
                      "cutoff_time": "11:59:59"
                  },
                  {
                      "days": ["TUESDAY", "WEDNESDAY", "THURSDAY", "FRIDAY"],
                      "cutoff_time": "20:59:59"
                  },
                  {
                      "days": ["SATURDAY", "SUNDAY"],
                      "cutoff_time": "NOT_CHECK_CUT_OFF_TIME"
                  }
              ]
          },
          "domestic_card": {
              "allowed_transaction_type": ["PAYMENT"],
              "disallowed_void_bins": [],
              "void_cutoff_schedule": [
                  {
                      "days": ["MONDAY", "TUESDAY", "WEDNESDAY", "THURSDAY", "FRIDAY", "SATURDAY", "SUNDAY"],
                      "cutoff_time": "23:59:59"
                  }
              ]
          }
      }
    }',
    IS_ACTIVE          = 1,
    UPDATED_BY         = 'PB-27656 nam.nguyen35',
    UPDATED_DATE       = '2025-11-23 00:00:00'
WHERE SYSTEM_PARAM_CODE = 'CONFIG_VOID_AND_REFUND_CHANNEL_SOFTPOS';</t>
  </si>
  <si>
    <t>[UPP] [EzPay] [PROD] - Release sprint  23/11/2025</t>
  </si>
  <si>
    <t>2025-11-23T18:08:05.858+0700</t>
  </si>
  <si>
    <t>2025-11-23T18:08:24.842+0700</t>
  </si>
  <si>
    <t>Hi a  @Nguyễn Văn Dũng  nhờ a chạy script theo mô tả  dưới đây ở môi trường PRODUCTION theo thông tin dưới đây ạ: Thời gian chạy script: Vào lúc  01h00 ngày 23/11/2025   - Khi team thông báo Thông tin database saas_tpay:  pay-tidb.int.onemount.com:4000/saas_tpay CR Ticket:    Script:  UPDATE SYSTEM_CONFIGURATION
SET SYSTEM_PARAM_VALUE = '{
      "disallowed_void_bins_tcb": ["40114800", "402156", "422149", "422150", "45745100", "478097", "48904400", "970407"],
      "void_config": {
          "international_card": {
              "allowed_transaction_type": ["PAYMENT", "CARD-VERIFY", "SALE-COMPLETION"],
              "disallowed_void_bins": [],
              "void_cutoff_schedule": [
                  {
                      "days": ["MONDAY"],
                      "cutoff_time": "11:59:59"
                  },
                  {
                      "days": ["TUESDAY", "WEDNESDAY", "THURSDAY", "FRIDAY"],
                      "cutoff_time": "20:59:59"
                  },
                  {
                      "days": ["SATURDAY", "SUNDAY"],
                      "cutoff_time": "NOT_CHECK_CUT_OFF_TIME"
                  }
              ]
          },
          "domestic_card": {
              "allowed_transaction_type": ["PAYMENT", "CARD-VERIFY", "SALE-COMPLETION"],
              "disallowed_void_bins": [],
              "void_cutoff_schedule": [
                  {
                      "days": ["MONDAY", "TUESDAY", "WEDNESDAY", "THURSDAY", "FRIDAY", "SATURDAY", "SUNDAY"],
                      "cutoff_time": "23:59:59"
                  }
              ]
          }
      }
    }',
    IS_ACTIVE          = 1,
    UPDATED_BY         = 'PB-27656 nam.nguyen35',
    UPDATED_DATE       = '2025-11-23 00:00:00'
WHERE SYSTEM_PARAM_CODE = 'CONFIG_VOID_AND_REFUND_CHANNEL_SMARTPOS';
UPDATE SYSTEM_CONFIGURATION
SET SYSTEM_PARAM_VALUE = '{
      "disallowed_void_bins_tcb": ["40114800", "402156", "422149", "422150", "45745100", "478097", "48904400", "970407"],
      "void_config": {
          "international_card": {
              "allowed_transaction_type": ["PAYMENT", "CARD-VERIFY", "SALE-COMPLETION"],
              "disallowed_void_bins": [],
              "void_cutoff_schedule": [
                  {
                      "days": ["MONDAY"],
                      "cutoff_time": "11:59:59"
                  },
                  {
                      "days": ["TUESDAY", "WEDNESDAY", "THURSDAY", "FRIDAY"],
                      "cutoff_time": "20:59:59"
                  },
                  {
                      "days": ["SATURDAY", "SUNDAY"],
                      "cutoff_time": "NOT_CHECK_CUT_OFF_TIME"
                  }
              ]
          },
          "domestic_card": {
              "allowed_transaction_type": ["PAYMENT", "CARD-VERIFY", "SALE-COMPLETION"],
              "disallowed_void_bins": [],
              "void_cutoff_schedule": [
                  {
                      "days": ["MONDAY", "TUESDAY", "WEDNESDAY", "THURSDAY", "FRIDAY", "SATURDAY", "SUNDAY"],
                      "cutoff_time": "23:59:59"
                  }
              ]
          }
      }
    }',
    IS_ACTIVE          = 1,
    UPDATED_BY         = 'PB-27656 nam.nguyen35',
    UPDATED_DATE       = '2025-11-23 00:00:00'
WHERE SYSTEM_PARAM_CODE = 'CONFIG_VOID_AND_REFUND_CHANNEL_SOFTPOS';
UPDATE SYSTEM_CONFIGURATION
SET SYSTEM_PARAM_VALUE = '{
      "refund_config": {
          "qr": {
              "allowed_transaction_type": ["PAYMENT"],
              "disallowed_refund_account_number": [],
              "max_days_refund": "60",
              "minimum_amount_refund": "2000"
          }
      }
    }',
    IS_ACTIVE          = 1,
    UPDATED_BY         = 'PB-27656 nam.nguyen35',
    UPDATED_DATE       = '2025-10-23 00:00:00'
WHERE SYSTEM_PARAM_CODE = 'CONFIG_VOID_AND_REFUND_CHANNEL_TPAY';
UPDATE SYSTEM_CONFIGURATION
SET SYSTEM_PARAM_VALUE = '{
      "void_config": {
          "international_card": {
              "allowed_transaction_type": [
                  "PAYMENT"
              ],
              "disallowed_void_bins": [],
              "void_cutoff_schedule": [
                  {
                      "days": [
                          "MONDAY",
                          "TUESDAY",
                          "WEDNESDAY",
                          "THURSDAY",
                          "FRIDAY",
                          "SATURDAY",
                          "SUNDAY"
                      ],
                      "cutoff_time": "17:00:00"
                  }
              ]
          }
      },
      "refund_config": {
          "international_card": {
              "allowed_transaction_type": [
                  "PAYMENT"
              ],
              "disallowed_refund_bins": [],
              "max_days_refund": "60",
              "minimum_amount_refund": "1"
          },
          "domestic_card": {
              "allowed_transaction_type": [
                  "PAYMENT"
              ],
              "disallowed_refund_bins": [],
              "max_days_refund": "60",
              "minimum_amount_refund": "1"
          },
          "qr": {
              "allowed_transaction_type": [
                  "PAYMENT"
              ],
              "disallowed_refund_account_number": [],
              "max_days_refund": "60",
              "minimum_amount_refund": "2000"
          }
      }
    }',
    IS_ACTIVE          = 1,
    UPDATED_BY         = 'PB-27656 nam.nguyen35',
    UPDATED_DATE       = '2025-10-23 00:00:00'
WHERE SYSTEM_PARAM_CODE = 'CONFIG_VOID_AND_REFUND_CHANNEL_ECOM';</t>
  </si>
  <si>
    <t>[UPAY] Tác động database update VA CBP</t>
  </si>
  <si>
    <t>2025-11-22T18:57:27.740+0700</t>
  </si>
  <si>
    <t>2025-11-22T18:57:33.554+0700</t>
  </si>
  <si>
    <t>Hi a  @Nguyễn Văn Dũng   nhờ a chạy giúp em ticket sau nhé ạ. Thời gian chạy:  ngay sau khi được approval   Thông tin database : instance: low-performance
Master IP: 172.31.1.149
Slave IP: 172.31.1.179
DB: ops_pay_service SCRIPT UPDATE BANK_ACCOUNT_CONFIGURATION SET PARTNER_SERVICE = 'REALESTATE-1' WHERE ACCOUNT_NUMBER = '19033995588079' AND SERVICE_TYPE = 'VIRTUAL_ACCOUNT';</t>
  </si>
  <si>
    <t>[OMC][ONEU] [Prod] Xóa dữ liệu trùng</t>
  </si>
  <si>
    <t>2025-11-22T11:30:15.592+0700</t>
  </si>
  <si>
    <t>2025-11-22T11:30:46.588+0700</t>
  </si>
  <si>
    <t>Dear team DBA Nhờ team chạy giúp em ticket này để xóa dữ liệu trùng ạ project: vincart-prod instance: main ip: 172.31.1.41 DB: vincart_mm_merchant DELETE FROM `settings` WHERE id = 344318</t>
  </si>
  <si>
    <t>[OM][OutSystem][PROD] Giảm tham số max server memory (mb) của instance mssql-logs</t>
  </si>
  <si>
    <t>2025-11-22T11:16:37.624+0700</t>
  </si>
  <si>
    <t>2025-11-22T11:18:20.304+0700</t>
  </si>
  <si>
    <t>Outsystems, Tuning</t>
  </si>
  <si>
    <t>Hiện tại trên instance MSSQL mssql-logs của dự án outsystem, RAM đang cảnh báo sử dụng mức trên 95%. Để đảm bảo an toàn cho server, team DBA thực hiện Giảm tham số max server memory (mb) của instance mssql-logs từ 12000 về 10000, để giải phóng bớt RAM, tránh rủi ro server bị reboot do out of memory. Server 16 GB RAM, max server memory (mb) 12000 , giảm về 10000. Thời gian thực hiện: 10h15 22/11/25, có thể làm trong giờ, do thay đổi này không cần reboot server.</t>
  </si>
  <si>
    <t>2025-11-21T16:59:59.261+0700</t>
  </si>
  <si>
    <t>2025-11-21T17:00:04.719+0700</t>
  </si>
  <si>
    <t>Hi a  @Nguyễn Văn Dũng   nhờ a chạy giúp em ticket sau nhé ạ.  Thông tin database saas_tpay:  pay-tidb.int.onemount.com:4000/saas_tpay Steps: Xuất data và cmt vào ticket: select* from merchant where MERCHANT_CODE in ('36559142');
select* from SERVICE where MERCHANT_CODE in ('36559142');
select* from STORE where MERCHANT_CODE in ('36559142');
select* from TERMINAL where MERCHANT_CODE in ('36559142'); Xóa data: delete from merchant where MERCHANT_CODE in ('36559142');
delete from SERVICE where MERCHANT_CODE in ('36559142');
delete from STORE where MERCHANT_CODE in ('36559142');
delete from TERMINAL where MERCHANT_CODE in ('36559142');</t>
  </si>
  <si>
    <t>[Prod] Update disccount item info for voucher</t>
  </si>
  <si>
    <t>2025-11-21T15:38:19.453+0700</t>
  </si>
  <si>
    <t>2025-11-21T15:38:23.612+0700</t>
  </si>
  <si>
    <t>Hi anh  @Nguyễn Văn Dũng  ,  Nhờ anh chạy giúp thông tin dưới đây: IP:  172.31.1.41 Database:   vincart_mm_product Script: INSERT INTO `entity_attributes_values` (`attribute_id`, `value`, `name`, `created_at`, `updated_at`, `entity_id`, `type`) VALUES ('60', '{"item_status":"SUCCESS","item_id":6432,"item_code":"DOTCB2530400M","merchant_code":"DOTCB2530400M","campaign_code":"CP08p1041125","voucher_code":"VD_VC_1762534803170","effective_from":1762794000,"effective_to":1815411599}', 'discount_item', now(), now(), '1014780', 'VARIANT');
INSERT INTO `entity_attributes_values` (`attribute_id`, `value`, `name`, `created_at`, `updated_at`, `entity_id`, `type`) VALUES ('60', '{"item_status":"SUCCESS","item_id":6431,"item_code":"DOTCB25309nXp","merchant_code":"DOTCB25309nXp","campaign_code":"CP08p1041125","voucher_code":"VD_VC_1762534801576","effective_from":1762794000,"effective_to":1815411599}', 'discount_item', now(), now(), '1014776', 'VARIANT'); IP:  172.31.4.10 Database:  ecom_data_analytics Script: UPDATE `ops_voucher_views` SET `discount_item` = '{"item_status":"SUCCESS","item_id":6432,"item_code":"DOTCB2530400M","merchant_code":"DOTCB2530400M","campaign_code":"CP08p1041125","voucher_code":"VD_VC_1762534803170","effective_from":1762794000,"effective_to":1815411599}' WHERE `ops_voucher_views`.`id` = 10773;
UPDATE `ops_voucher_views` SET `discount_item` = '{"item_status":"SUCCESS","item_id":6431,"item_code":"DOTCB25309nXp","merchant_code":"DOTCB25309nXp","campaign_code":"CP08p1041125","voucher_code":"VD_VC_1762534801576","effective_from":1762794000,"effective_to":1815411599}' WHERE `ops_voucher_views`.`id` = 10769;</t>
  </si>
  <si>
    <t>[OMC][ONEU][PROD] Chạy câu lệnh SQL phục vụ golive ngày 21/11</t>
  </si>
  <si>
    <t>2025-11-21T15:05:43.886+0700</t>
  </si>
  <si>
    <t>2025-11-21T15:06:00.748+0700</t>
  </si>
  <si>
    <t xml:space="preserve">Dear anh Dũng, Nhờ anh hỗ trợ team chạy các câu lệnh SQL với các thông tin dưới đây ạ Project: vincart-prod
IP: 172.31.1.41
DB name: vincart_mm_order SQL:
ALTER TABLE `orders`
    ADD COLUMN `service_fee` DECIMAL(18, 3) DEFAULT 0 AFTER `total_items_amount`;
ALTER TABLE `shipments`
    ADD COLUMN `partner_pickup_eta datetime` NULL AFTER `partner_shipment_ref`,
    ADD COLUMN `partner_drop_off_eta datetime` NULL AFTER `partner_pickup_eta`; Em cảm ơn anh </t>
  </si>
  <si>
    <t>2025-11-21T12:27:07.155+0700</t>
  </si>
  <si>
    <t>2025-11-21T12:27:36.731+0700</t>
  </si>
  <si>
    <t>Nhờ team thực hiện migration sql cho  database sau: Databasse:  omd_tms_onedriver_prod (SQL instance tms-mysql-01 (Private IP: 172.31.4.129)  https://console.cloud.google.com/sql/instances/tms-mysql-01/overview?project=onedc-tms-prod ) script: Step1: chạy SELECT query để lấy ID thay thế vào query UPDATE select mdo.id as IDUPDATE
from m_delivery_order mdo
inner join e_delivery_order_tracking edot on edot.m_id= mdo.id
where mdo.code='83621145300101' Step 2: thay thế IDUPDATE là kết quả từ query select vs chạy UPDATE: update m_delivery_order set cod_amount= 447720000 where id=IDUPDATE;
 update e_delivery_order_tracking set remaining_cod=447720000  where m_id=IDUPDATE;</t>
  </si>
  <si>
    <t>[omd][clm][nonprod] Xin cấp database cho project clm - contract lifecycle management</t>
  </si>
  <si>
    <t>2025-11-21T09:59:38.237+0700</t>
  </si>
  <si>
    <t>2025-11-21T10:24:02.787+0700</t>
  </si>
  <si>
    <t>Hi anh Dũng Dự án CLM - contract lifecycle management đang trong giai đoạn phát triển Nhờ anh cấp giúp em cho dự án các schema cho môi trường non-prod ạ SAD:    gcp project: vinid-app-common-dev instance: main-mysql-8-2 (172.31.0.68) databasename: dev env:  clm-dev-mysql qc:  clm-qc-mysql uat:  clm-uat-mysql</t>
  </si>
  <si>
    <t>Hỗ trợ tạo dữ liệu mở mới kho M001, M002, M003 (Tạo trước 3 kho)</t>
  </si>
  <si>
    <t>2025-11-20T22:19:46.317+0700</t>
  </si>
  <si>
    <t>2025-11-20T22:19:53.502+0700</t>
  </si>
  <si>
    <t>Hi DBA team,  Hiện tại nghiệp vụ có nhu cầu mở mới kho M001, M002, M003,  nhờ team DBA hỗ trợ cập nhật giá trị theo thông tin dưới đây   Câu query đánh giá là có thể ảnh hưởng đến vận hành hệ thống nên mong muốn chạy vào thời gian vận hành thấp điểm (từ 22h-2h sáng). Cụm WMS Project : vinid-b2b-platform-prod Instance/IP : main (read-write): 172.31.4.59 Port : 3306 Database : omd_wms_core Script :  file  omd_wms_core_M001.sql  trong file đính kèm  file  omd_wms_core_M002.sql  trong file đính kèm  file  omd_wms_core_M003.sql  trong file đính kèm Cum WES Project : vinid-b2b-platform-prod Instance/IP : main (read-write): 172.31.1.143 Port : 3306 Database : wes_master Script :  file  wes_master_M001.sql  trong file đính kèm file  wes_master_M002.sql  trong file đính kèm file  wes_master_M003.sql  trong file đính kèm</t>
  </si>
  <si>
    <t>2025-11-20T21:02:04.279+0700</t>
  </si>
  <si>
    <t>2025-11-20T21:02:19.401+0700</t>
  </si>
  <si>
    <t xml:space="preserve">Nhờ anh chạy giúp em script sau ạ: Thông tin DB: URL:  omc-mtp-tidb.int.onemount.com:4000 Schema:  omc_merchant_loyalty Thời gian chạy: 21h00 ngày 20/11/2025 Script: alter table omc_merchant_loyalty.contract add create_source varchar(50) default 'MINI_APP' not null after sales_agent;
alter table omc_merchant_loyalty.contract add comment varchar(1000) null after create_source;
insert into omc_merchant_loyalty.banners (id, title, description, image_url, cta, deeplink, status, priority,
                                                 created_at, updated_at, created_by, updated_by,
                                                 background_color, code)
values (default, null, 'Hợp đồng khung của bạn được đề xuất chỉnh sửa. Hãy xem và xác nhận để hoàn thiện',
        'https://cdn-crm.vinid.net/merchant-loyalty/assets/im_100color_suggest_contract_processing.svg',
        'Xác nhận ngay', '/contract', 'ACTIVE', 50, '2025-11-10 10:27:39', '2025-11-10 10:27:39', 'system', 'system',
        '{"bottom": "#EBE5B0", "top": "#F2EEC6"}', 'CONTRACT_DRAFT_BY_OPS'); CR:   </t>
  </si>
  <si>
    <t xml:space="preserve">[CDP][Postgres] Request chạy script </t>
  </si>
  <si>
    <t>2025-11-20T21:01:26.983+0700</t>
  </si>
  <si>
    <t>2025-11-20T21:01:41.261+0700</t>
  </si>
  <si>
    <t>Dear anh Dũng, Theo lịch golive  . Nhờ anh chạy giúp em script tạo bảng sau: Thông tin DB: IP:  172.31.3.49:5432 DB:  mtp_audience_management Có thể chạy trước golive Script: CREATE TABLE dataset (
    id SERIAL PRIMARY KEY,
    data_source_id int not null,
    name varchar(255) null,
    description text null,
    inserted_records int,
    failed_records int,
    status varchar(50) not null,
    uploaded_file_name varchar(255) not null,
    gcs_folder varchar(255) not null,
    created_at timestamp not null default CURRENT_TIMESTAMP,
    updated_at timestamp not null default CURRENT_TIMESTAMP,
    created_by int null,
    updated_by int null
);
CREATE TABLE whitelist (
	id bigserial NOT NULL,
	name varchar(250) NOT NULL,
	description text NULL,
	estimated_size int8 NULL,
	data_source_id int8 NOT NULL,
	business_unit_id int8 NOT NULL,
	start_date timestamp NOT NULL,
	end_date timestamp NULL,
	status varchar(20) NOT NULL,
	created_by int8 NOT NULL,
	created_at timestamp DEFAULT CURRENT_TIMESTAMP NOT NULL,
	updated_at timestamp DEFAULT CURRENT_TIMESTAMP NOT NULL,
	updated_by int8 NULL,
	CONSTRAINT whitelist_pkey PRIMARY KEY (id)
);
CREATE TABLE whitelist_audience (
	whitelist_id int8 NOT NULL,
	audience_id int8 NOT NULL,
	type varchar(20) NOT NULL
);</t>
  </si>
  <si>
    <t>[OM][Charity][Prod][Health Hub] xoá key trên redis</t>
  </si>
  <si>
    <t>2025-11-20T17:23:12.768+0700</t>
  </si>
  <si>
    <t>2025-11-20T17:23:27.504+0700</t>
  </si>
  <si>
    <t>Em chào anh chị, Anh chị xoá giúp key  content_of_project_2fe590ee-9126-48d4-8155-ddc9b80987b1  trên redis. project: om-charity-prod IP: 172.31.0.20:6379 DB: 3</t>
  </si>
  <si>
    <t>2025-11-20T16:50:49.838+0700</t>
  </si>
  <si>
    <t>2025-11-20T16:50:53.262+0700</t>
  </si>
  <si>
    <t>2025-11-20T16:33:44.711+0700</t>
  </si>
  <si>
    <t>2025-11-20T17:40:48.006+0700</t>
  </si>
  <si>
    <t>Nhờ các sếp migrate data môi trường dev của b2b promotion theo thông tin sau do QC đã update dữ liệu mới ạ B2B Promotion jdbc:mysql://vinid-app-common-dev--main-mysql-8.cloudsql.int:3306/omd_b2b_custom_promotion_qc
ụp vào jdbc:mysql://vinid-app-common-dev--main-mysql-8.cloudsql.int:3306/omd_b2b_custom_promotion_dev</t>
  </si>
  <si>
    <t>tạo Smart link data về DB test</t>
  </si>
  <si>
    <t>2025-11-20T16:27:55.376+0700</t>
  </si>
  <si>
    <t>2026-01-22T12:19:39.844+0700</t>
  </si>
  <si>
    <t>tạo Smart link data về DB test để lấy dữ liệu master data đưa lên prod</t>
  </si>
  <si>
    <t>[CDP] Request quyền DELETE bảng d_label và f_customer_label</t>
  </si>
  <si>
    <t>2025-11-20T15:43:37.433+0700</t>
  </si>
  <si>
    <t>2025-11-20T15:43:43.233+0700</t>
  </si>
  <si>
    <t xml:space="preserve">Theo nhu cầu đã mô tả ở ticket   , em muốn xin quyền DELETE ở ODS Prod như sau: Thông tin request: URL:  tidb.int.onemount.com:4000 Schema:  dp_omc_semantic_omc_bsi_cdp Username:  omc_bsi_cdp_mtp_rw Permission:  DELETE Table:  d_label  +  f_customer_label CR: </t>
  </si>
  <si>
    <t>[Merchant-OM] Hỗ trợ cập nhật dữ liệu 20251120</t>
  </si>
  <si>
    <t>2025-11-20T15:26:38.611+0700</t>
  </si>
  <si>
    <t>2025-11-20T15:26:43.016+0700</t>
  </si>
  <si>
    <t>Dear team, Nhờ team chạy giúp câu lệnh bên dưới ạ. Thông tin database https://console.cloud.google.com/sql/instances/main/overview?inv=1&amp;invt=Abqw_w&amp;project=vinid-merchant-prod DB_MYSQL_HOST=172.31.1.44
DB_MYSQL_DATABASE=merchant_service Câu lệnh UPDATE	staff
SET	role_id = 1
WHERE	id = 399275;</t>
  </si>
  <si>
    <t>[OMRE][HD] YC hỗ trợ review thay đổi DDL</t>
  </si>
  <si>
    <t>2025-11-20T15:07:00.725+0700</t>
  </si>
  <si>
    <t>2025-11-21T09:02:37.180+0700</t>
  </si>
  <si>
    <t>BackOffice</t>
  </si>
  <si>
    <t>Hi team, OMRE cần thực hiện migrate thông tin địa chỉ hành chính 2 cấp nên cần thêm 2 table sau Nhờ team DBA thực hiện đánh giá và tư vấn về việc thay đổi theo thông tin như sau: Release plan: Nội dung script: create table if not exists NEW_CITY
(
    id            bigint           not null comment 'Id định danh dữ liệu'
        primary key,
    code          varchar(10)      null comment 'Mã định danh',
    name          varchar(100)     null comment 'Tên hiển thị (trong drop down list)',
    display_order int              null comment 'Thứ tự hiển thị (trong drop down list)',
    region_id     bigint           null,
    has_approved  bit              null comment 'True: Đã phê duyệt/False:Chưa phê duyệt',
    approved_by   bigint           null comment 'Người phê duyệt',
    approved_on   datetime         null comment 'Ngày giờ phê duyệt',
    created_by    bigint           null comment 'Người tạo',
    created_on    datetime         null comment 'Ngày giờ tạo',
    updated_by    bigint           null comment 'Người cập nhật',
    updated_on    datetime         null comment 'Ngày giờ cập nhật',
    is_active     bit default b'1' null comment 'True: Đang hoạt động/False: Không hoạt động',
    constraint new_city_FK_1
        foreign key (region_id) references REGION (id)
)
    comment 'Tỉnh/Thành mới' charset = utf8mb4;
create index new_city_FK_1_idx
    on NEW_CITY (region_id);
/*---------------------------------------------------------------------------------------------------*/
create table if not exists NEW_WARD
(
    id                      bigint           not null comment 'Id định danh dữ liệu'
        primary key,
    total_area              decimal(10, 3)   null,
    ward_name               varchar(100)     null,
    ward_code               varchar(100)     null,
    committee_latitude      decimal(9, 6)    null,
    committee_longitude     decimal(9, 6)    null,
    population              int              null,
    number_civil_groups     int              null,
    contiguous_southwest    varchar(100)     null,
    contiguous_south        varchar(100)     null,
    contiguous_north        varchar(100)     null,
    contiguous_east         varchar(100)     null,
    contiguous_west         varchar(100)     null,
    contiguous_northeast    varchar(100)     null,
    contiguous_northwest    varchar(100)     null,
    contiguous_southeast    varchar(100)     null,
    skyway_distance_to_city decimal(10, 3)   null,
    road_distance_to_city   decimal(10, 3)   null,
    air_quality             int              null,
    display_order           int              null comment 'Thứ tự hiển thị (trong drop down list)',
    city_id                 bigint           not null comment 'Id tỉnh/thành phố',
    has_approved            bit              null comment 'True: Đã phê duyệt/False:Chưa phê duyệt',
    approved_by             bigint           null comment 'Người phê duyệt',
    approved_on             datetime         null comment 'Ngày giờ phê duyệt',
    created_by              bigint           null,
    created_on              datetime         null,
    updated_by              bigint           null,
    updated_on              datetime         null,
    is_active               bit default b'1' null,
    constraint NEW_WARD_FK_1
        foreign key (city_id) references NEW_CITY (id)
)
    charset = utf8mb4;
create index idx_new_ward_code
    on NEW_WARD (ward_code);
/*---------------------------------------------------------------------------------------------------*/
CREATE TABLE if not exists STREET_NEW_WARD
(
    id          bigint auto_increment not null comment 'Id định danh dữ liệu'
        primary key,
    street_id   BIGINT                NOT NULL comment 'Id tuyến đường',
    new_ward_id BIGINT                NOT NULL comment 'Id Phường/Xã mới',
    created_by  bigint                null,
    created_on  datetime              null,
    updated_by  bigint                null,
    updated_on  datetime              null,
    is_active   bit default b'1'      null,
    CONSTRAINT fk_street_new_ward_street FOREIGN KEY (street_id) REFERENCES STREET (id),
    CONSTRAINT fk_street_new_ward_new_ward FOREIGN KEY (new_ward_id) REFERENCES NEW_WARD (id),
    UNIQUE (street_id, new_ward_id)
);</t>
  </si>
  <si>
    <t>[OMD][Kafka][Prod] Tạo kafka topic cho các bảng taskbox</t>
  </si>
  <si>
    <t>2025-11-20T11:28:12.753+0700</t>
  </si>
  <si>
    <t>2025-11-20T16:06:49.527+0700</t>
  </si>
  <si>
    <t>Dear anh  @Phạm Tuấn Linh   và team DBA, Hiện tại, OMD có nhu cầu kéo thêm dữ liệu từ source taskbox để xây dựng báo cáo. Nhờ anh Linh tạo kafka topic cho bảng theo thông tin dưới đây ạ PROD: IP host:  172.31.1.118(mySQL) schema: omd_taskbox table list: AssignmentCampaign Thanks and regards! cong.do1</t>
  </si>
  <si>
    <t>2025-11-20T11:27:24.654+0700</t>
  </si>
  <si>
    <t>2025-11-20T15:44:18.604+0700</t>
  </si>
  <si>
    <t>Dear Linh, Em tạo giúp anh topic cho bảng  OLOYALTY.MCC_GROUP  trên môi trường nonprod và prod giúp anh để anh kéo dữ liệu về DP với nhé.</t>
  </si>
  <si>
    <t>[OMC][Flash Sale TCB] Hạ cấu hình resource 20/11/2025</t>
  </si>
  <si>
    <t>2025-11-20T09:25:50.855+0700</t>
  </si>
  <si>
    <t>2025-11-20T09:27:02.750+0700</t>
  </si>
  <si>
    <t>Database, FlashSale, LoyaltyApp</t>
  </si>
  <si>
    <t>Thơi gian thực hiện:  1AM 20/11/2025 CR:  action detail    https://console.cloud.google.com/sql/instances/main/overview?project=vincart-prod 172.31.1.41 –  TO @Nguyễn Tá Lợi Từ: 48 CPUs 96 GB RAM, innodb_buffer_pool_size  51539607552 Giảm về: 12 CPUs 24 GB RAM , innodb_buffer_pool_size  10737418240 https://console.cloud.google.com/sql/instances/ecom-medium-mysql/overview?project=vincart-prod  – TO @Nguyễn Tá Lợi 172.31.4.9 Từ: 12 CPUs 24 GB RAM, innodb_buffer_pool_size  11811160064 Giảm về: 8 vCPUs 12 GB RAM , innodb_buffer_pool_size  4294967296 https://console.cloud.google.com/sql/instances/oneloyalty/overview?project=vinid-loyalty-prod 172.31.7.6 –  TO @Nguyễn Ngọc Thạch @Nguyễn Nhựt Trường Từ: 8 CPUs    16 GB RAM , innodb_buffer_pool_size   10037418240 Giảm về: 4 CPUs     8 GB RAM , innodb_buffer_pool_size    3294967296 https://console.cloud.google.com/sql/instances/onevoucher/overview?project=vinid-loyalty-prod 172.31.4.126  – TO @Nguyễn Ngọc Thạch @Nguyễn Nhựt Trường Giữ nguyên: 8 CPUs        24 GB RAM , innodb_buffer_pool_size  12884901888 https://console.cloud.google.com/sql/instances/voucher-distribution/overview?project=vinid-loyalty-prod  – TO @Nguyễn Ngọc Thạch @Nguyễn Nhựt Trường 172.31.4.82 Giữ nguyên: 8 CPUs        16 GB RAM , innodb_buffer_pool_size  10037418240 https://console.cloud.google.com/sql/instances/postgres-01/overview?authuser=0&amp;project=vinid-service-platform-prod  – TO @Trần Minh Hoàng @Nguyễn Đình Quang 172.31.7.11 Giữ nguyên : 4 CPUs 8 GB RAM (dự án có yêu cầu khi hạ cấu hình thì vẫn giữ 4 CPUs để chạy hàng ngày) https://console.cloud.google.com/sql/instances/omc-authentication/overview?project=omc-base-platform-prod 172.31.3.40 – TO @Trần Minh Hoàng Giữ nguyên : 4 CPUs 8 GB RAM</t>
  </si>
  <si>
    <t>[OMD][PROD][CDP] Drop các index ko sử dụng tidb cdp omd</t>
  </si>
  <si>
    <t>2025-11-20T09:08:04.218+0700</t>
  </si>
  <si>
    <t>2025-11-20T09:08:09.440+0700</t>
  </si>
  <si>
    <t>Hi anh  @Chu Văn Châu   Em kiểm tra thì có thấy 1 list các index có size lớn nhưng ko sử dụng.  Anh verify và approve giúp em để drop bớt cho đỡ tốn dung lượng disk ạ. index_gb QUERY_TOTAL TABLE_SCHEMA TABLE_NAME INDEX_NAME last_access 52.10 0 omd_cdp_data_from_mtp mtp_tracking_events_omd idx_session null 51.58 0 omd_cdp_data_from_mtp mtp_tracking_events_omd idx_mid_bid null 50.97 0 omd_cdp_data_from_mtp mtp_tracking_events_omd idx_anonymous_api null 48.87 0 omd_cdp_data_from_mtp mtp_tracking_events_omd idx_hid null 41.37 0 omd_cdp_data_from_mtp mtp_tracking_events_omd idx_session_id null 40.86 0 omd_cdp_data_from_mtp mtp_tracking_events_omd idx_mid null 40.57 0 omd_cdp_data_from_mtp mtp_tracking_events_omd idx_bid null 38.93 0 omd_cdp_data_from_mtp mtp_tracking_events_omd idx_anonymous_time null 34.14 0 omd_cdp_data_from_mtp mtp_tracking_events_omd mtp_tracking_events_id_index null 32.30 0 omd_cdp_data_from_mtp mtp_tracking_events_omd idx_event null 31.44 0 omd_cdp_data_from_mtp mtp_tracking_events_omd idx_user_id null 30.74 0 omd_cdp_data_from_mtp mtp_tracking_events_omd idx_date_event null 26.91 0 omd_cdp_data_from_mtp mtp_tracking_events_omd idx_date null 12.18 0 omd_cdp_data_from_mtp mtp_tracking_events_context_omd idx_did_ak_ns_av_bn_ca null 8.25 0 omd_cdp_data_from_mtp mtp_tracking_events_context_omd idx_hid null 7.79 0 omd_cdp_data_from_mtp mtp_tracking_events_context_omd idx_api_key null 7.44 0 omd_cdp_data_from_mtp mtp_tracking_events_context_omd idx_mobile_device null 7.43 0 omd_cdp_data_from_mtp mtp_tracking_events_context_omd idx_mtp_tracking_events_context_hash_id_namespace null 6.79 0 omd_cdp_data_from_mtp mtp_tracking_events_context_omd idx_session null 6.58 0 omd_cdp_data_from_mtp mtp_tracking_events_context_omd idx_device null 5.83 0 omd_cdp_data_from_mtp mtp_tracking_events_context_omd idx_mobile null 5.08 0 omd_cdp_data_from_mtp mtp_tracking_events_context_omd idx_device_type_app_version null ALTER TABLE `omd_cdp_data_from_mtp`.`mtp_tracking_events_omd` DROP INDEX `idx_session`;
ALTER TABLE `omd_cdp_data_from_mtp`.`mtp_tracking_events_omd` DROP INDEX `idx_mid_bid`;
ALTER TABLE `omd_cdp_data_from_mtp`.`mtp_tracking_events_omd` DROP INDEX `idx_anonymous_api`;
ALTER TABLE `omd_cdp_data_from_mtp`.`mtp_tracking_events_omd` DROP INDEX `idx_hid`;
ALTER TABLE `omd_cdp_data_from_mtp`.`mtp_tracking_events_omd` DROP INDEX `idx_session_id`;
ALTER TABLE `omd_cdp_data_from_mtp`.`mtp_tracking_events_omd` DROP INDEX `idx_mid`;
ALTER TABLE `omd_cdp_data_from_mtp`.`mtp_tracking_events_omd` DROP INDEX `idx_bid`;
ALTER TABLE `omd_cdp_data_from_mtp`.`mtp_tracking_events_omd` DROP INDEX `idx_anonymous_time`;
ALTER TABLE `omd_cdp_data_from_mtp`.`mtp_tracking_events_omd` DROP INDEX `mtp_tracking_events_id_index`;
ALTER TABLE `omd_cdp_data_from_mtp`.`mtp_tracking_events_omd` DROP INDEX `idx_event`;
ALTER TABLE `omd_cdp_data_from_mtp`.`mtp_tracking_events_omd` DROP INDEX `idx_user_id`;
ALTER TABLE `omd_cdp_data_from_mtp`.`mtp_tracking_events_omd` DROP INDEX `idx_date_event`;
ALTER TABLE `omd_cdp_data_from_mtp`.`mtp_tracking_events_omd` DROP INDEX `idx_date`;
ALTER TABLE `omd_cdp_data_from_mtp`.`mtp_tracking_events_context_omd` DROP INDEX `idx_did_ak_ns_av_bn_ca`;
ALTER TABLE `omd_cdp_data_from_mtp`.`mtp_tracking_events_context_omd` DROP INDEX `idx_hid`;
ALTER TABLE `omd_cdp_data_from_mtp`.`mtp_tracking_events_context_omd` DROP INDEX `idx_api_key`;
ALTER TABLE `omd_cdp_data_from_mtp`.`mtp_tracking_events_context_omd` DROP INDEX `idx_mobile_device`;
ALTER TABLE `omd_cdp_data_from_mtp`.`mtp_tracking_events_context_omd` DROP INDEX `idx_mtp_tracking_events_context_hash_id_namespace`;
ALTER TABLE `omd_cdp_data_from_mtp`.`mtp_tracking_events_context_omd` DROP INDEX `idx_session`;
ALTER TABLE `omd_cdp_data_from_mtp`.`mtp_tracking_events_context_omd` DROP INDEX `idx_device`;
ALTER TABLE `omd_cdp_data_from_mtp`.`mtp_tracking_events_context_omd` DROP INDEX `idx_mobile`;
ALTER TABLE `omd_cdp_data_from_mtp`.`mtp_tracking_events_context_omd` DROP INDEX `idx_device_type_app_version`; DDL gốc của table: CREATE TABLE `mtp_tracking_events_omd` (
  `id` varchar(50) COLLATE utf8mb4_unicode_ci NOT NULL,
  `api_key` varchar(255) COLLATE utf8mb4_unicode_ci NOT NULL,
  `session_id` varchar(50) COLLATE utf8mb4_unicode_ci NOT NULL,
  `batch_id` varchar(50) COLLATE utf8mb4_unicode_ci NOT NULL,
  `message_id` varchar(50) COLLATE utf8mb4_unicode_ci NOT NULL,
  `tab_id` varchar(50) COLLATE utf8mb4_unicode_ci DEFAULT NULL,
  `anonymous_id` varchar(50) COLLATE utf8mb4_unicode_ci NOT NULL,
  `user_id` varchar(50) COLLATE utf8mb4_unicode_ci DEFAULT NULL,
  `type` varchar(255) COLLATE utf8mb4_unicode_ci NOT NULL,
  `event` varchar(100) COLLATE utf8mb4_unicode_ci NOT NULL,
  `timestamp` datetime(6) NOT NULL,
  `properties` json DEFAULT NULL,
  `time_diff` int unsigned NOT NULL,
  `source` varchar(255) COLLATE utf8mb4_unicode_ci NOT NULL,
  `created_at` datetime DEFAULT CURRENT_TIMESTAMP,
  `screen_view_id` varchar(255) COLLATE utf8mb4_unicode_ci DEFAULT NULL,
  `date_time` date GENERATED ALWAYS AS (date(`timestamp`)) STORED NOT NULL,
  `hash_id` varchar(255) COLLATE utf8mb4_unicode_ci NOT NULL,
  PRIMARY KEY (`id`,`date_time`) /*T![clustered_index] CLUSTERED */,
  UNIQUE KEY `idx_message_id` (`message_id`,`date_time`),
  KEY `idx_mid` (`message_id`),
  KEY `idx_anonymous_api` (`anonymous_id`,`api_key`),
  KEY `idx_anonymous_time` (`anonymous_id`,`timestamp`),
  KEY `idx_bid` (`batch_id`),
  KEY `idx_hid` (`hash_id`),
  KEY `idx_date` (`date_time`),
  KEY `idx_date_event` (`date_time`,`event`),
  KEY `idx_event` (`event`),
  KEY `idx_mid_bid` (`message_id`,`batch_id`),
  KEY `idx_session` (`anonymous_id`,`api_key`,`date_time`),
  KEY `idx_session_event` (`session_id`,`event`),
  KEY `idx_session_id` (`session_id`),
  KEY `idx_user_id` (`user_id`),
  KEY `mtp_tracking_events_id_index` (`id`),
  UNIQUE KEY `idx_u_message_id` (`message_id`) /*T![global_index] GLOBAL */,
  KEY `idx_mtp_events_filter` (`date_time`,`created_at`,`id`)
) ENGINE=InnoDB DEFAULT CHARSET=utf8mb4 COLLATE=utf8mb4_unicode_ci
PARTITION BY RANGE COLUMNS(`date_time`)
(PARTITION `p20250101` VALUES LESS THAN ('2025-01-15'),
 PARTITION `p20250102` VALUES LESS THAN ('2025-02-01'),
 PARTITION `p20250201` VALUES LESS THAN ('2025-02-15'),
 PARTITION `p20250202` VALUES LESS THAN ('2025-03-01'),
 PARTITION `p20250301` VALUES LESS THAN ('2025-03-15'),
 PARTITION `p20250302` VALUES LESS THAN ('2025-04-01'),
 PARTITION `p20250401` VALUES LESS THAN ('2025-04-15'),
 PARTITION `p20250402` VALUES LESS THAN ('2025-05-01'),
 PARTITION `p20250501` VALUES LESS THAN ('2025-05-15'),
 PARTITION `p20250502` VALUES LESS THAN ('2025-06-01'),
 PARTITION `p20250601` VALUES LESS THAN ('2025-06-15'),
 PARTITION `p20250602` VALUES LESS THAN ('2025-07-01'),
 PARTITION `p20250701` VALUES LESS THAN ('2025-07-15'),
 PARTITION `p20250702` VALUES LESS THAN ('2025-08-01'),
 PARTITION `p20250801` VALUES LESS THAN ('2025-08-15'),
 PARTITION `p20250802` VALUES LESS THAN ('2025-09-01'),
 PARTITION `p20250901` VALUES LESS THAN ('2025-09-15'),
 PARTITION `p20250902` VALUES LESS THAN ('2025-10-01'),
 PARTITION `p20251001` VALUES LESS THAN ('2025-10-15'),
 PARTITION `p20251002` VALUES LESS THAN ('2025-11-01'),
 PARTITION `p20251101` VALUES LESS THAN ('2025-11-15'),
 PARTITION `p20251102` VALUES LESS THAN ('2025-12-01'),
 PARTITION `p20251201` VALUES LESS THAN ('2025-12-15'),
 PARTITION `p20251202` VALUES LESS THAN ('2026-01-01'));</t>
  </si>
  <si>
    <t xml:space="preserve">[UPAY] Tác động database hỗ trợ CBP </t>
  </si>
  <si>
    <t>2025-11-20T09:07:10.361+0700</t>
  </si>
  <si>
    <t>2025-11-20T09:07:18.314+0700</t>
  </si>
  <si>
    <t>Hi a  @Nguyễn Văn Dũng   nhờ a chạy giúp em ticket sau nhé ạ. Thời gian chạy:  23h59 ngày 2025-11-20 Thông tin database :  instance: low-performance
Master IP: 172.31.1.149
Slave IP: 172.31.1.179
DB: ops_pay_service Script chạy tác động:  PROD_configuration_script.sql   PROD_configuration_script</t>
  </si>
  <si>
    <t>[CBP] [PROD] Khởi tạo DB Prod service Assigment</t>
  </si>
  <si>
    <t>2025-11-19T17:05:07.037+0700</t>
  </si>
  <si>
    <t>2025-11-20T10:21:28.384+0700</t>
  </si>
  <si>
    <t>Nhờ ae DBA, khởi tạo DB cho service mới như sau: Schema: omre_cbp_assignment User:   omre_cbp_assignment Pass gửi về Devops  @Nguyễn Đức Anh   Thanks a/e.</t>
  </si>
  <si>
    <t>[MTP][Prod] Request CDC dữ liệu từ TiDB OMC sang ODS</t>
  </si>
  <si>
    <t>2025-11-19T14:22:15.782+0700</t>
  </si>
  <si>
    <t>2025-11-19T14:22:40.481+0700</t>
  </si>
  <si>
    <t xml:space="preserve">Hi anh, Nhờ anh CDC các bảng sau từ TiDB OMC sang ODS giúp em ạ: TiDB OMC: DB:  omc-mtp-tidb.int.onemount.com:4000 Schema:  omc_merchant_loyalty ODS:  DB:  tidb.int.onemount.com:4000 Schema:  omc_merchant_loyalty 1. Danh sách bảng cần CDC: store (PK:  id ): CDC dữ liệu + schema nếu có thay đổi CR Golive: </t>
  </si>
  <si>
    <t>2025-11-19T11:35:35.087+0700</t>
  </si>
  <si>
    <t>2025-11-19T11:35:38.638+0700</t>
  </si>
  <si>
    <t>Dear team, Team em có nhu cầu bổ sung config vào database theo như script dưới đây, nhờ team chạy giúp ạ. Thông tin DB:  172.31.4.192/martech_notification_prod Thời điểm chạy: Nhờ team chạy luôn ạ. INSERT INTO martech_notification_prod.category (name_vn, name_en, description_vn, status, created_at, created_by,
                                               updated_by, updated_at, description_en, code, icon_url, note)
VALUES ('Thông báo chung', 'Notification', null, DEFAULT, DEFAULT, null, null, DEFAULT, null, 'CBP_NOTIFICATION',
        'https://cdn-crm.vinid.net/martech/notification-hubs/CBP_Cate_Notification.png', null); Ref:  https://vinid-team.atlassian.net/browse/TCW-6355 Thanks team, Thành An.</t>
  </si>
  <si>
    <t>Kéo thêm dữ liệu về ODS cho dự án WMS</t>
  </si>
  <si>
    <t>2025-11-19T11:06:14.912+0700</t>
  </si>
  <si>
    <t>2025-11-19T11:06:26.257+0700</t>
  </si>
  <si>
    <t>Mục đích sử dụng Hỗ trợ PO/BA trong việc xây dựng các báo cáo vận hành trên superset, cần thời gian thực Thông tin database nguồn như sau WES Database instance Project vinid-b2b-platform-prod IP 172.31.1.143 Schema wes_8115 Target schema:  omd_vinid_b2b_platform_prod_main_integration_wes_8115 List database và table cần sync về ODS Table name TTL (Day) data_tracking 180</t>
  </si>
  <si>
    <t>Phân quyền read source BC Superset Ex</t>
  </si>
  <si>
    <t>2025-11-19T10:23:56.743+0700</t>
  </si>
  <si>
    <t>2025-11-19T10:24:01.645+0700</t>
  </si>
  <si>
    <t>Dear Anh  @Chu Văn Châu  , cc Anh  @Nguyễn Văn Dũng   2 Anh có thể grant quyền cho em query các bảng thuộc path dưới được không ạ? Em cám ơn các Anh nhiều. Các bảng cần được phân quyền: Role: Read User: omd_superset_external_01, datnm5, ngocvtp, thaopt19 Môi trường: Superset Ex Prod ( https://analytics-ex.oneshop.vn/sqllab/ ) Path: các bảng thuộc  omd_tms_planning_prod VD:  omd_tms_planning_prod.t1_route_configs Thread</t>
  </si>
  <si>
    <t>Sync bảng ODS Prod lên ODS phục vụ BC BAU Superset Ex</t>
  </si>
  <si>
    <t>2025-11-19T10:21:49.607+0700</t>
  </si>
  <si>
    <t>2025-11-19T10:22:05.364+0700</t>
  </si>
  <si>
    <t>Dear  @Lê Minh Tú  , cc các Anh  @Chu Văn Châu   @Hoàng Tấn Quân   @Lê Huy Hùng  , Tú ơi, team có sync 1 bảng TMS Prod lên ODS để phục vụ BC BAU Superset Ex. Chi tiết bảng Anh để ở dưới nhe DB :  omd_tms_planning_prod - SQL instance tms-mysql-01 (172.31.4.129) https://console.cloud.google.com/sql/instances/tms-mysql-01/overview?project=onedc-tms-prod Table  cần sync về ODS:  t1_route_configs Anh cám ơn</t>
  </si>
  <si>
    <t>[OMC][MTP] Clear dữ liệu tracking tháng 9/2025</t>
  </si>
  <si>
    <t>2025-11-18T22:10:37.686+0700</t>
  </si>
  <si>
    <t>2025-11-18T22:10:43.120+0700</t>
  </si>
  <si>
    <t>Dear anh  @Nguyễn Văn Dũng  , nhờ anh chạy giúp em script sau: -- OMC
use omc_mtp_tracking_events;
ALTER TABLE omc_mtp_tracking_events.mtp_tracking_events_omc  DROP INDEX idx_u_message_id;
-- ALTER TABLE omc_mtp_tracking_events.mtp_tracking_events_omc DROP PARTITION p20250901;
ALTER TABLE omc_mtp_tracking_events.mtp_tracking_events_omc DROP PARTITION p20250902;
-- ALTER TABLE omc_mtp_tracking_events.mtp_tracking_events_context_omc DROP PARTITION p20250901;
ALTER TABLE omc_mtp_tracking_events.mtp_tracking_events_context_omc DROP PARTITION p20250902;
ALTER TABLE omc_mtp_tracking_events.mtp_tracking_event_sessions DROP PARTITION p2025_09;
use omc_mtp_martech_activation;
ALTER TABLE omc_mtp_martech_activation.mtp_ads_events DROP PARTITION p2025_09;
ALTER TABLE omc_mtp_martech_activation.mtp_push_events DROP PARTITION p2025_09;
ALTER TABLE omc_mtp_martech_activation.mtp_tracking_email_events DROP PARTITION p2025_09;
ALTER TABLE omc_mtp_martech_activation.mtp_tracking_email_notifications DROP PARTITION p2025_09;
ALTER TABLE omc_mtp_martech_activation.mtp_tracking_fcm_messages DROP PARTITION p2025_09;
ALTER TABLE omc_mtp_martech_activation.mtp_tracking_push_notifications DROP PARTITION p2025_09;
-- OMRE
use omre_mtp_tracking_events;
ALTER TABLE omre_mtp_tracking_events.mtp_tracking_events_omre  DROP INDEX idx_u_message_id;
-- ALTER TABLE omre_mtp_tracking_events.mtp_tracking_events_omre drop partition p20250901;
ALTER TABLE omre_mtp_tracking_events.mtp_tracking_events_omre drop partition p20250902;
-- ALTER TABLE omre_mtp_tracking_events.mtp_tracking_events_context_omre DROP PARTITION p20250901;
ALTER TABLE omre_mtp_tracking_events.mtp_tracking_events_context_omre DROP PARTITION p20250902;
-- create global index
use omc_mtp_tracking_events;
ALTER TABLE omc_mtp_tracking_events.mtp_tracking_events_omc ADD UNIQUE INDEX idx_u_message_id (message_id) GLOBAL;
use omre_mtp_tracking_events;
ALTER TABLE omre_mtp_tracking_events.mtp_tracking_events_omre ADD UNIQUE INDEX idx_u_message_id (message_id) GLOBAL; Best regards Dinh Quang Nguyen</t>
  </si>
  <si>
    <t>[OMC][Prod] Drop index in inventories table</t>
  </si>
  <si>
    <t>2025-11-18T18:14:31.730+0700</t>
  </si>
  <si>
    <t>2025-11-18T18:14:49.953+0700</t>
  </si>
  <si>
    <t>Hi anh Dũng, Anh xử lý giúp em thông tin dưới đây: IP:  172.31.1.41 Database:  vincart_mm_product Script: ALTER TABLE vincart_mm_product.inventories DROP INDEX inventories_store_code_variant_id_idx;
ALTER TABLE vincart_mm_product.inventories DROP INDEX idx_variant_id_store_code;
ALTER TABLE vincart_mm_product.inventories ADD INDEX inventories_store_code_idx (store_code), ALGORITHM=INPLACE, LOCK=NONE;</t>
  </si>
  <si>
    <t>[OMC][Prod] Delete campaign group 38</t>
  </si>
  <si>
    <t>2025-11-18T17:59:07.077+0700</t>
  </si>
  <si>
    <t>2025-11-18T17:59:38.938+0700</t>
  </si>
  <si>
    <t>Hi anh Dũng, Anh xử lý giúp em thông tin dưới đây: IP:  172.31.1.41 Database:  vincart_rate_limit Script: DELETE FROM vincart_rate_limit.group_limit_settings
WHERE group_id = 38 and entity_code = '2PpygR4Dd';</t>
  </si>
  <si>
    <t>2025-11-18T17:22:29.715+0700</t>
  </si>
  <si>
    <t>2025-11-18T18:14:15.565+0700</t>
  </si>
  <si>
    <t>Hi team, OMRE cần thực hiện migrate thông tin địa chỉ hành chính 2 cấp nên cần thêm các columns vào các bảng có sẵn Nhờ team DBA thực hiện đánh giá và tư vấn về việc thay đổi theo thông tin như sau: Release plan:   DB:  jdbc:mysql://omre-onehs-mysql-main.int.onemount.com:3306/onehs_housing_dictionary Schema Migration Script:  MR:  https://gitlab.id.vin/1housing/master-data/housing-dictionary/-/merge_requests/189/diffs#diff-content-87aec09d22b4bd34abc30bf1ee7e84a15eef4a1e Nội dung script: ALTER TABLE PROJECT_LOCATIONS
    ADD COLUMN province_v2 VARCHAR(200) DEFAULT NULL,
    ADD COLUMN province_code_v2 VARCHAR(200) DEFAULT NULL,
    ADD COLUMN ward_v2 VARCHAR(200) DEFAULT NULL,
    ADD COLUMN ward_code_v2 VARCHAR(200) DEFAULT NULL,
    ALGORITHM=INPLACE, LOCK=NONE;
ALTER TABLE SECTOR_LOCATIONS
    ADD COLUMN province_v2 VARCHAR(200) DEFAULT NULL,
    ADD COLUMN province_code_v2 VARCHAR(200) DEFAULT NULL,
    ADD COLUMN ward_v2 VARCHAR(200) DEFAULT NULL,
    ADD COLUMN ward_code_v2 VARCHAR(200) DEFAULT NULL,
    ALGORITHM=INPLACE, LOCK=NONE;
ALTER TABLE BLOCK_LOCATIONS
    ADD COLUMN province_v2 VARCHAR(200) DEFAULT NULL,
    ADD COLUMN province_code_v2 VARCHAR(200) DEFAULT NULL,
    ADD COLUMN ward_v2 VARCHAR(200) DEFAULT NULL,
    ADD COLUMN ward_code_v2 VARCHAR(200) DEFAULT NULL,
    ALGORITHM=INPLACE, LOCK=NONE;
ALTER TABLE PROPERTY_ADDRESSES
    ADD COLUMN province_v2 VARCHAR(200) DEFAULT NULL,
    ADD COLUMN province_code_v2 VARCHAR(200) DEFAULT NULL,
    ADD COLUMN ward_v2 VARCHAR(200) DEFAULT NULL,
    ADD COLUMN ward_code_v2 VARCHAR(200) DEFAULT NULL,
    ALGORITHM=INPLACE, LOCK=NONE;</t>
  </si>
  <si>
    <t>[OMC][PS2][Loyalty][PROD] - Thực hiện archive dữ liệu Counter History cho DB Loyalty - Tháng 11/2025</t>
  </si>
  <si>
    <t>2025-11-18T17:02:04.723+0700</t>
  </si>
  <si>
    <t>2025-12-22T18:00:18.835+0700</t>
  </si>
  <si>
    <t>Dear DBA Team, Nằm trong phạm vi công việc archive dữ liệu lịch sử của 1 số bảng lớn trong DB LOYALTY, để tối ưu dung lượng lưu trữ data , tránh để data lưu trữ quá lớn trong DB dẫn tới chi phí phần cứng tăng và giảm hiệu suất IO khi truy xuất data lớn. Thực hiện archive dữ liệu bảng của bảng Counter History. Điều kiện xoá dữ liệu bảng Counter History Counter có trạng thái Inactive Counter History có End Date nhỏ hơn 6 tháng so với thời gian hiện tại ( policy data live time 6 months) Do thực hiện lần đầu nên sẽ chia nhỏ lệnh xoá theo từng thàng Chi tiết như sau:   			 Lưu ý: Cần thực hiện backup theo quy trình archive dữ liệu Thực rebuild and gather statistics cho bảng sau khi xoá. Thansk!</t>
  </si>
  <si>
    <t>MH - Support update card import template</t>
  </si>
  <si>
    <t>2025-11-18T15:35:36.212+0700</t>
  </si>
  <si>
    <t>2025-11-18T15:38:00.647+0700</t>
  </si>
  <si>
    <t>Hi các anh,  Sprint vưà rồi bên em triển khai update tính năng import thẻ, cần update config template, nhờ các anh support update giúp em ạ. Đây là câu query ạ: thông tin database: data_transfer UPDATE data_types
SET template_config = '{
  "main_sheet": {
    "fields": [
      {
        "label": "Mã dự án",
        "required": true,
        "data_type": "string",
        "field_name": "project_code",
        "description": "Mã dự án là thông tin bắt buộc, phải trùng khớp với mã dự án đã tồn tại trong hệ thống và thuộc quản lý của nơi làm việc",
        "example_data": "LUMRS_TW-X41.07"
      },
      {
        "label": "Mã hệ thống Parking",
        "required": true,
        "data_type": "string",
        "field_name": "system_card_id",
        "description": "Mã hệ thống Parking là thông tin bắt buộc, unique và chưa tồn tại trong hệ thống",
        "example_data": "9874000000"
      },
      {
        "label": "Mã hệ thống AC",
        "required": false,
        "data_type": "string",
        "field_name": "access_control_card_id",
        "description": "Mã hệ thống AC là thông tin bắt buộc với loại thẻ an ninh",
        "example_data": "9874000000"
      },
      {
        "label": "Mã in trên thẻ",
        "required": true,
        "data_type": "string",
        "field_name": "printed_card_id",
        "description": "Mã hệ thống là thông tin bắt buộc, unique cho mỗi loại thẻ trong dự án",
        "example_data": "33063"
      },
      {
        "label": "Loại thẻ",
        "required": true,
        "data_type": "dropdown",
        "field_name": "type",
        "description": "Loại thẻ là thông tin bắt buộc, Nhập đúng 1 trong 4 giá trị: Thẻ an ninh / Thẻ ô tô / Thẻ xe máy vãng lai / Thẻ ô tô vãng lai/ thẻ xe đạp vãng lai",
        "example_data": "Thẻ an ninh",
        "dropdown_source": "cardTypes"
      },
      {
        "label": "Nơi quản lý",
        "required": false,
        "data_type": "string",
        "field_name": "management_location",
        "description": "",
        "example_data": "Văn phòng bảo vệ"
      }
    ],
    "file_size": 10,
    "sheet_name": "Nhập kho thẻ"
  }
}'
WHERE code = 'CARD';</t>
  </si>
  <si>
    <t>[OMD][Prod] Hỗ trợ tạo thêm dữ liệu hệ thống IAMS</t>
  </si>
  <si>
    <t>2025-11-18T14:56:11.871+0700</t>
  </si>
  <si>
    <t>2025-11-18T15:20:42.305+0700</t>
  </si>
  <si>
    <t>Hi Team  Nhờ team update chạy script này:  INSERT INTO  ConnectionInfo  ( createdAt ,  createdBy ,  deleted ,  lastModifiedAt ,  lastModifiedBy ,  version ,  connection ,  connection_type ,  name ,  provider ) VALUES (CURRENT_TIMESTAMP() , 'hunglh@onemount.com', 0, CURRENT_TIMESTAMP() , 'hunglh@onemount.com', 0, 'masterise-group-office365', 'SAML2', 'MASTERISE-GROUP-OFFICE365', 'masterise-group-office365'); Thông tin Database  mysql://172.31.4.59:3306/omd_iom_prod</t>
  </si>
  <si>
    <t xml:space="preserve">[Prod] Delete group id in ratelimit </t>
  </si>
  <si>
    <t>2025-11-18T10:48:06.963+0700</t>
  </si>
  <si>
    <t>2025-11-18T10:48:10.725+0700</t>
  </si>
  <si>
    <t>Hi anh Dũng, Anh xử lý giúp em thông tin dưới đây: IP:  172.31.1.41 Database:  vincart_rate_limit Script: # Inactive ratelimit
UPDATE vincart_rate_limit.limit_config
SET status='inactive'
WHERE id in (select limit_config_id FROM vincart_rate_limit.group_limits
WHERE id in (36,33,30,10,9,8,6,4));
# Delete group id
DELETE FROM vincart_rate_limit.group_limits
WHERE id in (36,33,30,10,9,8,6,4);</t>
  </si>
  <si>
    <t>[TPAY][NON-PROD] Tạo tài khoản SFTP cho merchant CYT lấy file báo cáo đối soát</t>
  </si>
  <si>
    <t>2025-11-17T16:59:49.975+0700</t>
  </si>
  <si>
    <t>2025-11-17T16:59:54.165+0700</t>
  </si>
  <si>
    <t>Dự án Tpay cần cấp tài khoản và 1 thư mục con trong thư mục trong thư mục tpay dành cho đối tác CYT để đọc file từ sFTP server. Thông tin sFTP server cần kết nối đến: Non-prod:  35.229.130.107:2022 Nhờ team support tạo server và cấp account cho dự án. Em tên thư mục và folder ạ. Account: quycyt Folder: quycyt</t>
  </si>
  <si>
    <t>2025-11-17T16:42:43.873+0700</t>
  </si>
  <si>
    <t>2025-11-21T09:03:27.348+0700</t>
  </si>
  <si>
    <t>Nhờ các sếp migrate data môi trường dev của b2b pcm theo thông tin sau do QC đã update dữ liệu mới ạ B2B PCM jdbc:mysql://vinid-app-common-dev--main-mysql-8.cloudsql.int:3306/omd_b2b_custom_pcm_qc
ụp vào jdbc:mysql://vinid-app-common-dev--main-mysql-8.cloudsql.int:3306/omd_b2b_custom_pcm_dev e cảm ơn</t>
  </si>
  <si>
    <t>[OMC][PS2][Loyalty][PROD] - Thực hiện archive dữ liệu Member Attribute cho DB Loyalty - Tháng 11/2025</t>
  </si>
  <si>
    <t>2025-11-17T16:37:28.434+0700</t>
  </si>
  <si>
    <t>2025-11-18T16:46:49.258+0700</t>
  </si>
  <si>
    <t>Dear DBA Team, Nằm trong phạm vi công việc archive dữ liệu lịch sử của 1 số bảng lớn trong DB LOYALTY, để tối ưu dung lượng lưu trữ data , tránh để data lưu trữ quá lớn trong DB dẫn tới chi phí phần cứng tăng và giảm hiệu suất IO khi truy xuất data lớn. Thực hiện archive dữ liệu bảng của bảng Member Attribute theo đều kiện bản ghi có Status = 'I' Các bước thực hiện. B1: Thông kê số liệu select /*+ parallel(8) */ count(*) from OLOYALTY.MEMBER_ATTRIBUTE where STATUS = 'I'; B2: Delete bản ghi DELETE FROM OLOYALTY.MEMBER_ATTRIBUTE WHERE STATUS = 'I'; Lưu ý: Cần thưc hiện backup theo quy trình archive dữ liệu. Thanks!</t>
  </si>
  <si>
    <t>[OMC][LP][Core] - Drop index and gather index statistics (bao gồm rebuild index, rebuild PK) các bảng _VERSIONING</t>
  </si>
  <si>
    <t>2025-11-17T15:47:54.084+0700</t>
  </si>
  <si>
    <t>2025-11-18T16:38:48.122+0700</t>
  </si>
  <si>
    <t>Dear Team DAB, Nhờ team drop các Index sau :  DROP INDEX CUSTOMER_PROFILE_VERSIONING_VERSION_DATE_IDX;
DROP INDEX CUSTOMER_CARD_INFO_VERSIONING_VERSION_DATE_IDX;
DROP INDEX CUSTOMER_PRODUCT_INFO_VERSIONING_VERSION_DATE_IDX;
DROP INDEX MEMBER_INFO_VERSIONING_VERSION_DATE_IDX; Và gather index statistics (bao gồm rebuild index, rebuild PK)) cho 4 bảng sau : OLOYALTY.MEMBER_INFO_VERSIONING
OLOYALTY.CUSTOMER_CARD_INFO_VERSIONING
OLOYALTY.CUSTOMER_PROFILE_VERSIONING
OLOYALTY.CUSTOMER_PRODUCT_INFO_VERSIONING</t>
  </si>
  <si>
    <t>2025-11-17T14:51:21.597+0700</t>
  </si>
  <si>
    <t>2025-11-20T12:35:26.511+0700</t>
  </si>
  <si>
    <t>Dear team DBA, Team CDP bên CBP  đang có nhu cầu kéo dữ liệu từ CBP PROD về DP PROD phục vụ việc build model. Nhờ các anh  hỗ trợ tạo topic theo danh sách sau ạ: Môi trường Database Tables MySQL:  PROD Host: 172.31.4.127 Port: 3306 omre_cbp_activity assignments
debezium_heartbeat
debezium_signal
relations
task_templates
task_types
tasks omre_cbp_agent_core address
admin_master_agents
admins
agent_level_history
agent_level_progress
agent_task_progress
agents
app_configs
bank_accounts
branches
careers
command_templates
commands
debezium_heartbeat
debezium_signal
documents
eav_attribute_boolean_values
eav_attribute_date_values
eav_attribute_decimal_values
eav_attribute_int_values
eav_attribute_json_values
eav_attribute_text_values
eav_attribute_varchar_values
eav_attributes
eav_relations
econtracts
ekyc_informations
ekyc_steps_details
email_verify
email_verify_history
job_errors
job_logs
level_task_requirements
level_templates
master_agents
onboarding_processes
onboarding_step_data
regions
shedlock
task_templates
upload_images
workflow_events omre_cbp_calendar Tables: evt_event_attendees
evt_event_relations
evt_events omre_cbp_collab cont_addresses
cont_bank_accounts
cont_contact_listings
cont_contact_participants
cont_contact_profiles
cont_contacts
cont_emails
cont_id_documents
cont_phone_numbers
cont_root_addresses
cont_root_bank_accounts
cont_root_contact_profiles
cont_root_contacts
cont_root_emails
cont_root_id_documents
cont_root_phone_numbers
debezium_heartbeat
debezium_signal
dlr_agreement_participants
dlr_agreements
dlr_deal_room_inquiries
dlr_deal_room_participants
dlr_deal_rooms
dlr_offers
eav_attribute_boolean_values
eav_attribute_date_values
eav_attribute_decimal_values
eav_attribute_int_values
eav_attribute_json_values
eav_attribute_text_values
eav_attribute_varchar_values
eav_attributes
eav_relations
inq_inquiries
inq_inquiry_contacts
inq_inquiry_demands
inq_inquiry_participants
match_bookmark_listing_histories
match_bookmark_listings
quick_filters
sc_channels
sc_source_channels
sc_sources
sto_file_links
sto_file_versions
sto_files
sto_import_details
sto_imports
tag_tag_groups
tag_tag_synonyms
tag_taggables
tag_tags omre_cbp_transaction app_configs
deal_cpra_assignments
deal_fee_rules
debezium_heartbeat
debezium_signal
eav_attribute_boolean_values
eav_attribute_date_values
eav_attribute_decimal_values
eav_attribute_int_values
eav_attribute_json_values
eav_attribute_text_values
eav_attribute_varchar_values
eav_attributes
eav_relations
fee_templates
fee_type_configs
gci_collection_requests
gsm_configuration
gsm_transaction
income_fees
income_ledgers
job_errors
job_logs
payment_ledger_links
payment_requests
payout_policies
payout_policy_rules
shedlock
system_dictionaries
template_selection_rule_criteria
template_selection_rules
transaction_cpra_rules
transaction_histories
transaction_participants
transaction_phase_statuses
transaction_task_templates
transaction_tasks
transaction_templates
transactions MongoDB:  PROD Host:  omre-cbp-prod.8j11t.mongodb.net Port: 27017 omre_cbp_listing approval_requests
listings
media
verification_results</t>
  </si>
  <si>
    <t>[OM][BackuptoDC][PROD] Backup DB onehs_user_profile về dưới DC tháng 10/2025</t>
  </si>
  <si>
    <t>2025-11-17T10:15:52.395+0700</t>
  </si>
  <si>
    <t>2025-11-17T10:16:43.388+0700</t>
  </si>
  <si>
    <t>Do nhu cầu cần thực hiện backup thêm DB onehs_user_profile từ Cloud về dưới DC (theo flow backup 7 DB chứa dữ liệu PSII,  chi tiết ) , nên nhờ các anh team DBA hỗ trợ dump data theo thông tin bên dưới để team kéo về DC. Em cám ơn ạ! Thông tin DB DB name onehs_user_profile Hosts 1housing.8j11t.gcp.mongodb.net:27017 1housing-shard-00-01.8j11t.gcp.mongodb.net:27017 1housing-shard-00-00.8j11t.gcp.mongodb.net:27017 1housing-shard-00-02.8j11t.gcp.mongodb.net:27017 Nơi lưu trữ DC</t>
  </si>
  <si>
    <t>[UPAY] Tác động database golive release sprint 15.11</t>
  </si>
  <si>
    <t>2025-11-17T08:57:51.169+0700</t>
  </si>
  <si>
    <t>2025-11-17T08:57:56.787+0700</t>
  </si>
  <si>
    <t>Description Hi a  @Nguyễn Văn Dũng   nhờ a chạy giúp em ticket sau nhé ạ. Thời gian chạy:  23h59 ngày 2025-11-15 Thông tin database  saas_tpay:  pay-tidb.int.onemount.com:4000/saas_tpay CREATE TABLE MAKER_APPROVAL_LEVEL_CONFIG
(
    ID             BIGINT PRIMARY KEY AUTO_INCREMENT,
    SERVICE        varchar(100) not null,
    MODULE         varchar(100) not null,
    REQUEST_TYPE   varchar(50)  null,
    MERCHANT_CODE  varchar(50)  null,
    APPROVAL_LEVEL TINYINT UNSIGNED NULL DEFAULT NULL,
    STATUS         varchar(10) COLLATE utf8mb4_unicode_ci DEFAULT NULL,
    DELETED        BOOLEAN                                DEFAULT 0,
    CREATED_DATE   timestamp    NULL                      DEFAULT NULL,
    CREATED_BY     varchar(50) COLLATE utf8mb4_unicode_ci DEFAULT NULL,
    UPDATED_DATE   timestamp    NULL                      DEFAULT NULL,
    UPDATED_BY     varchar(50) COLLATE utf8mb4_unicode_ci DEFAULT NULL,
    INDEX (SERVICE, MODULE, REQUEST_TYPE),
    INDEX (MERCHANT_CODE)
) ENGINE = InnoDB
  DEFAULT CHARSET = utf8mb4
  COLLATE = utf8mb4_unicode_ci;
CREATE TABLE MAKER_CHECKER_CONFIG
(
    ID             BIGINT PRIMARY KEY AUTO_INCREMENT,
    SERVICE        VARCHAR(100) COLLATE utf8mb4_unicode_ci NOT NULL,
    MODULE         VARCHAR(100) COLLATE utf8mb4_unicode_ci NOT NULL,
    REQUEST_TYPE   VARCHAR(50) COLLATE utf8mb4_unicode_ci       DEFAULT null,
    ACTION         VARCHAR(100) COLLATE utf8mb4_unicode_ci NOT NULL,
    APPROVAL_LEVEL TINYINT UNSIGNED NULL DEFAULT NULL,
    PERMISSIONS    TEXT COLLATE utf8mb4_unicode_ci              DEFAULT NULL,
    EMAIL_CONFIG   JSON                                         DEFAULT NULL,
    CREATED_DATE   TIMESTAMP                               NULL DEFAULT NULL,
    CREATED_BY     VARCHAR(50) COLLATE utf8mb4_unicode_ci       DEFAULT NULL,
    UPDATED_DATE   TIMESTAMP                               NULL DEFAULT NULL,
    UPDATED_BY     VARCHAR(50) COLLATE utf8mb4_unicode_ci       DEFAULT NULL,
    INDEX (SERVICE, MODULE, REQUEST_TYPE, APPROVAL_LEVEL)
) ENGINE = InnoDB
  DEFAULT CHARSET = utf8mb4
  COLLATE = utf8mb4_unicode_ci;
INSERT INTO MAKER_APPROVAL_LEVEL_CONFIG(SERVICE, MODULE, REQUEST_TYPE, MERCHANT_CODE, APPROVAL_LEVEL, STATUS, CREATED_DATE)
    VALUE ('TPAY-MERCHANT', 'REFUND', NULL, 'CIRCLEK', 2, 'ACTIVE', CURRENT_TIMESTAMP);
INSERT INTO MAKER_APPROVAL_LEVEL_CONFIG(SERVICE, MODULE, REQUEST_TYPE, MERCHANT_CODE, APPROVAL_LEVEL, STATUS, CREATED_DATE)
    VALUE ('TPAY-MERCHANT', 'REFUND', NULL, 'VINIDPAY', 2, 'ACTIVE', CURRENT_TIMESTAMP);
INSERT INTO MAKER_CHECKER_CONFIG(SERVICE, MODULE, ACTION, APPROVAL_LEVEL, PERMISSIONS, EMAIL_CONFIG, CREATED_DATE)
    VALUES
        ('TPAY-MERCHANT', 'REFUND', 'APPROVE', 1, 'approve:tpay_mc_refund_request,approve:tpay_mc_refund_checker1_request', null, CURRENT_TIMESTAMP),
        ('TPAY-MERCHANT', 'REFUND', 'REJECT', 1, 'reject:tpay_mc_refund_request,reject:tpay_mc_refund_checker1_request', null, CURRENT_TIMESTAMP),
        ('TPAY-MERCHANT', 'REFUND', 'RETURN', 1, 'return:tpay_mc_refund_request,return:tpay_mc_refund_checker1_request', null, CURRENT_TIMESTAMP),
        ('TPAY-MERCHANT', 'REFUND', 'APPROVE', 2, 'approve:tpay_mc_refund_checker2_request', '{"template": "685a6b5fcec1d96108716b26"}', CURRENT_TIMESTAMP),
        ('TPAY-MERCHANT', 'REFUND', 'REJECT', 2, 'reject:tpay_mc_refund_checker2_request', null, CURRENT_TIMESTAMP),
        ('TPAY-MERCHANT', 'REFUND', 'RETURN', 2, 'return:tpay_mc_refund_checker2_request', null, CURRENT_TIMESTAMP)
; Xóa các bảng backup   DROP TABLE IF EXISTS 
    BACKUP_15092025_ACCOUNT,
    BACKUP_15092025_MERCHANT,
    BACKUP_15092025_TERMINAL,
    BACKUP_15092025_SOFTPOS_QR_MERCHANT,
    BACKUP_15092025_SERVICE,
    BACKUP_20250917_UNIFIED_TERMINAL,
    BACKUP_20250917_SOFTPOS_TERMINAL,
    BACKUP_20250917_TERMINAL,
    BACKUP_20250917_SOFTPOS_QR_TERMINAL,
    BACKUP_20251017_STORE,
    BACKUP_20251017_SERVICE,
    BACKUP_15092025_SOFTPOS_QR_STORE,
    BACKUP_20251017_TERMINAL,
    BACKUP_15092025_STORE,
    BACKUP_15092025_SERVICE_ACCOUNT,
    BACKUP_15092025_UNIFIED_TERMINAL,
    BACKUP_15092025_SOFTPOS_MERCHANT,
    BACKUP_15092025_UNIFIED_STORE,
    BACKUP_15092025_UNIFIED_MERCHANT_SERVICE,
    BACKUP_20251017_MERCHANT,
    BACKUP_15092025_SOFTPOS_TERMINAL,
    BACKUP_15092025_SOFTPOS_QR_TERMINAL,
    BACKUP_15092025_UNIFIED_MERCHANT,
    SERVICE_bk20240915,
    SOFTPOS_QR_MERCHANT_bk20240915,
    SOFTPOS_TERMINAL_bk20240915,
    ACCOUNT_bk20240915,
    SOFTPOS_MERCHANT_bk20240915,
    TERMINAL_bk20240915,
    SOFTPOS_QR_STORE_bk20240915,
    SOFTPOS_QR_TERMINAL_bk20240915,
    SERVICE_ACCOUNT_bk20240915,
    STORE_bk20240915,
    MERCHANT_bk20240915; Xóa index ALTER TABLE SOUNDBOX_NOTIFICATION DROP INDEX IF EXISTS idx_datets_txn_device_upd;
ALTER TABLE SOUNDBOX_NOTIFICATION DROP INDEX IF EXISTS idx_merid_stid_terid;
ALTER TABLE SOUNDBOX_NOTIFICATION DROP INDEX IF EXISTS idx_devi_tranid_created_at;
ALTER TABLE SOUNDBOX_NOTIFICATION DROP INDEX IF EXISTS idx_datets_txn_id;
ALTER TABLE SOUNDBOX_NOTIFICATION DROP INDEX IF EXISTS idx_sn_device_created;
ALTER TABLE SOUNDBOX_NOTIFICATION DROP INDEX IF EXISTS SOUNDBOX_NOTIFICATION_DEVICE_SERIAL_NUMBER_INDEX;
ALTER TABLE SOUNDBOX_NOTIFICATION DROP INDEX IF EXISTS idx_branch_code;
ALTER TABLE SOUNDBOX_NOTIFICATION DROP INDEX IF EXISTS SOUNDBOX_NOTIFICATION_VENDOR_CODE_INDEX;
ALTER TABLE SOUNDBOX_NOTIFICATION DROP INDEX IF EXISTS SOUNDBOX_NOTIFICATION_DEVICE_MODEL_INDEX;
ALTER TABLE SOUNDBOX_NOTIFICATION DROP INDEX IF EXISTS NOTIFY_DATE; Chạy tạo lại index sau trên ODS ALTER TABLE SOUNDBOX_NOTIFICATION ADD INDEX IF NOT EXISTS idx_branch_code (branch_code);
ALTER TABLE SOUNDBOX_NOTIFICATION ADD INDEX IF NOT EXISTS idx_datets_txn_device_upd (transaction_date_ts, transaction_id, device_serial_number, updated_at);
ALTER TABLE SOUNDBOX_NOTIFICATION ADD INDEX IF NOT EXISTS idx_datets_txn_id (transaction_date_ts, transaction_id); Thông tin db  :  vinpay-sql-saas-master.int.vinid.net:3306/saas_maker_checker ALTER TABLE MAKER_CONFIG
    ADD COLUMN APPROVAL_LEVEL TINYINT UNSIGNED NULL DEFAULT NULL;
INSERT INTO MAKER_CONFIG(SERVICE, MODULE, ACTION, MAKER_PERMISSION, SEND_EMAIL_MAKER, TEMPLATE_ID, APPROVAL_LEVEL) VALUE
    ('TPAY-MERCHANT', 'REFUND', 'SUBMIT', 'create:tpay_mc_refund_request', true, '685a6b5fcec1d96108716b26', 2);</t>
  </si>
  <si>
    <t>[UPAY][PROD] Script release ngày 15/11/2025</t>
  </si>
  <si>
    <t>2025-11-17T08:56:02.172+0700</t>
  </si>
  <si>
    <t>2025-11-17T08:56:36.274+0700</t>
  </si>
  <si>
    <t>Hi a  @Nguyễn Văn Dũng  nhờ a chạy script theo mô tả  dưới đây ở môi trường PRODUCTION theo thông tin dưới đây ạ: Thời gian chạy script: Vào lúc  01h00p ngày 16/11/2025   - Khi team thông báo Thông tin database saas_tpay:  pay-tidb.int.onemount.com:4000/saas_tpay CR Ticket:  https://vinid-team.atlassian.net/servicedesk/customer/portal/15/SH-67416?created=true Script: INSERT INTO SYSTEM_CONFIGURATION
    (SYSTEM_PARAM_CODE, SYSTEM_PARAM_NAME, SYSTEM_PARAM_VALUE, IS_ACTIVE)
VALUES ('SMART_POS_APP_OFFLINE_QR', 'SMART_POS_APP_OFFLINE_QR', 'OFF', 1),
       ('SMART_POS_APP_OFFLINE_CARD', 'SMART_POS_APP_OFFLINE_CARD', 'OFF', 1);</t>
  </si>
  <si>
    <t>[OMC][DP][Kafka][PROD] Hỗ trợ tạo kafka topic cho các bảng TiDB Database saas_tpay</t>
  </si>
  <si>
    <t>2025-11-15T12:36:25.544+0700</t>
  </si>
  <si>
    <t>2025-11-15T12:37:20.282+0700</t>
  </si>
  <si>
    <t>Dear anh Linh, Phục vụ sourcing dữ liệu Soundbox cho TCB golive 22/11. Nhờ anh tạo kafka topic cho các bảng sau: Host:  pay-tidb.int.onemount.com Port:  4000 Database name:  saas_tpay Table: tcb_device_history soundbox_notification cc chị  @Lê Vũ Kim Khánh</t>
  </si>
  <si>
    <t>[Merchant-TCB] Hỗ trợ bổ sung dữ liệu 202511115</t>
  </si>
  <si>
    <t>2025-11-15T12:33:06.200+0700</t>
  </si>
  <si>
    <t>2025-11-15T12:33:11.507+0700</t>
  </si>
  <si>
    <t>Dear team, Nhờ team chạy giúp câu lệnh bên dưới ạ. Thông tin database https://console.cloud.google.com/sql/instances/merchant-tcb/overview?inv=1&amp;invt=AbsndA&amp;project=vinid-merchant-prod DB_MYSQL_HOST=172.31.4.108
DB_MYSQL_DATABASE=merchant_service_tcb Câu lệnh INSERT INTO `tpay_staff_permission` (`created_at`, `updated_at`, `deleted_at`, `module`, `code`, `name`, `description`) VALUES
('2025-11-15 07:00:00', '2025-11-15 07:00:00', NULL, 'Yêu cầu hoàn tiền', 'return:tpay_mc_refund_checker1_request', 'Phê duyệt cấp 1', 'Yêu cầu chỉnh sửa (Return)'),
('2025-11-15 07:00:00', '2025-11-15 07:00:00', NULL, 'Yêu cầu hoàn tiền', 'reject:tpay_mc_refund_checker1_request', 'Phê duyệt cấp 1', 'Từ chối (Reject)'),
('2025-11-15 07:00:00', '2025-11-15 07:00:00', NULL, 'Yêu cầu hoàn tiền', 'approve:tpay_mc_refund_checker1_request', 'Phê duyệt cấp 1', 'Duyệt cấp 2'),
('2025-11-15 07:00:00', '2025-11-15 07:00:00', NULL, 'Yêu cầu hoàn tiền', 'export:tpay_mc_refund_checker1_request', 'Phê duyệt cấp 1', 'Xuất'),
('2025-11-15 07:00:00', '2025-11-15 07:00:00', NULL, 'Yêu cầu hoàn tiền', 'view:tpay_mc_refund_checker1_request', 'Phê duyệt cấp 1', 'Xem'),
('2025-11-15 07:00:00', '2025-11-15 07:00:00', NULL, 'Yêu cầu hoàn tiền', 'return:tpay_mc_refund_checker2_request', 'Phê duyệt cấp 2', 'Yêu cầu chỉnh sửa (Return)'),
('2025-11-15 07:00:00', '2025-11-15 07:00:00', NULL, 'Yêu cầu hoàn tiền', 'reject:tpay_mc_refund_checker2_request', 'Phê duyệt cấp 2', 'Từ chối (Reject)'),
('2025-11-15 07:00:00', '2025-11-15 07:00:00', NULL, 'Yêu cầu hoàn tiền', 'approve:tpay_mc_refund_checker2_request', 'Phê duyệt cấp 2', 'Duyệt cấp 2'),
('2025-11-15 07:00:00', '2025-11-15 07:00:00', NULL, 'Yêu cầu hoàn tiền', 'export:tpay_mc_refund_checker2_request', 'Phê duyệt cấp 2', 'Xuất'),
('2025-11-15 07:00:00', '2025-11-15 07:00:00', NULL, 'Yêu cầu hoàn tiền', 'view:tpay_mc_refund_checker2_request', 'Phê duyệt cấp 2', 'Xem');</t>
  </si>
  <si>
    <t>2025-11-15T12:28:06.876+0700</t>
  </si>
  <si>
    <t>2025-11-15T12:28:15.164+0700</t>
  </si>
  <si>
    <t xml:space="preserve">Hi anh, Nhờ anh CDC các bảng sau từ TiDB OMC sang ODS giúp em ạ: TiDB OMC: DB:  omc-mtp-tidb.int.onemount.com:4000 Schema:  omc_merchant_loyalty ODS:  DB:  tidb.int.onemount.com:4000 Schema:  omc_merchant_loyalty   1. Danh sách bảng cần CDC: contract (PK:  id ): CDC dữ liệu + schema nếu có thay đổi 3. Thêm index cho các bảng mới ở ODS: CREATE INDEX IF NOT EXISTS idx_contract_type_status ON omc_merchant_loyalty.contract (status, type);
CREATE INDEX IF NOT EXISTS idx_campaign_status_type ON omc_merchant_loyalty.campaign (status, type); CR Golive:   </t>
  </si>
  <si>
    <t>2025-11-15T11:05:30.795+0700</t>
  </si>
  <si>
    <t>2025-11-15T11:16:57.262+0700</t>
  </si>
  <si>
    <t>Dear team DBA Nhờ team chạy giúp em ticket này để xóa dữ liệu trùng ạ project: vincart-prod instance: main ip: 172.31.1.41 DB: vincart_mm_merchant DELETE FROM `stores_settings` WHERE id = 18481</t>
  </si>
  <si>
    <t>[VINIDPAY][RnF][PROD] Request account quyền read để check dữ liệu</t>
  </si>
  <si>
    <t>2025-11-15T10:06:25.681+0700</t>
  </si>
  <si>
    <t>2025-11-15T10:21:17.489+0700</t>
  </si>
  <si>
    <t>Vào lúc  1AM ngày 31/10  team SRE sẽ thực hiện bảo trì Memorystore Redis trên môi trường PRODUCTOIN. QC bên em có check phần kickout theo device_id hiện tại thấy chưa work, em có kiểm tra code thì đang lấy dữ liệu từ service  gryffindor  , service này sử dụng mongos làm DB.  Nhờ các anh kiểm tra và gán quyền user read giúp em để em check dữ liệu trên prod thông qua vDesktop với ạ. E gửi thông tin DB :  DB  one-shield project: vinid-risk-fraud-prod Port: 27017 domain:  riskfraud-mongos-ilb.int.onemount.com</t>
  </si>
  <si>
    <t>[OMC][DP] V/v tạo topic bảng mới</t>
  </si>
  <si>
    <t>2025-11-15T09:55:13.268+0700</t>
  </si>
  <si>
    <t>2025-11-15T12:00:32.264+0700</t>
  </si>
  <si>
    <t>Dear Linh, Em tạo giúp anh topic cho các bảng sau để anh kéo về DP với nhé: {{Project: vincart-prod }} {{IP: 172.31.1.41 }} {{DB name: vincart_mm_merchant }} Table name: collection_stores ;  merchant_tags</t>
  </si>
  <si>
    <t>Off hr_model Database trên 172_31_4_118 MySQL</t>
  </si>
  <si>
    <t>2025-11-15T09:28:52.035+0700</t>
  </si>
  <si>
    <t>2025-11-15T09:29:10.949+0700</t>
  </si>
  <si>
    <t>Hi Team DBA, Luồng dữ liệu HR_Remodel trước đây được build trên 172_31_4_118 MySQL, trong quá trình phát triển có thay đổi và chuyển sang cụm TiDB ODS. Do vậy, nhờ team DBA tiến hành off db này sớm.  Trước khi off thì cần kiểm tra các kết nối đến 172_31_4_118 MySQL và lock user: hr_model trong 1 tuần tới để theo dõi. Regards, Vĩnh.</t>
  </si>
  <si>
    <t>[MAG][IOTek][MCM][PROD] Xóa các dữ liệu rác trên db PROD</t>
  </si>
  <si>
    <t>2025-11-14T18:10:34.552+0700</t>
  </si>
  <si>
    <t>2025-11-17T10:20:13.124+0700</t>
  </si>
  <si>
    <t>Removed</t>
  </si>
  <si>
    <t xml:space="preserve">Đây là các dữ liệu rác không có giá trị Cách thực hiện :    Khi thực hiện call procedure vui lòng liên hệ tuan.nguyen30 </t>
  </si>
  <si>
    <t>[CDP] Request chạy script trên ODS</t>
  </si>
  <si>
    <t>2025-11-14T17:26:10.331+0700</t>
  </si>
  <si>
    <t>2025-11-14T17:55:27.484+0700</t>
  </si>
  <si>
    <t>Dear anh Dũng, Nhờ anh chạy giúp em script theo file em đính kèm trong ticket ạ DB:  tidb.int.onemount.com:4000 Schema:  dp_omc_semantic_omc_bsi_cdp</t>
  </si>
  <si>
    <t>[OMRE][OneHS-Agent][PROD] Update data trên PROD</t>
  </si>
  <si>
    <t>2025-11-14T15:31:50.890+0700</t>
  </si>
  <si>
    <t>2025-11-14T15:51:48.638+0700</t>
  </si>
  <si>
    <t>Nhờ team chạy các lệnh UPDATE trên MySQL Production như sau ạ: URL:  mysql://omre-onehs-mysql-main.int.onemount.com:3306/onehs_dictionary Query: UPDATE INVENTORY_PROPERTIES set status = "REVOKED", available_for_sale_status = "NOT_AVAILABLE", last_modified_date = "2025-11-14 16:00:00", last_modified_by = "master_data_admin" WHERE id = "9e378d17-4491-4d69-9ab6-abe0dbbf23b1";
INSERT INTO eav_attribute_json_values (eav_attribute_id, entity_id, entity_id_v2, data_type, name, value, created_by, created_date, last_modified_by, last_modified_date) VALUES ((SELECT eav_attribute_id FROM eav_attributes WHERE field_name = "updating_status_reason"), 0, "9e378d17-4491-4d69-9ab6-abe0dbbf23b1", "PICKLIST_MULTI_SELECT", "updating_status_reason", '[ { "id": null, "gid": null, "code": "OTHER", "name": "Theo yêu cầu của ticket https://vinid-team.atlassian.net/browse/OMREPR-4138", "uuid": null, "dname": null, "gcode": null, "gname": null, "order": null, "sector_id": null } ]', "master_data_admin", "2025-11-14 16:00:00", "master_data_admin", "2025-11-14 16:00:00");</t>
  </si>
  <si>
    <t>[OMRE][PROD] Request tạo Account để VIEW dabase PRODUCTION dự án CBP</t>
  </si>
  <si>
    <t>2025-11-14T12:31:43.812+0700</t>
  </si>
  <si>
    <t>2025-11-14T13:26:38.069+0700</t>
  </si>
  <si>
    <t>Dear DBA team, Để hỗ trợ việc check issue nhanh (tiết kiệm thời gian) trong giai đoạn đầu golive dự án CBP với thời gian khá gấp, team CNSP request DBA team hỗ trợ tạo account với quyền READ để truy cập  ALL SCHEMA  của dự án CBP trên PRODUCTION với các thông tin như dưới: Username = cnsp_cbp_read Mysql: name: omre-cbp-prod-mysql 
IP: 172.31.4.127
project: omre-cobroker-prod Mongo atlas: host:  omre-cbp-prod.8j11t.mongodb.net:27017</t>
  </si>
  <si>
    <t>[OMD TMS][Prod] [2025/10] Drop partitions của các bảng Event Log và Event Notification trên database Oracle DB</t>
  </si>
  <si>
    <t>2025-11-14T12:16:25.439+0700</t>
  </si>
  <si>
    <t>2025-11-15T10:12:10.975+0700</t>
  </si>
  <si>
    <t>Drop partitions của các bảng Event Log và Event Notification trên database Oracle DB (prod) Cách thực hiện: DBA thực hiện câu lệnh drop partitions Khoảng thời gian: tháng 01/2025 đến 04/2025 Lý do: Dọn dẹp dữ liệu định kì Danh sách các bảng: T1_XML_EVENT_LOG T1_JSON_EVENT_LOG T1_EVENT_NOTIFICATION T1_EVENT_NOTIFICATION_HISTORY Thời gian thực hiện: sau 11h pm đến 6h am (khoảng thời gian hệ thống thấp tải)</t>
  </si>
  <si>
    <t>[UPAY][non-PROD] Script release ngày 15/11/2025</t>
  </si>
  <si>
    <t>2025-11-14T08:45:12.078+0700</t>
  </si>
  <si>
    <t>2025-11-14T08:45:17.101+0700</t>
  </si>
  <si>
    <t>Hi anh Nhờ anh chạy các script sau giúp em trên: Staging  vào lúc  sau khi approve Thông tin database: Staging : tidb.int.onemount.dev:4000/vinpay_saas_tpay_staging Em gửi query ạ ALTER TABLE CARD_PAYMENT_TRANSACTION_DETAIL
    ADD COLUMN bank_status VARCHAR(50) NULL,
    ADD COLUMN notify_status VARCHAR(50) NULL,
    ADD COLUMN bank_code VARCHAR(255) NULL,
    ADD COLUMN term INT NULL,
    ADD COLUMN interest_type VARCHAR(255) NULL,
    ADD COLUMN fee_percentage VARCHAR(255) NULL,
    ADD COLUMN monthly_fees_details JSON NULL,
    ADD COLUMN installment_sync_date TIMESTAMP NULL,
    ADD COLUMN register_customer_name VARCHAR(255) NULL,
    ADD COLUMN register_customer_phone VARCHAR(20) NULL,
    ADD COLUMN register_customer_email VARCHAR(255) NULL,
    ADD COLUMN register_customer_identity_number VARCHAR(255) NULL,
    ADD COLUMN register_bin_card VARCHAR(20) NULL,
    ADD COLUMN reason VARCHAR(500) NULL;
UPDATE
    CARD_PAYMENT_TRANSACTION_DETAIL cd
INNER JOIN
    TRANSACTION_INSTALLMENT ti ON cd.transaction_id = ti.transaction_id
SET
    cd.bank_status = ti.bank_status,
    cd.notify_status = ti.notify_status,
    cd.bank_code = ti.bank_code,
    cd.term = ti.term,
    cd.interest_type = ti.interest_type,
    cd.fee_percentage = ti.fee_percentage,
    cd.monthly_fees_details = ti.monthly_fees_details,
    cd.installment_sync_date = ti.sync_date,
    cd.register_customer_name = ti.register_customer_name,
    cd.register_customer_phone = ti.register_customer_phone,
    cd.register_customer_email = ti.register_customer_email,
    cd.register_customer_identity_number = ti.register_customer_identity_number,
    cd.register_bin_card = ti.register_bin_card,
    cd.reason = ti.reason,
    cd.updated_by = 'DATA_MIGRATION_INSTALLMENT',
    cd.updated_date = CURRENT_TIMESTAMP
WHERE
    cd.installment_status is not null
    and cd.transaction_type = 'PAYMENT';</t>
  </si>
  <si>
    <t>[QR247] Cấu hình bổ sung merchant sử dụng dịch vụ QR247 cho LÊ KIÊN</t>
  </si>
  <si>
    <t>2025-11-14T08:43:15.572+0700</t>
  </si>
  <si>
    <t>2025-11-14T08:43:29.154+0700</t>
  </si>
  <si>
    <t>Dear team, Nhờ các anh chạy script bên dưới để cấu hình cho merchant mới của LÊ KIÊN Thông tin DB:  tidb.int.onemount.com:4000/saas_tpay Script: INSERT INTO vinidpay_tcb_payment_uat.PARTNER (client_id, name, public_key, enable, merchant_code) VALUES ('BEBVfnVlSWxkMWcHdeBfCAhXOajutobY', 'LEKIEN', '-----BEGIN PUBLIC KEY-----
MIIBIjANBgkqhkiG9w0BAQEFAAOCAQ8AMIIBCgKCAQEAwLzNQN/kIqls7xoIg8ZB
jDEDBiePjfkmRonbplWwchcdItnZqUFDgqcVdSfk21ZyGpLBwzch35rAA2e0tEbi
/zNQRBmhqlped/p4H6VHD1efCJHoVTWuYpXERefqxu0Gk6FI0G3VvoT3P8HkHfI/
f5hYx1fmx8FJ4vsN3WF0q7hsrzsK0hBodrK2+x+0q/CE5OYfFW9FIv+aweRZWAQt
wEy6I1yqjj89VBJiNL9hHXlNPU5eS1bt67vHLQBYsAh5bE1Ct2FYcaziY0eiNogy
MBMEVPy5kgznPe4k7Dj0LxH7eNuxGIp/54QBWqFOzh1P7rG4d0r3PRalfm2YjB8/
KQIDAQAB
-----END PUBLIC KEY-----', 1, 'THAIEXPRESS_PARCMALL');</t>
  </si>
  <si>
    <t xml:space="preserve">Yêu cầu thêm cột DB B2B OMS PROD lúc 21H ngày 13/11 </t>
  </si>
  <si>
    <t>2025-11-13T21:02:28.756+0700</t>
  </si>
  <si>
    <t>2025-11-13T21:02:44.449+0700</t>
  </si>
  <si>
    <t>Nhờ các sếp thêm cột vào update value theo script sau giúp em để hỗ trợ cho đợt golive b2b tối nay ạ ALTER TABLE PODConfig  ADD COLUMN genQRFlow VARCHAR(255) NULL;
UPDATE PODConfig  SET genQRFlow = 'PAY' WHERE id &gt; 1; thông tin DB gcp project: vinid-b2b-platform-prod
instance_name: b2b-commerce
instanceIP: 172.31.4.113
dbname: b2b_oms_prod Em cảm ơn</t>
  </si>
  <si>
    <t>[OMC][MTP] Golive định kỳ dịch vụ Segmentation &amp; Audience</t>
  </si>
  <si>
    <t>2025-11-13T19:45:52.938+0700</t>
  </si>
  <si>
    <t>2025-11-13T19:46:03.756+0700</t>
  </si>
  <si>
    <t>Dear anh  @Nguyễn Văn Dũng  , nhờ anh chạy giúp em script sau: -- DB: 172.31.1.21
-- Schema: omc_mtp_martech_profile
INSERT INTO mtp_anonymous_profile_segmentation_job
	(`id`, `segmentation_id`, `status`, `hash`, `properties`, `external_properties`, `created_at`, `display_name`, `display_order`)
VALUES 
-- TCBM --
-- Nontier_wakeup_2025
(
    'a5f69b51-b3e9-430c-a85a-37ca8f306ac4',
    'f83a1b2542cd4e7b9a8c7fd638e2oskj',
    '',
    '6a8ea6432ed36853b1b992c787adb5d120b18685fa016386956b4fcdef808ed6',
    '{"AND":[{"attribute":"target_segment_code","operator":"=","data_type":"STRING","value":"MTB_MVP3_2025"}]}','{}',
    NOW(),
    'Nontier_wakeup_2025',
    0
),
-- Nontier_salaried
(
    'c22f6efd-a575-427b-85f8-c8d2a517f9d8',
    'f83a1b2542cd4e7b9a8c7fd638e2oskj',
    '',
    'b9e3101c9028b862b594356e17cf3b0ed406bbdb0258a393a951251e99b3146d',
    '{"AND":[{"attribute":"cst_target_group","operator":"IN","data_type":"STRING","value":["MTB_NONTIER_GR1","MTB_NONTIER_GR2"]}]}','{}',
    NOW(),
    'Nontier_salaried',
    0
),
-- Nontier_exclude
(
    '1b29d4cb-f2df-4466-be83-dfd80b069fb5',
    'f83a1b2542cd4e7b9a8c7fd638e2oskj',
    '',
    'c7d9ee8726cf1914b7c9617b1990cddf5e92d7a7fc7715881304913dc799cc77',
    '{"AND":[{"attribute":"cst_target_group","operator":"","data_type":"","value":"","operator_expr":"NOT JSON_CONTAINS(cst_target_group, \'[\"MTB_NONTIER_GR1\"]\')"},{"attribute":"cst_target_group","operator":"","data_type":"","value":"","operator_expr":"NOT JSON_CONTAINS(cst_target_group, \'[\"MTB_NONTIER_GR2\"]\')"},{"attribute":"cst_target_group","operator":"","data_type":"","value":"","operator_expr":"NOT JSON_CONTAINS(cst_target_group, \'[\"MTB_MVP3_2025\"]\')"},{"attribute":"cst_member_type","operator":"!=","data_type":"STRING","value":"NTB"}]}','{}',
    NOW(),
    'Nontier_exclude',
    0
),
-- Inspire_ETB
(
    'b4e332ec-fe81-49aa-a7c6-b1a2d28f074c',
    'f83a1b2542cd4e7b9a8c7fd638e2oskj',
    '',
    'eb482249c6349d7a9a54f2ed86c6b4a758e5ae0a34f4b68676b6950d650b6ec8',
    '{"AND":[{"attribute":"cst_loyalty_tier","operator":"=","data_type":"STRING","value":"INS"},{"attribute":"cst_member_type","operator":"=","data_type":"STRING","value":"ETB"}]}','{}',
    NOW(),
    'Inspire_ETB',
    0
),
-- Priority_and_Private
(
    '7168e0d3-91ff-40d9-9a20-599eb3e6722f',
    'f83a1b2542cd4e7b9a8c7fd638e2oskj',
    '',
    '6ad41352a54e90b02e17232d0c90c6930b8fa66afea7473222a2e63c2761bed6',
    '{"AND":[{"attribute":"cst_loyalty_tier","operator":"IN","data_type":"STRING","value":["PRV","PRO"]}]}','{}',
    NOW(),
    'Priority_and_Private',
    0
),
-- Priority_and_Private_ETB
(
    'eae5b116-f032-48ec-bf3d-c2925116038e',
    'f83a1b2542cd4e7b9a8c7fd638e2oskj',
    '',
    '0e7684512f6d8977ddee4c8fc7e031203d1ecd646c8e852c0344f8d3d8a406b1',
    '{"AND":[{"attribute":"cst_loyalty_tier","operator":"IN","data_type":"STRING","value":["PRV","PRO"]},{"attribute":"cst_member_type","operator":"=","data_type":"STRING","value":"ETB"}]}','{}',
    NOW(),
    'Priority_and_Private_ETB',
    0
); Best regards Dinh Quang Nguyen</t>
  </si>
  <si>
    <t>[OMD]Hỗ trợ xóa dữ liệu lỗi cất hàng bị double tại kho 8188</t>
  </si>
  <si>
    <t>2025-11-13T17:27:01.739+0700</t>
  </si>
  <si>
    <t>2025-11-13T17:28:39.864+0700</t>
  </si>
  <si>
    <t>Hi DBA team, Hiện tại kho 8188 cần fix lỗi dữ liệu bị double, nhờ team DBA hỗ trợ cập nhật giá trị theo thông tin dưới đây: 1. Cập nhật trên WMS Project : vinid-b2b-platform-prod Instance/IP : main (read-write): 172.31.4.59 Port : 3306 Database : omd_wms_vungtau_hs Query delete from whse_stock_detail w where w.whse_stock_id = 290317;
delete from report_warehouse_stock_item rw where rw.original_id = 290317;</t>
  </si>
  <si>
    <t>[OMC][Flash Sale TCB] Nâng cấu hình resource cho campaign 11/11/2025</t>
  </si>
  <si>
    <t>2025-11-13T16:38:24.144+0700</t>
  </si>
  <si>
    <t>2025-11-13T16:38:31.376+0700</t>
  </si>
  <si>
    <t>FlashSale, LoyaltyApp</t>
  </si>
  <si>
    <t xml:space="preserve">CR:    Scale theo file sau  </t>
  </si>
  <si>
    <t xml:space="preserve">[UPAY] Tác động database để chuẩn bị golive vào 15.11 </t>
  </si>
  <si>
    <t>2025-11-13T16:22:12.668+0700</t>
  </si>
  <si>
    <t>2025-11-13T16:22:47.719+0700</t>
  </si>
  <si>
    <t>Dear a  @Nguyễn Văn Dũng   nhờ a hỗ trợ chạy script sau trên môi trường staging  DB: tidb.int.onemount.dev:4000/vinpay_saas_tpay_staging CREATE TABLE MAKER_APPROVAL_LEVEL_CONFIG
(
    ID             BIGINT PRIMARY KEY AUTO_INCREMENT,
    SERVICE        varchar(100) not null,
    MODULE         varchar(100) not null,
    REQUEST_TYPE   varchar(50)  null,
    MERCHANT_CODE  varchar(50)  null,
    APPROVAL_LEVEL int          null,
    STATUS         varchar(10) COLLATE utf8mb4_unicode_ci DEFAULT NULL,
    DELETED        BOOLEAN                                DEFAULT 0,
    CREATED_DATE   timestamp    NULL                      DEFAULT NULL,
    CREATED_BY     varchar(50) COLLATE utf8mb4_unicode_ci DEFAULT NULL,
    UPDATED_DATE   timestamp    NULL                      DEFAULT NULL,
    UPDATED_BY     varchar(50) COLLATE utf8mb4_unicode_ci DEFAULT NULL,
    INDEX (SERVICE, MODULE, REQUEST_TYPE),
    INDEX (MERCHANT_CODE)
) ENGINE = InnoDB
  DEFAULT CHARSET = utf8mb4
  COLLATE = utf8mb4_unicode_ci;
CREATE TABLE MAKER_CHECKER_CONFIG
(
    ID             BIGINT PRIMARY KEY AUTO_INCREMENT,
    SERVICE        VARCHAR(100) COLLATE utf8mb4_unicode_ci NOT NULL,
    MODULE         VARCHAR(100) COLLATE utf8mb4_unicode_ci NOT NULL,
    REQUEST_TYPE   VARCHAR(50) COLLATE utf8mb4_unicode_ci       DEFAULT null,
    ACTION         VARCHAR(100) COLLATE utf8mb4_unicode_ci NOT NULL,
    APPROVAL_LEVEL INT                                          DEFAULT NULL,
    PERMISSIONS     TEXT COLLATE utf8mb4_unicode_ci              DEFAULT NULL,
    EMAIL_CONFIG   JSON                                         DEFAULT NULL,
    CREATED_DATE   TIMESTAMP                               NULL DEFAULT NULL,
    CREATED_BY     VARCHAR(50) COLLATE utf8mb4_unicode_ci       DEFAULT NULL,
    UPDATED_DATE   TIMESTAMP                               NULL DEFAULT NULL,
    UPDATED_BY     VARCHAR(50) COLLATE utf8mb4_unicode_ci       DEFAULT NULL,
    INDEX (SERVICE, MODULE, REQUEST_TYPE, APPROVAL_LEVEL)
) ENGINE = InnoDB
  DEFAULT CHARSET = utf8mb4
  COLLATE = utf8mb4_unicode_ci;
INSERT INTO MAKER_APPROVAL_LEVEL_CONFIG(SERVICE, MODULE, REQUEST_TYPE, MERCHANT_CODE, APPROVAL_LEVEL, CREATED_DATE, CREATED_BY)
    VALUE ('TPAY-MERCHANT', 'REFUND', NULL, 'MER', 2, CURRENT_TIMESTAMP, 'PB-27944');
INSERT INTO MAKER_CHECKER_CONFIG(SERVICE, MODULE, ACTION, APPROVAL_LEVEL, PERMISSIONS, EMAIL_CONFIG, CREATED_DATE, CREATED_BY)
    VALUES
        ('TPAY-MERCHANT', 'REFUND', 'APPROVE', 1, 'approve:tpay_mc_refund_request,approve:tpay_mc_refund_checker1_request', null, CURRENT_TIMESTAMP, 'PB-27944'),
        ('TPAY-MERCHANT', 'REFUND', 'REJECT', 1, 'reject:tpay_mc_refund_request,reject:tpay_mc_refund_checker1_request', null, CURRENT_TIMESTAMP, 'PB-27944'),
        ('TPAY-MERCHANT', 'REFUND', 'RETURN', 1, 'return:tpay_mc_refund_request,return:tpay_mc_refund_checker1_request', null, CURRENT_TIMESTAMP, 'PB-27944'),
        ('TPAY-MERCHANT', 'REFUND', 'APPROVE', 2, 'approve:tpay_mc_refund_checker2_request', '{"template": "68526d139982c247bcf980fe"}', CURRENT_TIMESTAMP, 'PB-27944'),
        ('TPAY-MERCHANT', 'REFUND', 'REJECT', 2, 'reject:tpay_mc_refund_checker2_request', null, CURRENT_TIMESTAMP, 'PB-27944'),
        ('TPAY-MERCHANT', 'REFUND', 'RETURN', 2, 'return:tpay_mc_refund_checker2_request', null, CURRENT_TIMESTAMP, 'PB-27944')
;</t>
  </si>
  <si>
    <t>2025-11-13T16:07:13.988+0700</t>
  </si>
  <si>
    <t>2025-11-13T16:07:19.464+0700</t>
  </si>
  <si>
    <t>[OMC] V/v tạo topic bảng mới</t>
  </si>
  <si>
    <t>2025-11-13T15:51:12.711+0700</t>
  </si>
  <si>
    <t>2025-11-13T16:27:06.804+0700</t>
  </si>
  <si>
    <t>Dear Linh, Em tạo giúp anh topic cho bảng sau để anh kéo dữ liệu về DP nhé: Host:  vinpay-sql-saas-master.int.vinid.net DB: ps2_risk_fraud Table:  risk_fraud_fraud_list</t>
  </si>
  <si>
    <t>[UPAY] Tác động database add thêm index và xóa cif trùng</t>
  </si>
  <si>
    <t>2025-11-12T18:22:55.111+0700</t>
  </si>
  <si>
    <t>2025-11-12T18:23:00.008+0700</t>
  </si>
  <si>
    <t>Hi a  @Nguyễn Văn Dũng   nhờ a chạy giúp em ticket sau nhé ạ.  Thời gian chạy: Khi ticket được approval 1. Xóa merchant đang bị trùng cif Thông tin database saas_tpay:  pay-tidb.int.onemount.com:4000/saas_tpay DELETE FROM MERCHANT where MERCHANT_CODE = '31655669';
DELETE FROM STORE where MERCHANT_CODE = '31655669';
DELETE FROM TERMINAL where MERCHANT_CODE = '31655669';
DELETE FROM SERVICE where MERCHANT_CODE = '31655669'; 2. Thêm index   Thông tin database  project: vinpay-prod
instance: low-performance
Slave IP: 172.31.1.179
DB: ops_pay_service CREATE INDEX idx_partner_code 
ON AUTO_PAYMENT_INTEGRATION(PARTNER_CODE)
ALGORITHM=INPLACE, LOCK=NONE;</t>
  </si>
  <si>
    <t>Migration database cho dự án B2B promotion môi trường dev</t>
  </si>
  <si>
    <t>2025-11-12T16:39:49.208+0700</t>
  </si>
  <si>
    <t>2025-11-14T14:32:41.673+0700</t>
  </si>
  <si>
    <t>Do ảnh hưởng của việc chuyển đổi DVHC chỉ làm trên môi trường QC chứ chưa làm trên Dev khiến việc chạy auto perf bị gián đoạn, team cũng đã rà soát và update nhưng nhận thấy việc làm thủ công này gây mất thời gian và không chính xác, test vẫn lỗi cho nên nhờ các anh hỗ trợ xử lý bằng cách replace toàn bộ Database của các project sau từ môi trường QC xuống môi trường DEV ạ, thông tin như sau: jdbc:mysql://vinid-app-common-dev--main-mysql-8.cloudsql.int:3306/omd_b2b_custom_promotion_qc
ụp vào jdbc:mysql://vinid-app-common-dev--main-mysql-8.cloudsql.int:3306/omd_b2b_custom_promotion_dev E cảm ơn ạ</t>
  </si>
  <si>
    <t>[Merchant-TCB] Hỗ trợ xóa dữ liệu 20251112</t>
  </si>
  <si>
    <t>2025-11-12T16:35:04.632+0700</t>
  </si>
  <si>
    <t>2025-11-12T16:35:09.523+0700</t>
  </si>
  <si>
    <t>tcb</t>
  </si>
  <si>
    <t>Dear team, Nhờ team chạy giúp câu lệnh bên dưới ạ. Thông tin database https://console.cloud.google.com/sql/instances/merchant-tcb/overview?inv=1&amp;invt=AbsndA&amp;project=vinid-merchant-prod DB_MYSQL_HOST=172.31.4.108
DB_MYSQL_DATABASE=merchant_service_tcb Câu lệnh -- terminal 01
DELETE FROM tpay_terminal_service WHERE terminal_code IN (SELECT code FROM tpay_terminal WHERE tcb_merchant_code IN ('31655669'));
-- terminal 02
DELETE FROM tpay_request_terminal WHERE tcb_merchant_code IN ('31655669');
-- terminal 03
DELETE FROM tpay_terminal WHERE tcb_merchant_code IN ('31655669');
-- store 01
DELETE FROM tpay_store_service WHERE store_id IN (SELECT id FROM tpay_store WHERE tcb_merchant_code IN ('31655669'));
-- store 02
DELETE FROM tpay_request_store WHERE tcb_merchant_code IN ('31655669');
-- store 03
DELETE FROM tpay_store WHERE tcb_merchant_code IN ('31655669');
-- merchant 01
DELETE FROM tpay_request_merchant WHERE tcb_merchant_code IN ('31655669');
-- merchant 02
DELETE FROM tpay_request_merchant_bank WHERE tcb_merchant_code IN ('31655669');
-- merchant 03
DELETE FROM tpay_merchant WHERE tcb_merchant_code IN ('31655669');</t>
  </si>
  <si>
    <t>back up và restore DB MASSTG và MASTEST từ SV DEV cũ sang SV DEV mới</t>
  </si>
  <si>
    <t>2025-11-12T15:40:41.721+0700</t>
  </si>
  <si>
    <t>2026-01-22T12:18:52.297+0700</t>
  </si>
  <si>
    <t>back up và restore DB MASSTG và MASTEST từ SV DEV cũ sang SV DEV mới vui lòng báo lại thời gian back up DB để bên em cut off sang nhé</t>
  </si>
  <si>
    <t>[UPAY] Cập nhật tên quầy thanh toán ở bảng Device mapping smartPOS</t>
  </si>
  <si>
    <t>2025-11-12T12:00:02.126+0700</t>
  </si>
  <si>
    <t>2025-11-12T12:00:22.733+0700</t>
  </si>
  <si>
    <t>Description Hi a  @Nguyễn Văn Dũng   nhờ a chạy giúp em ticket sau nhé ạ.  Thông tin database saas_tpay:  pay-tidb.int.onemount.com:4000/saas_tpay Thời gian chạy: Khi ticket được approval UPDATE SMARTPOS_DEVICE_MAPPING
SET terminal_name  = 'GINZA SUSHI ICHI T1'
WHERE tcb_card_terminal_id = '60000922' and device_serial_number = 'V9E0701268';
UPDATE SMARTPOS_DEVICE_MAPPING
SET terminal_name  = 'GINZA SUSHI ICHI T2'
WHERE tcb_card_terminal_id = '60000921' and device_serial_number = 'V9E0701266';
UPDATE SMARTPOS_DEVICE_MAPPING
SET terminal_name  = 'MELLOW SIX T2'
WHERE tcb_card_terminal_id = '60001014' and device_serial_number = 'V9E0701265';
UPDATE SMARTPOS_DEVICE_MAPPING
SET terminal_name  = 'MELLOW SIX T1'
WHERE tcb_card_terminal_id = '60001015' and device_serial_number = 'V9E0701267';</t>
  </si>
  <si>
    <t>[Salestools][Prod] Cài đặt extention PostGIS và tạo mới schema</t>
  </si>
  <si>
    <t>2025-11-12T11:02:01.176+0700</t>
  </si>
  <si>
    <t>2025-11-12T11:02:12.634+0700</t>
  </si>
  <si>
    <t>SalesTools</t>
  </si>
  <si>
    <t>Team dự án cần hỗ trợ cài đặt PostGIS để sử dụng các function query geospatial data cho bài toán CHIA TUYẾN BÁN HÀNG CHO SALE Instance:  https://console.cloud.google.com/sql/instances/postgre-14-metrics/databases?project=vinid-b2b-platform-prod Tạo mới schema:  geo_boundaries Import file schema như đính kèm</t>
  </si>
  <si>
    <t>Xin cấp quyền truy cập database trên Dremio</t>
  </si>
  <si>
    <t>2025-11-11T17:16:25.421+0700</t>
  </si>
  <si>
    <t>2025-11-11T17:16:30.356+0700</t>
  </si>
  <si>
    <t>Dremio, database, prod</t>
  </si>
  <si>
    <t>1Seal cần khảo sát dữ liệu event tracking để chuẩn bị làm nhiệm vụ trả thưởng cho GT. Nhờ các a hỗ trợ ạ Thông tin database: Host: omd-tidb.int.onemount.com
DB: omd_cdp_data_from_mtp
mtp_tracking_events_omd
mtp_tracking_events_context_omd User:  sa.dremio.omd.onesalestools.local Quyền:  view</t>
  </si>
  <si>
    <t xml:space="preserve">[OMC][PROD] Tạo index mysql </t>
  </si>
  <si>
    <t>2025-11-11T14:46:39.831+0700</t>
  </si>
  <si>
    <t>2025-11-11T14:47:11.213+0700</t>
  </si>
  <si>
    <t>Indexing</t>
  </si>
  <si>
    <t xml:space="preserve">IP: 172.31.1.41 Database: vincart_mm_product ALTER TABLE inventories ADD INDEX inventory_campaign_code_idx (campaign_code), ALGORITHM=INPLACE, LOCK=NONE; CR:   </t>
  </si>
  <si>
    <t>[OMD][SCM MAG] - Xin kafka toptic để ingest dữ liệu cho dự án SCM MAG PROD (bổ sung)</t>
  </si>
  <si>
    <t>2025-11-11T14:44:47.378+0700</t>
  </si>
  <si>
    <t>2025-11-13T10:20:45.554+0700</t>
  </si>
  <si>
    <t>Dear các anh, Em gửi yêu cầu xin tạo kafka toptic để ingest dữ liệu cho dự án  SCM MAG  trên môi trường  PRODUCTION  với thông tin như sau: Host 172.31.1.118 Database/Schema omd_mdm_prod Danh sách các bảng cần tạo Kafka topic: Organization Ref:  https://vinid-team.atlassian.net/browse/DBA-3062</t>
  </si>
  <si>
    <t>[OMRE][PROD] Request tạo schema cho dự án CBP</t>
  </si>
  <si>
    <t>2025-11-11T11:38:24.243+0700</t>
  </si>
  <si>
    <t>2025-11-11T15:26:17.654+0700</t>
  </si>
  <si>
    <t>Repo:  https://gitlab.id.vin/1housing/cbp/virtualtour/panorama-process.git Em chào anh/chị, Anh/chị tạo giúp em schema cho môi trường prod cho service này giúp em với ạ. schema: omre_cbp_panorama_process user: omre_cbp_panorama_process name: omre-cbp-prod-mysql   IP: 172.31.4.127 project: omre-cobroker-prod</t>
  </si>
  <si>
    <t>V/v tạo index cho bảng booking_transportation, shipments cua db vincart-prod</t>
  </si>
  <si>
    <t>2025-11-11T10:55:20.919+0700</t>
  </si>
  <si>
    <t>2025-11-11T10:55:26.568+0700</t>
  </si>
  <si>
    <t>Dear DBA, Bên OMC cần tạo 2 index sau cho db: Project: vincart-prod
IP: 172.31.1.41 Index: alter table booking_transportation.saved_places add index idx_status (status), ALGORITHM=INPLACE, LOCK=NONE;
alter table vincart_mm_order.shipments add index idx_tracking_code_shipping_provider_code (tracking_code,shipping_provider_code), ALGORITHM=INPLACE, LOCK=NONE; Anh em DBA support giúp bên mình.</t>
  </si>
  <si>
    <t>[OMC][PROD] Hỗ trợ đánh index db GSM</t>
  </si>
  <si>
    <t>2025-11-11T09:56:03.487+0700</t>
  </si>
  <si>
    <t>2025-11-11T09:56:07.517+0700</t>
  </si>
  <si>
    <t>Dear team DBA, Nhờ team hỗ trợ chạy câu lênh SQL dưới đây ạ Thông tin DB: Project: vincart-prod
IP: 172.31.1.41
DB name: booking_transportation Câu lệnh SQL: ALTER TABLE booking_transportation.trips ADD INDEX idx_status (status), ALGORITHM=INPLACE, LOCK=NONE;</t>
  </si>
  <si>
    <t>[OMD] [CDP] update transform spec cho job_transform_definition.CaresoftGetZaloJob</t>
  </si>
  <si>
    <t>2025-11-11T09:41:15.303+0700</t>
  </si>
  <si>
    <t>2025-11-11T09:41:22.364+0700</t>
  </si>
  <si>
    <t>Dear team Từ yêu cầu  https://vinid-team.atlassian.net/browse/B2B1D-58878 Nhờ thầy hỗ trợ thêm cột vào table &amp; update transform spec --- Update transform spec
UPDATE omd_cdp_orchestration.job_transform_definition
SET transform_spec='{"dynamicEnrich": [{"enrichKey": "enrich", "uri": "bean:caresoftService?method=getZaloId(${body[customer_phone]})"}], "filterColumn": "customer_code", "forceCreateJoltFile": true, "intervalMinutes": 10, "jobRouteUri": "direct:jobRouteDynamicTransform", "joltSpec": [{"operation": "modify-overwrite-beta", "spec": {"*": {"enrich": {"following_status": ["=notNull(@(1,following_status))", null], "last_user_activity_time": ["=notNull(@(1,last_user_activity_time))", null], "user_id": ["=notNull(@(1,user_id))", null], "username": ["=notNull(@(1,username))", null], "zalo_psid": ["=notNull(@(1,zalo_psid))", null]}}}}, {"operation": "shift", "spec": {"*": {"@": "[&amp;1]", "enrich": {"following_status": "[&amp;2].following_status", "last_user_activity_time": "[&amp;2].last_user_activity_time", "user_id": "[&amp;2].user_id", "username": "[&amp;2].username", "zalo_psid": "[&amp;2].zalo_psid"}}}}], "limit": 500, "offset": 0, "pagingType": "CURSOR_PAGING", "saveLastValue": false, "sqlInsert": "INSERT INTO GT_PROFILE(customer_code, caresoft_user_id, caresoft_username, zalo_psid, following_status, last_user_activity_time) VALUES(:#customer_code, :#user_id, :#username, :#zalo_psid, :#following_status, :#last_user_activity_time) ON DUPLICATE KEY UPDATE customer_code=VALUES(customer_code),caresoft_user_id=VALUES(caresoft_user_id),caresoft_username=VALUES(caresoft_username),zalo_psid=VALUES(zalo_psid),following_status=VALUES(following_status),last_user_activity_time=VALUES(last_user_activity_time)", "sqlInsertDatasource": "ingestDataSource", "sqlQuery": "SELECT gp.customer_code, gp.customer_phone FROM omd_cdp_data_from_ingest.GT_PROFILE gp WHERE 1 = 1 AND :#{header.param} AND gp.customer_status = 'ACTIVE' AND gp.customer_level &gt; 0 AND EXISTS (SELECT 1 FROM omd_cdp_data_from_ingest.caresoft_customer cc WHERE gp.customer_code = cc.customer_code) ORDER BY gp.customer_code LIMIT :#${header.limit}", "sqlQueryDatasource": "ingestDataSource", "threads": 1}'
where job_code ='CaresoftGetZaloJob' @Bùi Quang Đại  ntt</t>
  </si>
  <si>
    <t>Hỗ trợ chạy migration update label CDP</t>
  </si>
  <si>
    <t>2025-11-10T14:08:02.820+0700</t>
  </si>
  <si>
    <t>2025-11-10T14:08:12.374+0700</t>
  </si>
  <si>
    <t>Database, prod</t>
  </si>
  <si>
    <t>Em cần hỗ trợ chạy query này để update lại label CDP phục vụ cho việc filter GT trên app 1Seal Thông tin database: DB_MYSQL_HOST: "vinid-integration-prod--main.cloudsql.int"
DB_MYSQL_DATABASE: "sales_tools" Query cần thực hiện: update gts_360_attributes set formula = '{"filter.customer.label": "equal.APP_ENGAGE_THIS_MONTH"}' where code = 'GT_LABEL|APP_ENGAGE_THIS_MONTH';</t>
  </si>
  <si>
    <t>[TPAY][NON-PROD] Tạo tài khoản SFTP cho merchant MMVN lấy file báo cáo đối soát</t>
  </si>
  <si>
    <t>2025-11-10T12:09:23.333+0700</t>
  </si>
  <si>
    <t>2025-11-10T12:09:32.746+0700</t>
  </si>
  <si>
    <t xml:space="preserve">Dự án Tpay cần cấp tài khoản và 1 thư mục con trong thư mục trong thư mục tpay dành cho đối tác Mega Market Việt Nam để đọc file từ sFTP server. Thông tin sFTP server cần kết nối đến: Non-prod:  35.229.130.107:2022 Nhờ team support tạo server và cấp account cho dự án. Em tên thư mục và folder ạ. Account: mmvn Folder: </t>
  </si>
  <si>
    <t>2025-11-10T09:56:46.753+0700</t>
  </si>
  <si>
    <t>2025-11-12T16:39:15.123+0700</t>
  </si>
  <si>
    <t>Do ảnh hưởng của việc chuyển đổi DVHC chỉ làm trên môi trường QC chứ chưa làm trên Dev khiến việc chạy auto perf bị gián đoạn, team cũng đã rà soát và update nhưng nhận thấy việc làm thủ công này gây mất thời gian và không chính xác, test vẫn lỗi cho nên nhờ các anh hỗ trợ xử lý bằng cách replace toàn bộ Database của các project sau từ môi trường QC xuống môi trường DEV ạ, thông tin như sau: B2B USER jdbc:mysql://vinid-app-common-dev--main-mysql-8.cloudsql.int:3306/omd_b2b_custom_user_qc
ụp vào jdbc:mysql://vinid-app-common-dev--main-mysql-8.cloudsql.int:3306/omd_b2b_custom_user_dev B2B OMS jdbc:mysql://vinid-app-common-dev--main-mysql-8.cloudsql.int:3306/omd_b2b_custom_oms_qc
ụp vào jdbc:mysql://vinid-app-common-dev--main-mysql-8.cloudsql.int:3306/omd_b2b_custom_oms_dev B2B PCM jdbc:mysql://vinid-app-common-dev--main-mysql-8.cloudsql.int:3306/omd_b2b_custom_pcm_qc
ụp vào jdbc:mysql://vinid-app-common-dev--main-mysql-8.cloudsql.int:3306/omd_b2b_custom_pcm_dev B2B PROMOTION jdbc:mysql://vinid-app-common-dev--main-mysql-8.cloudsql.int:3306/omd_b2b_custom_promotion_qc
ụp vào jdbc:mysql://vinid-app-common-dev--main-mysql-8.cloudsql.int:3306/omd_b2b_custom_promotion_dev E cảm ơn ạ</t>
  </si>
  <si>
    <t>[OMD][SCM MAG] - Xin kafka toptic để ingest dữ liệu cho dự án SCM MAG PROD</t>
  </si>
  <si>
    <t>2025-11-07T18:28:30.486+0700</t>
  </si>
  <si>
    <t>2025-11-07T20:00:02.633+0700</t>
  </si>
  <si>
    <t>DBA, DP, Kafka</t>
  </si>
  <si>
    <t>Dear các anh, Em gửi yêu cầu xin tạo kafka toptic để ingest dữ liệu cho dự án  SCM MAG  trên môi trường  PRODUCTION  với thông tin như sau: Host 172.31.1.118 Database/Schema omd_mdm_prod Danh sách các bảng cần tạo Kafka topic: BOM
Address
Offer
Unit
ProductUnit
Product
ProductType
BrandCategory
MainCategory
Contact
Tenant
Warehouse
Project
ImageMedia
ProjectAttribute Em cảm ơn ạ.</t>
  </si>
  <si>
    <t>[OMC][PROD] Chạy câu lệnh SQL GSM ngày 07/11</t>
  </si>
  <si>
    <t>2025-11-07T16:53:30.271+0700</t>
  </si>
  <si>
    <t>2025-11-07T16:53:34.544+0700</t>
  </si>
  <si>
    <t>Dear team DBA, Nhờ team hỗ trợ chạy câu lênh SQL dưới đây ạ Thông tin DB: Project: vincart-prod
IP: 172.31.1.41
DB name: booking_transportation Câu lệnh SQL: UPDATE `trips`
SET `status` = 'FINISHED', `previous_status` = 'JOURNEY'
WHERE `id` in (113371, 113423, 113454);</t>
  </si>
  <si>
    <t>[OMC][LP][Core] - Gather index statistics (bao gồm rebuild index, rebuild PK) các bảng _VERSIONING</t>
  </si>
  <si>
    <t>2025-11-07T16:33:42.185+0700</t>
  </si>
  <si>
    <t>2025-11-07T16:34:30.062+0700</t>
  </si>
  <si>
    <t>Dear Team DAB, Nhờ team gather index statistics (bao gồm rebuild index, rebuild PK)) cho 4 bảng sau :  OLOYALTY.MEMBER_INFO_VERSIONING
OLOYALTY.CUSTOMER_CARD_INFO_VERSIONING
OLOYALTY.CUSTOMER_PROFILE_VERSIONING
OLOYALTY.CUSTOMER_PRODUCT_INFO_VERSIONING</t>
  </si>
  <si>
    <t>[GAMI][PS2][Prod] Hỗ trợ lấy thông user loyalty id 1003228876 campaign challenge MTB_MVP3_112025</t>
  </si>
  <si>
    <t>2025-11-07T16:08:22.863+0700</t>
  </si>
  <si>
    <t>2025-11-07T16:17:45.809+0700</t>
  </si>
  <si>
    <t>Hỗ trợ cập nhật tiến độ data cho loyalty id 1003228876 campaign challenge MTB_MVP3_112025. Host:  172.31.4.75 Db:  promo_quest Query: SELECT * FROM `campaign_progress` WHERE campaign_id = 77 AND customer_id='1003228876';
SELECT * FROM `campaign_values` WHERE campaign_id = 77 AND customer_id='1003228876';
SELECT * FROM `rule_logs` WHERE campaign_id = 77 AND customer_id='1003228876';
SELECT * FROM `transaction_logs_v2` WHERE campaign_id = 77 AND customer_id='1003228876';</t>
  </si>
  <si>
    <t>[VINPAY][PROD] Cấu hình bộ thông tin QR247 cho merchant TGS</t>
  </si>
  <si>
    <t>2025-11-07T15:19:20.314+0700</t>
  </si>
  <si>
    <t>2025-11-07T15:19:26.854+0700</t>
  </si>
  <si>
    <t>Dear team DBA, Team dự án có các cấu hình QR247 cho khách hàng Thế Giới Sữa, nhờ các anh chạy các script theo thông tin bên dưới giúp em ạ Thông tin DB:  pay-tidb.int.onemount.com:4000/saas_tpay INSERT INTO PARTNER (client_id, name, public_key, enable, merchant_code)
VALUES ('PtIUfqqsjuUTLfyCztLrifyZXChLLnQN', 'TGS', '-----BEGIN PUBLIC KEY-----
MIIBIjANBgkqhkiG9w0BAQEFAAOCAQ8AMIIBCgKCAQEAx1Ng+DoJVPuQriFx5fLv
4rzJ698wjlAVeABVuakCJRXzokNoX/uqXqu9ELzXOPz7EAL/2/JDDagCPBKgJsrA
SKP935EZwWcND9DZzkZfv5pO00leYK44En7YSCQqzRnBSP7FrkgyywA09V7Zwsk3
q5gbv07JSP9SK6Fg3Vc164tfLg9Zht7HuCBRiCP0NFGyR0AtSzvLsIoF3puAE4XM
omKnAgij+vh9FwvvRHk1OhY1psaXtT4cklzA1Vzn2b0KsDqHqYYn6R5CYyq+vmoP
pboXKOzKP1vbBbaPPhgc299Q3wkCmwKa6I5jq6j9uIii2v7RgBxcMHSPjQOK1xnx
mQIDAQAB
-----END PUBLIC KEY-----
', 1, 'TGS');</t>
  </si>
  <si>
    <t>[UPAY] Tạo tài khoản có quyền đọc đến cụm saas_maker_checker</t>
  </si>
  <si>
    <t>2025-11-07T14:49:52.520+0700</t>
  </si>
  <si>
    <t>2025-11-07T14:50:14.734+0700</t>
  </si>
  <si>
    <t xml:space="preserve">a  @Nguyễn Văn Dũng   ơi em có ticket order tạo 1 có quyền đọc với db  saas_maker_checker  với mục đích để check thông tin maker checker trên prod.  Thông tin db:  jdbc:mysql://vinpay-sql-saas-master.int.vinid.net:3306/saas_maker_checker Sau khi tạo xong anh gửi thông tin cho a  @Đặng Lưu Thành  giúp em với nhé ạ </t>
  </si>
  <si>
    <t xml:space="preserve">Restore db môi trường dev </t>
  </si>
  <si>
    <t>2025-11-07T14:27:12.197+0700</t>
  </si>
  <si>
    <t>2025-11-07T18:18:41.732+0700</t>
  </si>
  <si>
    <t xml:space="preserve">Nhờ team rollback giúp data mt dev 2 bảng là mpm_data_migration_dev và mpm_mh_mpm_dev </t>
  </si>
  <si>
    <t>2025-11-07T08:52:38.444+0700</t>
  </si>
  <si>
    <t>2025-11-07T08:54:11.509+0700</t>
  </si>
  <si>
    <t>Dear team, Team em có nhu cầu cập nhật cấu trúc bảng, nhờ team chạy script sau giúp em ạ. Trong quá trình golive có thể phát sinh nhu cầu cập nhật dữ liệu nên nhờ team hỗ trợ trong giờ nếu cần ạ. Release Plan :  CR : Team em sẽ gửi lại trong chiều nay ạ. Thời gian chạy:   21h ngày 06/11/2025 Thông tin DB:   omc-mtp-tidb.int.onemount.com:4000 / omc_merchant_loyalty Script: ALTER TABLE omc_merchant_loyalty.campaign
ADD COLUMN type VARCHAR(50) NULL DEFAULT 'NORMAL_COFUND'
AFTER allocated_budget; Thanks team.</t>
  </si>
  <si>
    <t>[OMC][VCM][PROD] Thực hiện migrate database cho golive ngày 06/11/2025</t>
  </si>
  <si>
    <t>2025-11-06T18:56:20.451+0700</t>
  </si>
  <si>
    <t>2025-11-06T18:58:28.461+0700</t>
  </si>
  <si>
    <t>Theo kế hoạch golive vào ngày 06/11/2025 thì team VCM có các migration sau, nhờ team Database Service support team ạ. Link CR:  https://vinid-team.atlassian.net/browse/SH-67285 Thông tin migration: Hệ thống Voucher Distribution Thông tin database IP:  172.31.4.82 Database:  b2b_voucher_distribution Chi tiết migrate Thêm index cho table  stock_in_detail  bằng script sau ALTER TABLE stock_in_detail ADD INDEX idx_stock_in_id(stock_in_id), ALGORITHM=INPLACE, LOCK=NONE;   Chạy migrate data bằng script sau UPDATE
	voucher v
SET
	v.purchase_price = 150
WHERE
	v.code IN ('DOTCB25287bfR_1761238800240', 'DOTCB25303LOu_1761929999202');</t>
  </si>
  <si>
    <t>2025-11-06T16:24:07.903+0700</t>
  </si>
  <si>
    <t>2025-11-07T11:31:45.964+0700</t>
  </si>
  <si>
    <t>2025-11-06T16:10:04.217+0700</t>
  </si>
  <si>
    <t>2025-11-06T16:22:48.368+0700</t>
  </si>
  <si>
    <t>Nhờ team chạy các lệnh UPDATE trên MySQL Production như sau ạ: URL:  mysql://omre-onehs-mysql-main.int.onemount.com:3306/crm_opportunity Query: UPDATE `opportunities` SET phone_number="0913929738" WHERE opportunity_uuid="200e45ce-b64d-4542-aea7-8f70bbdc4af9"</t>
  </si>
  <si>
    <t>2025-11-06T15:24:34.988+0700</t>
  </si>
  <si>
    <t>2025-11-06T15:24:56.044+0700</t>
  </si>
  <si>
    <t>Dear team DBA, Nhờ các anh chạy script bên dưới để update whitelist merchant đi luồng thanh toán Cybersource TCB Thông tin DB:  vinpay-sql-onehub-master.int.vinid.net:3306/pay_payment_gateway Script:  UPDATE SYSTEM_CONFIGURATION SET SYSTEM_PARAM_VALUE = 'VINID08-SVIN08-PVIN08'
                            where system_param_code='MERCHANT_CONFIG_PILOT_CBS_TCB';</t>
  </si>
  <si>
    <t>[UPAY] Backup, xóa dữ liệu do bị trùng cif và unlink thiết bị soundbox</t>
  </si>
  <si>
    <t>2025-11-06T15:04:34.957+0700</t>
  </si>
  <si>
    <t>2025-11-06T15:04:49.427+0700</t>
  </si>
  <si>
    <t>Hi a  @Nguyễn Văn Dũng   nhờ a chạy giúp em ticket sau nhé ạ.  Thông tin database saas_tpay:  pay-tidb.int.onemount.com:4000/saas_tpay Thời gian chạy: Khi ticket được approval Export data bằng câu lệnh sau:  Sau khi chạy export anh gửi giúp em 1 file excel chứa data các câu lệnh dưới vào ticket này nhé ạ.  SELECT * FROM MERCHANT where MERCHANT_CODE IN ('35019220','50423005');
 SELECT * FROM STORE where MERCHANT_CODE IN ('35019220','50423005');
 SELECT * FROM TERMINAL where MERCHANT_CODE IN ('35019220','50423005');
 SELECT * FROM SERVICE where MERCHANT_CODE IN ('35019220','50423005');
 SELECT * FROM SOUNDBOX_TERMINAL where device_serial_number = '38250602301138' AND MERCHANT_CODE = 'MA_f63ff34c2b1247618'; Xóa data bằng câu lệnh sau:  DELETE FROM MERCHANT where MERCHANT_CODE IN ('11388883', '20002572');
 DELETE FROM STORE where MERCHANT_CODE IN ('11388883', '20002572');
 DELETE FROM TERMINAL where MERCHANT_CODE IN ('11388883', '20002572');
 DELETE FROM SERVICE where MERCHANT_CODE IN ('11388883', '20002572');
 DELETE FROM SOUNDBOX_TERMINAL where device_serial_number = '38250602301138' AND MERCHANT_CODE = 'MA_f63ff34c2b1247618'; Update data bằng câu lệnh sau:  UPDATE TCB_DEVICE
     SET device_status = 'ASSIGNED',
             PHYSICAL_STATUS = 'SALE_HOLDING',
             USAGE_STATUS = 'NOT_CONNECTED'
 WHERE device_serial_number = '38250602301138';
UPDATE SOUNDBOX_DEVICE_MAPPING
    SET MERCHANT_CODE = NULL,
           TCB_TERMINAL_ID = NULL,
           TCB_MERCHANT_ID = NULL,
           TCB_STORE_ID = NULL,
           MC_VA_ACCOUNT = NULL,
           LINK_DEVICE_AT = NULL
WHERE DEVICE_ID = 'SB_MF_38_38250602301138' AND STATUS = 'ACTIVE';</t>
  </si>
  <si>
    <t>[DBA-MAG] Create script backup for MY database with excluding table log ( API_LOG)</t>
  </si>
  <si>
    <t>2025-11-06T14:42:42.002+0700</t>
  </si>
  <si>
    <t>2025-11-12T16:38:22.388+0700</t>
  </si>
  <si>
    <t>Create script backup for MY database with excluding table log ( API_LOG)</t>
  </si>
  <si>
    <t xml:space="preserve">[IOTEK HUB] Deploy postgres db and installation extension timescaledb in postgres </t>
  </si>
  <si>
    <t>2025-11-06T14:39:10.467+0700</t>
  </si>
  <si>
    <t>2025-11-06T14:39:17.688+0700</t>
  </si>
  <si>
    <t xml:space="preserve">hỗ trợ triển khai database postgres với extension timescaledb </t>
  </si>
  <si>
    <t>[OMC][OneU] Hỗ trợ export user address trên sổ địa chỉ</t>
  </si>
  <si>
    <t>2025-11-06T11:41:41.694+0700</t>
  </si>
  <si>
    <t>2025-11-06T11:41:45.955+0700</t>
  </si>
  <si>
    <t xml:space="preserve">Dear team DBA, Theo yêu cầu của anh  @Lù Quang Minh   @Nguyễn Việt Tiến  v/v cần kiểm tra địa chỉ trên sổ địa chỉ hiện tại so với địa chỉ mới theo đơn vị hành chính mới, có tỷ lệ bao nhiêu user/address mà việc mapping địa chỉ bị nhập nhằng (Ví dụ: những khu vực sát nhập 1 phần sang Phường A, 1 phần sang phường B...). Mục đích là để đánh giá hướng xử lý phù hợp cho việc thực hiện migrate tự động, hoặc yêu cầu người dùng cập nhật địa chỉ mới trên sổ. Nhờ các anh hỗ trợ team chạy câu lênh SQL dưới đây ạ,  SELECT id, address, province_id, province_name, district_id, district_name, ward_id, ward_name, user_id FROM `delivery_address`; DB name: address_book Table name: delivery_address IP: 172.31.1.41 Nhờ team Security review và accept yêu cầu trên ạ. Thời gian xử lý đến hết thứ 6 tuần này ạ. </t>
  </si>
  <si>
    <t>[OMC][ONEU] Hỗ trợ đánh index trên PROD</t>
  </si>
  <si>
    <t>2025-11-06T10:56:17.986+0700</t>
  </si>
  <si>
    <t>2025-11-06T10:56:23.230+0700</t>
  </si>
  <si>
    <t>Dear team DBA, Nhờ team thực hiện các câu lệnh với các thông tin dưới đây ạ Project: vincart-prod
IP: 172.31.1.41
DB name: vincart_mm_order SQL:
CREATE INDEX `idx_shipping_provider_id_shipment_tracking` ON `shipment_tracking` (`shipping_provider_id`); Em cảm ơn ạ</t>
  </si>
  <si>
    <t>[OMRE][Kafka][PROD] Tạo topic cho bảng contracts thuộc schema onehs_e_contract PROD</t>
  </si>
  <si>
    <t>2025-11-06T09:51:18.821+0700</t>
  </si>
  <si>
    <t>2025-11-06T11:38:25.958+0700</t>
  </si>
  <si>
    <t>Dear các anh. Em đang cần xử lý task:  https://vinid-team.atlassian.net/browse/DWHV2-12140  nên em có nhu cầu kéo bảng contracts thuộc schema onehs_e_contract trên PROD. Nhờ team hỗ trợ em tạo topic kafka cho bảng với thông tin sau ạ: Schema: onehs_e_contract Table: contracts Host:172.31.4.83 Port:3306</t>
  </si>
  <si>
    <t xml:space="preserve">[OMC][Prod] explain câu query </t>
  </si>
  <si>
    <t>2025-11-06T07:17:45.935+0700</t>
  </si>
  <si>
    <t>2025-11-06T07:18:00.317+0700</t>
  </si>
  <si>
    <t>IP: 172.31.1.41 database :  booking_transportation EXPLAIN SELECT * FROM saved_places WHERE saved_places.status = 'ACTIVE'; database:  vincart_mm_order EXPLAIN SELECT * FROM shipment_tracking WHERE shipment_tracking.shipping_provider_id = 1 LIMIT 100;</t>
  </si>
  <si>
    <t>[OMC][Kafka][PRD] Hỗ trợ tạo kafka topic DB OLOYALTY</t>
  </si>
  <si>
    <t>2025-11-05T18:14:28.462+0700</t>
  </si>
  <si>
    <t>2025-11-07T15:45:44.868+0700</t>
  </si>
  <si>
    <t>Dear anh Linh, Phục vụ dữ liệu cho use case voucher cho nhóm, chuyển điểm trong nhóm. Nhờ anh tạo kafka topic cho bảng sau ạ. DB:  oloyalty IP:  10.255.23.119 Table:  LOYALTY_GROUP MEMBER_GROUP Em cảm ơn ạ.</t>
  </si>
  <si>
    <t>[UPAY] Tác động hạ cấu hình database</t>
  </si>
  <si>
    <t>2025-11-05T18:06:42.780+0700</t>
  </si>
  <si>
    <t>2025-11-05T18:07:03.189+0700</t>
  </si>
  <si>
    <t>Dear team.  Team em có nhu cầu hạ cấu hình của database:  172.31.1.133:3306/reconciliation Cụ thể sẽ hạ xuống là:  4 vCPU 16 GB RAM Thời gian thực hiện:  17h  ngày 05.11.2025</t>
  </si>
  <si>
    <t>2025-11-05T17:32:58.739+0700</t>
  </si>
  <si>
    <t>2025-11-05T17:33:03.555+0700</t>
  </si>
  <si>
    <t>Dear anh Dương, Nhờ anh chạy giúp em script theo file em đính kèm trong ticket ạ DB:  tidb.int.onemount.com:4000 Schema:  dp_omc_semantic_omc_bsi_cdp</t>
  </si>
  <si>
    <t xml:space="preserve">[UPAY][RECONCILIATION] Tác động database archived data </t>
  </si>
  <si>
    <t>2025-11-05T16:05:00.217+0700</t>
  </si>
  <si>
    <t>2025-11-05T16:05:05.550+0700</t>
  </si>
  <si>
    <t xml:space="preserve">Dear team. Nhờ team hỗ trợ chạy script sau.  Thời gian:  ngay sau khi ticket được approval   DB:  172.31.1.133:3306 Với database BO Xóa procedure đang chạy  DROP PROCEDURE IF EXISTS DeleteDataBefore2024; Chạy lệnh tao procedure theo hướng dẫn sau:    Sau đó chạy câu lệnh xóa sau:  CALL DeleteDataBefore2024('ORDER_SHIPPING', 1000, NULL, '2024-09-01', NULL, FALSE, 100);
CALL DeleteDataBefore2024('ORDER_VOUCHER', 1000, NULL, '2024-09-01', NULL, FALSE, 100); Với database reconciliation Làm theo các bước được trong hướng dẫn sau:    </t>
  </si>
  <si>
    <t>[OMC][MTP] Clear dữ liệu tracking 09/2025</t>
  </si>
  <si>
    <t>2025-11-05T15:25:21.430+0700</t>
  </si>
  <si>
    <t>2025-11-05T15:25:27.367+0700</t>
  </si>
  <si>
    <t>TrackingEvent</t>
  </si>
  <si>
    <t>Dear anh  @Nguyễn Văn Dũng  , nhờ anh chạy giúp em script sau: -- OMC
ALTER TABLE omc_mtp_tracking_events.mtp_tracking_events_omc DROP PARTITION p20250901;
-- ALTER TABLE omc_mtp_tracking_events.mtp_tracking_events_omc DROP PARTITION p20250802;
ALTER TABLE omc_mtp_tracking_events.mtp_tracking_events_context_omc DROP PARTITION p20250901;
-- ALTER TABLE omc_mtp_tracking_events.mtp_tracking_events_context_omc DROP PARTITION p20250802;
ALTER TABLE omc_mtp_tracking_events.mtp_tracking_event_sessions DROP PARTITION p2025_09;
ALTER TABLE omc_mtp_martech_activation.mtp_ads_events DROP PARTITION p2025_09;
ALTER TABLE omc_mtp_martech_activation.mtp_push_events DROP PARTITION p2025_09;
ALTER TABLE omc_mtp_martech_activation.mtp_tracking_email_events DROP PARTITION p2025_09;
ALTER TABLE omc_mtp_martech_activation.mtp_tracking_email_notifications DROP PARTITION p2025_09;
ALTER TABLE omc_mtp_martech_activation.mtp_tracking_fcm_messages DROP PARTITION p2025_09;
ALTER TABLE omc_mtp_martech_activation.mtp_tracking_push_notifications DROP PARTITION p2025_09;
-- OMRE
ALTER TABLE omre_mtp_tracking_events.mtp_tracking_events_omre drop partition p20250901;
-- ALTER TABLE omre_mtp_tracking_events.mtp_tracking_events_omre drop partition p20250802;
ALTER TABLE omre_mtp_tracking_events.mtp_tracking_events_context_omre DROP PARTITION p20250901;
-- ALTER TABLE omre_mtp_tracking_events.mtp_tracking_events_context_omre DROP PARTITION p20250802; Best regards Dinh Quang Nguyen</t>
  </si>
  <si>
    <t>[UPAY] Tác động database hỗ trợ update thông tin device smartpos</t>
  </si>
  <si>
    <t>2025-11-05T15:14:46.355+0700</t>
  </si>
  <si>
    <t>2025-11-05T15:14:50.773+0700</t>
  </si>
  <si>
    <t>Dear team. Nhờ team hỗ trợ chạy script sau.  Thời gian:  ngay sau khi ticket được approval   DB:  pay-tidb.int.onemount.com:4000/saas_tpay UPDATE TCB_DEVICE
SET device_id = 'SP_GINI_X990_COUNTERTOP_V9E0760576'
WHERE device_serial_number ='V9E0760576';
UPDATE TCB_DEVICE
SET device_model = 'X990_COUNTERTOP'
WHERE device_serial_number ='V9E0760576';
UPDATE TCB_DEVICE
SET extra_data = JSON_SET(extra_data, '$.model', 'X990_COUNTERTOP')
WHERE device_serial_number ='V9E0760576';
UPDATE TCB_DEVICE_HISTORY
SET device_id = 'SP_GINI_X990_COUNTERTOP_V9E0760576'
WHERE device_serial_number ='V9E0760576';
UPDATE TCB_DEVICE_HISTORY
SET device_model = 'X990_COUNTERTOP'
WHERE device_serial_number ='V9E0760576';
UPDATE TCB_DEVICE_HISTORY
SET extra_data = JSON_SET(extra_data, '$.model', 'X990_COUNTERTOP')
WHERE device_serial_number ='V9E0760576';
UPDATE SMARTPOS_DEVICE_MAPPING
SET device_id = 'SP_GINI_X990_COUNTERTOP_V9E0760576'
WHERE device_serial_number ='V9E0760576';
UPDATE SMARTPOS_DEVICE_MAPPING_HISTORY
SET device_id = 'SP_GINI_X990_COUNTERTOP_V9E0760576'
WHERE device_serial_number ='V9E0760576';</t>
  </si>
  <si>
    <t>[OMC][MCL] Tạo Schema và user DB cho LLM</t>
  </si>
  <si>
    <t>2025-11-05T14:35:50.389+0700</t>
  </si>
  <si>
    <t>2025-11-05T14:35:54.418+0700</t>
  </si>
  <si>
    <t>Dear anh  @Nguyễn Văn Dũng  , nhờ anh tạo giúp em DB Schema trên ODS Non-prod URI:  tidb.int.onemount.dev Schema:  omc_llm_taxonomy User DB:  omc_llm_taxonomy Best regards Dinh Quang Nguyen</t>
  </si>
  <si>
    <t>[VCM] Update rate limit cho user trong FS 16h ngày 29/10/2025</t>
  </si>
  <si>
    <t>2025-11-05T14:30:31.731+0700</t>
  </si>
  <si>
    <t>2025-11-05T14:30:44.010+0700</t>
  </si>
  <si>
    <t>Hi anh Dũng, Nhờ anh chạy script update danh sách các key với thông  tin dưới đây: IP:  vincart-prod--onevoucher.memstore.int (172.31.0.196) DB: 3 SET vincart:ratelimit:campaign_group:items:total:30:20503321 1
SET vincart:ratelimit:campaign_group:items:total:30:2267567 1
SET vincart:ratelimit:items:total:331872:ONEU:VD_VC_1761037329032:VOUCHER:USER:1816172 0
SET vincart:ratelimit:campaign_group:items:total:30:12176882 1
SET vincart:ratelimit:campaign_group:items:total:30:20566251 1
SET vincart:ratelimit:campaign_group:items:total:30:745763 1
SET vincart:ratelimit:campaign_group:items:total:30:12616990 1
SET vincart:ratelimit:campaign_group:items:total:30:6487501 1
SET vincart:ratelimit:campaign_group:items:total:30:6222693 1
SET vincart:ratelimit:campaign_group:items:total:30:20616647 1
SET vincart:ratelimit:campaign_group:items:total:30:13283856 1
SET vincart:ratelimit:campaign_group:items:total:30:20040002 1
SET vincart:ratelimit:campaign_group:items:total:30:7882126 1
SET vincart:ratelimit:campaign_group:items:total:30:5672736 1
SET vincart:ratelimit:campaign_group:items:total:30:2756924 1
SET vincart:ratelimit:campaign_group:items:total:30:7481164 2
SET vincart:ratelimit:campaign_group:items:total:30:20600292 1
SET vincart:ratelimit:campaign_group:items:total:30:20293685 1</t>
  </si>
  <si>
    <t>[OMC][Loyalty] [PROD] Thêm index cho DB Voucher Distribution</t>
  </si>
  <si>
    <t>2025-11-05T11:33:51.628+0700</t>
  </si>
  <si>
    <t>2025-11-05T11:34:47.989+0700</t>
  </si>
  <si>
    <t>Loyalty, Tuning</t>
  </si>
  <si>
    <t>Nhờ team hỗ trợ thêm giúp index cho DB Voucher Distribution trên PROD với các thông tin sau  CR :    Project : vinid-loyalty-prod Instance Name : voucher-distribution Instance IP : 172.31.4.82 DB : b2b_voucher_distribution DDL :  ALTER TABLE voucher_acquirer ADD INDEX idx_voucher_id(voucher_id), ALGORITHM=INPLACE, LOCK=NONE; Em cảm ơn.</t>
  </si>
  <si>
    <t>[VCM] Update ratelimit cho user trong campain ngày 05/11</t>
  </si>
  <si>
    <t>2025-11-05T11:32:56.633+0700</t>
  </si>
  <si>
    <t>2025-11-05T11:33:01.130+0700</t>
  </si>
  <si>
    <t>Hi anh Dũng, Nhờ anh chạy script update danh sách các key với thông  tin dưới đây: IP:  vincart-prod--onevoucher.memstore.int (172.31.0.196) DB: 3 SET vincart:ratelimit:items:total:331872:ONEU:VD_VC_1762229103377:VOUCHER:20433968:QLjQABOwG 0
SET vincart:ratelimit:items:total:331872:ONEU:VD_VC_1762229103377:VOUCHER:USER:20433968 0</t>
  </si>
  <si>
    <t>[Merchant-TCB] Hỗ trợ tạo account read-only</t>
  </si>
  <si>
    <t>2025-11-05T11:31:36.386+0700</t>
  </si>
  <si>
    <t>2025-11-05T11:31:40.300+0700</t>
  </si>
  <si>
    <t>Dear team, Team Merchant có nhu cầu query data từ Dremio vào database, nên tạo ticket này, nhờ team tạo account read-only để cấu hình phía Dremio ạ. Thông tin database https://console.cloud.google.com/sql/instances/merchant-tcb/overview?inv=1&amp;invt=AbsndA&amp;project=vinid-merchant-prod DB_MYSQL_HOST=172.31.4.108
DB_MYSQL_DATABASE=merchant_service_tcb</t>
  </si>
  <si>
    <t>[OMC][DP][Kafka][PROD] Hỗ trợ tạo kafka topic cho bảng DB mtp_campaign_management</t>
  </si>
  <si>
    <t>2025-11-05T11:20:33.815+0700</t>
  </si>
  <si>
    <t>2025-11-07T18:14:03.978+0700</t>
  </si>
  <si>
    <t>Dear anh Linh, Phục vụ tracking các thông tin IAM và Email do MTP. Nhờ anh tạo topic cho các bảng sau: POSTGRES_HOST:  172.31.3.49:5432   POSTGRES_DB:  mtp_campaign_management Tables:  mtp_campaign_delivery Em cảm ơn ạ</t>
  </si>
  <si>
    <t>[OMC][DP][Kafka][PROD] Hỗ trợ tạo kafka topic cho bảng DB oneu_e_invoice</t>
  </si>
  <si>
    <t>2025-11-05T11:20:23.364+0700</t>
  </si>
  <si>
    <t>2025-11-07T18:07:32.947+0700</t>
  </si>
  <si>
    <t>Dear anh Linh, Phục vụ xây dựng báo cáo cho VH&amp;KT luồng Food Delivery. Nhờ anh tạo topic cho các bảng sau: IP:  172.31.1.102 DB name:  oneu_e_invoice Bảng:  oneu_e_invoice Em cảm ơn ạ</t>
  </si>
  <si>
    <t>[OMD][SCM MAG] - Xin kafka toptic để ingest dữ liệu cho dự án SCM MAG</t>
  </si>
  <si>
    <t>2025-11-05T11:18:44.524+0700</t>
  </si>
  <si>
    <t>2025-11-07T15:19:28.878+0700</t>
  </si>
  <si>
    <t>Dear các anh, Em gửi yêu cầu xin tạo kafka toptic để ingest dữ liệu cho dự án SCM MAG trên môi trường NONPROD với thông tin như sau: Host 172.31.0.68 Database/Schema omd_mdm_qc Danh sách các bảng cần tạo Kafka topic: tables bom Address AddressType Offer Unit ProductUnit Product ProductType BrandCategory MainCatefory Orgnization Contact MainCategory Tenant Warehouse Contact Nếu cần thêm thông tin vui lòng liên hệ lại để em cung cấp thêm ạ Thanks.</t>
  </si>
  <si>
    <t>[OMC][PROD] Chạy câu lệnh SQL GSM ngày 05/11</t>
  </si>
  <si>
    <t>2025-11-05T10:07:31.929+0700</t>
  </si>
  <si>
    <t>2025-11-07T15:21:41.147+0700</t>
  </si>
  <si>
    <t>Dear team DBA, Nhờ team hỗ trợ chạy câu lênh SQL dưới đây ạ Issuse:  https://chat.google.com/room/AAAAH-v7fB4/dEDgZrmN2EE/dEDgZrmN2EE?cls=10 Thông tin DB: Project: vincart-prod
IP: 172.31.1.41
DB name: booking_transportation Câu lệnh SQL: UPDATE `trips`
SET `status` = 'FINISHED', `previous_status` = 'JOURNEY'
WHERE `id` = 132139;</t>
  </si>
  <si>
    <t>[OMC][NRs][Prod] giảm innodb_buffer_pool_size</t>
  </si>
  <si>
    <t>2025-11-05T09:52:18.044+0700</t>
  </si>
  <si>
    <t>2025-11-05T11:19:11.981+0700</t>
  </si>
  <si>
    <t>https://console.cloud.google.com/sql/instances/main/overview?project=vincart-prod  12884901888 giảm xuống còn  10,737,418,240 https://console.cloud.google.com/sql/instances/ecom-medium-mysql/overview?project=vincart-prod   6442450944 giảm xuống còn   4,294,967,296</t>
  </si>
  <si>
    <t>[OMC][ONEU] [Prod] Chạy câu lệnh sql</t>
  </si>
  <si>
    <t>2025-11-04T23:22:00.291+0700</t>
  </si>
  <si>
    <t>2025-11-04T23:22:05.087+0700</t>
  </si>
  <si>
    <t>Dear team DBA, Nhờ mọi người chạy giúp em câu lệnh sau để phục vụ golive ạ CR:    project: vincart-prod instance: main ip: 172.31.1.41 DB: vincart_mm_product ALTER TABLE `store_group_topping_detail` CHANGE `status` `status` VARCHAR (25) CHARACTER SET utf8mb4 COLLATE utf8mb4_general_ci NOT NULL;
ALTER TABLE `store_group_topping_detail` CHANGE `store_code` `store_code` VARCHAR (25) CHARACTER SET utf8mb4 COLLATE utf8mb4_general_ci NOT NULL;
CREATE INDEX idx_store_code ON store_group_topping_detail (store_code);</t>
  </si>
  <si>
    <t>[Merchant-TCB] Hỗ trợ cập nhật dữ liệu 202511104</t>
  </si>
  <si>
    <t>2025-11-04T17:41:00.149+0700</t>
  </si>
  <si>
    <t>2025-11-04T17:41:04.951+0700</t>
  </si>
  <si>
    <t>Dear team, Nhờ team chạy giúp câu lệnh bên dưới ạ. Thông tin database https://console.cloud.google.com/sql/instances/merchant-tcb/overview?inv=1&amp;invt=AbsndA&amp;project=vinid-merchant-prod DB_MYSQL_HOST=172.31.4.108
DB_MYSQL_DATABASE=merchant_service_tcb Câu lệnh INSERT INTO `tpay_staff` (`approved_at`, `approved_by`, `created_at`, `created_by`, `status`, `updated_at`, `updated_by`, `tcb_merchant_code`, `user_name`, `full_name`, `email`, `phone`, `role_id`, `user_id`, `manage_all_store`, `source`, `must_change_password`)
		VALUES('2025-11-04 07:47:58', 'SYSTEM', '2025-11-04 07:47:58', 'SYSTEM', 'ACTIVE', '2025-11-04 07:47:58', 'SYSTEM', '74528700', 'trucmi.nguyen1908', 'HANG THAI KIEU OANH', 'trucmi.nguyen1908@gmail.com', '0397015419', 34, 'ab8d55e453494ab8b7195423c07d550d', TRUE, 'APP_SOFTPOS', 0);</t>
  </si>
  <si>
    <t>INSERT DB B2B User môi trường dev</t>
  </si>
  <si>
    <t>2025-11-04T17:30:32.800+0700</t>
  </si>
  <si>
    <t>2025-11-04T17:30:39.818+0700</t>
  </si>
  <si>
    <t>Nhờ anh hỗ trợ em insert file data sau cho bảng Address info với ạ, file to quá em không tự xử lý được, em cảm ơn (nhớ tắt Enable foreign key checks nhé a). thông tin DB jdbc:mysql://vinid-app-common-dev--main-mysql-8.cloudsql.int:3306/omd_b2b_custom_oms_dev</t>
  </si>
  <si>
    <t xml:space="preserve">Hỗ trợ dump db bảng sf_mpm_mapping </t>
  </si>
  <si>
    <t>2025-11-04T16:38:21.186+0700</t>
  </si>
  <si>
    <t>2025-11-04T17:33:39.477+0700</t>
  </si>
  <si>
    <t>Do dữ liệu bảng này ở dev bị 1 bạn nào đó lỡ tay xóa mất nên nhờ team support khôi phục lại snapshot ngày mùng 3 và đưa dữ liệu sang db hiện tại</t>
  </si>
  <si>
    <t>[OMC][PS2][Loyalty][PROD] - archive dữ liệu history cho các bảng cần move data sang COLD - Tháng 11/2025</t>
  </si>
  <si>
    <t>2025-11-04T15:30:50.473+0700</t>
  </si>
  <si>
    <t>2025-11-13T10:23:47.710+0700</t>
  </si>
  <si>
    <t>Các bảng cần move data sang COLD, sau đó archive lên GCS: TRANSACTION_HISTORY_ATTRIBUTE TRANSACTION_HISTORY POINT_TRANSACTION COUNTER_TRANSACTION_HISTORY 3 bảng TRANSACTION_HISTORY, POINT_TRANSACTION, COUNTER_TRANSACTION_HISTORY : Trên môi trường PROD (HOT), Giữ lại data đầy đủ của 6 tháng gần nhất. (tháng n-1, n-2, n-3, n-4, n-5, n-6). Trên môi trường COLD, sẽ có data lịch sử (history 6 tháng tiếp theo) n-7, n-8, n-9, n-10, n-11, n-12. Ví dụ, hiện tại là tháng 10/2025, thì data giữ lại ở db chính PROD là tháng 9/2025, 8/2025, 7/2025, 6/2025, 5/2025, 4/2025. Các tháng lịch sử khác (history 6 tháng tiếp theo) sẽ khai thác trên db COLD: tháng 3/2025, 2/2025, 1/2025, 12/2024, 11/2024, 10/2024 Bảng TRANSACTION_HISTORY_ATTRIBUTE  : Tháng hiện tại là tháng n.  Trên DB chính PROD (HOT), giữ lại data đầy đủ của 3 tháng gần nhất (tháng thứ n-1,n-2,n-3 sau tháng hiện tại). Các data tháng thứ n-4,n-5,n-6 sau tháng n hiện tại thì chuyển sang db COLD.) Ví dụ, hiện tại là tháng 10/2025, thì data giữ lại ở db chính PROD là tháng 9/2025, 8/2025, 7/2025. Các tháng 6/2025, 5/2025, 4/2025 sẽ khai thác trên db COLD.</t>
  </si>
  <si>
    <t>[OMC][PS2][Loyalty][PROD] - archive dữ liệu history cho các bảng PAY_WITH_POINT_TRANSACTION_HISTORY - Tháng 11/2025</t>
  </si>
  <si>
    <t>2025-11-04T15:30:40.621+0700</t>
  </si>
  <si>
    <t>2025-11-05T23:15:17.786+0700</t>
  </si>
  <si>
    <t>Giữ nguyên các partition,chỉ DELETE xóa data theo điều kiện where là:  status = 'F'  and transaction_time đủ full  1 tháng  gần nhất Ví dụ, hiện tại tháng 10/2025, thì sẽ thực hiện DELETE Xóa data có: status = 'F' and transaction_time &lt; to_date('01/10/2025','dd/MM/yyyy')</t>
  </si>
  <si>
    <t>[OMC][PS2][Loyalty][PROD] - archive dữ liệu history cho các bảng KAFKA_ , TIER_HISTORY - Tháng 11/2025</t>
  </si>
  <si>
    <t>2025-11-04T15:30:24.818+0700</t>
  </si>
  <si>
    <t>2025-11-13T10:23:45.096+0700</t>
  </si>
  <si>
    <t>[OMC][PS2][Loyalty][PROD] - Thực hiện archive dữ liệu history cho DB Loyalty - Tháng 11/2025</t>
  </si>
  <si>
    <t>2025-11-04T15:14:02.477+0700</t>
  </si>
  <si>
    <t>2025-11-13T10:23:35.875+0700</t>
  </si>
  <si>
    <t>Team DBA cần thực hiện archive dữ liệu lịch sử của 1 số bảng lớn trong DB LOYALTY, để tối ưu dung lượng lưu trữ data , tránh để data lưu trữ quá lớn trong DB dẫn tới chi phí phần cứng tăng và giảm hiệu suất IO khi truy xuất data lớn. Quy định về thời gian lưu trữ data (dự án đã confirm với TCB qua email): Live data tier: không TTL expired bất kể dữ liệu nào Backup tier: Thực hiện backup full 2 lần/tuần và incremental các ngày còn lại Archiving tier:  Dữ liệu Archive được thực hiện 6 tháng/lần và store với retention là 365 days Kế hoạch thực hiện archive dữ liệu history của DB Loyalty , thực hiện trong  tháng 11 năm 2025 Các bảng cần lưu trữ data và thực hiện xóa data history: Tables Partition column Life time Note KAFKA_AUDIT_TRAIL_PRODUCT_INFO CREATED_AT 1 month   KAFKA_AUDIT_TRAIL_CARD_INFO CREATED_AT 1 month   KAFKA_AUDIT_TRAIL_CUSTOMER_PROFILE CREATED_AT 1 month   KAFKA_AUDIT_TRAIL_EARN_TRANSACTION CREATED_AT 1 month   KAFKA_AUDIT_TRAIL_EARN_EVENT CREATED_AT 1 month   TIER_HISTORY CREATED_AT 6 month   POINT_TRANSACTION_ACCOUNT_BALANCE CREATED_AT 6 month Từ tháng 5/2025,  tạm dừng ko xóa data history bảng này nữa , để CNSP review lại xem có dùng dữ liệu quá 6 tháng ko? PAY_WITH_POINT_TRANSACTION_HISTORY TRANSACTION_TIME Giữ nguyên các partition,chỉ DELETE xóa data theo điều kiện where là:  status = 'F'  and transaction_time đủ full  1 tháng  gần nhất Ví dụ, hiện tại tháng 11/2025, thì sẽ thực hiện DELETE Xóa data có: status = 'F' and transaction_time &lt; to_date('01/10/2025','dd/MM/yyyy') TRANSACTION_HISTORY_ATTRIBUTE CREATED_AT 3 month Tháng hiện tại là tháng n. Trên DB chính PROD (HOT), giữ lại data đầy đủ của 3 tháng gần nhất (tháng thứ n-1,n-2,n-3 sau tháng hiện tại). Các data tháng thứ n-4,n-5,n-6 sau tháng n hiện tại thì chuyển sang db COLD.) Ví dụ, hiện tại là tháng 11/2025, thì data giữ lại ở db chính PROD là tháng 10/2025, 9/2025, 8/2025. Các tháng 7/2025, 6/2025, 5/2025 sẽ khai thác trên db COLD. TRANSACTION_HISTORY TRANSACTION_TIME 6 month Trên môi trường PROD (HOT), Giữ lại data đầy đủ của 6 tháng gần nhất. (tháng n-1, n-2, n-3, n-4, n-5, n-6). Trên môi trường COLD, sẽ có data lịch sử (history 6 tháng tiếp theo) n-7, n-8, n-9, n-10, n-11, n-12. Ví dụ, hiện tại là tháng 11/2025, thì data giữ lại ở db chính PROD là tháng 10/2025, 9/2025, 8/2025, 7/2025, 6/2025, 5/2025. Các tháng lịch sử khác (history 6 tháng tiếp theo) sẽ khai thác trên db COLD: tháng 4/2025, 3/2025, 2/2025, 1/2025, 12/2024, 11/2024 POINT_TRANSACTION TRANSACTION_TIME 6 month Trên môi trường PROD (HOT), Giữ lại data đầy đủ của 6 tháng gần nhất. (tháng n-1, n-2, n-3, n-4, n-5, n-6). Trên môi trường COLD, sẽ có data lịch sử (history 6 tháng tiếp theo) n-7, n-8, n-9, n-10, n-11, n-12. Ví dụ, hiện tại là tháng 11/2025, thì data giữ lại ở db chính PROD là tháng 10/2025, 9/2025, 8/2025, 7/2025, 6/2025, 5/2025. Các tháng lịch sử khác (history 6 tháng tiếp theo) sẽ khai thác trên db COLD: tháng 4/2025, 3/2025, 2/2025, 1/2025, 12/2024, 11/2024 COUNTER_TRANSACTION_HISTORY CREATED_AT 6 month Trên môi trường PROD (HOT), Giữ lại data đầy đủ của 6 tháng gần nhất. (tháng n-1, n-2, n-3, n-4, n-5, n-6). Trên môi trường COLD, sẽ có data lịch sử (history 6 tháng tiếp theo) n-7, n-8, n-9, n-10, n-11, n-12. Ví dụ, hiện tại là tháng 11/2025, thì data giữ lại ở db chính PROD là tháng 10/2025, 9/2025, 8/2025, 7/2025, 6/2025, 5/2025. Các tháng lịch sử khác (history 6 tháng tiếp theo) sẽ khai thác trên db COLD: tháng 4/2025, 3/2025, 2/2025, 1/2025, 12/2024, 11/2024 COUNTER_HISTORY CREATED_AT Không xóa data select /*+ parallel(8) */ count(*) from OLOYALTY.COUNTER_HISTORY; -- Jun25: 1.239.192.444, Jul25: 1.241.861.674, Aug25: 1.243.737.744, Sep25: 1.245.368.045, oct25: 1.246.539.190 , Nov25: 1.247.733.183 Chạy Gather statistic + rebuild index bảng COUNTER_HISTORY                 Các bảng theo dõi thông tin:       MEMBER_ATTRIBUTE Không tạo partition có thể xoá các bảng ghi có status = 'I' Rà soát theo mỗi quý 1 lần. Khi tỉ lệ số rows STATUS = 'I' chiếm khoảng 20% số row của bảng thì thực hiện DELETE bớt data có STATUS = 'I' select /*+ parallel(8) */ count(*) from OLOYALTY.MEMBER_ATTRIBUTE; -- Aug24: 717.918.360, oct25: 817.733.762, Nov25: 963.378.002  select /*+ parallel(8) */ count(*) from OLOYALTY.MEMBER_ATTRIBUTE where STATUS = 'A'; -- Aug24: 504.987.882, oct25: 531.694.076, Nov25: 600.257.645  select /*+ parallel(8) */ count(*) from OLOYALTY.MEMBER_ATTRIBUTE where STATUS = 'I'; -- Aug24: 212.930.565, oct25: 286.039.686, Nov25: 363.120.362 POINT_TRANSACTION_BLOCKING EXPIRED_DATE Xoá các bản ghi trước năm 2024 Đã làm tháng 9/2024. select count(*) from OLOYALTY.POINT_TRANSACTION_BLOCKING; -- Jun25: 11.979.959, Jul25: 12.687.645, oct25: 14.493.225, Nov25: 15.081.174 Phương án làm archive data cho các bảng này: export các partition vi phạm thời gian lưu trữ data life time ONLINE Lưu trữ các partition đã export lên GCS (thời gian lưu trữ trên GCS là 1 năm). Các dữ liệu nào cần khai thác trên COLD, thì sẽ import sang db COLD. Drop các partition đã export + archived trên DB PROD Chạy lại gather statistic cho bảng vừa drop partition (có thể để DB auto chạy cũng được)</t>
  </si>
  <si>
    <t>[OMC][PS2][Loyalty][PROD] - Thực hiện archive dữ liệu history cho DB Loyalty</t>
  </si>
  <si>
    <t>Epic</t>
  </si>
  <si>
    <t>2025-11-04T15:03:15.575+0700</t>
  </si>
  <si>
    <t>archive_loyalty</t>
  </si>
  <si>
    <t>Team DBA cần thực hiện archive dữ liệu lịch sử của 1 số bảng lớn trong DB LOYALTY, để tối ưu dung lượng lưu trữ data , tránh để data lưu trữ quá lớn trong DB dẫn tới chi phí phần cứng tăng và giảm hiệu suất IO khi truy xuất data lớn. Quy định về thời gian lưu trữ data (dự án đã confirm với TCB qua email): Live data tier: không TTL expired bất kể dữ liệu nào Backup tier: Thực hiện backup full 2 lần/tuần và incremental các ngày còn lại Archiving tier:  Dữ liệu Archive được thực hiện 6 tháng/lần và store với retention là 365 days Kế hoạch thực hiện archive dữ liệu history của DB Loyalty ,  sẽ thực hiện định kì hàng tháng. Các bảng cần lưu trữ data và thực hiện xóa data history:  Phương án làm archive data cho các bảng này: export các partition vi phạm thời gian lưu trữ data life time ONLINE Lưu trữ các partition đã export lên GCS (thời gian lưu trữ trên GCS là 1 năm). Các dữ liệu nào cần khai thác trên COLD, thì sẽ import sang db COLD. Drop các partition đã export + archived trên DB PROD Chạy lại gather statistic cho bảng vừa drop partition (có thể để DB auto chạy cũng được)</t>
  </si>
  <si>
    <t>[ONESHOP] Support xoá key redis</t>
  </si>
  <si>
    <t>2025-11-04T14:42:45.042+0700</t>
  </si>
  <si>
    <t>2025-11-04T14:42:49.368+0700</t>
  </si>
  <si>
    <t>nhằm phục vụ việc check issue trên app OneShop, team cần xoá redis key  login_fail_number_0705647750  trên môi trường PROD , service: vinshop-public  thông tin redis :  app-notifications  - 172.31.0.92</t>
  </si>
  <si>
    <t>[OMD][WMS] Hỗ trợ cập nhật dữ liệu đơn hàng lệch trạng thái - kho NPP PHO04</t>
  </si>
  <si>
    <t>2025-11-04T13:39:45.390+0700</t>
  </si>
  <si>
    <t>2025-11-04T13:39:50.236+0700</t>
  </si>
  <si>
    <t>Hi DBA team, Hiện tại có 1 trường trong Database sai dữ liệu do lỗi trong quy trình vận hành dẫn đến lệch trạng thái SO-DO, nhờ team DBA hỗ trợ cập nhật giá trị theo thông tin dưới đây. Project : vinid-b2b-platform-prod Instance/IP : main (read-write): 172.31.4.59 Port : 3306 Database : omd_wms_thuanphong2 Query update order_item oi set oi.item_status = 'NEW' where oi.order_item_id = 496104; Câu query đánh giá là an toàn nên có thể thực hiện cập nhật bất kỳ lúc nào mà không ảnh hưởng đến vận hành hệ thống.</t>
  </si>
  <si>
    <t>[MAG-SCM] - Hỗ trợ phân quyền đọc dữ liệu MDM phục vụ dự án</t>
  </si>
  <si>
    <t>2025-11-04T13:38:33.135+0700</t>
  </si>
  <si>
    <t>2025-11-04T13:38:47.379+0700</t>
  </si>
  <si>
    <t>DBA, Data_Platform, MAG_SCM</t>
  </si>
  <si>
    <t>Dear anh Dương, Em tạo ticket nhờ anh hỗ trợ phân quyền trên Database MDM cho tài khoản của Data Platform, để kéo dữ liệu phục vụ nhu cầu phân tích, báo cáo cho dự án MAG-SCM ạ. Thông tin xin phân quyền như sau: Danh mục Thông tin Note Host 172.31.1.118 Port 3306 Schema/database omd_mdm_prod Phân quyền cho account dataplatform_ingestion Tài khoản này đã có sẵn Quyền Read toàn bộ các bảng trên  omd_mdm_prod Expired Never Expired Nhờ anh  @Nguyễn Bằng Việt  review approve giúp em ạ. Cảm ơn các anh.</t>
  </si>
  <si>
    <t>[OMC][Flash Sale TCB] Hạ cấu hình các instance mysql/postgreSQL phục vụ Flash Sale 31/10/2025</t>
  </si>
  <si>
    <t>2025-11-04T13:19:21.475+0700</t>
  </si>
  <si>
    <t>2025-11-04T13:19:29.408+0700</t>
  </si>
  <si>
    <t xml:space="preserve">Thời gian thực hiện:  sau 1hAM  31/10/2025  Chi tiết như sau:   https://console.cloud.google.com/sql/instances/main/overview?project=vincart-prod 172.31.1.41 Từ: 8 vCPUs 24 GB RAM , innodb_buffer_pool_size  12884901888 Lên: 16 vCPUs 48 GB RAM, innodb_buffer_pool_size  24000000000  Giảm về 12 vCPU, 24GB Ram =&gt; tăng chút CPU cho campaign T4 5/11 cuả kênh OneU https://console.cloud.google.com/sql/instances/ecom-medium-mysql/overview?project=vincart-prod 172.31.4.9 Từ: 4 vCPUs 8 GB RAM , innodb_buffer_pool_size    3221225472 Lên: 8 vCPUs 16 GB RAM, innodb_buffer_pool_size  8589934592 Giảm về 8vCPU, 12GB Ram =&gt; tăng chút RAM cho campaign T4 5/11 kênh OneU, ngoài ra SSD đang sử dụng 87/100 GB ( xem xet tăng luôn Disk trong CR naỳ lên 150 GB )   https://console.cloud.google.com/sql/instances/oneloyalty/overview?project=vinid-loyalty-prod 172.31.7.6 Từ: 4 vCPUs          8 GB RAM , innodb_buffer_pool_size   4294967296 Lên: 8 vCPUs        16 GB RAM , innodb_buffer_pool_size   10037418240 Note ngày 29/10:   172.31.7.6   Quá trình FS thấy ko lên CPU nhiều (đang ghi nhận mức 7% của 8 vCPUs). Nên các lần FS sau, sẽ để nâng lên mức 6 vCPUs + 12 GB RAM thôi, innodb_buffer_pool_size tính bằng mức 50% của RAM) Giảm về ban đầu 4cVPU, 8GB ram https://console.cloud.google.com/sql/instances/onevoucher/overview?project=vinid-loyalty-prod 172.31.4.126 Từ: 4 vCPUs          16 GB RAM , innodb_buffer_pool_size  8589934592 Lên: 8 vCPUs        24 GB RAM , innodb_buffer_pool_size  12884901888  Giảm về ban đầu 4vCPU, 16GB Ram https://console.cloud.google.com/sql/instances/voucher-distribution/overview?project=vinid-loyalty-prod 172.31.4.82 Từ: 2 vCPUs          8 GB RAM , innodb_buffer_pool_size   4294967283 Lên: 8 vCPUs        16 GB RAM , innodb_buffer_pool_size  10037418240  Giảm về ban đầu 2VCPU, 8GB Ram https://console.cloud.google.com/sql/instances/postgres-01/overview?authuser=0&amp;project=vinid-service-platform-prod 172.31.7.11 4 vCPUs          8 GB RAM (dự án có yêu cầu khi hạ cấu hình thì vẫn giữ 4 vCPUs để chạy hàng ngày) Giữ nguyên cấu hình (ko tăng) =&gt; ko giảm , giữ nguyên   https://console.cloud.google.com/sql/instances/omc-authentication/overview?project=omc-base-platform-prod 172.31.3.40 Từ: 4 vCPUs          8 GB RAM Giữ nguyên cấu hình (ko tăng) =&gt; ko giảm giữ nguyên </t>
  </si>
  <si>
    <t>[Prod] Update infor order for VMM</t>
  </si>
  <si>
    <t>2025-11-04T10:16:39.833+0700</t>
  </si>
  <si>
    <t>2025-11-04T10:18:29.067+0700</t>
  </si>
  <si>
    <t>Hi a Dương, Nhờ anh chạy giúp em thông tin dưới đây: IP:  172.31.1.119 Database:  vincart_mm_order Script: 1. Update fulfillment status in order
UPDATE
	orders
SET
	fulfillment_status = 'SHIPPED'
WHERE
	status = 'FINISHED'
	and payment_status = 'PAID'
	and created_at &gt;= '2025-10-31 12:00:00' and
code IN ('MY54AAEN', 'MY54AA9L', 'MY54A6LX', 'MY54A6BY', 'MX5LYYNR', 'MX5LYY7N', 'MX5LYY5E', 'MX5LYXY6', 'MX5LYX6E', 'MX5LYE5Q', 'MX5LY2DX', 'MV6KVV22', 'MV6KVG3V', 'MV6KVDQX', 'MV6KVDB8', 'MV6KVD3Y', 'MV6KV8E6', 'MV6KV5K2', 'MV6KV553', 'MRYN79XV', 'MRYN77NR', 'MRYN77DB', 'MRYN7798', 'MRYN7788', 'MRYN765G', 'MQL9DDKG', 'MQL9D4X6', 'MNK52QYB', 'MNK52QNR', 'MNK52Q8B', 'MNK52Q67', 'MNK527A3', 'MNK522BE', 'MLN588N4', 'MLN588L4', 'MLN586GE', 'MLN586AD', 'MKQ5ANXG', 'MKQ5AAV2', 'MKQ5AABX', 'MKQ5A6KV', 'MKQ5A66K', 'MKQ5A62V', 'MGVE4G2D', 'MGVE493K', 'MGVE44L8', 'MGVE44D2', 'MGVE4492', 'MGVE4472', 'MGVE4249', 'MEG6XAK6', 'MEG6XA65', 'MEG6X87X', 'MD8E7KV4', 'MD8E7AEK', 'MD8E77KX', 'MD8E77AL', 'MD8E7767', 'MBYBL9LR', 'MBYBL9GX', 'MBYBL7V8', 'MA5BEVX4', 'MA5BEVGB', 'MA5BEEYA', 'MA5BEDR9', 'MA5BE877', 'M9A84GRL', 'M9A84GQG', 'M9A84GAL', 'M9A84G3X', 'M8VLKKY2', 'M8VLKKAV', 'M8VLK85B', 'M8VLK37Q', 'M7R4XXXG', 'M7R4XXKE', 'M7R4XXD8', 'M7R4XX6G', 'M7R4XADX', 'M7R4X6B9', 'M7R4X699', 'M6K57YQV', 'M6K57YEQ', 'M6K57YA6', 'M6K57NQ2', 'M6K577Q6', 'M6K573BK', 'M5G2DNXK', 'M5G2DD77', 'M5G2DD57', 'M5G2DD3G', 'M4NGLVKB', 'M4NGLVG2', 'M4NGLV5D', 'M4NGLV4Y', 'M4NGLLXK', 'M4NGLLQY', 'M4NGL5XX', 'M383EER9', 'M383EEK8', 'M383E697', 'M383E66V', 'M383E45G', 'M383E423', 'M2GQ2KYY', 'M2GQ2KXY', 'M2GQ2KKK', 'M2GQ26Y5', 'M2GQ22X3', 'M2GQ2253', 'M2GQ224R');
2. Update status order and payment status for order finalized and unpaid
UPDATE
	orders
SET
	status = 'FINISHED',
	payment_status = 'PAID'
WHERE
	status = 'FINALIZED'
	and payment_status = 'UNPAID'
	and created_at &gt;= '2025-10-31 12:00:00' and
code IN ('MY54AAEN', 'MY54AA9L', 'MY54A6LX', 'MY54A6BY', 'MX5LYYNR', 'MX5LYY7N', 'MX5LYY5E', 'MX5LYXY6', 'MX5LYX6E', 'MX5LYE5Q', 'MX5LY2DX', 'MV6KVV22', 'MV6KVG3V', 'MV6KVDQX', 'MV6KVDB8', 'MV6KVD3Y', 'MV6KV8E6', 'MV6KV5K2', 'MV6KV553', 'MRYN79XV', 'MRYN77NR', 'MRYN77DB', 'MRYN7798', 'MRYN7788', 'MRYN765G', 'MQL9DDKG', 'MQL9D4X6', 'MNK52QYB', 'MNK52QNR', 'MNK52Q8B', 'MNK52Q67', 'MNK527A3', 'MNK522BE', 'MLN588N4', 'MLN588L4', 'MLN586GE', 'MLN586AD', 'MKQ5ANXG', 'MKQ5AAV2', 'MKQ5AABX', 'MKQ5A6KV', 'MKQ5A66K', 'MKQ5A62V', 'MGVE4G2D', 'MGVE493K', 'MGVE44L8', 'MGVE44D2', 'MGVE4492', 'MGVE4472', 'MGVE4249', 'MEG6XAK6', 'MEG6XA65', 'MEG6X87X', 'MD8E7KV4', 'MD8E7AEK', 'MD8E77KX', 'MD8E77AL', 'MD8E7767', 'MBYBL9LR', 'MBYBL9GX', 'MBYBL7V8', 'MA5BEVX4', 'MA5BEVGB', 'MA5BEEYA', 'MA5BEDR9', 'MA5BE877', 'M9A84GRL', 'M9A84GQG', 'M9A84GAL', 'M9A84G3X', 'M8VLKKY2', 'M8VLKKAV', 'M8VLK85B', 'M8VLK37Q', 'M7R4XXXG', 'M7R4XXKE', 'M7R4XXD8', 'M7R4XX6G', 'M7R4XADX', 'M7R4X6B9', 'M7R4X699', 'M6K57YQV', 'M6K57YEQ', 'M6K57YA6', 'M6K57NQ2', 'M6K577Q6', 'M6K573BK', 'M5G2DNXK', 'M5G2DD77', 'M5G2DD57', 'M5G2DD3G', 'M4NGLVKB', 'M4NGLVG2', 'M4NGLV5D', 'M4NGLV4Y', 'M4NGLLXK', 'M4NGLLQY', 'M4NGL5XX', 'M383EER9', 'M383EEK8', 'M383E697', 'M383E66V', 'M383E45G', 'M383E423', 'M2GQ2KYY', 'M2GQ2KXY', 'M2GQ2KKK', 'M2GQ26Y5', 'M2GQ22X3', 'M2GQ2253', 'M2GQ224R');
3. Update status of fulfillment for Fulfillment status is unshipped.
UPDATE
	fulfillments
SET
	status = 'SHIPPED'
WHERE
	status = 'UNSHIPPED'
	and created_at &gt;= '2025-10-31 12:00:00' and
order_id IN (
	select o.id from orders o where o.code in ('MY54AAEN', 'MY54AA9L', 'MY54A6LX', 'MY54A6BY', 'MX5LYYNR', 'MX5LYY7N', 'MX5LYY5E', 'MX5LYXY6', 'MX5LYX6E', 'MX5LYE5Q', 'MX5LY2DX', 'MV6KVV22', 'MV6KVG3V', 'MV6KVDQX', 'MV6KVDB8', 'MV6KVD3Y', 'MV6KV8E6', 'MV6KV5K2', 'MV6KV553', 'MRYN79XV', 'MRYN77NR', 'MRYN77DB', 'MRYN7798', 'MRYN7788', 'MRYN765G', 'MQL9DDKG', 'MQL9D4X6', 'MNK52QYB', 'MNK52QNR', 'MNK52Q8B', 'MNK52Q67', 'MNK527A3', 'MNK522BE', 'MLN588N4', 'MLN588L4', 'MLN586GE', 'MLN586AD', 'MKQ5ANXG', 'MKQ5AAV2', 'MKQ5AABX', 'MKQ5A6KV', 'MKQ5A66K', 'MKQ5A62V', 'MGVE4G2D', 'MGVE493K', 'MGVE44L8', 'MGVE44D2', 'MGVE4492', 'MGVE4472', 'MGVE4249', 'MEG6XAK6', 'MEG6XA65', 'MEG6X87X', 'MD8E7KV4', 'MD8E7AEK', 'MD8E77KX', 'MD8E77AL', 'MD8E7767', 'MBYBL9LR', 'MBYBL9GX', 'MBYBL7V8', 'MA5BEVX4', 'MA5BEVGB', 'MA5BEEYA', 'MA5BEDR9', 'MA5BE877', 'M9A84GRL', 'M9A84GQG', 'M9A84GAL', 'M9A84G3X', 'M8VLKKY2', 'M8VLKKAV', 'M8VLK85B', 'M8VLK37Q', 'M7R4XXXG', 'M7R4XXKE', 'M7R4XXD8', 'M7R4XX6G', 'M7R4XADX', 'M7R4X6B9', 'M7R4X699', 'M6K57YQV', 'M6K57YEQ', 'M6K57YA6', 'M6K57NQ2', 'M6K577Q6', 'M6K573BK', 'M5G2DNXK', 'M5G2DD77', 'M5G2DD57', 'M5G2DD3G', 'M4NGLVKB', 'M4NGLVG2', 'M4NGLV5D', 'M4NGLV4Y', 'M4NGLLXK', 'M4NGLLQY', 'M4NGL5XX', 'M383EER9', 'M383EEK8', 'M383E697', 'M383E66V', 'M383E45G', 'M383E423', 'M2GQ2KYY', 'M2GQ2KXY', 'M2GQ2KKK', 'M2GQ26Y5', 'M2GQ22X3', 'M2GQ2253', 'M2GQ224R')
); Thread:  https://chat.google.com/room/AAAA73xawWE/7YEwGXFUPgQ/2saGdUnluHg?cls=10</t>
  </si>
  <si>
    <t>2025-11-04T09:37:33.627+0700</t>
  </si>
  <si>
    <t>2025-11-04T09:37:37.021+0700</t>
  </si>
  <si>
    <t>Hi DBA team, Hiện tại có 1 trường trong Database sai dữ liệu do lỗi trong quy trình vận hành dẫn đến lệch trạng thái SO-DO, nhờ team DBA hỗ trợ cập nhật giá trị theo thông tin dưới đây. Project : vinid-b2b-platform-prod Instance/IP : main (read-write): 172.31.4.59 Port : 3306 Database : omd_wms_thuanphong2 Query update report_order_header roh set roh.order_status = 'NEW' where roh.original_id = 244077; Câu query đánh giá là an toàn nên có thể thực hiện cập nhật bất kỳ lúc nào mà không ảnh hưởng đến vận hành hệ thống.</t>
  </si>
  <si>
    <t xml:space="preserve">[OMC][NRs][PROD] Tạo index mysql </t>
  </si>
  <si>
    <t>2025-11-03T17:15:20.902+0700</t>
  </si>
  <si>
    <t>2025-11-03T17:15:37.381+0700</t>
  </si>
  <si>
    <t>IP: 172.31.1.41 database: vincart_mm_product ALTER TABLE inventories ADD INDEX inventory_merchant_code_idx (merchant_code), ALGORITHM=INPLACE, LOCK=NONE;</t>
  </si>
  <si>
    <t>[CTMS] Yêu cầu phân quyền xem các bảng trong CTMS theo danh sách</t>
  </si>
  <si>
    <t>2025-11-03T17:07:32.484+0700</t>
  </si>
  <si>
    <t>2025-11-03T17:42:16.984+0700</t>
  </si>
  <si>
    <t>Dear Hưng, nhờ em phân quyền cho account etlservice được view các bảng sau trong ctms-prod-client-1: bpm_approval bpm_approval_comment bpm_approval_stage bpm_approval_stage_user bpm_approval_stage_user_token bpm_approval_template bpm_approval_template_stage bpm_approval_template_stage_config bpm_approval_template_stage_user bpm_approval_template_stage_user_config bpm_approval_user_auto_assign bpm_model_has_approval_template ctms_contract ctms_contract_asset_liquidation_detail ctms_contract_asset_liquidation_type ctms_contract_collection ctms_contract_file ctms_contract_file_editors ctms_contract_file_viewers ctms_contract_selling_detail ctms_contract_tag ctms_contract_termination_detail ctms_contract_type ctms_contract_type_config ctms_contract_viewers app_department_configs department_user_config files cmm_templates</t>
  </si>
  <si>
    <t>[OMC][VCM][nonProd] Tạo discount database for smartpos</t>
  </si>
  <si>
    <t>2025-11-03T16:54:47.679+0700</t>
  </si>
  <si>
    <t>2025-11-03T17:08:14.706+0700</t>
  </si>
  <si>
    <t>Hi a  @Nguyễn Văn Dũng , a hỗ trợ tao giúp em discount database for smartpos để trên qc/uat với ạ. Instances:  https://console.cloud.google.com/sql/instances/main/overview?inv=1&amp;invt=Ab08Tw&amp;project=vinid-app-common-dev Thông tin DB discount_smartpos_{qc/uat/pt} budget_smartpos_{qc/uat/pt}</t>
  </si>
  <si>
    <t>[OMC][MCL][PROD] Hỗ trợ cập nhật/ bổ sung dữ liệu</t>
  </si>
  <si>
    <t>2025-11-03T09:14:21.622+0700</t>
  </si>
  <si>
    <t>2025-11-03T09:14:32.238+0700</t>
  </si>
  <si>
    <t>Dear team, Team em có nhu cầu cập nhật dữ liệu một số bảng sau, nhờ team chạy  2 script   ở 2 DB khác nhau  giúp em ạ. Trong quá trình golive có thể phát sinh nhu cầu cập nhật dữ liệu nên nhờ team hỗ trợ trong giờ nếu cần ạ. Release Plan :    CR : Team em sẽ gửi lại trong chiều nay ạ. Thứ tự chạy:  Team chạy script nào trước cũng được ạ. Thời gian chạy:   21h ngày 31/10/2025 Thông tin DB:  172.31.3.49:5432/mtp_assets_management -- posgresql alter table
ALTER TABLE mtp_assets_management.mtp_assets_sms_template
  ADD COLUMN es VARCHAR(30),
  ADD COLUMN department VARCHAR(30),
  DROP COLUMN client_id;
ALTER TABLE mtp_assets_management.mtp_assets_zns_template
  ADD COLUMN es VARCHAR(30),
  ADD COLUMN department VARCHAR(30),
  DROP COLUMN client_id;
-- posgreql update data
UPDATE mtp_assets_management.mtp_assets_sms_template
SET es = 'OMC', department = 'OMC Tech'
WHERE id IN ('33f7c6f1-aa65-44c5-8983-1cbdb29a955b', '2ce1b332-600c-40f6-aa44-e3aefd63c1ab', '627ece75-752c-4779-a867-18b09f39d344', 'c8009e71-1ac0-452e-96d0-31407933700f', '7e70fdc4-177c-429b-b554-cb1e097fdeb7', '27c24806-1696-4821-976f-79b32eac6e2e');
UPDATE mtp_assets_management.mtp_assets_sms_template
SET es = 'OM', department = 'OM Tech'
WHERE id IN ('4fe30744-482a-4758-a65d-2318f5d9f1be', '76b0589e-2bf0-4fb6-8653-0cf3a41fe83b', '987e019d-5d26-4058-bbb7-877bfa87f914');
UPDATE mtp_assets_management.mtp_assets_sms_template
SET es = 'OMRE', department = 'OMRE Tech'
WHERE id IN ('7a9c92e1-98cf-4fc8-91b7-2952e3236b93', 'eb0eec63-18eb-429a-96ac-f0fccb7ea4eb'); Thông tin DB:  172.31.4.192/martech_notification_prod -- sql create table
CREATE TABLE `martech_notification_prod.cbp_push_notification` (
  `id` bigint NOT NULL AUTO_INCREMENT,
  `app_id` varchar(36) CHARACTER SET utf8mb4 COLLATE utf8mb4_general_ci NOT NULL,
  `message_id` varchar(36) CHARACTER SET utf8mb4 COLLATE utf8mb4_general_ci DEFAULT NULL,
  `category_id` bigint DEFAULT NULL,
  `timestamp` bigint NOT NULL,
  `message_data` text CHARACTER SET utf8mb4 COLLATE utf8mb4_general_ci NOT NULL,
  `user_id` varchar(50) CHARACTER SET utf8mb4 COLLATE utf8mb4_general_ci NOT NULL,
  `created_at` timestamp NULL DEFAULT CURRENT_TIMESTAMP,
  `read_at` timestamp NULL DEFAULT NULL,
  `deleted_at` timestamp NULL DEFAULT NULL,
  `updated_at` timestamp NULL DEFAULT CURRENT_TIMESTAMP ON UPDATE CURRENT_TIMESTAMP,
  `request_id` varchar(128) CHARACTER SET utf8mb4 COLLATE utf8mb4_general_ci DEFAULT NULL,
  `template_id` varchar(128) CHARACTER SET utf8mb4 COLLATE utf8mb4_general_ci DEFAULT NULL,
  `campaign_id` varchar(50) CHARACTER SET utf8mb4 COLLATE utf8mb4_general_ci DEFAULT NULL,
  `campaign_name` varchar(256) CHARACTER SET utf8mb4 COLLATE utf8mb4_general_ci DEFAULT NULL,
  `master_code` varchar(256) CHARACTER SET utf8mb4 COLLATE utf8mb4_general_ci DEFAULT NULL,
  `bu` int DEFAULT NULL,
  `data_source_id` int DEFAULT NULL,
  `es` varchar(48) CHARACTER SET utf8mb4 COLLATE utf8mb4_general_ci DEFAULT NULL,
  `template_name` varchar(128) CHARACTER SET utf8mb4 COLLATE utf8mb4_general_ci DEFAULT NULL,
  `client_name` varchar(128) CHARACTER SET utf8mb4 COLLATE utf8mb4_general_ci DEFAULT NULL,
  PRIMARY KEY (`id`),
  KEY `cbp_push_notification_idx1` (`user_id`,`app_id`,`category_id`),
  KEY `cbp_push_notification_fk2` (`category_id`),
  KEY `cbp_push_notification_fk1` (`app_id`),
  KEY `cbp_push_notification_campaign_id_created_at_index` (`campaign_id`,`created_at`),
  KEY `cbp_push_notification_campaign_id_index` (`campaign_id`),
  KEY `cbp_idx_campaign_id` (`campaign_id`),
  KEY `cbp_idx_created_at` (`created_at`)
) ENGINE=InnoDB DEFAULT CHARSET=utf8mb4 COLLATE=utf8mb4_general_ci; Thanks team.  </t>
  </si>
  <si>
    <t>[OMC][PROD] Chạy câu lệnh SQL GSM ngày 02/11</t>
  </si>
  <si>
    <t>2025-11-03T09:12:39.681+0700</t>
  </si>
  <si>
    <t>2025-11-04T10:18:35.984+0700</t>
  </si>
  <si>
    <t>Dear team DBA, Nhờ team hỗ trợ chạy câu lênh SQL dưới đây ạ Issuse:  https://chat.google.com/room/AAAAH-v7fB4/lBOmnjEA7CU/lBOmnjEA7CU?cls=10 Thông tin DB: Project: vincart-prod
IP: 172.31.1.41
DB name: booking_transportation Câu lệnh SQL: START TRANSACTION;
UPDATE `trips`
SET `status` = 'FINISHED', `previous_status` = 'JOURNEY'
WHERE `id` = 132114;
COMMIT;</t>
  </si>
  <si>
    <t>[OMC][GAMI][PS2][Prod] Hỗ trợ migration cho release 20251101_LE_LOY.2025.11.01</t>
  </si>
  <si>
    <t>2025-11-01T22:17:57.077+0700</t>
  </si>
  <si>
    <t>2025-11-01T22:18:12.082+0700</t>
  </si>
  <si>
    <t>Hỗ trợ migration cho release 20251101_LE_LOY.2025.11.01 CR:       Host:  172.31.4.75 DB: promo_rule_engine UPDATE `rule_templates` SET `payload`='{"id":"7e151e12-2937-4c2e-8872-d8766573b9a0","event":"EVENT_TRANS_GAMI","payload":{"event":{"event_id":"event_id_1708405230","event_code":"event_code1","event_date":"13-MAY-2023 12:43:10","event_name":"event_name","event_type":"","event_group":"event_group","event_amount":"1000000000","event_product":"event_product"},"member_attributes":{"cst_pbt":"1234","cst_toi":1234.92,"biz_line":"biz","card_ind":["10000000000","1234567891"],"card_pan":"1234567890123456","cst_cost":1234.92,"cst_blk_lv":"123","cst_gender":"N","prd_status":["10000000000","1234567891"],"card_status":["10000000000","1234567891"],"cst_brth_dt":20220201,"frst_ctc_dt":20220201,"product_lv1":["10000000000","1234567891"],"product_lv2":["10000000000","1234567891"],"product_lv3":["10000000000","1234567891"],"product_lv4":["10000000000","1234567891"],"product_lv5":["10000000000","1234567891"],"product_lv6":["10000000000","1234567891"],"cst_ast_clss":"fs","cst_pre_tier":"MEM","cst_sub_tier":"","employee_ind":"Y","product_code":["10000000000","1234567891"],"cst_residence":"zzz","cst_rm_branch":"c","cst_wtch_list":"d","tier_end_date":20220201,"cst_mobile_ind":"Y","cst_occupation":"f","cst_prd_active":"N","cst_sub_branch":"c","card_identifier":"a","cst_ekyc_status":"Y","cst_home_branch":"a","cst_member_type":"","cst_mtb_tagging":"","cst_nationality":"csty","cst_prd_holding":"N","prd_branch_code":["10000000000","1234567891"],"tier_start_date":20220201,"cst_bank_segment":"s","cst_ekyc_channel":"","cst_family_group":"g","cst_merchant_ind":"c","cst_noti_channel":"a","cst_target_group":"[LOYALTY_BIZ_ADHOC01 MTB_CHALLENGE_T3]","cst_tier_program":"qwe","cst_last_login_date":20220201,"target_segment_code":"a","cst_first_login_date":20220201,"cst_family_member_type":"a","cst_loyalty_mtb_tagging":"","cst_classification_value":"","cst_mc_ob":20220201},"system_attributes":{"dob":"","gmv":0,"is_dob":"","pos_code":"","pool_code":"","tier_code":"","chain_code":"","store_code":"","award_point":0,"nett_amount":0,"gross_amount":0,"redeem_point":0,"service_code":"","voucher_code":"","member_status":"","card_type_code":"","accumulated_gmv":0,"corporation_code":"","qualifying_point":0,"transaction_datetime":0,"accumulated_nett_amount":0,"accumulated_earned_point":0,"accumulated_gross_amount":0},"customer_identifier":{"id":"testvalidate8","id_type":"PARTNER_CUSTOMER_ID"},"transaction_attributes":{"txn_merchant_ind":"tx","txn_beneficiary_account":"tx","txn_bin":"tx","txn_mcc":"tc","txn_mid":"txn_mid","txn_tid":"txn_tid","txn_code":"10101000000-3310","txn_type":"12","txn_token":"txn_token","txn_in_out":"in","txn_status":"POSTED","txn_appcode":"12345678","txn_card_id":"card_id","txn_purpose":"t","txn_slr_ind":"Y","product_code":"10408015048034000","product_name":"VNA-TCB-Visa debit","txn_adj_sign":"t","txn_card_ind":"","txn_card_pan":"","txn_ccy_code":"te","txn_datetime":1709548800,"txn_sub_type":"4","txn_supplier":"tx","last_txn_date":11234344,"txn_brandname":"txn_brandname","txn_card_type":"card_type","txn_post_date":20231240513,"txn_prd_tenor":"prd_tenor","txn_termowner":"txn_termowner","txn_adj_reason":"txn","txn_net_amount":100000,"txn_prd_status":"A","is_end_of_month":"Y","product_name_vi":"Thẻ Techcombank Visa Debit Gold","txn_card_status":"","txn_channel_lv1":"v1","txn_channel_lv2":"lv2","txn_channel_lv3":"lv3","txn_channel_lv4":"lv4","txn_original_id":"","txn_product_lv1":"10000000000","txn_product_lv2":"10000000000","txn_product_lv3":"10000000000","txn_product_lv4":"10000000000","txn_product_lv5":"10000000000","txn_product_lv6":"10000000000","txn_service_lv1":"txv1","txn_service_lv2":"tlv2","txn_gross_amount":100000,"txn_product_code":"10408015048034000","txn_service_type":"5","txn_termlocation":"txn_termlocation","txn_arrangement_id":"10408015048034000","txn_card_indicator":"txn_card_indicator","txn_card_open_date":0,"txn_category_group":"txn_","txn_fraud_merchant":"","txn_prd_bill_cycle":"","txn_card_identifier":"","txn_foreign_txn_amt":1.234567890123457e+31,"txn_mother_category":"txn_mother_category","txn_settlement_date":20231250513,"txn_card_expire_date":0,"txn_foreign_exc_rate":0,"txn_merchant_purpose":"t","txn_card_payment_date":0,"txn_prd_rollover_date":20230513,"txn_card_activated_date":0,"txn_product_branch_code":"a","txn_product_holding_nbr":1234,"txn_card_bill_cycle_date":0,"update_status_latest_date":11234344,"txn_card_annual_fee_payment":0}},"user_id":"testvalidate8","time_stamp":null,"customer_id":"testvalidate8","message_type":"TRANS_EARN_POINT_REQ","program_code":"TCBC","business_code":"TCB"}' WHERE id = 1;
UPDATE `rule_templates` SET `payload`='{"event":"VOUCHER_DISTRIBUTE","payload":{"tickets":[{"code":"509839cf81ac4db795a36168cb142c3f","expired_time":1706167719}],"user_id":"1009772608","order_no":"TCBW7pxWuLfDOTgwIgRhU","quantity":1,"sale_code":"509839cf81ac4db795a36168cb142c3f","issuer_code":"THEALLEY","order_amount":0,"claim_channel":"OneU","distribute_ref":"f7470aa9ce25487cbdb5db1cb16101c1","promotion_code":"THEALLEY","promotion_type":"THEALLEY","distribute_time":"18-01-2024 15:48:39","distribute_type":"CLAIMED","member_attributes":{"cst_pbt":"200000","cst_toi":80000,"biz_line":"RETAIL","card_ind":"a","card_pan":"1234567890123456","cst_cost":1234.92,"cst_blk_lv":"1","cst_gender":"N","prd_status":"A","card_status":"0","frst_ctc_dt":1688169600,"product_lv1":"[10400000000000000 1234567891]","product_lv2":"[10407000000000000 f]","product_lv3":"[10407013000000000 d]","product_lv4":"[10407013045000000 v]","product_lv5":"[10407013045000000 1]","product_lv6":"[10407013045000001 4]","cst_ast_clss":"0","cst_sub_tier":"","employee_ind":"Y","product_code":"[10407013047002000 10408015048034000]","cst_residence":"zzz","cst_rm_branch":"c","cst_wtch_list":"Y","last_txn_date":1709002365,"cst_mobile_ind":"Y","cst_occupation":"f","cst_prd_active":"Y","cst_sub_branch":"c","card_identifier":"a","cst_ekyc_status":"Y","cst_home_branch":"a","cst_member_type":"","cst_mtb_tagging":"","cst_nationality":"VN","cst_prd_holding":"Y","prd_branch_code":"[VN0010378 a]","cst_bank_segment":"AFF","cst_ekyc_channel":"eKYC01","cst_family_group":"viper123","cst_merchant_ind":"c","cst_noti_channel":"NC_01","cst_target_group":"1","cst_tier_program":"TP_001","cst_last_login_date":1646092800,"target_segment_code":"GAMI_TARGET_SEGMENT_CODE","cst_first_login_date":1643760000,"cst_family_member_type":"","cst_loyalty_mtb_tagging":"","cst_classification_value":"","update_status_latest_date":1701749606,"cst_mc_ob":1643760000},"distribute_channel":"OneU","promotion_campaign":"AutoAPI_PRO_ENEL_0001","distribute_request_id":16729,"distribute_request_code":"rtL8VE1R7i6AppOUIzmgV"},"event_id":"4de15390-53e5-4e8f-8fd2-1f410d18d957","timestamp":1705567720,"program_code":"TCBC","business_code":"TCB"}' WHERE id = 2;
UPDATE `rule_templates` SET `payload`='{"event":"VOUCHER_REDEEM","payload":{"mid":"GAMITEST","tid":"","ticket":[{"voucher_code":"TAHO25101","serial_number":"1494_3vD092aOb63q6cly4S35"}],"user_id":"PCID01122300778","redeemed_time":"06-03-2024 10:14:22","redeem_channel":"TCB","member_attributes":{"cst_pbt":"200000","cst_toi":80000,"biz_line":"RETAIL","card_ind":"a","card_pan":"1234567890123456","cst_cost":1234.92,"cst_blk_lv":"1","cst_gender":"N","prd_status":"A","card_status":"0","frst_ctc_dt":1688169600,"product_lv1":"[10400000000000000 1234567891]","product_lv2":"[10407000000000000 f]","product_lv3":"[10407013000000000 d]","product_lv4":"[10407013045000000 v]","product_lv5":"[10407013045000000 1]","product_lv6":"[10407013045000001 4]","cst_ast_clss":"0","cst_sub_tier":"","employee_ind":"Y","product_code":"[10407013047002000 10408015048034000]","cst_residence":"zzz","cst_rm_branch":"c","cst_wtch_list":"Y","last_txn_date":1709002365,"cst_mobile_ind":"Y","cst_occupation":"f","cst_prd_active":"Y","cst_sub_branch":"c","card_identifier":"a","cst_ekyc_status":"Y","cst_home_branch":"a","cst_member_type":"","cst_mtb_tagging":"","cst_nationality":"VN","cst_prd_holding":"Y","prd_branch_code":"[VN0010378 a]","cst_bank_segment":"AFF","cst_ekyc_channel":"eKYC01","cst_family_group":"viper123","cst_merchant_ind":"c","cst_noti_channel":"NC_01","cst_target_group":"1","cst_tier_program":"TP_001","cst_last_login_date":1646092800,"target_segment_code":"GAMI_TARGET_SEGMENT_CODE","cst_first_login_date":1643760000,"cst_family_member_type":"","cst_loyalty_mtb_tagging":"","cst_classification_value":"","update_status_latest_date":1701749606,"cst_mc_ob":1701749606}},"user_id":"PCID01122300778","event_id":"gApKO3khJfoUGXFb1i2M8","timestamp":1709694862,"event_type":"VOUCHER_REDEEM","program_code":"TCBC","business_code":"TCB"}' WHERE id = 3;
UPDATE `rule_templates` SET `payload`='{"id":"7e151e12-2937-4c2e-8872-d8766573b9a0","event":"EVENT_TRANS_GAMI","payload":{"event":{"event_id":"event_id_1708405230","event_code":"event_code1","event_date":"13-MAY-2023 12:43:10","event_name":"event_name","event_type":"","event_group":"event_group","event_amount":"1000000000","event_product":"event_product"},"member_attributes":{"cst_pbt":"1234","cst_toi":1234.92,"biz_line":"biz","card_ind":["10000000000","1234567891"],"card_pan":"1234567890123456","cst_cost":1234.92,"cst_blk_lv":"123","cst_gender":"N","prd_status":["10000000000","1234567891"],"card_status":["10000000000","1234567891"],"cst_brth_dt":20220201,"frst_ctc_dt":20220201,"product_lv1":["10000000000","1234567891"],"product_lv2":["10000000000","1234567891"],"product_lv3":["10000000000","1234567891"],"product_lv4":["10000000000","1234567891"],"product_lv5":["10000000000","1234567891"],"product_lv6":["10000000000","1234567891"],"cst_ast_clss":"fs","cst_pre_tier":"MEM","cst_sub_tier":"","employee_ind":"Y","product_code":["10000000000","1234567891"],"cst_residence":"zzz","cst_rm_branch":"c","cst_wtch_list":"d","tier_end_date":20220201,"cst_mobile_ind":"Y","cst_occupation":"f","cst_prd_active":"N","cst_sub_branch":"c","card_identifier":"a","cst_ekyc_status":"Y","cst_home_branch":"a","cst_member_type":"","cst_mtb_tagging":"","cst_nationality":"csty","cst_prd_holding":"N","prd_branch_code":["10000000000","1234567891"],"tier_start_date":20220201,"cst_bank_segment":"s","cst_ekyc_channel":"","cst_family_group":"g","cst_merchant_ind":"c","cst_noti_channel":"a","cst_tier_program":"qwe","cst_last_login_date":20220201,"target_segment_code":"a","cst_first_login_date":20220201,"cst_family_member_type":"a","cst_loyalty_mtb_tagging":"","cst_classification_value":"","cst_mc_ob":1701749606},"system_attributes":{"dob":"","gmv":0,"is_dob":"","pos_code":"","pool_code":"","tier_code":"","chain_code":"","store_code":"","award_point":0,"nett_amount":0,"gross_amount":0,"redeem_point":0,"service_code":"","voucher_code":"","member_status":"","card_type_code":"","accumulated_gmv":0,"corporation_code":"","qualifying_point":0,"transaction_datetime":0,"accumulated_nett_amount":0,"accumulated_earned_point":0,"accumulated_gross_amount":0},"customer_identifier":{"id":"testvalidate8","id_type":"PARTNER_CUSTOMER_ID"},"transaction_attributes":{"txn_bin":"tx","txn_mcc":"tc","txn_mid":"txn_mid","txn_tid":"txn_tid","txn_code":"10101000000-3310","txn_token":"txn_token","txn_in_out":"in","txn_status":"POSTED","txn_appcode":"12345678","txn_card_id":"card_id","txn_purpose":"t","txn_slr_ind":"Y","product_code":"10408015048034000","product_name":"VNA-TCB-Visa debit","txn_adj_sign":"t","txn_card_ind":"","txn_card_pan":"","txn_ccy_code":"te","txn_datetime":1709548800,"txn_supplier":"tx","last_txn_date":11234344,"txn_brandname":"txn_brandname","txn_card_type":"card_type","txn_post_date":20231240513,"txn_prd_tenor":"prd_tenor","txn_termowner":"txn_termowner","txn_adj_reason":"txn","txn_net_amount":100000,"txn_prd_status":"A","is_end_of_month":"Y","product_name_vi":"Thẻ Techcombank Visa Debit Gold","txn_card_status":"","txn_channel_lv1":"v1","txn_channel_lv2":"lv2","txn_channel_lv3":"lv3","txn_original_id":"","txn_product_lv1":"10000000000","txn_product_lv2":"10000000000","txn_product_lv3":"10000000000","txn_product_lv4":"10000000000","txn_product_lv5":"10000000000","txn_product_lv6":"10000000000","txn_service_lv1":"txv1","txn_service_lv2":"tlv2","txn_gross_amount":100000,"txn_product_code":"10408015048034000","txn_termlocation":"txn_termlocation","txn_arrangement_id":"10408015048034000","txn_card_indicator":"txn_card_indicator","txn_card_open_date":0,"txn_category_group":"txn_","txn_prd_bill_cycle":"","txn_card_identifier":"","txn_foreign_txn_amt":1.234567890123457e+31,"txn_mother_category":"txn_mother_category","txn_settlement_date":20231250513,"txn_card_expire_date":0,"txn_foreign_exc_rate":0,"txn_merchant_purpose":"t","txn_card_payment_date":0,"txn_prd_rollover_date":20230513,"txn_card_activated_date":0,"txn_product_branch_code":"a","txn_product_holding_nbr":1234,"txn_card_bill_cycle_date":0,"update_status_latest_date":11234344,"txn_card_annual_fee_payment":0}},"user_id":"testvalidate8","time_stamp":null,"customer_id":"testvalidate8","message_type":"TRANS_EARN_POINT_REQ","program_code":"TCBC","business_code":"TCB"}' WHERE id = 10;
UPDATE `rule_templates` SET `payload`='{"id":"7e151e12-2937-4c2e-8872-d8766573b9a0","event":"EVENT_TRANS_GAMI","payload":{"event":{"event_id":"event_id_1708405230","event_code":"event_code1","event_date":"13-MAY-2023 12:43:10","event_name":"event_name","event_type":"","event_group":"event_group","event_amount":1000000000,"event_product":"event_product"},"member_attributes":{"cst_pbt":"1234","cst_toi":1234.92,"biz_line":"biz","card_ind":["10000000000","1234567891"],"card_pan":"1234567890123456","cst_cost":1234.92,"cst_blk_lv":"123","cst_gender":"N","prd_status":["10000000000","1234567891"],"card_status":["10000000000","1234567891"],"cst_brth_dt":20220201,"frst_ctc_dt":20220201,"product_lv1":["10000000000","1234567891"],"product_lv2":["10000000000","1234567891"],"product_lv3":["10000000000","1234567891"],"product_lv4":["10000000000","1234567891"],"product_lv5":["10000000000","1234567891"],"product_lv6":["10000000000","1234567891"],"cst_ast_clss":"fs","cst_pre_tier":"MEM","cst_sub_tier":"","employee_ind":"Y","product_code":["10000000000","1234567891"],"cst_residence":"zzz","cst_rm_branch":"c","cst_wtch_list":"d","tier_end_date":20220201,"cst_mobile_ind":"Y","cst_occupation":"f","cst_prd_active":"N","cst_sub_branch":"c","card_identifier":"a","cst_ekyc_status":"Y","cst_home_branch":"a","cst_member_type":"","cst_mtb_tagging":"","cst_nationality":"csty","cst_prd_holding":"N","prd_branch_code":["10000000000","1234567891"],"tier_start_date":20220201,"cst_bank_segment":"s","cst_ekyc_channel":"","cst_family_group":"g","cst_merchant_ind":"c","cst_noti_channel":"a","cst_tier_program":"qwe","cst_last_login_date":20220201,"target_segment_code":"a","cst_first_login_date":20220201,"cst_family_member_type":"a","cst_loyalty_mtb_tagging":"","cst_classification_value":"","cst_mc_ob":""},"system_attributes":{"dob":"","gmv":0,"is_dob":"","pos_code":"","pool_code":"","tier_code":"","chain_code":"","store_code":"","award_point":0,"nett_amount":0,"gross_amount":0,"redeem_point":0,"service_code":"","voucher_code":"","member_status":"","card_type_code":"","accumulated_gmv":0,"corporation_code":"","qualifying_point":0,"transaction_datetime":0,"accumulated_nett_amount":0,"accumulated_earned_point":0,"accumulated_gross_amount":0},"customer_identifier":{"id":"testvalidate8","id_type":"PARTNER_CUSTOMER_ID"}},"user_id":"testvalidate8","time_stamp":null,"customer_id":"testvalidate8","message_type":"TRANS_EARN_POINT_REQ","program_code":"TCBC","business_code":"TCB"}' WHERE id = 11;
INSERT INTO `categories`(`tenant_id`, `rule_template_id`, `key`, `name`, `field_type`, `ui_type`, `operator`, `group_name`, `is_master_data`, `description`, `status`, `created_at`, `updated_at`) VALUES (1,1,'payload.member_attributes.cst_mc_ob','[CST_MC_OB] Ngày KH mở Merchant','float64','DATE','==|!=|&gt;|&lt;|&gt;=|&lt;=','Member Attribute',0,'','ACTIVE','2025-10-28 12:21:26','2025-10-28 12:21:26');
INSERT INTO `categories`(`tenant_id`, `rule_template_id`, `key`, `name`, `field_type`, `ui_type`, `operator`, `group_name`, `is_master_data`, `description`, `status`, `created_at`, `updated_at`) VALUES (1,1,'payload.transaction_attributes.txn_merchant_ind','[TXN_MERCHANT_IND] Mark the transaction is Merchant transaction or not','string','COMBOBOX','==|!=|contains|not contains','Program Attribute',1,'','ACTIVE','2025-10-28 12:21:26','2025-10-28 12:21:26');
INSERT INTO `categories`(`tenant_id`, `rule_template_id`, `key`, `name`, `field_type`, `ui_type`, `operator`, `group_name`, `is_master_data`, `description`, `status`, `created_at`, `updated_at`) VALUES (1,1,'payload.transaction_attributes.txn_beneficiary_account','[TXN_BENEFICIARY_ACCOUNT] Tài khoản đối ứng của người chuyển tiền vào MerchantHH','string','TEXT','==|!=|contains|not contains','Program Attribute',0,'','ACTIVE','2025-10-28 12:21:26','2025-10-28 12:21:26');
INSERT INTO `categories`(`tenant_id`, `rule_template_id`, `key`, `name`, `field_type`, `ui_type`, `operator`, `group_name`, `is_master_data`, `description`, `status`, `created_at`, `updated_at`) VALUES (1,10,'payload.member_attributes.cst_mc_ob','[CST_MC_OB] Ngày KH mở Merchant','float64','DATE','==|!=|&gt;|&lt;|&gt;=|&lt;=','Member Attribute',0,'','ACTIVE','2025-10-28 12:21:26','2025-10-28 12:21:26');
INSERT INTO `categories`(`tenant_id`, `rule_template_id`, `key`, `name`, `field_type`, `ui_type`, `operator`, `group_name`, `is_master_data`, `description`, `status`, `created_at`, `updated_at`) VALUES (1,10,'payload.transaction_attributes.txn_merchant_ind','[TXN_MERCHANT_IND] Mark the transaction is Merchant transaction or not','string','COMBOBOX','==|!=|contains|not contains','Program Attribute',1,'','ACTIVE','2025-10-28 12:21:26','2025-10-28 12:21:26');
INSERT INTO `categories`(`tenant_id`, `rule_template_id`, `key`, `name`, `field_type`, `ui_type`, `operator`, `group_name`, `is_master_data`, `description`, `status`, `created_at`, `updated_at`) VALUES (1,10,'payload.transaction_attributes.txn_beneficiary_account','[TXN_BENEFICIARY_ACCOUNT] Tài khoản đối ứng của người chuyển tiền vào MerchantHH','string','TEXT','==|!=|contains|not contains','Program Attribute',0,'','ACTIVE','2025-10-28 12:21:26','2025-10-28 12:21:26');
INSERT INTO `categories`(`tenant_id`, `rule_template_id`, `key`, `name`, `field_type`, `ui_type`, `operator`, `group_name`, `is_master_data`, `description`, `status`, `created_at`, `updated_at`) VALUES (1,11,'payload.member_attributes.cst_mc_ob','[CST_MC_OB] Ngày KH mở Merchant','float64','DATE','==|!=|&gt;|&lt;|&gt;=|&lt;=','Member Attribute',0,'','ACTIVE','2025-10-28 12:21:26','2025-10-28 12:21:26');
INSERT INTO `categories`(`tenant_id`, `rule_template_id`, `key`, `name`, `field_type`, `ui_type`, `operator`, `group_name`, `is_master_data`, `description`, `status`, `created_at`, `updated_at`) VALUES (1,11,'payload.transaction_attributes.txn_merchant_ind','[TXN_MERCHANT_IND] Mark the transaction is Merchant transaction or not','string','COMBOBOX','==|!=|contains|not contains','Program Attribute',1,'','ACTIVE','2025-10-28 12:21:26','2025-10-28 12:21:26');
INSERT INTO `categories`(`tenant_id`, `rule_template_id`, `key`, `name`, `field_type`, `ui_type`, `operator`, `group_name`, `is_master_data`, `description`, `status`, `created_at`, `updated_at`) VALUES (1,11,'payload.transaction_attributes.txn_beneficiary_account','[TXN_BENEFICIARY_ACCOUNT] Tài khoản đối ứng của người chuyển tiền vào MerchantHH','string','TEXT','==|!=|contains|not contains','Program Attribute',0,'','ACTIVE','2025-10-28 12:21:26','2025-10-28 12:21:26'); DB: promo_group UPDATE `condition_templates` SET `template`='{"Field":{"Payload":{"MemberAttributes":{"CstClassificationValue":"string","CstMtbTagging":"string","CstSubTier":"string","CtsMemberType":"string","CstLoyaltyMtbTagging":"string","CstPbt":"string","CstToi":"float64","BizLine":"string","CardInd":"string","CardPan":"string","CstCost":"float64","CstTier":"string","CstBlkLv":"string","CstBrthDt":"int64","CstGender":"string","FrstCtcDt":"int64","PrdStatus":"string","CardStatus":"string","CstAstClss":"string","CstPreTier":"string","ProductLv1":"string","ProductLv2":"string","ProductLv3":"string","ProductLv4":"string","ProductLv5":"string","ProductLv6":"string","TxnCardInd":"string","CstRmBranch":"string","CstWtchList":"string","EmployeeInd":"string","ProductCode":"string","TierEndDate":"int64","TxnCardType":"string","TxnprdCombo":"string","TxnprdTenor":"string","CstMobileInd":"string","CstPrdActive":"string","CstResidence":"string","CstSubBranch":"string","CstEkycStatus":"string","CstHomeBranch":"string","CstOccupation":"string","CstPrdHolding":"string","LoyaltyObDate":"float64","PrdBranchCode":"string","TierStartDate":"int64","TxnCardStatus":"string","TxnprdCcyCode":"string","CardIdentifier":"string","CstBankSegment":"string","CstEkycChannel":"string","CstFamilyGroup":"string","CstLoyaltyTier":"string","CstMerchantInd":"string","CstNationality":"string","CstNotiChannel":"string","CstTargetGroup":"string","CstTierProgram":"string","CstLastLoginDate":"int64","TxnCardIssueType":"string","CstFirstLoginDate":"int64","TargetSegmentCode":"string","CstFamilyMemberType":"string","TxnMerchantInd":"string","CstMcOb":"int64","TxnBeneficiaryAccount":"string"},"SystemAttributes":{"Dob":"string","Gmv":"float64","IsDob":"string","PosCode":"string","PoolCode":"string","TierCode":"string","ChainCode":"string","StoreCode":"string","AwardPoint":"float64","NettAmount":"float64","GrossAmount":"float64","RedeemPoint":"float64","ServiceCode":"string","VoucherCode":"string","CardTypeCode":"string","MemberStatus":"string","AccumulatedGmv":"float64","CorporationCode":"string","QualifyingPoint":"float64","TransactionDatetime":"float64","AccumulatedNettAmount":"float64","AccumulatedEarnedPoint":"float64","AccumulatedGrossAmount":"float64"},"CustomerIdentifier":{"ID":"string","IDType":"string"}}},"Function":{"In":{"Params":[{"Name":"search","Type":"string"},{"Name":"subject","Type":"[]string"}],"Return":{"Name":"","Type":"bool"},"Variadic":true,"Description":"In"},"Contains":{"Params":[{"Name":"subject","Type":"string"},{"Name":"search","Type":"string"}],"Return":{"Name":"","Type":"bool"},"Variadic":false,"Description":"Contains"}}}' WHERE id = 1;</t>
  </si>
  <si>
    <t xml:space="preserve">[UPAY][BO] Tác động database add thêm index </t>
  </si>
  <si>
    <t>2025-11-01T12:09:56.959+0700</t>
  </si>
  <si>
    <t>2025-11-01T12:10:01.115+0700</t>
  </si>
  <si>
    <t>Dear team. Nhờ team hỗ trợ chạy script sau.  Thời gian:  21h 2025-10-31   DB:  172.31.1.133:3306/bo ALTER TABLE DEALING_ORDER
  ADD INDEX idx_do_insert_datetime (INSERT_DATETIME),
  ALGORITHM=INPLACE,
  LOCK=NONE;</t>
  </si>
  <si>
    <t>[Merchant-OM] Hỗ trợ cập nhật dữ liệu 20251101</t>
  </si>
  <si>
    <t>2025-11-01T12:00:51.495+0700</t>
  </si>
  <si>
    <t>2025-11-01T12:00:57.710+0700</t>
  </si>
  <si>
    <t>Dear team, Nhờ team hỗ trợ, chạy giúp câu lệnh thêm dữ liệu bên dưới ạ Thông tin database https://console.cloud.google.com/sql/instances/main/overview?inv=1&amp;invt=Abqw_w&amp;project=vinid-merchant-prod DB_MYSQL_HOST=172.31.1.44
DB_MYSQL_DATABASE=merchant_service Câu lệnh INSERT INTO `sub_channel` (`code`, `name`) VALUES ('B2B_SUBD_VIRTUAL', 'SubD Virtual');</t>
  </si>
  <si>
    <t>[OMD][merchant-tcb] Tối ưu index cho DB merchant_service_tcb</t>
  </si>
  <si>
    <t>2025-11-01T11:48:55.284+0700</t>
  </si>
  <si>
    <t>2025-11-01T11:49:48.632+0700</t>
  </si>
  <si>
    <t>OMD, Tuning</t>
  </si>
  <si>
    <t>Team DBA check lệnh này chưa có index cho cột tcb_merchant_code: SELECT
  *
FROM
  `tpay_store`
WHERE
  `tcb_merchant_code` IN (...)
  AND `tpay_store` . `deleted_at` IS NULL
ORDER BY
  `id` DESC
LIMIT
  ?; Vậy đề xuất dự án  tạo index nhé: ALTER TABLE tpay_store ADD INDEX idx_ts_tcb_merchant_code (tcb_merchant_code), ALGORITHM=INPLACE, LOCK=NONE; Ngoài ra cũng có nhiều lệnh JOIN phức tạp, join nhiều bảng. Mà DB này có liên quan đến TCB, data thì đang tăng trưởng, nên dự án sắp xếp review lại các code liên quan nhé. Có thể xem code qua tính năng query insigh trên console: https://console.cloud.google.com/sql/instances/merchant-tcb/insights;start=2025-10-31T07:14:26.617Z;end=2025-10-31T14:06:38.366Z;sort_by=TOTAL_EXEC_TIME/executed?project=vinid-merchant-prod</t>
  </si>
  <si>
    <t>[OMC][GAMI][PS2][Prod] Hỗ trợ xuất data report cho challenge T8, T9, T10</t>
  </si>
  <si>
    <t>2025-11-01T10:50:07.652+0700</t>
  </si>
  <si>
    <t>2025-11-01T10:50:14.156+0700</t>
  </si>
  <si>
    <t>Hỗ trợ xuất data report cho challenge T8, T9, T10 theo yêu cầu của vận hành Host:  172.31.4.75 Db:  promo_gamezone Query: SELECT DISTINCT(user_id) FROM `accept_challenge` WHERE campaign_id IN (56, 64);</t>
  </si>
  <si>
    <t>2025-11-01T09:54:49.920+0700</t>
  </si>
  <si>
    <t>2025-11-01T09:54:55.483+0700</t>
  </si>
  <si>
    <t>Dear anh Dương, Do team vận hành import bị duplicate data, nhờ a chạy câu lệnh sau giúp em ạ project: vincart-prod instance: main ip: 172.31.1.41 DB: vincart_mm_product UPDATE products SET status = 'INACTIVE', deleted_at = now() WHERE merchant_code = 'DOOPS25216HpV' and id &lt;= 761245</t>
  </si>
  <si>
    <t>[OMC][Loyalty][PROD] - Thực hiện alter table program policy</t>
  </si>
  <si>
    <t>2025-11-01T09:51:14.502+0700</t>
  </si>
  <si>
    <t>2025-11-01T09:51:34.035+0700</t>
  </si>
  <si>
    <t>Dear anh Linh, Nhờ anh chạy sql script bên dưới trên môi trường PROD của DB loyalty oracle IP: 10.255.23.119 Service name: oneloyaltydb Port: 1521 schema app: OLOYALTY ALTER TABLE OLOYALTY.PROGRAM_TIER_POLICY MODIFY QUALIFICATION_EVENT VARCHAR2(255); Em cảm ơn ạ!</t>
  </si>
  <si>
    <t>[Merchant-OM] Hỗ trợ tạo index</t>
  </si>
  <si>
    <t>2025-11-01T09:29:46.507+0700</t>
  </si>
  <si>
    <t>2025-11-01T09:29:54.752+0700</t>
  </si>
  <si>
    <t>Dear team, Nhờ team tạo index để cải thiện query time ạ Thông tin database https://console.cloud.google.com/sql/instances/main/overview?inv=1&amp;invt=Abqw_w&amp;project=vinid-merchant-prod DB_MYSQL_HOST=172.31.1.44
DB_MYSQL_DATABASE=merchant_service Câu lệnh alter table merchant_chief_accountant add index idx_merchant_id (merchant_id), ALGORITHM=INPLACE, LOCK=NONE;
alter table service_info add index idx_merchant_id (merchant_id), ALGORITHM=INPLACE, LOCK=NONE;
alter table merchant add index idx_distributor_code (distributor_code), ALGORITHM=INPLACE, LOCK=NONE;
alter table merchant_bo_fields add index idx_merchant_id (merchant_id), ALGORITHM=INPLACE, LOCK=NONE;</t>
  </si>
  <si>
    <t>[OMD][WMS] Hỗ trợ cập nhật dữ liệu order_status của order_hdr_id 244077 - kho NPP PHO04</t>
  </si>
  <si>
    <t>2025-11-01T09:05:12.014+0700</t>
  </si>
  <si>
    <t>2025-11-01T09:05:27.679+0700</t>
  </si>
  <si>
    <t>Hi DBA team, Hiện tại có 1 trường trong Database sai dữ liệu do lỗi trong quy trình vận hành dẫn đến lệch trạng thái SO-DO, nhờ team DBA hỗ trợ cập nhật giá trị theo thông tin dưới đây. Project : vinid-b2b-platform-prod Instance/IP : main (read-write): 172.31.4.59 Port : 3306 Database : omd_wms_thuanphong2 Query update order_hdr oh set oh.order_status = 'NEW' where oh.order_hdr_id = 244077; Câu query đánh giá là an toàn nên có thể thực hiện cập nhật bất kỳ lúc nào mà không ảnh hưởng đến vận hành hệ thống.</t>
  </si>
  <si>
    <t>[OMC][ONEU] Update giá trị key redis</t>
  </si>
  <si>
    <t>2025-10-31T21:32:11.242+0700</t>
  </si>
  <si>
    <t>2025-10-31T21:32:16.607+0700</t>
  </si>
  <si>
    <t>Dear team Nhờ mọi người update giúp em key sau trên redis ạ host : vincart-prod--vmm.memstore.int port : 6379 database : 5 CR :  https://vinid-team.atlassian.net/servicedesk/customer/portal/15/SH-67099?created=true key : google:token:StoredCredential:vmm-product-google-drive-user value : rO0ABXNyADJjb20uZ29vZ2xlLmFwaS5jbGllbnQuYXV0aC5vYXV0aDIuU3RvcmVkQ3JlZGVudGlhbAAAAAAAAAABAgAETAALYWNjZXNzVG9rZW50ABJMamF2YS9sYW5nL1N0cmluZztMABpleHBpcmF0aW9uVGltZU1pbGxpc2Vjb25kc3QAEExqYXZhL2xhbmcvTG9uZztMAARsb2NrdAAhTGphdmEvdXRpbC9jb25jdXJyZW50L2xvY2tzL0xvY2s7TAAMcmVmcmVzaFRva2VucQB+AAF4cHQBUnlhMjkuQTBBVGk2SzJ0VGtUZk5pdzFLNVdaNkNBcVp4N0ZuZmFqQ3MxS0lfWlpCY1c1VTZxU2w3cVlOVmRRU3RzWjFDUVJGSjljeWNJcXBFakNPV1c2MmhwY2l1aDVZaDU3azdkTXphLVZWazJuSU1ITlFjbDNnZl9NRy1ReTFfa1JTYV92emRXR1JheGlYN1FDOVBwVHZkZnVfOG1RcVZKb1doLVgyeFBseGhheXplM01OYTVLanY1clJOMnBzLXI0WThfbG5iNm1aTUVuTzJPTWswaklONk51Q2lvQXJtaWR4VV91LXNTMzRhTkwway16aGtNeDh4Y3hCMWE5ZHBrR29LM05lS0RRQ2xlSW9IVGNxVVNMOFF2VkRhZkZNOS15b2FDZ1lLQWE4U0FSSVNGUUhHWDJNaUJiMmNicUVMVDhZYk1FbUJTWl9LZHcwMjkxc3IADmphdmEubGFuZy5Mb25nO4vkkMyPI98CAAFKAAV2YWx1ZXhyABBqYXZhLmxhbmcuTnVtYmVyhqyVHQuU4IsCAAB4cAAAAZo6G+oVc3IAKGphdmEudXRpbC5jb25jdXJyZW50LmxvY2tzLlJlZW50cmFudExvY2tmVagsLMhq6wIAAUwABHN5bmN0AC9MamF2YS91dGlsL2NvbmN1cnJlbnQvbG9ja3MvUmVlbnRyYW50TG9jayRTeW5jO3hwc3IANGphdmEudXRpbC5jb25jdXJyZW50LmxvY2tzLlJlZW50cmFudExvY2skTm9uZmFpclN5bmNliDLnU3u/CwIAAHhyAC1qYXZhLnV0aWwuY29uY3VycmVudC5sb2Nrcy5SZWVudHJhbnRMb2NrJFN5bmO4HqKUqkRafAIAAHhyADVqYXZhLnV0aWwuY29uY3VycmVudC5sb2Nrcy5BYnN0cmFjdFF1ZXVlZFN5bmNocm9uaXplcmZVqEN1P1LjAgABSQAFc3RhdGV4cgA2amF2YS51dGlsLmNvbmN1cnJlbnQubG9ja3MuQWJzdHJhY3RPd25hYmxlU3luY2hyb25pemVyM9+vua1tb6kCAAB4cAAAAABw</t>
  </si>
  <si>
    <t>[OM][Charity][Prod][Health Hub] export Database Schema</t>
  </si>
  <si>
    <t>2025-10-31T17:09:20.788+0700</t>
  </si>
  <si>
    <t>2025-10-31T17:09:56.046+0700</t>
  </si>
  <si>
    <t>Em chào anh chị, Anh chị export Database Schema giúp để team rà soát lại cấu trúc database thời điểm hiện tại. project: om-charity-prod Instance name: om-charity-fund-core IP: 172.31.4.7 DB name: fund-core user name: ? password: ?</t>
  </si>
  <si>
    <t>2025-10-31T16:56:34.651+0700</t>
  </si>
  <si>
    <t>2025-10-31T16:56:41.580+0700</t>
  </si>
  <si>
    <t xml:space="preserve">Em chào anh chị, Anh chị chạy giúp em lệnh SQL update DB với ạ. project: om-charity-prod Instance name: om-charity-fund-core IP: 172.31.4.7 DB name: fund-core user name: ? password: ? SQL:      </t>
  </si>
  <si>
    <t xml:space="preserve">[PROD][OMRE][CBP][CDP] Hỗ trợ clean db omre_cbp_cdp_core do lỗi migration </t>
  </si>
  <si>
    <t>2025-10-31T16:48:32.442+0700</t>
  </si>
  <si>
    <t>2025-10-31T17:01:29.132+0700</t>
  </si>
  <si>
    <t>CDP, OMRE</t>
  </si>
  <si>
    <t xml:space="preserve">Dear team DBA, Dự án OMRE CBP đang triển khai thử nghiệm hệ thống lên môi trường Production.  Nhờ các anh clean giúp em  db này:  omre_cbp_cdp_core  do quá trình test deploy golive bị fail. Em xin cám ơn. </t>
  </si>
  <si>
    <t xml:space="preserve">[OMC][NRs][VMM][PROD] Tạo index </t>
  </si>
  <si>
    <t>2025-10-31T16:27:28.867+0700</t>
  </si>
  <si>
    <t>2025-10-31T16:30:28.619+0700</t>
  </si>
  <si>
    <t>IP: 172.31.1.41 Database: vincart_mm_merchant ALTER TABLE merchant_register_services ADD INDEX merchant_register_status_idx (register_service_code, status), ALGORITHM=INPLACE, LOCK=NONE; ALTER TABLE settings ADD INDEX merchant_setting_key_status_idx (setting_key, status), ALGORITHM=INPLACE, LOCK=NONE;</t>
  </si>
  <si>
    <t>[OMRE][CBP][PROD] - Dựng memstore Redis riêng cho CBP - AI service</t>
  </si>
  <si>
    <t>2025-10-31T16:15:01.437+0700</t>
  </si>
  <si>
    <t>2026-01-22T12:18:45.983+0700</t>
  </si>
  <si>
    <t xml:space="preserve">Dear a Duy, Em thay mặt team AI của dự án OMRE CBP tạo ticket này nhờ anh tư vấn cấu hình và setup Redis Memstore riêng cho các module của AI, môi trường production. Link tài liệu này miêu tả vai trò và cách thức team sử dụng Redis trên môi trường non prod, cùng với những vấn đề gặp phải:    </t>
  </si>
  <si>
    <t>[Merchant-OM] Hỗ trợ cập nhật dữ liệu 20251031</t>
  </si>
  <si>
    <t>2025-10-31T15:44:12.073+0700</t>
  </si>
  <si>
    <t>2025-10-31T15:44:16.174+0700</t>
  </si>
  <si>
    <t>Dear team, Nhờ team chạy giúp câu lệnh bên dưới để bổ sung dữ liệu ạ. Thông tin database https://console.cloud.google.com/sql/instances/main/overview?inv=1&amp;invt=Abqw_w&amp;project=vinid-merchant-prod DB_MYSQL_HOST=172.31.1.44
DB_MYSQL_DATABASE=merchant_service Câu lệnh INSERT INTO `loyalty_tier` (`id`, `created_at`, `updated_at`, `deleted_at`, `code`, `name`) VALUES
(4, '2025-10-13 17:00:00', '2025-10-13 17:00:00', NULL, 'POTENTIAL', 'Thành viên');</t>
  </si>
  <si>
    <t>2025-10-31T15:43:27.945+0700</t>
  </si>
  <si>
    <t>2025-10-31T15:49:03.813+0700</t>
  </si>
  <si>
    <t>Dear DBA team, Nhờ team thực hiện cập nhật thông tin Agent cho OMRE nhé UPDATE ekyc SET dob = '05/12/1985', full_name = 'Nguyễn Văn Tuấn' WHERE agent_code = '1024705840' Thông tin DB : HOST = " 172.31.4.83 " PORT = 3306 DATABASE = "agent-platform" Ticket yêu cầu:  https://vinid-team.atlassian.net/browse/SH-67245</t>
  </si>
  <si>
    <t>[Prod] Seeding rule for FS 31/10/2025</t>
  </si>
  <si>
    <t>2025-10-31T15:42:38.926+0700</t>
  </si>
  <si>
    <t>2025-10-31T15:42:48.118+0700</t>
  </si>
  <si>
    <t>Hi anh Dũng, Nhờ anh chạy giúp em thông tin dưới đây: IP:  172.31.4.9 Database:  ecom_promotion Script: 1. // Update campagin
UPDATE `campaigns` SET `rule_config_form` = 'RULE' WHERE `campaigns`.`code` = 'jmqXjkwEX';
2. // Update campaign rule
INSERT INTO `campaign_rule` (`campaign_id`, `rule_id`, `rule_values`) VALUES ('1761', '9', '{"USER_ATTRIBUTE_RULE":{"name":"QT","configs":[{"value":"NONTIER|INS|MEM|PRO|PRV","datatype":"STRING","operator":"IN","attribute":"CST_LOYALTY_TIER"}],"require_segment":false,"rule_config_form":"RULE"}}');
INSERT INTO `rule_configs` (`key`, `code`, `channel`, `rule_type`, `end_at`, `created_at`, `updated_at`, `config`) VALUES ('jmqXjkwEX_TCBM_CAMPAIGN', 'jmqXjkwEX', 'TCBM', 'CAMPAIGN', '2025-10-31 21:31:58', CURRENT_TIMESTAMP, CURRENT_TIMESTAMP, '[{"field_name":"CST_LOYALTY_TIER","datatype":"STRING","operator":"IN","value":"NONTIER|INS|MEM|PRO|PRV","logical_operator":""}]');</t>
  </si>
  <si>
    <t>[OMC][CDP] Tạo segment CBNV HST cho MKT chạy campaign</t>
  </si>
  <si>
    <t>2025-10-31T11:52:17.374+0700</t>
  </si>
  <si>
    <t>2025-10-31T11:52:22.558+0700</t>
  </si>
  <si>
    <t>Dear anh  @Nguyễn Văn Dũng  , nhờ anh chạy giúp em script sau: -- DB: 172.31.1.21:3306
-- Schema: mtp_martech_profile
INSERT INTO mtp_martech_profile.mtp_anonymous_profile_segmentation_job
    (`id`, `segmentation_id`, `status`, `hash`, `properties`, `external_properties`, `created_at`, `display_name`, `display_order`)
VALUES
    (
        '3cb76e3b-c3b5-41a4-8af4-df5fd27cb1a5',
        'f83a1b2542cd4e7b9a8c7fd638e2oskj',
        '',
        '260954d5fab55ffd5edb090f1dff63cf53f05253e3a16d724446790ad6017381','{}',
        '{"AND":[{"data_type":"STRING","label_code":"ttcn_eco_sys","label_value":"","operator":"","value_expr":"IS NOT NULL"}]}',
        NOW(),
        'Nhân sự thuộc hệ sinh thái',
        0
    ); Best regards Dinh Quang Nguyen</t>
  </si>
  <si>
    <t>[OMC][PROD] Chạy câu lệnh SQL GSM ngày 31/10</t>
  </si>
  <si>
    <t>2025-10-31T11:16:25.151+0700</t>
  </si>
  <si>
    <t>2025-10-31T11:16:32.954+0700</t>
  </si>
  <si>
    <t>Dear team DBA, Nhờ team hỗ trợ chạy câu lênh SQL dưới đây ạ Issuse:  https://chat.google.com/room/AAAAH-v7fB4/ _3wS1_Kah4/ _3wS1_Kah4?cls=10 Thông tin DB: Project: vincart-prod
IP: 172.31.1.41
DB name: booking_transportation Câu lệnh SQL: START TRANSACTION;
UPDATE `trips`
SET `status` = 'FINISHED', `previous_status` = 'JOURNEY'
WHERE `id` = 113392;
COMMIT;</t>
  </si>
  <si>
    <t>[UPay][TPAY] [PROD] Script onboard merchant CTY CP GIAO DUC BAO AN</t>
  </si>
  <si>
    <t>2025-10-30T17:54:44.678+0700</t>
  </si>
  <si>
    <t>2025-10-31T09:58:30.557+0700</t>
  </si>
  <si>
    <t>Hi anh Nhờ anh chạy các script để cấu hình merchant “CTY CP GIAO DUC BAO AN” TPAY ạ. Thông tin database saas_tpay: mysql://pay-tidb.int.onemount.com:4000/saas_tpay CR:  https://vinid-team.atlassian.net/servicedesk/customer/portal/15/SH-67225?created=true # TIWHCM
INSERT INTO PARTNER (client_id, name, public_key, enable, merchant_code)
VALUES ('tXdPzwXZGtgAnOOmvWFrRGpNnDqlsnbI', 'BAOAN', '-----BEGIN PUBLIC KEY-----
MIIBIjANBgkqhkiG9w0BAQEFAAOCAQ8AMIIBCgKCAQEAvPjkTqL13e71rExnaiKz
6+1W85IcwMqcm3ap8Xf/eDCVj0n9PUTy1MHqDYULJ5uiwKGse3J877J32P9IKG2N
vuM+HOhopvIepbI38tH3l8hCoqrAXLH29q3U4LofjhgMSHkgrkZ3XvjUoxnDX7rW
mV3CgFOK0fhfUpA2M8Q8RaS2O6J1y57b2fMY114UZh1cmcQa/uwCllEFKwofIgkR
Q9IMXA5RYN2Rb0yry8zc/fnh8Y92OiCJfpyH6VfYax7OiU914dWxgVGFSidSYe4O
T/Ew3U9JLX0Nz+tgWbyk4xjiYePnMJhp3otk8J8u31oVYIe91yTUFu/NhURucMgp
lQIDAQAB
-----END PUBLIC KEY-----', 1, 'TIWHCM');
INSERT INTO MERCHANT_RECONCILE (merchant_code, tenant, enable, sftp_folder, pgp_public_key_base64,
                                pgp_partner_id, days_to_subtract, max_records_per_file)
VALUES ('TIWHCM', 'OME', 1, '/baoan',
        'LS0tLS1CRUdJTiBQR1AgUFVCTElDIEtFWSBCTE9DSy0tLS0tCgp4c0JOQkdqQTQ4a0JDQURJN1RQZnFuK20vM1FlWGJ6dDhZU2xocmxESGp5ZGFhZ1lDU016SHQzdUpRSTUKS2QwWWRpdXlWR1N5WWlubEVjOXA5ZU9HbWRZSEtuTHVxdVI4YkhuSk0xUXd2ZkhhK09mYUVmZW9KaEVHCkZyT1dZME5RNmh3VkhRNE9ialNMa0dZY1Fwd0h3b3lUMWdrdEZZWFRsZ2FaZXN1eUdaV0VQRi96VStpMgpKQVJqeXJScmhBcWxNVmY5MWdMR3IyMGtSOGw3bU1OK3VNZDYrNlgyU25oMG5uaWNqL2dCZzhYandBMHEKY0h4UjBsL2VxcTBhRnl0SE9LWGhpY2hDcVhXZENoSnBRakJYWGlnR1kzaE5pbXRHZXB1Unh1K2ZJUnF0CkxLbUQ0NitZUDZCQ3FtaUh4a3BGWExUWHg2V3pRckpIZDZzRnRGZXZxaTZ0bDlMR0Urci9pdXliQUJFQgpBQUhORVhScGR5QThhVzVtYjBCMGFYY3VkbTQrd3NDS0JCQUJDQUErQllKb3dPUEpCQXNKQndnSmtGVVcKWVlYbkwyRG9BeFVJQ2dRV0FBSUJBaGtCQXBzREFoNEJGaUVFZTNCSkJXbWtKT1VTbDVVM1ZSWmhoZWN2CllPZ0FBSDZZQi85TGsxSllqUGlSZ25lUTJaQ3RBQm9Eb21PVHpKQlE1dlRDUStJK2xsNkxQM1VCdHc1Vgp3b0I3bVlRNkp4MTNqRjdMTkhNRDNRazBIdFc1RDFEeTN1WFYyQzM3dVhmdFBtaVFpdXZWd0hwYTlaUSsKOU1oaEFaZ0NpZDU2L0x3TytYd1k2OXRwTXgwcnpJbVd3Y2hqSWVrTEx1cHNIaS94RG8zUXVYYkg4bTZOCmwxNUNYejdPcUI2emp4ZmptWHRBbTAwdlc0Zk1PL01BeWx5WE4xQWp1YVEwdUJDUjJnZEVLRlZNVnhBSgo4Nk1Yd1AxR0dxQ01lTS9pdmxLRnJ0TlRFQjg5MmgzbXVETXZHUjhIMWpoUSs5aDZwQ09COTh5NWZLQWEKVCs5Lzl5ZHJsSmFiNUhLR2xRT21PWHY2dmVDOGJpV0VEQVlMd0Yya3ZDTXZJNHY4SGtxeXpzQk5CR2pBCjQ4a0JDQUR5VG1FdkwwQlUyNXVidzZIbXVPeC9ZckxVcUVMQS9kV2ptaXhQMlJ4RmdKN0NEU1EzTlNZSgoxbWQwOG5HNTR4M1J3VXlmMnRkQ0lrbzJibS9YVmVUcjRxaWN1NWFXbzlORXdUWFloODVaZzhneHRiaTUKanRUdHpFUjlRVzJ0K3crMUVXVmlUVXRzMk4rZ29GTWJaaGlPL1dEc2k2RG1va2dzdTV5VzNKZS90aHBOCjRzaGFFRjNqdEw1UGJ6eWZXQ1JtVjg1Y1JVWFF5THNWT1pyMmRac1NNNWdUMWxzT1RGalBVbC9JL2FhYQpYcHlkbVpLckNsSU9wbUNhTUhabjBJbXF3UXVlRm1tTG5tQk8rRk4zQzdJY2JTUTVQMENmV3dUVm1Tb2MKeUpIU0M1elNQQVNTaURDaUx2cS9TdWtlMU9sWEJKa0ROdk9nM3F0RGZxSnVwVnIxQUJFQkFBSEN3SFlFCkdBRUlBQ29GZ21qQTQ4a0prRlVXWVlYbkwyRG9BcHNNRmlFRWUzQkpCV21rSk9VU2w1VTNWUlpoaGVjdgpZT2dBQUFWNENBQ0ZXcURzdHlydVNmRFhNOGdGMW9UWlUyUy9PQXpWYmVyc0VNK093QTNrU3h1RGxIbVgKLzZERXUwemlIc0VmRWdCN0hIaE9MZU9tdU9sSjF2Ty9BM2NXU0kwVU1wMjhlTVQ5MXdUSnhhTXFlTE4rCjQyR2FzQXhyS1orekovQUY2TzRCMUVWRHpUd2VFUkdsWmhyS3lVa0dSem9IUGo4Qzg5cGYrQjFaWkk3MAo0TTc2TmNRWkhYa05QeExGQkNiZDhSYVVWREh4dmdkbWQreXY5MDBUVFNEeGEydHQyRW5qdEJza0diOHQKZzF2YXZTMjZvWm8rSm84QWRJbVAzY2JFZERQUm9pczZXVkYxUHNuMkluVXRHK0hoaXlzbnFSb0ZzUVAwCjRmanZtVC9PZUQyNkRjNVBKNlg4Y3ZoOHFXUVQremYrTlVEKzJCOENoSTV6dkNERkhiNk4KPVBCZHcKLS0tLS1FTkQgUEdQIFBVQkxJQyBLRVkgQkxPQ0stLS0tLQo=',
        'info@tiw.vn', 1, 10000);
# TIWHN
INSERT INTO MERCHANT_RECONCILE (merchant_code, tenant, enable, sftp_folder, pgp_public_key_base64,
                                pgp_partner_id, days_to_subtract, max_records_per_file)
VALUES ('TIWHN', 'OME', 1, '/baoan',
        'LS0tLS1CRUdJTiBQR1AgUFVCTElDIEtFWSBCTE9DSy0tLS0tCgp4c0JOQkdqQTQ4a0JDQURJN1RQZnFuK20vM1FlWGJ6dDhZU2xocmxESGp5ZGFhZ1lDU016SHQzdUpRSTUKS2QwWWRpdXlWR1N5WWlubEVjOXA5ZU9HbWRZSEtuTHVxdVI4YkhuSk0xUXd2ZkhhK09mYUVmZW9KaEVHCkZyT1dZME5RNmh3VkhRNE9ialNMa0dZY1Fwd0h3b3lUMWdrdEZZWFRsZ2FaZXN1eUdaV0VQRi96VStpMgpKQVJqeXJScmhBcWxNVmY5MWdMR3IyMGtSOGw3bU1OK3VNZDYrNlgyU25oMG5uaWNqL2dCZzhYandBMHEKY0h4UjBsL2VxcTBhRnl0SE9LWGhpY2hDcVhXZENoSnBRakJYWGlnR1kzaE5pbXRHZXB1Unh1K2ZJUnF0CkxLbUQ0NitZUDZCQ3FtaUh4a3BGWExUWHg2V3pRckpIZDZzRnRGZXZxaTZ0bDlMR0Urci9pdXliQUJFQgpBQUhORVhScGR5QThhVzVtYjBCMGFYY3VkbTQrd3NDS0JCQUJDQUErQllKb3dPUEpCQXNKQndnSmtGVVcKWVlYbkwyRG9BeFVJQ2dRV0FBSUJBaGtCQXBzREFoNEJGaUVFZTNCSkJXbWtKT1VTbDVVM1ZSWmhoZWN2CllPZ0FBSDZZQi85TGsxSllqUGlSZ25lUTJaQ3RBQm9Eb21PVHpKQlE1dlRDUStJK2xsNkxQM1VCdHc1Vgp3b0I3bVlRNkp4MTNqRjdMTkhNRDNRazBIdFc1RDFEeTN1WFYyQzM3dVhmdFBtaVFpdXZWd0hwYTlaUSsKOU1oaEFaZ0NpZDU2L0x3TytYd1k2OXRwTXgwcnpJbVd3Y2hqSWVrTEx1cHNIaS94RG8zUXVYYkg4bTZOCmwxNUNYejdPcUI2emp4ZmptWHRBbTAwdlc0Zk1PL01BeWx5WE4xQWp1YVEwdUJDUjJnZEVLRlZNVnhBSgo4Nk1Yd1AxR0dxQ01lTS9pdmxLRnJ0TlRFQjg5MmgzbXVETXZHUjhIMWpoUSs5aDZwQ09COTh5NWZLQWEKVCs5Lzl5ZHJsSmFiNUhLR2xRT21PWHY2dmVDOGJpV0VEQVlMd0Yya3ZDTXZJNHY4SGtxeXpzQk5CR2pBCjQ4a0JDQUR5VG1FdkwwQlUyNXVidzZIbXVPeC9ZckxVcUVMQS9kV2ptaXhQMlJ4RmdKN0NEU1EzTlNZSgoxbWQwOG5HNTR4M1J3VXlmMnRkQ0lrbzJibS9YVmVUcjRxaWN1NWFXbzlORXdUWFloODVaZzhneHRiaTUKanRUdHpFUjlRVzJ0K3crMUVXVmlUVXRzMk4rZ29GTWJaaGlPL1dEc2k2RG1va2dzdTV5VzNKZS90aHBOCjRzaGFFRjNqdEw1UGJ6eWZXQ1JtVjg1Y1JVWFF5THNWT1pyMmRac1NNNWdUMWxzT1RGalBVbC9JL2FhYQpYcHlkbVpLckNsSU9wbUNhTUhabjBJbXF3UXVlRm1tTG5tQk8rRk4zQzdJY2JTUTVQMENmV3dUVm1Tb2MKeUpIU0M1elNQQVNTaURDaUx2cS9TdWtlMU9sWEJKa0ROdk9nM3F0RGZxSnVwVnIxQUJFQkFBSEN3SFlFCkdBRUlBQ29GZ21qQTQ4a0prRlVXWVlYbkwyRG9BcHNNRmlFRWUzQkpCV21rSk9VU2w1VTNWUlpoaGVjdgpZT2dBQUFWNENBQ0ZXcURzdHlydVNmRFhNOGdGMW9UWlUyUy9PQXpWYmVyc0VNK093QTNrU3h1RGxIbVgKLzZERXUwemlIc0VmRWdCN0hIaE9MZU9tdU9sSjF2Ty9BM2NXU0kwVU1wMjhlTVQ5MXdUSnhhTXFlTE4rCjQyR2FzQXhyS1orekovQUY2TzRCMUVWRHpUd2VFUkdsWmhyS3lVa0dSem9IUGo4Qzg5cGYrQjFaWkk3MAo0TTc2TmNRWkhYa05QeExGQkNiZDhSYVVWREh4dmdkbWQreXY5MDBUVFNEeGEydHQyRW5qdEJza0diOHQKZzF2YXZTMjZvWm8rSm84QWRJbVAzY2JFZERQUm9pczZXVkYxUHNuMkluVXRHK0hoaXlzbnFSb0ZzUVAwCjRmanZtVC9PZUQyNkRjNVBKNlg4Y3ZoOHFXUVQremYrTlVEKzJCOENoSTV6dkNERkhiNk4KPVBCZHcKLS0tLS1FTkQgUEdQIFBVQkxJQyBLRVkgQkxPQ0stLS0tLQo=',
        'info@tiw.vn', 1, 10000);</t>
  </si>
  <si>
    <t>[OMC][Flash Sale TCB] Nâng cấu hình resource cho campaign 28/10/2025</t>
  </si>
  <si>
    <t>2025-10-30T17:06:25.855+0700</t>
  </si>
  <si>
    <t>2025-10-30T17:06:33.040+0700</t>
  </si>
  <si>
    <t>CR:    Thời gian thực hiện:  sau 1h 28/10/2025  Chi tiết như sau:   https://console.cloud.google.com/sql/instances/main/overview?project=vincart-prod 172.31.1.41 Từ: 8 vCPUs 24 GB RAM , innodb_buffer_pool_size  12884901888 Lên: 16 vCPUs 48 GB RAM, innodb_buffer_pool_size  24000000000   https://console.cloud.google.com/sql/instances/ecom-medium-mysql/overview?project=vincart-prod 172.31.4.9 Từ: 4 vCPUs 8 GB RAM , innodb_buffer_pool_size   3221225472 Lên: 8 vCPUs 16 GB RAM, innodb_buffer_pool_size  8589934592 Lần sau tăng số RAM lên : 8 vCPUs  20 GB RAM , innodb_buffer_pool_size  8589934592 https://console.cloud.google.com/sql/instances/oneloyalty/overview?project=vinid-loyalty-prod 172.31.7.6 Từ: 4 vCPUs          8 GB RAM , innodb_buffer_pool_size   4294967296 Lên: 8 vCPUs        16 GB RAM , innodb_buffer_pool_size   10037418240 Note ngày 29/10:  172.31.7.6  Quá trình FS thấy ko lên CPU nhiều (đang ghi nhận mức 7% của 8 vCPUs). Nên các lần FS sau, sẽ để nâng lên mức 6 vCPUs + 12 GB RAM thôi, innodb_buffer_pool_size tính bằng mức 50% của RAM) https://console.cloud.google.com/sql/instances/onevoucher/overview?project=vinid-loyalty-prod 172.31.4.126 Từ: 4 vCPUs          16 GB RAM , innodb_buffer_pool_size  8589934592 Lên: 8 vCPUs        24 GB RAM , innodb_buffer_pool_size  12884901888   https://console.cloud.google.com/sql/instances/voucher-distribution/overview?project=vinid-loyalty-prod 172.31.4.82 Từ: 2 vCPUs          8 GB RAM , innodb_buffer_pool_size   4294967283 Lên: 8 vCPUs        16 GB RAM , innodb_buffer_pool_size  10037418240   https://console.cloud.google.com/sql/instances/postgres-01/overview?authuser=0&amp;project=vinid-service-platform-prod 172.31.7.11 4 vCPUs          8 GB RAM (dự án có yêu cầu khi hạ cấu hình thì vẫn giữ 4 CPUs để chạy hàng ngày) Giữ nguyên cấu hình (ko tăng) https://console.cloud.google.com/sql/instances/omc-authentication/overview?project=omc-base-platform-prod 172.31.3.40 Từ: 4 vCPUs          8 GB RAM Giữ nguyên cấu hình (ko tăng)</t>
  </si>
  <si>
    <t>[OMC][Flash Sale TCB] Hạ cấu hình các instance DB mysql/postgreSQL sau Flash Sale 31/10/2025</t>
  </si>
  <si>
    <t>2025-10-30T17:01:21.000+0700</t>
  </si>
  <si>
    <t>2025-11-04T10:17:28.464+0700</t>
  </si>
  <si>
    <t>Team DBA thực hiện hạ cấu hình các instance DB mysql/postgreSQL sau sự kiện Flash Sale. CR:      Thời gian thực hiện:  sau 1h 1/11/2025 Chi tiết như sau: https://console.cloud.google.com/sql/instances/main/overview?project=vincart-prod 172.31.1.41 Từ: 16 vCPUs 48 GB RAM, innodb_buffer_pool_size	24000000000 Xuống: 8 vCPUs 24 GB RAM , innodb_buffer_pool_size  12884901888 https://console.cloud.google.com/sql/instances/ecom-medium-mysql/overview?project=vincart-prod 172.31.4.9 Từ: 8 vCPUs 16 GB RAM, innodb_buffer_pool_size  8589934592 Xuống: 4 vCPUs 8 GB RAM , innodb_buffer_pool_size  3221225472 https://console.cloud.google.com/sql/instances/oneloyalty/overview?project=vinid-loyalty-prod 172.31.7.6 Từ: 8 vCPUs 16 GB RAM , innodb_buffer_pool_size   10037418240 Xuống: 4 vCPUs 8GB RAM , innodb_buffer_pool_size 4294967296 https://console.cloud.google.com/sql/instances/onevoucher/overview?project=vinid-loyalty-prod 172.31.4.126 Từ: 8 vCPUs 24 GB RAM , innodb_buffer_pool_size 12884901888 Xuống: 4 vCPUs	16 GB RAM, innodb_buffer_pool_size 8589934592 https://console.cloud.google.com/sql/instances/voucher-distribution/overview?project=vinid-loyalty-prod 172.31.4.82 Từ: 8 vCPUs 16 GB RAM , innodb_buffer_pool_size  10037418240 Xuống: 2 vCPUs 8GB RAM , innodb_buffer_pool_size 4294967283 https://console.cloud.google.com/sql/instances/postgres-01/overview?authuser=0&amp;project=vinid-service-platform-prod 172.31.7.11 Giữ nguyên cấu hình: 4 vCPUs 8 GB RAM (dự án có yêu cầu khi hạ cấu hình thì vẫn giữ 4 vCPUs để chạy hàng ngày) https://console.cloud.google.com/sql/instances/omc-authentication/overview?project=omc-base-platform-prod 172.31.3.40 Giữ nguyên cấu hình: 4 vCPUs 8 GB RAM</t>
  </si>
  <si>
    <t>[PROD][CDP] Cung cấp account access data PROD của dự án CBP OMRE phục vụ cho CDP</t>
  </si>
  <si>
    <t>2025-10-30T16:53:44.377+0700</t>
  </si>
  <si>
    <t>2025-10-30T17:24:15.260+0700</t>
  </si>
  <si>
    <t>Dear anh Nam và team DBA. Dự án CDP đang cần kéo dữ liệu từ database mysql và mongodb của dự án CBP trên môi trường PROD. Nhờ team hỗ trợ cung cấp account database giúp em theo thông tin sau:   MySql Host:  172.31.4.127 Port: 3306 Username: data_cbp_ingestion Quyền: view Phạm vi truy cập: Toàn bộ schema omre_cbp No Schema 1 omre_cbp_activity 2 omre_cbp_agent_channel 3 omre_cbp_agent_core 4 omre_cbp_audit_log 5 omre_cbp_calendar 6 omre_cbp_campaign 7 omre_cbp_cloud_configuration 9 omre_cbp_collab 10 omre_cbp_customer_channel 11 omre_cbp_customer_platform 13 omre_cbp_ops_channel 14 omre_cbp_ops_ma_channel 15 omre_cbp_partner_gateway 16 omre_cbp_raa_service 17 omre_cbp_reference_data 18 omre_cbp_transaction 19 omre_cbp_virtual_tour 20 omre_cdp_core MongoDB Host:   omre-cbp-prod.8j11t.mongodb.net Port: 27017 Username: data_cbp_ingestion Phạm vi truy cập: Toàn bộ omre_cbp_cma ,  omre_cbp_listing Em xin cảm ơn.</t>
  </si>
  <si>
    <t>[OMC][MCL] Hỗ trợ golive dịch vụ Audience &amp; Segment</t>
  </si>
  <si>
    <t>2025-10-30T08:50:45.229+0700</t>
  </si>
  <si>
    <t>2025-10-30T08:50:53.612+0700</t>
  </si>
  <si>
    <t>Dear anh  @Nguyễn Văn Dũng  , nhờ anh chạy giúp em script sau vào lúc  21h 29/10/2025  hỗ trợ golive theo CR    db:  omc-mtp-tidb.int.onemount.com:4000 -- DB: 
ALTER TABLE omc_mtp_user_profile.loyalty_cus 
ADD COLUMN cst_classification_value VARCHAR(50),
ADD COLUMN cst_mtb_tagging VARCHAR(50),
ADD COLUMN cst_sub_tier VARCHAR(50),
ADD COLUMN cst_member_type VARCHAR(50),
ADD COLUMN cst_loyalty_mtb_tagging VARCHAR(50); Best regards Dinh Quang Nguyen</t>
  </si>
  <si>
    <t>2025-10-29T18:30:28.833+0700</t>
  </si>
  <si>
    <t>2025-10-29T18:30:37.576+0700</t>
  </si>
  <si>
    <t>FlashSale, Labelling_PRM</t>
  </si>
  <si>
    <t>CR:    Thời gian thực hiện:  sau 1h 28/10/2025  Chi tiết như sau:   https://console.cloud.google.com/sql/instances/main/overview?project=vincart-prod 172.31.1.41 Từ: 8 vCPUs 24 GB RAM , innodb_buffer_pool_size  12884901888 Lên: 16 vCPUs 48 GB RAM, innodb_buffer_pool_size  24000000000   https://console.cloud.google.com/sql/instances/ecom-medium-mysql/overview?project=vincart-prod 172.31.4.9 Từ: 4 vCPUs 8 GB RAM , innodb_buffer_pool_size   3221225472 Lên: 8 vCPUs 16 GB RAM, innodb_buffer_pool_size  8589934592 https://console.cloud.google.com/sql/instances/oneloyalty/overview?project=vinid-loyalty-prod 172.31.7.6 Từ: 4 vCPUs          8 GB RAM , innodb_buffer_pool_size   4294967296 Lên: 8 vCPUs        16 GB RAM , innodb_buffer_pool_size   10037418240 Note ngày 29/10:  172.31.7.6  Quá trình FS thấy ko lên CPU nhiều (đang ghi nhận mức 7% của 8 vCPUs). Nên các lần FS sau, sẽ để nâng lên mức 6 vCPUs + 12 GB RAM thôi, innodb_buffer_pool_size tính bằng mức 50% của RAM) https://console.cloud.google.com/sql/instances/onevoucher/overview?project=vinid-loyalty-prod 172.31.4.126 Từ: 4 vCPUs          16 GB RAM , innodb_buffer_pool_size  8589934592 Lên: 8 vCPUs        24 GB RAM , innodb_buffer_pool_size  12884901888   https://console.cloud.google.com/sql/instances/voucher-distribution/overview?project=vinid-loyalty-prod 172.31.4.82 Từ: 2 vCPUs          8 GB RAM , innodb_buffer_pool_size   4294967283 Lên: 8 vCPUs        16 GB RAM , innodb_buffer_pool_size  10037418240   https://console.cloud.google.com/sql/instances/postgres-01/overview?authuser=0&amp;project=vinid-service-platform-prod 172.31.7.11 4 vCPUs          8 GB RAM (dự án có yêu cầu khi hạ cấu hình thì vẫn giữ 4 CPUs để chạy hàng ngày) Giữ nguyên cấu hình (ko tăng) https://console.cloud.google.com/sql/instances/omc-authentication/overview?project=omc-base-platform-prod 172.31.3.40 Từ: 4 vCPUs          8 GB RAM Giữ nguyên cấu hình (ko tăng)</t>
  </si>
  <si>
    <t>[OMD][Kafka][Prod] Tạo kafka topic cho bảng source Merchant Service</t>
  </si>
  <si>
    <t>2025-10-29T17:41:49.038+0700</t>
  </si>
  <si>
    <t>2025-10-29T18:21:57.397+0700</t>
  </si>
  <si>
    <t>Dear anh @Phạm Tuấn Linh và team DBA, Hiện tại, OMD có nhu cầu kéo thêm dữ liệu từ source Merchant Service để xây dựng báo cáo theo ticket  https://vinid-team.atlassian.net/browse/DWHV2-12111 . Nhờ anh Linh tạo kafka topic cho bảng theo thông tin dưới đây ạ PROD: IP host: 172.31.1.44(mySQL) schema: merchant_service table list: merchant_referral Thanks and regards! cong.do1</t>
  </si>
  <si>
    <t>[OMD][Kafka][Prod] Tạo kafka topic cho bảng cammuda</t>
  </si>
  <si>
    <t>2025-10-29T17:40:03.247+0700</t>
  </si>
  <si>
    <t>2025-10-29T18:23:56.776+0700</t>
  </si>
  <si>
    <t>Dear anh  @Phạm Tuấn Linh   và team DBA, Hiện tại, OMD có nhu cầu chuyển luồng survey từ SaleForce sang, có nhu cầu kéo thêm dữ liệu bảng sau nhằm xây dựng báo cáo. Nhờ anh Linh tạo kafka topic  cho bảng theo thông tin dưới đây ạ PROD: IP host: 172.31.3.10 (prosgre) schema: camunda_bpm_prod table list: bpm_proc_config Thanks and regards! cong.do1</t>
  </si>
  <si>
    <t>[TMS][Prod] Execute sql migration script for Golive TMS Sprint LOG S96 (29/10/2025)</t>
  </si>
  <si>
    <t>2025-10-29T17:21:11.367+0700</t>
  </si>
  <si>
    <t>2025-10-29T22:08:39.568+0700</t>
  </si>
  <si>
    <t>Nhờ team thực hiện migration sql 21h - 22h ngày 29/10/2025 cho các database sau: Database  bytm_prod  (Oracle instance on GCE oracle-primary (Private IP: 10.255.24.170) (see attachments) (theo thứ tự) TMS_S96_oracle.sql Databasse:  omd_tms_onedriver_prod (SQL instance tms-mysql-01 (Private IP: 172.31.4.129)  https://console.cloud.google.com/sql/instances/tms-mysql-01/overview?project=onedc-tms-prod ): OD_S96_mySql.sql</t>
  </si>
  <si>
    <t>[UPAY][PROD] Tác động nâng cấu hình database</t>
  </si>
  <si>
    <t>2025-10-29T17:07:06.871+0700</t>
  </si>
  <si>
    <t>2025-10-29T17:40:33.411+0700</t>
  </si>
  <si>
    <t xml:space="preserve">Dear team.  Team em có nhu cầu nâng cấu hình của database:  172.31.1.133:3306/reconciliation Mục đích đáp ứng nhu cầu chạy job giữ lại data từ đầu năm 2025 đến nay.  Cụ thể sẽ nâng cấp lên là:  16 vCPU 32 GB RAM Thời gian thực hiện: 17h ngày 29.10.2025 </t>
  </si>
  <si>
    <t>2025-10-29T16:05:14.000+0700</t>
  </si>
  <si>
    <t>2025-10-29T16:08:03.367+0700</t>
  </si>
  <si>
    <t>Agent-Channel</t>
  </si>
  <si>
    <t>Dear DBA team, Nhờ team thực hiện cập nhật thông tin Agent cho OMRE nhé UPDATE ekyc SET issue_date = '20/02/2024' WHERE agent_code = '1020984314'   Thông tin DB : HOST = " 172.31.4.83 " PORT = 3306 DATABASE = "agent-platform"   Thread chat yêu cầu:  https://chat.google.com/room/AAAAzE1b5zI/q2wArtIS6ZE/q2wArtIS6ZE?cls=10</t>
  </si>
  <si>
    <t>2025-10-29T15:31:44.217+0700</t>
  </si>
  <si>
    <t>2025-10-29T15:32:00.529+0700</t>
  </si>
  <si>
    <t>Dear DBA team, Nhờ team thực hiện cập nhật thông tin Agent cho OMRE nhé UPDATE ekyc SET issue_date = '1708416864' WHERE agent_code = '1020984314'   Thông tin DB : HOST = " 172.31.4.83 " PORT = 3306 DATABASE = "agent-platform" Thread chat yêu cầu:  https://chat.google.com/room/AAAAzE1b5zI/q2wArtIS6ZE/q2wArtIS6ZE?cls=10</t>
  </si>
  <si>
    <t>2025-10-29T12:41:47.794+0700</t>
  </si>
  <si>
    <t>2025-10-29T18:22:50.428+0700</t>
  </si>
  <si>
    <t>Dear anh  @Phạm Tuấn Linh   và team DBA, Hiện tại, OMD có nhu cầu kéo thêm dữ liệu từ source taskbox để xây dựng báo cáo. Nhờ anh Linh tạo kafka topic cho bảng theo thông tin dưới đây ạ PROD: IP host:  172.31.1.118(mySQL) schema: omd_taskbox table list: Evidence
Campaign Thanks and regards! cong.do1</t>
  </si>
  <si>
    <t>[OMC][TiDB]Kiểm tra và tạo index cho TIDB OMC</t>
  </si>
  <si>
    <t>2025-10-29T12:41:32.488+0700</t>
  </si>
  <si>
    <t>2025-10-29T15:10:42.281+0700</t>
  </si>
  <si>
    <t>Team mơí golive phần code có query thêm vào TIDB cuả OMC câu lệnh  select tcbvoucher0_.user_id as user_id1_2_, tcbvoucher0_.created_at as created_2_2_, tcbvoucher0_.list_recommended as list_rec3_2_, tcbvoucher0_.updated_at as updated_4_2_, tcbvoucher0_.version as version5_2_ from tcb_voucher_recommendation tcbvoucher0_ where tcbvoucher0_.updated_at&gt;? and tcbvoucher0_.updated_at&lt;? order by tcbvoucher0_.updated_at desc limit ? Cần check xem đã có index cho cột  updated_at  chưa, nếu chưa có index thì tạo giúp em  Host:  tidb.int.onemount.com DB:  omc_oneu_voucher_recommendation Bảng:  tcb_voucher_recommendation  và  voucher_recommendation_partition CREATE INDEX idx_updated_at ON  tcb_voucher_recommendation ( updated_at ); CREATE INDEX idx_updated_at ON  voucher_recommendation_partition ( updated_at );</t>
  </si>
  <si>
    <t>[OMC][Loyalty][PROD] - Thêm RAM cho database loyalty core primary (oracle)</t>
  </si>
  <si>
    <t>2025-10-29T12:37:16.822+0700</t>
  </si>
  <si>
    <t>2025-10-29T12:40:45.422+0700</t>
  </si>
  <si>
    <t>Dear anh Linh và DBA team, Sau thời gian monitor hiệu năng con DB Core trong 3 tháng gần nhất. Ghi nhận mức sử dụng RAM thường xuyên đạt  85% – 95% , đặc biệt vào các thời điểm hệ thống xử lý dữ liệu từ TCB hoặc FS. Nguyên nhân chủ yếu đến từ việc tăng số lượng connection và khối lượng dữ liệu phát sinh từ các campaign của TCB. Dự kiến, mức tải sẽ còn tiếp tục tăng khi golive chức năng lưu Profile theo versioning và các Campaign dự kiến triển khai trong thời gian tới. Theo đề xuất, cần  bổ sung thêm 32GB RAM. Nhờ anh thực hiện tăng resource theo tham số trên giúp ạ. CR:    Thanks!</t>
  </si>
  <si>
    <t>[SCC][Prod] Execute sql migration script for SCM Sprint 2 (29/10/2025)</t>
  </si>
  <si>
    <t>2025-10-29T12:28:42.470+0700</t>
  </si>
  <si>
    <t>2025-10-29T21:36:24.819+0700</t>
  </si>
  <si>
    <t xml:space="preserve">Nhờ team thực hiện chạy scrip sql cho  db sau:  Database mySQL:  sccollab_prod , host:  172.31.1.143 Script: SCM_Sprint2_schema_scc_script.sql Thực hiện 21h - 22h ngày 29/10/2025 CR planning:   </t>
  </si>
  <si>
    <t>[VCM] Update ratelimit cho user trong campain ngày 29/10</t>
  </si>
  <si>
    <t>2025-10-29T12:13:59.012+0700</t>
  </si>
  <si>
    <t>2025-10-29T12:14:04.766+0700</t>
  </si>
  <si>
    <t>Hi anh Dũng, Nhờ anh chạy script update danh sách các key với thông  tin dưới đây: IP:  vincart-prod--onevoucher.memstore.int (172.31.0.196) DB: 3 SET vincart:ratelimit:voucher_group:items:total:30:2180863 1</t>
  </si>
  <si>
    <t>[VinPay][BackOffice][PROD] Hỗ trợ cập nhật dữ liệu BackOffice</t>
  </si>
  <si>
    <t>2025-10-29T12:13:10.834+0700</t>
  </si>
  <si>
    <t>2025-10-29T12:13:25.767+0700</t>
  </si>
  <si>
    <t>Dear team, team em có nhu cầu cập nhật dữ liệu cấu hình cho service BackOffice với các thông tin dưới đây, nhờ team giúp đỡ với ạ. Thời gian chạy:  Nhờ team DBA chạy luôn giúp em ạ. Thông tin DB :  172.31.1.133:3306/bo Script :  UPDATE TRANS_MAP_BUSINESS
SET POSTING_FLAG = 0
WHERE SERVICE_ID = 'VN0010010'
  AND PMT_METHOD_CODE = 'VINIDPOINT_VC'; Thanks team, Thành An.</t>
  </si>
  <si>
    <t>Xin quyền truy cập ODS</t>
  </si>
  <si>
    <t>2025-10-29T11:55:18.146+0700</t>
  </si>
  <si>
    <t>2025-10-29T12:18:31.913+0700</t>
  </si>
  <si>
    <t>Dear các anh Do hôm trước em có xin nhầm phân quyền vào user (omd_metrics_platform) môi trường QC để query bảng CustomerUnit trên môi trường prod, các anh phân lại giúp em vào user ở dưới với ạ.  Bảng :  omd_vinid_b2b_platform_prod_b2b_commerce_b2b_user_prod.CustomerUnit User :  omd_core_promotion</t>
  </si>
  <si>
    <t>[Prod][Payment config] Update loyalty service code cho merchant OMCPS2 for payment.</t>
  </si>
  <si>
    <t>2025-10-29T11:49:56.768+0700</t>
  </si>
  <si>
    <t>2025-10-29T11:53:32.130+0700</t>
  </si>
  <si>
    <t>Hi anh Dương, Nhờ anh chạy giúp em thông tin dưới đây: IP:  172.31.4.9 Database:  ecom_configuration Script:  UPDATE `merchant_payment_configs` SET `loyalty_service_code`='VOUCHER_REDEMPTION' WHERE id = 461</t>
  </si>
  <si>
    <t>[Merchant-TCB] Hỗ trợ cập nhật dữ liệu 20251029</t>
  </si>
  <si>
    <t>2025-10-29T11:38:52.956+0700</t>
  </si>
  <si>
    <t>2025-10-29T11:49:00.399+0700</t>
  </si>
  <si>
    <t>Dear team, Nhờ team chạy giúp câu lệnh bên dưới ạ. Thông tin database https://console.cloud.google.com/sql/instances/merchant-tcb/overview?inv=1&amp;invt=AbsndA&amp;project=vinid-merchant-prod DB_MYSQL_HOST=172.31.4.108
DB_MYSQL_DATABASE=merchant_service_tcb Câu lệnh UPDATE tpay_staff
SET tcb_merchant_code='HKDTHUTHUY'
WHERE id IN (1314, 1359, 1481);</t>
  </si>
  <si>
    <t xml:space="preserve">[OMC][NRs][VMM][PROD] Hỗ trơ kiểm tra các index trên production </t>
  </si>
  <si>
    <t>2025-10-29T09:53:07.287+0700</t>
  </si>
  <si>
    <t>2025-10-29T17:26:12.893+0700</t>
  </si>
  <si>
    <t>Index</t>
  </si>
  <si>
    <t>Kiểm tra giúp em xem các index này đã tồn tại hay chưa  Index  cuả bảng  variant_tags  cho cột {{ (variant_id, status);}} Index cuả bảng  languages  cho cột  (language, entity_name, channel, entity_id) Index cuả bảng  variants  cho cột  (code) IP:  172.31.1.41 database: vincart_mm_product  Nếu chưa có thì tạo giúp em các index sau  CREATE INDEX idx_variant_id_status ON variant_tags (variant_id, status);
  CREATE INDEX idx_lang_entity_channel_id ON languages (language, entity_name, channel, entity_id);
  CREATE INDEX idx_variants_code ON variants(code);</t>
  </si>
  <si>
    <t>[Dify][Production] Cập nhật dữ liệu cho user dify</t>
  </si>
  <si>
    <t>2025-10-28T11:03:33.829+0700</t>
  </si>
  <si>
    <t>2025-10-28T11:03:45.208+0700</t>
  </si>
  <si>
    <t>Dear DBA team, Nhờ team cập nhật giúp bản ghi theo script bên dưới . Database:  om_dify Script: UPDATE public.accounts
	SET is_super_admin=true
	WHERE email='khanh.le1@onemount.com'</t>
  </si>
  <si>
    <t>[omd][mdm][prod] Xin cấp database cho dự án mới master-data-management môi trường PROD</t>
  </si>
  <si>
    <t>2025-10-28T09:47:19.450+0700</t>
  </si>
  <si>
    <t>2025-10-29T17:05:44.159+0700</t>
  </si>
  <si>
    <t>Dear anh Dương Chuẩn bị dự án mdm lên production ticket đã thực hiện dứoi non-prod:    Nhờ anh tạo giúp em Schema mới cho team nhé ạ gcp project: onemg-integration-platform-prd instance: main - 172.31.1.118 DB name: omd_mdm_prod Note: permission user em xin tương tự như dứoi non-prod để có thể chạy service migration anh nhé!  Em cảm ơn ạ!</t>
  </si>
  <si>
    <t>Cập nhật thông tin trong bảng wave_order_header</t>
  </si>
  <si>
    <t>2025-10-28T09:42:37.550+0700</t>
  </si>
  <si>
    <t>2025-10-28T09:45:15.376+0700</t>
  </si>
  <si>
    <t>Description Hi DBA team, Hiện tại có 1 bản ghi trong Database bị lỗi code logic nên cần cập nhật bổ  sung thông tin, nhờ team DBA hỗ trợ cập nhật giá trị theo thông tin dưới đây. Project : vinid-b2b-platform-prod Instance/IP : main (read-write): 172.31.4.59 Port : 3306 Database : omd_wms_thuanphong2 update wave_order_item woi 
join wave_order_header woh on woh.id = woi.header_id
set woi.status = 'FULFILLED', woh.status = 'FULFILLED'
where woh.id = 6848;</t>
  </si>
  <si>
    <t>[OMC][ONEU] [Prod] Cập nhật lại trạng thái thanh toán của đơn hàng</t>
  </si>
  <si>
    <t>2025-10-27T23:30:41.696+0700</t>
  </si>
  <si>
    <t>2025-10-27T23:30:46.112+0700</t>
  </si>
  <si>
    <t>Dear team DBA Nhờ team hỗ trợ chạy script sau link CR:    project: vincart-prod instance: main ip: 172.31.1.41 DB: vincart_mm_order UPDATE `orders`
SET status              = 'ACTIVE',
    cancelled_at        = null,
    fulfillment_status  = 'UNSHIPPED',
    payment_method_code = 'ATM',
    payment_method_name = 'Thẻ ATM nội địa'
WHERE code = 'MGVEELVQ';
UPDATE fulfillments
SET status              = 'UNSHIPPED',
    cancel_date        = null
WHERE order_id = 4088209; project: vincart-prod instance: ecom-medium-mysql ip: 172.31.4.9 DB: ecom_transaction update transactions
set status       = 'SUCCEEDED',
    expired_at   = null,
    succeeded_at = '2025-10-27 12:34:00'
where invoice_no = 'MGVEELVQ';</t>
  </si>
  <si>
    <t>[BO] Cập nhập cấu trúc bảng SAP_TRANS_DETAIL</t>
  </si>
  <si>
    <t>2025-10-27T22:52:47.433+0700</t>
  </si>
  <si>
    <t>2025-10-27T22:52:51.342+0700</t>
  </si>
  <si>
    <t>Hi a  @Nguyễn Văn Dũng , nhờ a chạy giúp e script bên dưới với ạ Thông tin database:  172.31.1.133:3306/bo Script: ALTER TABLE SAP_TRANS_DETAIL MODIFY COLUMN ITEM_TEXT varchar(500) COLLATE utf8mb4_general_ci DEFAULT NULL;</t>
  </si>
  <si>
    <t>[OMRE][CBP][PROD] Xin quyền kết nối tới các database: MongoDB, ElasticSearch; Tạo Qdrant vector database cho môi trường PROD, dự án CBP</t>
  </si>
  <si>
    <t>2025-10-27T18:06:29.651+0700</t>
  </si>
  <si>
    <t>2025-10-31T10:14:03.731+0700</t>
  </si>
  <si>
    <t>AI, CBP</t>
  </si>
  <si>
    <t>Dear a Duy, Team AI của OMRE tạo ticket này để xin cấp quyền và thông tin connect tới các database sau để phục vụ cho dự án CBP, môi trường production: MongoDB (Dùng cho service CMA, AVM) Elastic Search( Dùng cho service Matching) Bên cạnh đó, team cũng cần dựng Qdrant cho service 4 thật. Nếu cần thêm thông tin gì, anh cứ nhắn trực tiếp với em hoặc qua ticket này ạ. Cảm ơn anh</t>
  </si>
  <si>
    <t>Cập nhật thông tin trong bảng wave_inventory_order_item</t>
  </si>
  <si>
    <t>2025-10-27T17:02:49.089+0700</t>
  </si>
  <si>
    <t>2025-10-27T17:08:18.881+0700</t>
  </si>
  <si>
    <t>Description Hi DBA team, Hiện tại có 1 bản ghi trong Database bị lỗi code logic nên cần cập nhật bổ  sung thông tin, nhờ team DBA hỗ trợ cập nhật giá trị theo thông tin dưới đây. Project : vinid-b2b-platform-prod Instance/IP : main (read-write): 172.31.4.59 Port : 3306 Database : omd_wms_thuanphong2 update whse_order_item woi
join order_item oi on oi.order_item_id = woi.order_item_id
join wave_order_item wii on wii.do_item_id = oi.order_item_id
join whse_order_hdr woh on woh.whse_order_hdr_id = woi.whse_order_hdr_id
join wave_inventory_order_item wioi on wioi.wave_order_item_id = wii.id
set woi.wave_inv_item_id = wioi.id
where wii.header_id = 6848 and woh.main_instruction_type = 'STAGING_TRANSFER'
AND woi.trans_qty = wioi.requested_quantity;</t>
  </si>
  <si>
    <t xml:space="preserve">[CBP] [PROD] Clean DB omre_cbp_activity do lỗi migration </t>
  </si>
  <si>
    <t>2025-10-27T16:46:53.851+0700</t>
  </si>
  <si>
    <t>2025-10-31T10:14:05.525+0700</t>
  </si>
  <si>
    <t>Nhờ ae DBA, clean giúp db này:  omre_cbp_activity  do quá trình test deploy golive bị fail. Thanks a/e.</t>
  </si>
  <si>
    <t>[UPAY][PROD] update channel_name, redirect_url cho TCLIFE</t>
  </si>
  <si>
    <t>2025-10-27T16:20:47.189+0700</t>
  </si>
  <si>
    <t>2025-10-27T16:20:53.762+0700</t>
  </si>
  <si>
    <t>Nhờ anh chạy script sau giúp em với ạ Prod  vào lúc  ngay sau khi được approval Thông tin database: Prod :  pay-tidb.int.onemount.com:4000/saas_tpay Em gửi query ạ update ECOM_MERCHANT_CHANNEL_CONFIG
set channel_name = 'https://payment.techcomlife.com/payment-confirmation', redirect_url = 'https://payment.techcomlife.com/payment-confirmation'
where merchant_code = 'TCLIFE';</t>
  </si>
  <si>
    <t>Cập nhật thông tin trong bảng wave_order_heade</t>
  </si>
  <si>
    <t>2025-10-27T14:21:39.975+0700</t>
  </si>
  <si>
    <t>2025-10-27T14:38:51.594+0700</t>
  </si>
  <si>
    <t>Description Hi DBA team, Hiện tại có 1 bản ghi trong Database bị lỗi code logic nên cần cập nhật bổ  sung thông tin, nhờ team DBA hỗ trợ cập nhật giá trị theo thông tin dưới đây. Project : vinid-b2b-platform-prod Instance/IP : main (read-write): 172.31.4.59 Port : 3306 Database : omd_wms_thuanphong2 update wave_order_item woi 
join wave_order_header woh on woh.id = woi.header_id
set woi.status = 'FULFILLED', woh.status = 'FULFILLED'
where woh.id = 6849;</t>
  </si>
  <si>
    <t>OMC][GAMI][PS2][Prod] Hỗ trợ migration DB thực hiện CR Release định kỳ Gami trên TCB version 20251025_LE_LOY.2025.10.04</t>
  </si>
  <si>
    <t>2025-10-27T11:34:52.536+0700</t>
  </si>
  <si>
    <t>2025-10-27T11:35:18.568+0700</t>
  </si>
  <si>
    <t>Hỗ trợ migration DB thực hiện CR Release định kỳ Gami trên TCB version 20251025_LE_LOY.2025.10.04 CR:  Host:  172.31.4.75 DB: promo_rule_engine UPDATE `rule_templates` SET `payload`='{"id":"7e151e12-2937-4c2e-8872-d8766573b9a0","event":"EVENT_TRANS_GAMI","payload":{"event":{"event_id":"event_id_1708405230","event_code":"event_code1","event_date":"13-MAY-2023 12:43:10","event_name":"event_name","event_type":"","event_group":"event_group","event_amount":"1000000000","event_product":"event_product"},"member_attributes":{"cst_pbt":"1234","cst_toi":1234.92,"biz_line":"biz","card_ind":["10000000000","1234567891"],"card_pan":"1234567890123456","cst_cost":1234.92,"cst_blk_lv":"123","cst_gender":"N","prd_status":["10000000000","1234567891"],"card_status":["10000000000","1234567891"],"cst_brth_dt":20220201,"frst_ctc_dt":20220201,"product_lv1":["10000000000","1234567891"],"product_lv2":["10000000000","1234567891"],"product_lv3":["10000000000","1234567891"],"product_lv4":["10000000000","1234567891"],"product_lv5":["10000000000","1234567891"],"product_lv6":["10000000000","1234567891"],"cst_ast_clss":"fs","cst_pre_tier":"MEM","employee_ind":"Y","product_code":["10000000000","1234567891"],"cst_residence":"zzz","cst_rm_branch":"c","cst_wtch_list":"d","tier_end_date":20220201,"cst_mobile_ind":"Y","cst_occupation":"f","cst_prd_active":"N","cst_sub_branch":"c","card_identifier":"a","cst_ekyc_status":"Y","cst_home_branch":"a","cst_nationality":"csty","cst_prd_holding":"N","prd_branch_code":["10000000000","1234567891"],"tier_start_date":20220201,"cst_bank_segment":"s","cst_ekyc_channel":"","cst_family_group":"g","cst_merchant_ind":"c","cst_noti_channel":"a","cst_target_group":"Y","cst_tier_program":"qwe","cst_last_login_date":20220201,"target_segment_code":"a","cst_first_login_date":20220201,"cst_family_member_type":"a","cst_classification_value":"","cst_mtb_tagging":"","cst_sub_tier":"","cst_member_type":"","cst_loyalty_mtb_tagging":""},"system_attributes":{"dob":"","gmv":0,"is_dob":"","pos_code":"","pool_code":"","tier_code":"","chain_code":"","store_code":"","award_point":0,"nett_amount":0,"gross_amount":0,"redeem_point":0,"service_code":"","voucher_code":"","member_status":"","card_type_code":"","accumulated_gmv":0,"corporation_code":"","qualifying_point":0,"transaction_datetime":0,"accumulated_nett_amount":0,"accumulated_earned_point":0,"accumulated_gross_amount":0},"customer_identifier":{"id":"testvalidate8","id_type":"PARTNER_CUSTOMER_ID"},"transaction_attributes":{"txn_bin":"tx","txn_mcc":"tc","txn_mid":"txn_mid","txn_tid":"txn_tid","txn_code":"10101000000-3310","txn_type":"","txn_token":"txn_token","txn_in_out":"in","txn_status":"POSTED","txn_appcode":"12345678","txn_card_id":"card_id","txn_purpose":"t","txn_slr_ind":"Y","product_code":"10408015048034000","product_name":"VNA-TCB-Visa debit","txn_adj_sign":"t","txn_card_ind":"","txn_card_pan":"","txn_ccy_code":"te","txn_datetime":1709548800,"txn_sub_type":"","txn_supplier":"tx","last_txn_date":11234344,"txn_brandname":"txn_brandname","txn_card_type":"card_type","txn_post_date":20231240513,"txn_prd_tenor":"prd_tenor","txn_termowner":"txn_termowner","txn_adj_reason":"txn","txn_net_amount":100000,"txn_prd_status":"A","is_end_of_month":"Y","product_name_vi":"Thẻ Techcombank Visa Debit Gold","txn_card_status":"","txn_channel_lv1":"v1","txn_channel_lv2":"lv2","txn_channel_lv3":"lv3","txn_channel_lv4":"lv4","txn_original_id":"","txn_product_lv1":"10000000000","txn_product_lv2":"10000000000","txn_product_lv3":"10000000000","txn_product_lv4":"10000000000","txn_product_lv5":"10000000000","txn_product_lv6":"10000000000","txn_service_lv1":"txv1","txn_service_lv2":"tlv2","txn_gross_amount":100000,"txn_product_code":"10408015048034000","txn_service_type":"","txn_termlocation":"txn_termlocation","txn_arrangement_id":"10408015048034000","txn_card_indicator":"txn_card_indicator","txn_card_open_date":0,"txn_category_group":"txn_","txn_fraud_merchant":"1","txn_prd_bill_cycle":"","txn_card_identifier":"","txn_foreign_txn_amt":1.234567890123457e+31,"txn_mother_category":"txn_mother_category","txn_settlement_date":20231250513,"txn_card_expire_date":0,"txn_foreign_exc_rate":0,"txn_merchant_purpose":"t","txn_card_payment_date":0,"txn_prd_rollover_date":20230513,"txn_card_activated_date":0,"txn_product_branch_code":"a","txn_product_holding_nbr":1234,"txn_card_bill_cycle_date":0,"update_status_latest_date":11234344,"txn_card_annual_fee_payment":0}},"user_id":"testvalidate8","time_stamp":null,"customer_id":"testvalidate8","message_type":"TRANS_EARN_POINT_REQ","program_code":"TCBC","business_code":"TCB"}' WHERE id = 1; UPDATE `rule_templates` SET `payload`='{"event":"VOUCHER_DISTRIBUTE","payload":{"tickets":[{"code":"509839cf81ac4db795a36168cb142c3f","expired_time":1706167719}],"user_id":"1009772608","order_no":"TCBW7pxWuLfDOTgwIgRhU","quantity":1,"sale_code":"509839cf81ac4db795a36168cb142c3f","issuer_code":"THEALLEY","order_amount":0,"claim_channel":"OneU","distribute_ref":"f7470aa9ce25487cbdb5db1cb16101c1","promotion_code":"THEALLEY","promotion_type":"THEALLEY","distribute_time":"18-01-2024 15:48:39","distribute_type":"CLAIMED","member_attributes":{"cst_pbt":"200000","cst_toi":80000,"biz_line":"RETAIL","card_ind":"a","card_pan":"1234567890123456","cst_cost":1234.92,"cst_blk_lv":"1","cst_gender":"N","prd_status":"A","card_status":"0","frst_ctc_dt":1688169600,"product_lv1":"[10400000000000000 1234567891]","product_lv2":"[10407000000000000 f]","product_lv3":"[10407013000000000 d]","product_lv4":"[10407013045000000 v]","product_lv5":"[10407013045000000 1]","product_lv6":"[10407013045000001 4]","cst_ast_clss":"0","employee_ind":"Y","product_code":"[10407013047002000 10408015048034000]","cst_residence":"zzz","cst_rm_branch":"c","cst_wtch_list":"Y","last_txn_date":1709002365,"cst_mobile_ind":"Y","cst_occupation":"f","cst_prd_active":"Y","cst_sub_branch":"c","card_identifier":"a","cst_ekyc_status":"Y","cst_home_branch":"a","cst_nationality":"VN","cst_prd_holding":"Y","prd_branch_code":"[VN0010378 a]","cst_bank_segment":"AFF","cst_ekyc_channel":"eKYC01","cst_family_group":"viper123","cst_merchant_ind":"c","cst_noti_channel":"NC_01","cst_target_group":"1","cst_tier_program":"TP_001","cst_last_login_date":1646092800,"target_segment_code":"GAMI_TARGET_SEGMENT_CODE","cst_first_login_date":1643760000,"cst_family_member_type":"","update_status_latest_date":1701749606,"cst_classification_value":"","cst_mtb_tagging":"","cst_sub_tier":"","cst_member_type":"","cst_loyalty_mtb_tagging":""},"distribute_channel":"OneU","promotion_campaign":"AutoAPI_PRO_ENEL_0001","distribute_request_id":16729,"distribute_request_code":"rtL8VE1R7i6AppOUIzmgV"},"event_id":"4de15390-53e5-4e8f-8fd2-1f410d18d957","timestamp":1705567720,"program_code":"TCBC","business_code":"TCB"}' WHERE id = 2; UPDATE `rule_templates` SET `payload`='{"event":"VOUCHER_REDEEM","payload":{"mid":"GAMITEST","tid":"","ticket":[{"voucher_code":"TAHO25101","serial_number":"1494_3vD092aOb63q6cly4S35"}],"user_id":"PCID01122300778","redeemed_time":"06-03-2024 10:14:22","redeem_channel":"TCB","member_attributes":{"cst_pbt":"200000","cst_toi":80000,"biz_line":"RETAIL","card_ind":"a","card_pan":"1234567890123456","cst_cost":1234.92,"cst_blk_lv":"1","cst_gender":"N","prd_status":"A","card_status":"0","frst_ctc_dt":1688169600,"product_lv1":"[10400000000000000 1234567891]","product_lv2":"[10407000000000000 f]","product_lv3":"[10407013000000000 d]","product_lv4":"[10407013045000000 v]","product_lv5":"[10407013045000000 1]","product_lv6":"[10407013045000001 4]","cst_ast_clss":"0","employee_ind":"Y","product_code":"[10407013047002000 10408015048034000]","cst_residence":"zzz","cst_rm_branch":"c","cst_wtch_list":"Y","last_txn_date":1709002365,"cst_mobile_ind":"Y","cst_occupation":"f","cst_prd_active":"Y","cst_sub_branch":"c","card_identifier":"a","cst_ekyc_status":"Y","cst_home_branch":"a","cst_nationality":"VN","cst_prd_holding":"Y","prd_branch_code":"[VN0010378 a]","cst_bank_segment":"AFF","cst_ekyc_channel":"eKYC01","cst_family_group":"viper123","cst_merchant_ind":"c","cst_noti_channel":"NC_01","cst_target_group":"1","cst_tier_program":"TP_001","cst_last_login_date":1646092800,"target_segment_code":"GAMI_TARGET_SEGMENT_CODE","cst_first_login_date":1643760000,"cst_family_member_type":"","update_status_latest_date":1701749606,"cst_classification_value":"","cst_mtb_tagging":"","cst_sub_tier":"","cst_member_type":"","cst_loyalty_mtb_tagging":""}},"user_id":"PCID01122300778","event_id":"gApKO3khJfoUGXFb1i2M8","timestamp":1709694862,"event_type":"VOUCHER_REDEEM","program_code":"TCBC","business_code":"TCB"}' WHERE id = 3; UPDATE `rule_templates` SET `payload`='{"id":"7e151e12-2937-4c2e-8872-d8766573b9a0","event":"EVENT_TRANS_GAMI","payload":{"event":{"event_id":"event_id_1708405230","event_code":"event_code1","event_date":"13-MAY-2023 12:43:10","event_name":"event_name","event_type":"","event_group":"event_group","event_amount":"1000000000","event_product":"event_product"},"member_attributes":{"cst_pbt":"1234","cst_toi":1234.92,"biz_line":"biz","card_ind":["10000000000","1234567891"],"card_pan":"1234567890123456","cst_cost":1234.92,"cst_blk_lv":"123","cst_gender":"N","prd_status":["10000000000","1234567891"],"card_status":["10000000000","1234567891"],"cst_brth_dt":20220201,"frst_ctc_dt":20220201,"product_lv1":["10000000000","1234567891"],"product_lv2":["10000000000","1234567891"],"product_lv3":["10000000000","1234567891"],"product_lv4":["10000000000","1234567891"],"product_lv5":["10000000000","1234567891"],"product_lv6":["10000000000","1234567891"],"cst_ast_clss":"fs","cst_pre_tier":"MEM","employee_ind":"Y","product_code":["10000000000","1234567891"],"cst_residence":"zzz","cst_rm_branch":"c","cst_wtch_list":"d","tier_end_date":20220201,"cst_mobile_ind":"Y","cst_occupation":"f","cst_prd_active":"N","cst_sub_branch":"c","card_identifier":"a","cst_ekyc_status":"Y","cst_home_branch":"a","cst_nationality":"csty","cst_prd_holding":"N","prd_branch_code":["10000000000","1234567891"],"tier_start_date":20220201,"cst_bank_segment":"s","cst_ekyc_channel":"","cst_family_group":"g","cst_merchant_ind":"c","cst_noti_channel":"a","cst_tier_program":"qwe","cst_last_login_date":20220201,"target_segment_code":"a","cst_first_login_date":20220201,"cst_family_member_type":"a","cst_classification_value":"","cst_mtb_tagging":"","cst_sub_tier":"","cst_member_type":"","cst_loyalty_mtb_tagging":""},"system_attributes":{"dob":"","gmv":0,"is_dob":"","pos_code":"","pool_code":"","tier_code":"","chain_code":"","store_code":"","award_point":0,"nett_amount":0,"gross_amount":0,"redeem_point":0,"service_code":"","voucher_code":"","member_status":"","card_type_code":"","accumulated_gmv":0,"corporation_code":"","qualifying_point":0,"transaction_datetime":0,"accumulated_nett_amount":0,"accumulated_earned_point":0,"accumulated_gross_amount":0},"customer_identifier":{"id":"testvalidate8","id_type":"PARTNER_CUSTOMER_ID"},"transaction_attributes":{"txn_bin":"tx","txn_mcc":"tc","txn_mid":"txn_mid","txn_tid":"txn_tid","txn_code":"10101000000-3310","txn_token":"txn_token","txn_in_out":"in","txn_status":"POSTED","txn_appcode":"12345678","txn_card_id":"card_id","txn_purpose":"t","txn_slr_ind":"Y","product_code":"10408015048034000","product_name":"VNA-TCB-Visa debit","txn_adj_sign":"t","txn_card_ind":"","txn_card_pan":"","txn_ccy_code":"te","txn_datetime":1709548800,"txn_supplier":"tx","last_txn_date":11234344,"txn_brandname":"txn_brandname","txn_card_type":"card_type","txn_post_date":20231240513,"txn_prd_tenor":"prd_tenor","txn_termowner":"txn_termowner","txn_adj_reason":"txn","txn_net_amount":100000,"txn_prd_status":"A","is_end_of_month":"Y","product_name_vi":"Thẻ Techcombank Visa Debit Gold","txn_card_status":"","txn_channel_lv1":"v1","txn_channel_lv2":"lv2","txn_channel_lv3":"lv3","txn_original_id":"","txn_product_lv1":"10000000000","txn_product_lv2":"10000000000","txn_product_lv3":"10000000000","txn_product_lv4":"10000000000","txn_product_lv5":"10000000000","txn_product_lv6":"10000000000","txn_service_lv1":"txv1","txn_service_lv2":"tlv2","txn_gross_amount":100000,"txn_product_code":"10408015048034000","txn_termlocation":"txn_termlocation","txn_arrangement_id":"10408015048034000","txn_card_indicator":"txn_card_indicator","txn_card_open_date":0,"txn_category_group":"txn_","txn_prd_bill_cycle":"","txn_card_identifier":"","txn_foreign_txn_amt":1.234567890123457e+31,"txn_mother_category":"txn_mother_category","txn_settlement_date":20231250513,"txn_card_expire_date":0,"txn_foreign_exc_rate":0,"txn_merchant_purpose":"t","txn_card_payment_date":0,"txn_prd_rollover_date":20230513,"txn_card_activated_date":0,"txn_product_branch_code":"a","txn_product_holding_nbr":1234,"txn_card_bill_cycle_date":0,"update_status_latest_date":11234344,"txn_card_annual_fee_payment":0}},"user_id":"testvalidate8","time_stamp":null,"customer_id":"testvalidate8","message_type":"TRANS_EARN_POINT_REQ","program_code":"TCBC","business_code":"TCB"}' WHERE id = 10; UPDATE `rule_templates` SET `payload`='{"id":"7e151e12-2937-4c2e-8872-d8766573b9a0","event":"EVENT_TRANS_GAMI","payload":{"event":{"event_id":"event_id_1708405230","event_code":"event_code1","event_date":"13-MAY-2023 12:43:10","event_name":"event_name","event_type":"","event_group":"event_group","event_amount":1000000000,"event_product":"event_product"},"member_attributes":{"cst_pbt":"1234","cst_toi":1234.92,"biz_line":"biz","card_ind":["10000000000","1234567891"],"card_pan":"1234567890123456","cst_cost":1234.92,"cst_blk_lv":"123","cst_gender":"N","prd_status":["10000000000","1234567891"],"card_status":["10000000000","1234567891"],"cst_brth_dt":20220201,"frst_ctc_dt":20220201,"product_lv1":["10000000000","1234567891"],"product_lv2":["10000000000","1234567891"],"product_lv3":["10000000000","1234567891"],"product_lv4":["10000000000","1234567891"],"product_lv5":["10000000000","1234567891"],"product_lv6":["10000000000","1234567891"],"cst_ast_clss":"fs","cst_pre_tier":"MEM","employee_ind":"Y","product_code":["10000000000","1234567891"],"cst_residence":"zzz","cst_rm_branch":"c","cst_wtch_list":"d","tier_end_date":20220201,"cst_mobile_ind":"Y","cst_occupation":"f","cst_prd_active":"N","cst_sub_branch":"c","card_identifier":"a","cst_ekyc_status":"Y","cst_home_branch":"a","cst_nationality":"csty","cst_prd_holding":"N","prd_branch_code":["10000000000","1234567891"],"tier_start_date":20220201,"cst_bank_segment":"s","cst_ekyc_channel":"","cst_family_group":"g","cst_merchant_ind":"c","cst_noti_channel":"a","cst_tier_program":"qwe","cst_last_login_date":20220201,"target_segment_code":"a","cst_first_login_date":20220201,"cst_family_member_type":"a","cst_classification_value":"","cst_mtb_tagging":"","cst_sub_tier":"","cst_member_type":"","cst_loyalty_mtb_tagging":""},"system_attributes":{"dob":"","gmv":0,"is_dob":"","pos_code":"","pool_code":"","tier_code":"","chain_code":"","store_code":"","award_point":0,"nett_amount":0,"gross_amount":0,"redeem_point":0,"service_code":"","voucher_code":"","member_status":"","card_type_code":"","accumulated_gmv":0,"corporation_code":"","qualifying_point":0,"transaction_datetime":0,"accumulated_nett_amount":0,"accumulated_earned_point":0,"accumulated_gross_amount":0},"customer_identifier":{"id":"testvalidate8","id_type":"PARTNER_CUSTOMER_ID"}},"user_id":"testvalidate8","time_stamp":null,"customer_id":"testvalidate8","message_type":"TRANS_EARN_POINT_REQ","program_code":"TCBC","business_code":"TCB"}' WHERE id = 11; Master data template số 7: transaction code INSERT INTO `categories`(`id`, `tenant_id`, `rule_template_id`, `key`, `name`, `field_type`, `ui_type`, `operator`, `group_name`, `is_master_data`, `description`, `status`, `created_at`, `updated_at`) VALUES (625,1,1,'payload.member_attributes.cst_classification_value','[CST_CLASSIFICATION_VALUE] Phân nhóm KH','string','COMBOBOX','==|!=|contains|not contains','Member Attribute',1,'','ACTIVE','2025-10-10 12:21:26','2025-10-10 12:21:26');
INSERT INTO `categories`(`tenant_id`, `rule_template_id`, `key`, `name`, `field_type`, `ui_type`, `operator`, `group_name`, `is_master_data`, `description`, `status`, `created_at`, `updated_at`) VALUES (1,1,'payload.member_attributes.cst_mtb_tagging','[CST_MTB_TAGGING] Trạng thái active trong vòng 90 ngày gần nhất','string','COMBOBOX','==|!=|contains|not contains','Member Attribute',1,'','ACTIVE','2025-10-10 12:21:26','2025-10-10 12:21:26');
INSERT INTO `categories`(`tenant_id`, `rule_template_id`, `key`, `name`, `field_type`, `ui_type`, `operator`, `group_name`, `is_master_data`, `description`, `status`, `created_at`, `updated_at`) VALUES (1,1,'payload.member_attributes.cst_sub_tier','[CST_SUB_TIER] Sub tier của KH','string','COMBOBOX','==|!=|contains|not contains','Member Attribute',1,'','ACTIVE','2025-10-10 12:21:26','2025-10-10 12:21:26');
INSERT INTO `categories`(`tenant_id`, `rule_template_id`, `key`, `name`, `field_type`, `ui_type`, `operator`, `group_name`, `is_master_data`, `description`, `status`, `created_at`, `updated_at`) VALUES (1,1,'payload.member_attributes.cst_member_type','[CST_MEMBER_TYPE] Phân loại KH NTB ETB','string','COMBOBOX','==|!=|contains|not contains','Member Attribute',1,'','ACTIVE','2025-10-10 12:21:26','2025-10-10 12:21:26');
INSERT INTO `categories`(`tenant_id`, `rule_template_id`, `key`, `name`, `field_type`, `ui_type`, `operator`, `group_name`, `is_master_data`, `description`, `status`, `created_at`, `updated_at`) VALUES (1,1,'payload.member_attributes.cst_loyalty_mtb_tagging','[CST_LOYALTY_MTB_TAGGING] Trạng thái engage của KH với Loyalty','string','COMBOBOX','==|!=|contains|not contains','Member Attribute',1,'','ACTIVE','2025-10-10 12:21:26','2025-10-10 12:21:26'); INSERT INTO `master_data`(`tenant_id`, `categories_id`, `program_id`, `attribute_code`, `created_at`, `updated_at`) VALUES (1,625,426,'cst_classification_value','2025-10-10 12:21:26','2025-10-10 12:21:26');
INSERT INTO `master_data`(`tenant_id`, `categories_id`, `program_id`, `attribute_code`, `created_at`, `updated_at`) VALUES (1,626,426,'cst_mtb_tagging','2025-10-10 12:21:26','2025-10-10 12:21:26');
INSERT INTO `master_data`(`tenant_id`, `categories_id`, `program_id`, `attribute_code`, `created_at`, `updated_at`) VALUES (1,627,426,'cst_sub_tier','2025-10-10 12:21:26','2025-10-10 12:21:26');
INSERT INTO `master_data`(`tenant_id`, `categories_id`, `program_id`, `attribute_code`, `created_at`, `updated_at`) VALUES (1,628,426,'cst_member_type','2025-10-10 12:21:26','2025-10-10 12:21:26');
INSERT INTO `master_data`(`tenant_id`, `categories_id`, `program_id`, `attribute_code`, `created_at`, `updated_at`) VALUES (1,629,426,'cst_loyalty_mtb_tagging','2025-10-10 12:21:26','2025-10-10 12:21:26'); Master data template số 10, cho quản lý group INSERT INTO `categories`(`tenant_id`, `rule_template_id`, `key`, `name`, `field_type`, `ui_type`, `operator`, `group_name`, `is_master_data`, `description`, `status`, `created_at`, `updated_at`) VALUES (1,10,'payload.member_attributes.cst_classification_value','[CST_CLASSIFICATION_VALUE] Phân nhóm KH','string','COMBOBOX','==|!=|contains|not contains','Member Attribute',1,'','ACTIVE','2025-10-10 12:21:26','2025-10-10 12:21:26');
INSERT INTO `categories`(`tenant_id`, `rule_template_id`, `key`, `name`, `field_type`, `ui_type`, `operator`, `group_name`, `is_master_data`, `description`, `status`, `created_at`, `updated_at`) VALUES (1,10,'payload.member_attributes.cst_mtb_tagging','[CST_MTB_TAGGING] Trạng thái active trong vòng 90 ngày gần nhất','string','COMBOBOX','==|!=|contains|not contains','Member Attribute',1,'','ACTIVE','2025-10-10 12:21:26','2025-10-10 12:21:26');
INSERT INTO `categories`(`tenant_id`, `rule_template_id`, `key`, `name`, `field_type`, `ui_type`, `operator`, `group_name`, `is_master_data`, `description`, `status`, `created_at`, `updated_at`) VALUES (1,10,'payload.member_attributes.cst_sub_tier','[CST_SUB_TIER] Sub tier của KH','string','COMBOBOX','==|!=|contains|not contains','Member Attribute',1,'','ACTIVE','2025-10-10 12:21:26','2025-10-10 12:21:26');
INSERT INTO `categories`(`tenant_id`, `rule_template_id`, `key`, `name`, `field_type`, `ui_type`, `operator`, `group_name`, `is_master_data`, `description`, `status`, `created_at`, `updated_at`) VALUES (1,10,'payload.member_attributes.cst_member_type','[CST_MEMBER_TYPE] Phân loại KH NTB ETB','string','COMBOBOX','==|!=|contains|not contains','Member Attribute',1,'','ACTIVE','2025-10-10 12:21:26','2025-10-10 12:21:26');
INSERT INTO `categories`(`tenant_id`, `rule_template_id`, `key`, `name`, `field_type`, `ui_type`, `operator`, `group_name`, `is_master_data`, `description`, `status`, `created_at`, `updated_at`) VALUES (1,10,'payload.member_attributes.cst_loyalty_mtb_tagging','[CST_LOYALTY_MTB_TAGGING] Trạng thái engage của KH với Loyalty','string','COMBOBOX','==|!=|contains|not contains','Member Attribute',1,'','ACTIVE','2025-10-10 12:21:26','2025-10-10 12:21:26'); INSERT INTO `master_data`(`tenant_id`, `categories_id`, `program_id`, `attribute_code`, `created_at`, `updated_at`) VALUES (1,635,426,'cst_classification_value','2025-10-10 12:21:26','2025-10-10 12:21:26');
INSERT INTO `master_data`(`tenant_id`, `categories_id`, `program_id`, `attribute_code`, `created_at`, `updated_at`) VALUES (1,636,426,'cst_mtb_tagging','2025-10-10 12:21:26','2025-10-10 12:21:26');
INSERT INTO `master_data`(`tenant_id`, `categories_id`, `program_id`, `attribute_code`, `created_at`, `updated_at`) VALUES (1,637,426,'cst_sub_tier','2025-10-10 12:21:26','2025-10-10 12:21:26');
INSERT INTO `master_data`(`tenant_id`, `categories_id`, `program_id`, `attribute_code`, `created_at`, `updated_at`) VALUES (1,638,426,'cst_member_type','2025-10-10 12:21:26','2025-10-10 12:21:26');
INSERT INTO `master_data`(`tenant_id`, `categories_id`, `program_id`, `attribute_code`, `created_at`, `updated_at`) VALUES (1,639,426,'cst_loyalty_mtb_tagging','2025-10-10 12:21:26','2025-10-10 12:21:26'); Master data template số 11: msk realtime INSERT INTO `categories`(`tenant_id`, `rule_template_id`, `key`, `name`, `field_type`, `ui_type`, `operator`, `group_name`, `is_master_data`, `description`, `status`, `created_at`, `updated_at`) VALUES (1,11,'payload.member_attributes.cst_classification_value','[CST_CLASSIFICATION_VALUE] Phân nhóm KH','string','COMBOBOX','==|!=|contains|not contains','Member Attribute',1,'','ACTIVE','2025-10-10 12:21:26','2025-10-10 12:21:26');
INSERT INTO `categories`(`tenant_id`, `rule_template_id`, `key`, `name`, `field_type`, `ui_type`, `operator`, `group_name`, `is_master_data`, `description`, `status`, `created_at`, `updated_at`) VALUES (1,11,'payload.member_attributes.cst_mtb_tagging','[CST_MTB_TAGGING] Trạng thái active trong vòng 90 ngày gần nhất','string','COMBOBOX','==|!=|contains|not contains','Member Attribute',1,'','ACTIVE','2025-10-10 12:21:26','2025-10-10 12:21:26');
INSERT INTO `categories`(`tenant_id`, `rule_template_id`, `key`, `name`, `field_type`, `ui_type`, `operator`, `group_name`, `is_master_data`, `description`, `status`, `created_at`, `updated_at`) VALUES (1,11,'payload.member_attributes.cst_sub_tier','[CST_SUB_TIER] Sub tier của KH','string','COMBOBOX','==|!=|contains|not contains','Member Attribute',1,'','ACTIVE','2025-10-10 12:21:26','2025-10-10 12:21:26');
INSERT INTO `categories`(`tenant_id`, `rule_template_id`, `key`, `name`, `field_type`, `ui_type`, `operator`, `group_name`, `is_master_data`, `description`, `status`, `created_at`, `updated_at`) VALUES (1,11,'payload.member_attributes.cst_member_type','[CST_MEMBER_TYPE] Phân loại KH NTB ETB','string','COMBOBOX','==|!=|contains|not contains','Member Attribute',1,'','ACTIVE','2025-10-10 12:21:26','2025-10-10 12:21:26');
INSERT INTO `categories`(`tenant_id`, `rule_template_id`, `key`, `name`, `field_type`, `ui_type`, `operator`, `group_name`, `is_master_data`, `description`, `status`, `created_at`, `updated_at`) VALUES (1,11,'payload.member_attributes.cst_loyalty_mtb_tagging','[CST_LOYALTY_MTB_TAGGING] Trạng thái engage của KH với Loyalty','string','COMBOBOX','==|!=|contains|not contains','Member Attribute',1,'','ACTIVE','2025-10-10 12:21:26','2025-10-10 12:21:26'); INSERT INTO `master_data`(`tenant_id`, `categories_id`, `program_id`, `attribute_code`, `created_at`, `updated_at`) VALUES (1,630,426,'cst_classification_value','2025-10-10 12:21:26','2025-10-10 12:21:26');
INSERT INTO `master_data`(`tenant_id`, `categories_id`, `program_id`, `attribute_code`, `created_at`, `updated_at`) VALUES (1,631,426,'cst_mtb_tagging','2025-10-10 12:21:26','2025-10-10 12:21:26');
INSERT INTO `master_data`(`tenant_id`, `categories_id`, `program_id`, `attribute_code`, `created_at`, `updated_at`) VALUES (1,632,426,'cst_sub_tier','2025-10-10 12:21:26','2025-10-10 12:21:26');
INSERT INTO `master_data`(`tenant_id`, `categories_id`, `program_id`, `attribute_code`, `created_at`, `updated_at`) VALUES (1,633,426,'cst_member_type','2025-10-10 12:21:26','2025-10-10 12:21:26');
INSERT INTO `master_data`(`tenant_id`, `categories_id`, `program_id`, `attribute_code`, `created_at`, `updated_at`) VALUES (1,634,426,'cst_loyalty_mtb_tagging','2025-10-10 12:21:26','2025-10-10 12:21:26'); DB:  promo_group UPDATE `condition_templates` SET `template`='{"Field":{"Payload":{"MemberAttributes":{"CstClassificationValue":"string","CstMtbTagging":"string","CstSubTier":"string","CtsMemberType":"string","CstLoyaltyMtbTagging":"string","CstPbt":"string","CstToi":"float64","BizLine":"string","CardInd":"string","CardPan":"string","CstCost":"float64","CstTier":"string","CstBlkLv":"string","CstBrthDt":"int64","CstGender":"string","FrstCtcDt":"int64","PrdStatus":"string","CardStatus":"string","CstAstClss":"string","CstPreTier":"string","ProductLv1":"string","ProductLv2":"string","ProductLv3":"string","ProductLv4":"string","ProductLv5":"string","ProductLv6":"string","TxnCardInd":"string","CstRmBranch":"string","CstWtchList":"string","EmployeeInd":"string","ProductCode":"string","TierEndDate":"int64","TxnCardType":"string","TxnprdCombo":"string","TxnprdTenor":"string","CstMobileInd":"string","CstPrdActive":"string","CstResidence":"string","CstSubBranch":"string","CstEkycStatus":"string","CstHomeBranch":"string","CstOccupation":"string","CstPrdHolding":"string","LoyaltyObDate":"float64","PrdBranchCode":"string","TierStartDate":"int64","TxnCardStatus":"string","TxnprdCcyCode":"string","CardIdentifier":"string","CstBankSegment":"string","CstEkycChannel":"string","CstFamilyGroup":"string","CstLoyaltyTier":"string","CstMerchantInd":"string","CstNationality":"string","CstNotiChannel":"string","CstTargetGroup":"string","CstTierProgram":"string","CstLastLoginDate":"int64","TxnCardIssueType":"string","CstFirstLoginDate":"int64","TargetSegmentCode":"string","CstFamilyMemberType":"string"},"SystemAttributes":{"Dob":"string","Gmv":"float64","IsDob":"string","PosCode":"string","PoolCode":"string","TierCode":"string","ChainCode":"string","StoreCode":"string","AwardPoint":"float64","NettAmount":"float64","GrossAmount":"float64","RedeemPoint":"float64","ServiceCode":"string","VoucherCode":"string","CardTypeCode":"string","MemberStatus":"string","AccumulatedGmv":"float64","CorporationCode":"string","QualifyingPoint":"float64","TransactionDatetime":"float64","AccumulatedNettAmount":"float64","AccumulatedEarnedPoint":"float64","AccumulatedGrossAmount":"float64"},"CustomerIdentifier":{"ID":"string","IDType":"string"}}},"Function":{"In":{"Params":[{"Name":"search","Type":"string"},{"Name":"subject","Type":"[]string"}],"Return":{"Name":"","Type":"bool"},"Variadic":true,"Description":"In"},"Contains":{"Params":[{"Name":"subject","Type":"string"},{"Name":"search","Type":"string"}],"Return":{"Name":"","Type":"bool"},"Variadic":false,"Description":"Contains"}}}' WHERE id = 1;</t>
  </si>
  <si>
    <t xml:space="preserve">[OMRE][Nonprod][UAT] Thêm DB cho service Cloud-Config </t>
  </si>
  <si>
    <t>2025-10-27T10:38:35.074+0700</t>
  </si>
  <si>
    <t>2025-10-27T15:51:23.091+0700</t>
  </si>
  <si>
    <t>Dear Hưng, Nhờ Hưng hỗ trợ ae tạo schema cho service Cloud Config như sau: Host: 172.31.0.67 Database: omre_cbp_cloud_configuration_uat User: omre_cbp_cloud_configuration_uat Thanks Hưng</t>
  </si>
  <si>
    <t>[OMC][GAMI][PS2][Prod] Hỗ trợ migration DB thực hiện CR Release định kỳ Gami trên TCB version 20251025_LE_LOY.2025.10.04</t>
  </si>
  <si>
    <t>2025-10-27T09:51:11.782+0700</t>
  </si>
  <si>
    <t>2025-10-27T09:51:16.179+0700</t>
  </si>
  <si>
    <t>Hỗ trợ migration DB thực hiện CR Release định kỳ Gami trên TCB version 20251025_LE_LOY.2025.10.04 CR:  Plan: Host:  172.31.4.75 DB: promo_rule_engine SELECT * FROM `rule_templates`; SELECT * FROM `categories`; SELECT * FROM `master_data`</t>
  </si>
  <si>
    <t>[Saitama] Cập nhập database phục vụ cho release 26/10/2025</t>
  </si>
  <si>
    <t>2025-10-27T09:48:49.355+0700</t>
  </si>
  <si>
    <t>2025-10-27T09:48:56.400+0700</t>
  </si>
  <si>
    <t>Hi a  @Nguyễn Văn Dũng  nhờ a chạy script theo mô tả  dưới đây ở môi trường PRODUCTION theo thông tin dưới đây ạ: Thời gian chạy script: Vào lúc  23h59p ngày 26/10/2025  -  Khi team thông báo Thông tin database saas_tpay:  pay-tidb.int.onemount.com:4000/saas_tpay CR Ticket:  Script: ALTER TABLE SOUNDBOX_NOTIFICATION
    ADD COLUMN CIF        VARCHAR(20) COLLATE utf8mb4_unicode_ci,
    ADD COLUMN NOTIFY_DATE        TIMESTAMP(3),
    ADD COLUMN VIRTUAL_ACCOUNT_NO VARCHAR(20) COLLATE utf8mb4_unicode_ci,
    ADD COLUMN PAYMENT_NARRATIVE  VARCHAR(600) COLLATE utf8mb4_unicode_ci,
    ADD INDEX (NOTIFY_DATE);</t>
  </si>
  <si>
    <t xml:space="preserve">Seeder dữ liệu </t>
  </si>
  <si>
    <t>2025-10-25T23:05:54.168+0700</t>
  </si>
  <si>
    <t>2025-10-25T23:10:34.471+0700</t>
  </si>
  <si>
    <t>{{IP:172.31.4.9 }} Database name: vincart_rec sql  INSERT INTO voucher_recommendation_partition(created_at, updated_at, user_id, item_id, score, channel) VALUES
(NOW(), NOW(), 'new_user', '1010914', 0.6845, 'ONE_U'),
(NOW(), NOW(), 'new_user', '1010502', 0.6674, 'ONE_U'),
(NOW(), NOW(), 'new_user', '1011143', 0.664, 'ONE_U'),
(NOW(), NOW(), 'new_user', '1012384', 0.6639, 'ONE_U'),
(NOW(), NOW(), 'new_user', '1007462', 0.6601, 'ONE_U'),
(NOW(), NOW(), 'new_user', '1007563', 0.6589, 'ONE_U'),
(NOW(), NOW(), 'new_user', '1011569', 0.658, 'ONE_U'),
(NOW(), NOW(), 'new_user', '1007475', 0.6555, 'ONE_U'),
(NOW(), NOW(), 'new_user', '1009639', 0.6525, 'ONE_U'),
(NOW(), NOW(), 'new_user', '1007578', 0.6519, 'ONE_U'),
(NOW(), NOW(), 'new_user', '1010907', 0.6515, 'ONE_U'),
(NOW(), NOW(), 'new_user', '1007289', 0.6478, 'ONE_U'),
(NOW(), NOW(), 'new_user', '1011205', 0.6462, 'ONE_U'),
(NOW(), NOW(), 'new_user', '1007382', 0.6447, 'ONE_U'),
(NOW(), NOW(), 'new_user', '1011661', 0.6437, 'ONE_U'),
(NOW(), NOW(), 'new_user', '1011914', 0.6432, 'ONE_U'),
(NOW(), NOW(), 'new_user', '1012097', 0.6415, 'ONE_U'),
(NOW(), NOW(), 'new_user', '1012055', 0.6357, 'ONE_U'),
(NOW(), NOW(), 'new_user', '1011874', 0.6341, 'ONE_U'),
(NOW(), NOW(), 'new_user', '1007392', 0.6337, 'ONE_U'),
(NOW(), NOW(), 'new_user', '1012148', 0.6329, 'ONE_U'),
(NOW(), NOW(), 'new_user', '1011327', 0.6327, 'ONE_U'),
(NOW(), NOW(), 'new_user', '1011217', 0.6319, 'ONE_U'),
(NOW(), NOW(), 'new_user', '1007438', 0.6306, 'ONE_U'),
(NOW(), NOW(), 'new_user', '1011625', 0.6295, 'ONE_U'),
(NOW(), NOW(), 'new_user', '1012139', 0.6266, 'ONE_U'),
(NOW(), NOW(), 'new_user', '1011241', 0.6256, 'ONE_U'),
(NOW(), NOW(), 'new_user', '1007473', 0.6254, 'ONE_U'),
(NOW(), NOW(), 'new_user', '1007472', 0.6252, 'ONE_U'),
(NOW(), NOW(), 'new_user', '1007606', 0.6252, 'ONE_U'),
(NOW(), NOW(), 'new_user', '1007324', 0.6231, 'ONE_U'),
(NOW(), NOW(), 'new_user', '1011291', 0.623, 'ONE_U'),
(NOW(), NOW(), 'new_user', '1009389', 0.6204, 'ONE_U'),
(NOW(), NOW(), 'new_user', '1007447', 0.6202, 'ONE_U'),
(NOW(), NOW(), 'new_user', '1007526', 0.6199, 'ONE_U'),
(NOW(), NOW(), 'new_user', '1012009', 0.6178, 'ONE_U'),
(NOW(), NOW(), 'new_user', '1007615', 0.6166, 'ONE_U'),
(NOW(), NOW(), 'new_user', '1012243', 0.6165, 'ONE_U'),
(NOW(), NOW(), 'new_user', '1011109', 0.6161, 'ONE_U'),
(NOW(), NOW(), 'new_user', '1011695', 0.6135, 'ONE_U'),
(NOW(), NOW(), 'new_user', '1007383', 0.6124, 'ONE_U'),
(NOW(), NOW(), 'new_user', '1012121', 0.6121, 'ONE_U'),
(NOW(), NOW(), 'new_user', '1012275', 0.6114, 'ONE_U'),
(NOW(), NOW(), 'new_user', '1007605', 0.611, 'ONE_U'),
(NOW(), NOW(), 'new_user', '1011449', 0.6103, 'ONE_U'),
(NOW(), NOW(), 'new_user', '1011257', 0.6102, 'ONE_U'),
(NOW(), NOW(), 'new_user', '1010499', 0.6097, 'ONE_U'),
(NOW(), NOW(), 'new_user', '1011191', 0.6093, 'ONE_U'),
(NOW(), NOW(), 'new_user', '1012050', 0.6072, 'ONE_U'),
(NOW(), NOW(), 'new_user', '1007405', 0.6071, 'ONE_U'),
(NOW(), NOW(), 'new_user', '1011192', 0.6071, 'ONE_U'),
(NOW(), NOW(), 'new_user', '1011862', 0.6067, 'ONE_U'),
(NOW(), NOW(), 'new_user', '1007598', 0.6066, 'ONE_U'),
(NOW(), NOW(), 'new_user', '1011428', 0.6062, 'ONE_U'),
(NOW(), NOW(), 'new_user', '1009381', 0.6061, 'ONE_U'),
(NOW(), NOW(), 'new_user', '1011696', 0.6049, 'ONE_U'),
(NOW(), NOW(), 'new_user', '1007448', 0.6041, 'ONE_U'),
(NOW(), NOW(), 'new_user', '1011250', 0.6025, 'ONE_U'),
(NOW(), NOW(), 'new_user', '1011681', 0.6017, 'ONE_U'),
(NOW(), NOW(), 'new_user', '1012213', 0.6017, 'ONE_U'),
(NOW(), NOW(), 'new_user', '1011234', 0.601, 'ONE_U'),
(NOW(), NOW(), 'new_user', '1011152', 0.6007, 'ONE_U'),
(NOW(), NOW(), 'new_user', '1007490', 0.6003, 'ONE_U'),
(NOW(), NOW(), 'new_user', '1011430', 0.5988, 'ONE_U'),
(NOW(), NOW(), 'new_user', '1012179', 0.5982, 'ONE_U'),
(NOW(), NOW(), 'new_user', '1011674', 0.5978, 'ONE_U'),
(NOW(), NOW(), 'new_user', '1007596', 0.5965, 'ONE_U'),
(NOW(), NOW(), 'new_user', '1012160', 0.5962, 'ONE_U'),
(NOW(), NOW(), 'new_user', '1011153', 0.5961, 'ONE_U'),
(NOW(), NOW(), 'new_user', '1011345', 0.596, 'ONE_U'),
(NOW(), NOW(), 'new_user', '1012104', 0.5948, 'ONE_U'),
(NOW(), NOW(), 'new_user', '1011555', 0.5934, 'ONE_U'),
(NOW(), NOW(), 'new_user', '1011382', 0.5928, 'ONE_U'),
(NOW(), NOW(), 'new_user', '1012215', 0.5927, 'ONE_U'),
(NOW(), NOW(), 'new_user', '1011239', 0.5926, 'ONE_U'),
(NOW(), NOW(), 'new_user', '1012075', 0.5915, 'ONE_U'),
(NOW(), NOW(), 'new_user', '1012152', 0.5915, 'ONE_U'),
(NOW(), NOW(), 'new_user', '1011442', 0.5912, 'ONE_U'),
(NOW(), NOW(), 'new_user', '1012046', 0.5912, 'ONE_U'),
(NOW(), NOW(), 'new_user', '1012151', 0.591, 'ONE_U'),
(NOW(), NOW(), 'new_user', '1011947', 0.5893, 'ONE_U'),
(NOW(), NOW(), 'new_user', '1011703', 0.5886, 'ONE_U'),
(NOW(), NOW(), 'new_user', '1011525', 0.5884, 'ONE_U'),
(NOW(), NOW(), 'new_user', '1012497', 0.5884, 'ONE_U'),
(NOW(), NOW(), 'new_user', '1011631', 0.5878, 'ONE_U'),
(NOW(), NOW(), 'new_user', '1011154', 0.5868, 'ONE_U'),
(NOW(), NOW(), 'new_user', '1011141', 0.5864, 'ONE_U'),
(NOW(), NOW(), 'new_user', '1011411', 0.5857, 'ONE_U'),
(NOW(), NOW(), 'new_user', '1011332', 0.5854, 'ONE_U'),
(NOW(), NOW(), 'new_user', '1011517', 0.5854, 'ONE_U'),
(NOW(), NOW(), 'new_user', '1011946', 0.5843, 'ONE_U'),
(NOW(), NOW(), 'new_user', '1011355', 0.5842, 'ONE_U'),
(NOW(), NOW(), 'new_user', '1011357', 0.5842, 'ONE_U'),
(NOW(), NOW(), 'new_user', '1011475', 0.5831, 'ONE_U'),
(NOW(), NOW(), 'new_user', '1008986', 0.583, 'ONE_U'),
(NOW(), NOW(), 'new_user', '1011356', 0.5829, 'ONE_U'),
(NOW(), NOW(), 'new_user', '1011172', 0.5826, 'ONE_U'),
(NOW(), NOW(), 'new_user', '1011522', 0.5817, 'ONE_U'),
(NOW(), NOW(), 'new_user', '1012175', 0.5816, 'ONE_U'),
(NOW(), NOW(), 'new_user', '1011139', 0.5812, 'ONE_U'),
(NOW(), NOW(), 'new_user', '1011612', 0.5812, 'ONE_U'),
(NOW(), NOW(), 'new_user', '1009041', 0.5807, 'ONE_U'),
(NOW(), NOW(), 'new_user', '1012147', 0.5798, 'ONE_U'),
(NOW(), NOW(), 'new_user', '1011083', 0.5788, 'ONE_U'),
(NOW(), NOW(), 'new_user', '1011605', 0.5787, 'ONE_U'),
(NOW(), NOW(), 'new_user', '1010599', 0.5786, 'ONE_U'),
(NOW(), NOW(), 'new_user', '1011443', 0.5782, 'ONE_U'),
(NOW(), NOW(), 'new_user', '1011961', 0.5779, 'ONE_U'),
(NOW(), NOW(), 'new_user', '1011233', 0.5774, 'ONE_U'),
(NOW(), NOW(), 'new_user', '1011175', 0.5773, 'ONE_U'),
(NOW(), NOW(), 'new_user', '1010144', 0.5765, 'ONE_U'),
(NOW(), NOW(), 'new_user', '1009980', 0.5763, 'ONE_U'),
(NOW(), NOW(), 'new_user', '1012094', 0.5762, 'ONE_U'),
(NOW(), NOW(), 'new_user', '1011208', 0.5755, 'ONE_U'),
(NOW(), NOW(), 'new_user', '1011585', 0.5745, 'ONE_U'),
(NOW(), NOW(), 'new_user', '1011734', 0.5739, 'ONE_U'),
(NOW(), NOW(), 'new_user', '1011385', 0.5733, 'ONE_U'),
(NOW(), NOW(), 'new_user', '1011769', 0.5732, 'ONE_U'),
(NOW(), NOW(), 'new_user', '1011348', 0.573, 'ONE_U'),
(NOW(), NOW(), 'new_user', '1012135', 0.5727, 'ONE_U'),
(NOW(), NOW(), 'new_user', '1011144', 0.5721, 'ONE_U'),
(NOW(), NOW(), 'new_user', '1011228', 0.5714, 'ONE_U'),
(NOW(), NOW(), 'new_user', '1011086', 0.571, 'ONE_U'),
(NOW(), NOW(), 'new_user', '1011424', 0.5708, 'ONE_U'),
(NOW(), NOW(), 'new_user', '1012079', 0.5708, 'ONE_U'),
(NOW(), NOW(), 'new_user', '1007455', 0.5707, 'ONE_U'),
(NOW(), NOW(), 'new_user', '1011426', 0.57, 'ONE_U'),
(NOW(), NOW(), 'new_user', '1009420', 0.5698, 'ONE_U'),
(NOW(), NOW(), 'new_user', '1011364', 0.5694, 'ONE_U'),
(NOW(), NOW(), 'new_user', '1012056', 0.5684, 'ONE_U'),
(NOW(), NOW(), 'new_user', '1010931', 0.5681, 'ONE_U'),
(NOW(), NOW(), 'new_user', '1011100', 0.568, 'ONE_U'),
(NOW(), NOW(), 'new_user', '1011845', 0.568, 'ONE_U'),
(NOW(), NOW(), 'new_user', '1011737', 0.5679, 'ONE_U'),
(NOW(), NOW(), 'new_user', '1011778', 0.567, 'ONE_U'),
(NOW(), NOW(), 'new_user', '1011879', 0.5665, 'ONE_U'),
(NOW(), NOW(), 'new_user', '1011155', 0.5655, 'ONE_U'),
(NOW(), NOW(), 'new_user', '1011863', 0.5647, 'ONE_U'),
(NOW(), NOW(), 'new_user', '1010728', 0.5643, 'ONE_U'),
(NOW(), NOW(), 'new_user', '1011081', 0.564, 'ONE_U'),
(NOW(), NOW(), 'new_user', '1012047', 0.564, 'ONE_U'),
(NOW(), NOW(), 'new_user', '1011076', 0.5639, 'ONE_U'),
(NOW(), NOW(), 'new_user', '1011692', 0.5639, 'ONE_U'),
(NOW(), NOW(), 'new_user', '1011601', 0.5635, 'ONE_U'),
(NOW(), NOW(), 'new_user', '1011844', 0.5634, 'ONE_U'),
(NOW(), NOW(), 'new_user', '1011107', 0.5628, 'ONE_U'),
(NOW(), NOW(), 'new_user', '1011758', 0.5628, 'ONE_U'),
(NOW(), NOW(), 'new_user', '1007489', 0.5624, 'ONE_U'),
(NOW(), NOW(), 'new_user', '1009395', 0.5622, 'ONE_U'),
(NOW(), NOW(), 'new_user', '1009378', 0.5612, 'ONE_U'),
(NOW(), NOW(), 'new_user', '1011781', 0.5611, 'ONE_U'),
(NOW(), NOW(), 'new_user', '1011688', 0.5607, 'ONE_U'),
(NOW(), NOW(), 'new_user', '1011864', 0.5604, 'ONE_U'),
(NOW(), NOW(), 'new_user', '1011774', 0.5602, 'ONE_U'),
(NOW(), NOW(), 'new_user', '1007375', 0.5586, 'ONE_U'),
(NOW(), NOW(), 'new_user', '1011482', 0.5585, 'ONE_U'),
(NOW(), NOW(), 'new_user', '1012457', 0.5575, 'ONE_U'),
(NOW(), NOW(), 'new_user', '1011106', 0.5568, 'ONE_U'),
(NOW(), NOW(), 'new_user', '1010598', 0.5564, 'ONE_U'),
(NOW(), NOW(), 'new_user', '1011075', 0.5559, 'ONE_U'),
(NOW(), NOW(), 'new_user', '1011514', 0.5558, 'ONE_U'),
(NOW(), NOW(), 'new_user', '1010894', 0.5557, 'ONE_U'),
(NOW(), NOW(), 'new_user', '1012219', 0.5554, 'ONE_U'),
(NOW(), NOW(), 'new_user', '1012220', 0.5554, 'ONE_U'),
(NOW(), NOW(), 'new_user', '1012101', 0.5551, 'ONE_U'),
(NOW(), NOW(), 'new_user', '1011556', 0.5541, 'ONE_U'),
(NOW(), NOW(), 'new_user', '1011543', 0.5534, 'ONE_U'),
(NOW(), NOW(), 'new_user', '1011567', 0.5526, 'ONE_U'),
(NOW(), NOW(), 'new_user', '1011657', 0.5518, 'ONE_U'),
(NOW(), NOW(), 'new_user', '1011570', 0.5517, 'ONE_U'),
(NOW(), NOW(), 'new_user', '1011146', 0.5509, 'ONE_U'),
(NOW(), NOW(), 'new_user', '1012039', 0.5504, 'ONE_U'),
(NOW(), NOW(), 'new_user', '1011156', 0.5497, 'ONE_U'),
(NOW(), NOW(), 'new_user', '1011079', 0.5483, 'ONE_U'),
(NOW(), NOW(), 'new_user', '1011600', 0.5482, 'ONE_U'),
(NOW(), NOW(), 'new_user', '1011287', 0.5481, 'ONE_U'),
(NOW(), NOW(), 'new_user', '1011548', 0.5465, 'ONE_U'),
(NOW(), NOW(), 'new_user', '1010735', 0.5453, 'ONE_U'),
(NOW(), NOW(), 'new_user', '1011258', 0.5452, 'ONE_U'),
(NOW(), NOW(), 'new_user', '1010503', 0.545, 'ONE_U'),
(NOW(), NOW(), 'new_user', '1011201', 0.5448, 'ONE_U'),
(NOW(), NOW(), 'new_user', '1012458', 0.5441, 'ONE_U'),
(NOW(), NOW(), 'new_user', '1011370', 0.5439, 'ONE_U'),
(NOW(), NOW(), 'new_user', '1011101', 0.5434, 'ONE_U'),
(NOW(), NOW(), 'new_user', '1012100', 0.5434, 'ONE_U'),
(NOW(), NOW(), 'new_user', '1011483', 0.5433, 'ONE_U'),
(NOW(), NOW(), 'new_user', '1011782', 0.5429, 'ONE_U'),
(NOW(), NOW(), 'new_user', '1011369', 0.5425, 'ONE_U'),
(NOW(), NOW(), 'new_user', '1011568', 0.542, 'ONE_U'),
(NOW(), NOW(), 'new_user', '1011158', 0.5414, 'ONE_U'),
(NOW(), NOW(), 'new_user', '1012216', 0.5412, 'ONE_U'),
(NOW(), NOW(), 'new_user', '1011480', 0.5407, 'ONE_U'),
(NOW(), NOW(), 'new_user', '1012049', 0.5404, 'ONE_U'),
(NOW(), NOW(), 'new_user', '1011469', 0.5402, 'ONE_U'),
(NOW(), NOW(), 'new_user', '1010597', 0.5399, 'ONE_U'),
(NOW(), NOW(), 'new_user', '1011296', 0.5394, 'ONE_U'),
(NOW(), NOW(), 'new_user', '1011873', 0.5393, 'ONE_U'),
(NOW(), NOW(), 'new_user', '1012488', 0.5387, 'ONE_U'),
(NOW(), NOW(), 'new_user', '1011884', 0.5381, 'ONE_U'),
(NOW(), NOW(), 'new_user', '1012124', 0.5378, 'ONE_U'),
(NOW(), NOW(), 'new_user', '1011441', 0.5371, 'ONE_U'),
(NOW(), NOW(), 'new_user', '1011196', 0.5367, 'ONE_U'),
(NOW(), NOW(), 'new_user', '1011648', 0.5359, 'ONE_U'),
(NOW(), NOW(), 'new_user', '1012005', 0.5343, 'ONE_U'),
(NOW(), NOW(), 'new_user', '1011343', 0.5341, 'ONE_U'),
(NOW(), NOW(), 'new_user', '1012174', 0.5341, 'ONE_U'),
(NOW(), NOW(), 'new_user', '1011074', 0.5336, 'ONE_U'),
(NOW(), NOW(), 'new_user', '1011115', 0.5334, 'ONE_U'),
(NOW(), NOW(), 'new_user', '1011252', 0.5334, 'ONE_U'),
(NOW(), NOW(), 'new_user', '1012054', 0.5334, 'ONE_U'),
(NOW(), NOW(), 'new_user', '1010989', 0.5323, 'ONE_U'),
(NOW(), NOW(), 'new_user', '1011295', 0.5318, 'ONE_U'),
(NOW(), NOW(), 'new_user', '1011347', 0.5317, 'ONE_U'),
(NOW(), NOW(), 'new_user', '1011666', 0.5296, 'ONE_U'),
(NOW(), NOW(), 'new_user', '1011117', 0.5293, 'ONE_U'),
(NOW(), NOW(), 'new_user', '1011455', 0.5292, 'ONE_U'),
(NOW(), NOW(), 'new_user', '1010887', 0.5282, 'ONE_U'),
(NOW(), NOW(), 'new_user', '1011337', 0.5275, 'ONE_U'),
(NOW(), NOW(), 'new_user', '1012071', 0.5268, 'ONE_U'),
(NOW(), NOW(), 'new_user', '1011231', 0.5255, 'ONE_U'),
(NOW(), NOW(), 'new_user', '1010596', 0.5253, 'ONE_U'),
(NOW(), NOW(), 'new_user', '1012131', 0.525, 'ONE_U'),
(NOW(), NOW(), 'new_user', '1011293', 0.5243, 'ONE_U'),
(NOW(), NOW(), 'new_user', '1011588', 0.5243, 'ONE_U'),
(NOW(), NOW(), 'new_user', '1012002', 0.5243, 'ONE_U'),
(NOW(), NOW(), 'new_user', '1012122', 0.5243, 'ONE_U'),
(NOW(), NOW(), 'new_user', '1011113', 0.5242, 'ONE_U'),
(NOW(), NOW(), 'new_user', '1012233', 0.5233, 'ONE_U'),
(NOW(), NOW(), 'new_user', '1010704', 0.5231, 'ONE_U'),
(NOW(), NOW(), 'new_user', '1011333', 0.5229, 'ONE_U'),
(NOW(), NOW(), 'new_user', '1011349', 0.5229, 'ONE_U'),
(NOW(), NOW(), 'new_user', '1011609', 0.5221, 'ONE_U'),
(NOW(), NOW(), 'new_user', '1011096', 0.5217, 'ONE_U'),
(NOW(), NOW(), 'new_user', '1011542', 0.5217, 'ONE_U'),
(NOW(), NOW(), 'new_user', '1010595', 0.5216, 'ONE_U'),
(NOW(), NOW(), 'new_user', '1012040', 0.5216, 'ONE_U'),
(NOW(), NOW(), 'new_user', '1011755', 0.521, 'ONE_U'),
(NOW(), NOW(), 'new_user', '1011572', 0.5209, 'ONE_U'),
(NOW(), NOW(), 'new_user', '1011528', 0.52, 'ONE_U'),
(NOW(), NOW(), 'new_user', '1012308', 0.5199, 'ONE_U'),
(NOW(), NOW(), 'new_user', '1007545', 0.5194, 'ONE_U'),
(NOW(), NOW(), 'new_user', '1011147', 0.5175, 'ONE_U'),
(NOW(), NOW(), 'new_user', '1011447', 0.5168, 'ONE_U'),
(NOW(), NOW(), 'new_user', '1011151', 0.5153, 'ONE_U'),
(NOW(), NOW(), 'new_user', '1011678', 0.515, 'ONE_U'),
(NOW(), NOW(), 'new_user', '1011318', 0.5149, 'ONE_U'),
(NOW(), NOW(), 'new_user', '1011521', 0.5144, 'ONE_U'),
(NOW(), NOW(), 'new_user', '1011108', 0.5139, 'ONE_U'),
(NOW(), NOW(), 'new_user', '1009890', 0.5129, 'ONE_U'),
(NOW(), NOW(), 'new_user', '1011150', 0.511, 'ONE_U'),
(NOW(), NOW(), 'new_user', '1012181', 0.5093, 'ONE_U'),
(NOW(), NOW(), 'new_user', '1010091', 0.5083, 'ONE_U'),
(NOW(), NOW(), 'new_user', '1007488', 0.5081, 'ONE_U'),
(NOW(), NOW(), 'new_user', '1011477', 0.5056, 'ONE_U'),
(NOW(), NOW(), 'new_user', '1011986', 0.505, 'ONE_U'),
(NOW(), NOW(), 'new_user', '1010891', 0.5043, 'ONE_U'),
(NOW(), NOW(), 'new_user', '1011900', 0.5015, 'ONE_U'),
(NOW(), NOW(), 'new_user', '1011453', 0.5005, 'ONE_U'),
(NOW(), NOW(), 'new_user', '1011097', 0.5, 'ONE_U'),
(NOW(), NOW(), 'new_user', '1011157', 0.5, 'ONE_U'),
(NOW(), NOW(), 'new_user', '1011198', 0.5, 'ONE_U'),
(NOW(), NOW(), 'new_user', '1011367', 0.5, 'ONE_U'),
(NOW(), NOW(), 'new_user', '1011384', 0.5, 'ONE_U'),
(NOW(), NOW(), 'new_user', '1011415', 0.5, 'ONE_U'),
(NOW(), NOW(), 'new_user', '1011432', 0.5, 'ONE_U'),
(NOW(), NOW(), 'new_user', '1011433', 0.5, 'ONE_U'),
(NOW(), NOW(), 'new_user', '1011506', 0.5, 'ONE_U'),
(NOW(), NOW(), 'new_user', '1011553', 0.5, 'ONE_U'),
(NOW(), NOW(), 'new_user', '1011562', 0.5, 'ONE_U'),
(NOW(), NOW(), 'new_user', '1011591', 0.5, 'ONE_U'),
(NOW(), NOW(), 'new_user', '1011620', 0.5, 'ONE_U'),
(NOW(), NOW(), 'new_user', '1011630', 0.5, 'ONE_U'),
(NOW(), NOW(), 'new_user', '1011632', 0.5, 'ONE_U'),
(NOW(), NOW(), 'new_user', '1011633', 0.5, 'ONE_U'),
(NOW(), NOW(), 'new_user', '1011634', 0.5, 'ONE_U'),
(NOW(), NOW(), 'new_user', '1011635', 0.5, 'ONE_U'),
(NOW(), NOW(), 'new_user', '1011651', 0.5, 'ONE_U'),
(NOW(), NOW(), 'new_user', '1011686', 0.5, 'ONE_U'),
(NOW(), NOW(), 'new_user', '1011689', 0.5, 'ONE_U'),
(NOW(), NOW(), 'new_user', '1011711', 0.5, 'ONE_U'),
(NOW(), NOW(), 'new_user', '1011712', 0.5, 'ONE_U'),
(NOW(), NOW(), 'new_user', '1011732', 0.5, 'ONE_U'),
(NOW(), NOW(), 'new_user', '1011757', 0.5, 'ONE_U'),
(NOW(), NOW(), 'new_user', '1011770', 0.5, 'ONE_U'),
(NOW(), NOW(), 'new_user', '1011875', 0.5, 'ONE_U'),
(NOW(), NOW(), 'new_user', '1011877', 0.5, 'ONE_U'),
(NOW(), NOW(), 'new_user', '1011878', 0.5, 'ONE_U'),
(NOW(), NOW(), 'new_user', '1011883', 0.5, 'ONE_U'),
(NOW(), NOW(), 'new_user', '1011904', 0.5, 'ONE_U'),
(NOW(), NOW(), 'new_user', '1011966', 0.5, 'ONE_U'),
(NOW(), NOW(), 'new_user', '1011972', 0.5, 'ONE_U'),
(NOW(), NOW(), 'new_user', '1011980', 0.5, 'ONE_U'),
(NOW(), NOW(), 'new_user', '1011981', 0.5, 'ONE_U'),
(NOW(), NOW(), 'new_user', '1011982', 0.5, 'ONE_U'),
(NOW(), NOW(), 'new_user', '1012026', 0.5, 'ONE_U'),
(NOW(), NOW(), 'new_user', '1012057', 0.5, 'ONE_U'),
(NOW(), NOW(), 'new_user', '1012063', 0.5, 'ONE_U'),
(NOW(), NOW(), 'new_user', '1012064', 0.5, 'ONE_U'),
(NOW(), NOW(), 'new_user', '1012073', 0.5, 'ONE_U'),
(NOW(), NOW(), 'new_user', '1012081', 0.5, 'ONE_U'),
(NOW(), NOW(), 'new_user', '1012083', 0.5, 'ONE_U'),
(NOW(), NOW(), 'new_user', '1012136', 0.5, 'ONE_U'),
(NOW(), NOW(), 'new_user', '1012137', 0.5, 'ONE_U'),
(NOW(), NOW(), 'new_user', '1012138', 0.5, 'ONE_U'),
(NOW(), NOW(), 'new_user', '1012149', 0.5, 'ONE_U'),
(NOW(), NOW(), 'new_user', '1012158', 0.5, 'ONE_U'),
(NOW(), NOW(), 'new_user', '1012164', 0.5, 'ONE_U'),
(NOW(), NOW(), 'new_user', '1012168', 0.5, 'ONE_U'),
(NOW(), NOW(), 'new_user', '1012178', 0.5, 'ONE_U'),
(NOW(), NOW(), 'new_user', '1012196', 0.5, 'ONE_U'),
(NOW(), NOW(), 'new_user', '1012200', 0.5, 'ONE_U'),
(NOW(), NOW(), 'new_user', '1012210', 0.5, 'ONE_U'),
(NOW(), NOW(), 'new_user', '1012247', 0.5, 'ONE_U'),
(NOW(), NOW(), 'new_user', '1012250', 0.5, 'ONE_U'),
(NOW(), NOW(), 'new_user', '1012266', 0.5, 'ONE_U'),
(NOW(), NOW(), 'new_user', '1012277', 0.5, 'ONE_U'),
(NOW(), NOW(), 'new_user', '1012511', 0.5, 'ONE_U'),
(NOW(), NOW(), 'new_user', '1012536', 0.5, 'ONE_U'),
(NOW(), NOW(), 'new_user', '1012623', 0.5, 'ONE_U'),
(NOW(), NOW(), 'new_user', '1012636', 0.5, 'ONE_U'),
(NOW(), NOW(), 'new_user', '1012642', 0.5, 'ONE_U'),
(NOW(), NOW(), 'new_user', '1012643', 0.5, 'ONE_U'),
(NOW(), NOW(), 'new_user', '1012645', 0.5, 'ONE_U'),
(NOW(), NOW(), 'new_user', '1012647', 0.5, 'ONE_U'),
(NOW(), NOW(), 'new_user', '1012649', 0.5, 'ONE_U'),
(NOW(), NOW(), 'new_user', '1012651', 0.5, 'ONE_U'),
(NOW(), NOW(), 'new_user', '1012652', 0.5, 'ONE_U'),
(NOW(), NOW(), 'new_user', '1012659', 0.5, 'ONE_U'),
(NOW(), NOW(), 'new_user', '1012663', 0.5, 'ONE_U'),
(NOW(), NOW(), 'new_user', '1012669', 0.5, 'ONE_U'),
(NOW(), NOW(), 'new_user', '1012670', 0.5, 'ONE_U'),
(NOW(), NOW(), 'new_user', '1012671', 0.5, 'ONE_U'),
(NOW(), NOW(), 'new_user', '1012721', 0.5, 'ONE_U'),
(NOW(), NOW(), 'new_user', '1012722', 0.5, 'ONE_U'),
(NOW(), NOW(), 'new_user', '1012723', 0.5, 'ONE_U'),
(NOW(), NOW(), 'new_user', '1012724', 0.5, 'ONE_U'),
(NOW(), NOW(), 'new_user', '1012725', 0.5, 'ONE_U'),
(NOW(), NOW(), 'new_user', '1012726', 0.5, 'ONE_U'),
(NOW(), NOW(), 'new_user', '1012727', 0.5, 'ONE_U'),
(NOW(), NOW(), 'new_user', '1011971', 0.4991, 'ONE_U'),
(NOW(), NOW(), 'new_user', '1012548', 0.4987, 'ONE_U'),
(NOW(), NOW(), 'new_user', '1007460', 0.4966, 'ONE_U'),
(NOW(), NOW(), 'new_user', '1011773', 0.495, 'ONE_U'),
(NOW(), NOW(), 'new_user', '1012357', 0.4938, 'ONE_U'),
(NOW(), NOW(), 'new_user', '1011614', 0.4928, 'ONE_U'),
(NOW(), NOW(), 'new_user', '1012027', 0.4924, 'ONE_U'),
(NOW(), NOW(), 'new_user', '1011316', 0.4916, 'ONE_U'),
(NOW(), NOW(), 'new_user', '1011148', 0.4915, 'ONE_U'),
(NOW(), NOW(), 'new_user', '1012452', 0.4897, 'ONE_U'),
(NOW(), NOW(), 'new_user', '1011779', 0.4891, 'ONE_U'),
(NOW(), NOW(), 'new_user', '1011379', 0.4885, 'ONE_U'),
(NOW(), NOW(), 'new_user', '1011202', 0.485, 'ONE_U'),
(NOW(), NOW(), 'new_user', '1011611', 0.4847, 'ONE_U'),
(NOW(), NOW(), 'new_user', '1011127', 0.4842, 'ONE_U'),
(NOW(), NOW(), 'new_user', '1012335', 0.4831, 'ONE_U'),
(NOW(), NOW(), 'new_user', '1012067', 0.4812, 'ONE_U'),
(NOW(), NOW(), 'new_user', '1010949', 0.4795, 'ONE_U'),
(NOW(), NOW(), 'new_user', '1012107', 0.4794, 'ONE_U'),
(NOW(), NOW(), 'new_user', '1011573', 0.4788, 'ONE_U'),
(NOW(), NOW(), 'new_user', '1010089', 0.4767, 'ONE_U'),
(NOW(), NOW(), 'new_user', '1011114', 0.4753, 'ONE_U'),
(NOW(), NOW(), 'new_user', '1011242', 0.4746, 'ONE_U'),
(NOW(), NOW(), 'new_user', '1011138', 0.4727, 'ONE_U'),
(NOW(), NOW(), 'new_user', '1011444', 0.4727, 'ONE_U'),
(NOW(), NOW(), 'new_user', '1011297', 0.4693, 'ONE_U'),
(NOW(), NOW(), 'new_user', '1011190', 0.4671, 'ONE_U'),
(NOW(), NOW(), 'new_user', '1010092', 0.4658, 'ONE_U'),
(NOW(), NOW(), 'new_user', '1011195', 0.4642, 'ONE_U'),
(NOW(), NOW(), 'new_user', '1011558', 0.4557, 'ONE_U'),
(NOW(), NOW(), 'new_user', '1010084', 0.4548, 'ONE_U'),
(NOW(), NOW(), 'new_user', '1011722', 0.4528, 'ONE_U'),
(NOW(), NOW(), 'new_user', '1012157', 0.4325, 'ONE_U'),
(NOW(), NOW(), 'new_user', '1012382', 0.4313, 'ONE_U'),
(NOW(), NOW(), 'new_user', '1012108', 0.4193, 'ONE_U'),
(NOW(), NOW(), 'new_user', '1011554', 0.419, 'ONE_U'),
(NOW(), NOW(), 'new_user', '1012020', 0.4177, 'ONE_U'),
(NOW(), NOW(), 'new_user', '1011807', 0.3959, 'ONE_U'),
(NOW(), NOW(), 'new_user', '1011951', 0.3662, 'ONE_U'),
(NOW(), NOW(), 'new_user', '1011749', 0.1646, 'ONE_U'),
(NOW(), NOW(), 'new_user', '1011819', 0.1525, 'ONE_U'),
(NOW(), NOW(), 'new_user', '1007422', 0.1509, 'ONE_U'),
(NOW(), NOW(), 'new_user', '1007501', 0.1499, 'ONE_U'),
(NOW(), NOW(), 'new_user', '1007508', 0.146, 'ONE_U'),
(NOW(), NOW(), 'new_user', '1009610', 0.1448, 'ONE_U'),
(NOW(), NOW(), 'new_user', '1008548', 0.144, 'ONE_U'),
(NOW(), NOW(), 'new_user', '1011799', 0.1377, 'ONE_U'),
(NOW(), NOW(), 'new_user', '1009582', 0.1355, 'ONE_U'),
(NOW(), NOW(), 'new_user', '1007391', 0.1318, 'ONE_U'),
(NOW(), NOW(), 'new_user', '1010491', 0.131, 'ONE_U'),
(NOW(), NOW(), 'new_user', '1010129', 0.1289, 'ONE_U'),
(NOW(), NOW(), 'new_user', '1012001', 0.1284, 'ONE_U'),
(NOW(), NOW(), 'new_user', '1007519', 0.1258, 'ONE_U'),
(NOW(), NOW(), 'new_user', '1011235', 0.1254, 'ONE_U'),
(NOW(), NOW(), 'new_user', '1009453', 0.1252, 'ONE_U'),
(NOW(), NOW(), 'new_user', '1011406', 0.1247, 'ONE_U'),
(NOW(), NOW(), 'new_user', '1007767', 0.1244, 'ONE_U'),
(NOW(), NOW(), 'new_user', '1006313', 0.1177, 'ONE_U'),
(NOW(), NOW(), 'new_user', '1011817', 0.1128, 'ONE_U'),
(NOW(), NOW(), 'new_user', '1007386', 0.1108, 'ONE_U'),
(NOW(), NOW(), 'new_user', '1007388', 0.1081, 'ONE_U'),
(NOW(), NOW(), 'new_user', '1008575', 0.1038, 'ONE_U'),
(NOW(), NOW(), 'new_user', '1007378', 0.1021, 'ONE_U'),
(NOW(), NOW(), 'new_user', '1007609', 0.1018, 'ONE_U'),
(NOW(), NOW(), 'new_user', '1007498', 0.1004, 'ONE_U'),
(NOW(), NOW(), 'new_user', '1011938', 0.0998, 'ONE_U'),
(NOW(), NOW(), 'new_user', '1011742', 0.0995, 'ONE_U'),
(NOW(), NOW(), 'new_user', '1007390', 0.0966, 'ONE_U'),
(NOW(), NOW(), 'new_user', '1010999', 0.0957, 'ONE_U'),
(NOW(), NOW(), 'new_user', '1007465', 0.0887, 'ONE_U'),
(NOW(), NOW(), 'new_user', '1009465', 0.0781, 'ONE_U'),
(NOW(), NOW(), 'new_user', '1009618', 0.077, 'ONE_U'),
(NOW(), NOW(), 'new_user', '1009458', 0.0769, 'ONE_U'),
(NOW(), NOW(), 'new_user', '1006202', 0.0749, 'ONE_U'),
(NOW(), NOW(), 'new_user', '1009614', 0.0724, 'ONE_U'),
(NOW(), NOW(), 'new_user', '1010078', 0.0681, 'ONE_U'),
(NOW(), NOW(), 'new_user', '1010998', 0.0664, 'ONE_U'),
(NOW(), NOW(), 'new_user', '1009648', 0.0579, 'ONE_U'),
(NOW(), NOW(), 'new_user', '1011629', 0.0556, 'ONE_U'),
(NOW(), NOW(), 'new_user', '1007305', 0.0553, 'ONE_U'),
(NOW(), NOW(), 'new_user', '1009647', 0.0553, 'ONE_U'),
(NOW(), NOW(), 'new_user', '1010101', 0.049, 'ONE_U'),
(NOW(), NOW(), 'new_user', '1007283', 0.032, 'ONE_U'),
(NOW(), NOW(), 'new_user', '1007535', 0.0313, 'ONE_U'),
(NOW(), NOW(), 'new_user', '1011004', 0.0272, 'ONE_U'),
(NOW(), NOW(), 'new_user', '1010130', 0.0253, 'ONE_U'),
(NOW(), NOW(), 'new_user', '1007409', 0.021, 'ONE_U'),
(NOW(), NOW(), 'new_user', '1007541', 0.0194, 'ONE_U'),
(NOW(), NOW(), 'new_user', '1010133', 0.015, 'ONE_U'),
(NOW(), NOW(), 'new_user', '1010145', 0.0105, 'ONE_U'),
(NOW(), NOW(), 'new_user', '1011061', 0.0089, 'ONE_U'),
(NOW(), NOW(), 'new_user', '1007769', 0.0082, 'ONE_U'),
(NOW(), NOW(), 'new_user', '1007338', 0.0066, 'ONE_U'),
(NOW(), NOW(), 'new_user', '1011238', 0.0063, 'ONE_U'),
(NOW(), NOW(), 'new_user', '1009602', 0.0063, 'ONE_U'),
(NOW(), NOW(), 'new_user', '1007336', 0.0018, 'ONE_U'),
(NOW(), NOW(), 'new_user', '1012133', 0, 'ONE_U'),
(NOW(), NOW(), 'new_user', '1012262', 0, 'ONE_U'),
(NOW(), NOW(), 'new_user', '1012561', 0, 'ONE_U'),
(NOW(), NOW(), 'new_user', '1009385', -0.0201, 'ONE_U'),
(NOW(), NOW(), 'new_user', '1009601', -0.0324, 'ONE_U'),
(NOW(), NOW(), 'new_user', '1007346', -0.0347, 'ONE_U'),
(NOW(), NOW(), 'new_user', '1011721', -0.0441, 'ONE_U'),
(NOW(), NOW(), 'new_user', '1010485', -0.0783, 'ONE_U'),
(NOW(), NOW(), 'new_user', '1011747', -0.161, 'ONE_U'),
(NOW(), NOW(), 'new_user', '1010578', -0.1676, 'ONE_U'),
(NOW(), NOW(), 'new_user', '1012279', -0.2048, 'ONE_U'),
(NOW(), NOW(), 'new_user', '1009394', -0.21, 'ONE_U'),
(NOW(), NOW(), 'new_user', '1007597', -0.2193, 'ONE_U'),
(NOW(), NOW(), 'new_user', '1011948', -0.2231, 'ONE_U'),
(NOW(), NOW(), 'new_user', '1007381', -0.2253, 'ONE_U'),
(NOW(), NOW(), 'new_user', '1012353', -0.2319, 'ONE_U'),
(NOW(), NOW(), 'new_user', '1012349', -0.2335, 'ONE_U'),
(NOW(), NOW(), 'new_user', '1012295', -0.2356, 'ONE_U'),
(NOW(), NOW(), 'new_user', '1012350', -0.2364, 'ONE_U'),
(NOW(), NOW(), 'new_user', '1009958', -0.2378, 'ONE_U'),
(NOW(), NOW(), 'new_user', '1012351', -0.242, 'ONE_U'),
(NOW(), NOW(), 'new_user', '1010760', -0.2449, 'ONE_U'),
(NOW(), NOW(), 'new_user', '1011745', -0.2468, 'ONE_U'),
(NOW(), NOW(), 'new_user', '1011149', -0.2475, 'ONE_U'),
(NOW(), NOW(), 'new_user', '1009337', -0.2481, 'ONE_U'),
(NOW(), NOW(), 'new_user', '1011910', -0.2488, 'ONE_U'),
(NOW(), NOW(), 'new_user', '1009563', -0.2539, 'ONE_U'),
(NOW(), NOW(), 'new_user', '1009972', -0.2568, 'ONE_U'),
(NOW(), NOW(), 'new_user', '1011418', -0.2848, 'ONE_U'),
(NOW(), NOW(), 'new_user', '1012069', -0.2871, 'ONE_U'),
(NOW(), NOW(), 'new_user', '1012000', -0.2906, 'ONE_U'),
(NOW(), NOW(), 'new_user', '1012125', -0.2958, 'ONE_U'),
(NOW(), NOW(), 'new_user', '1009562', -0.3, 'ONE_U'),
(NOW(), NOW(), 'new_user', '1011431', -0.3, 'ONE_U'),
(NOW(), NOW(), 'new_user', '1011846', -0.3, 'ONE_U'),
(NOW(), NOW(), 'new_user', '1012041', -0.3, 'ONE_U'),
(NOW(), NOW(), 'new_user', '1012166', -0.3, 'ONE_U'),
(NOW(), NOW(), 'new_user', '1012167', -0.3, 'ONE_U'),
(NOW(), NOW(), 'new_user', '1012169', -0.3, 'ONE_U'),
(NOW(), NOW(), 'new_user', '1012205', -0.3, 'ONE_U'),
(NOW(), NOW(), 'new_user', '1012290', -0.3, 'ONE_U'),
(NOW(), NOW(), 'new_user', '1012291', -0.3, 'ONE_U'),
(NOW(), NOW(), 'new_user', '1012292', -0.3, 'ONE_U'),
(NOW(), NOW(), 'new_user', '1012294', -0.3, 'ONE_U'),
(NOW(), NOW(), 'new_user', '1012620', -0.3, 'ONE_U'),
(NOW(), NOW(), 'new_user', '1009974', -0.3062, 'ONE_U'),
(NOW(), NOW(), 'new_user', '1010757', -0.3081, 'ONE_U'),
(NOW(), NOW(), 'new_user', '1012070', -0.3106, 'ONE_U'),
(NOW(), NOW(), 'new_user', '1011699', -0.3182, 'ONE_U'),
(NOW(), NOW(), 'new_user', '1009983', -0.3424, 'ONE_U'),
(NOW(), NOW(), 'new_user', '1011719', -0.6408, 'ONE_U'),
(NOW(), NOW(), 'new_user', '1012281', -0.6627, 'ONE_U'),
(NOW(), NOW(), 'new_user', '1012254', -0.6643, 'ONE_U'),
(NOW(), NOW(), 'new_user', '1012255', -0.675, 'ONE_U'),
(NOW(), NOW(), 'new_user', '1009573', -0.6778, 'ONE_U'),
(NOW(), NOW(), 'new_user', '1012256', -0.681, 'ONE_U'),
(NOW(), NOW(), 'new_user', '1012257', -0.6832, 'ONE_U'),
(NOW(), NOW(), 'new_user', '1012493', -0.6869, 'ONE_U'),
(NOW(), NOW(), 'new_user', '1012258', -0.6885, 'ONE_U'),
(NOW(), NOW(), 'new_user', '1007481', -0.6923, 'ONE_U'),
(NOW(), NOW(), 'new_user', '1012304', -0.6923, 'ONE_U'),
(NOW(), NOW(), 'new_user', '1012389', -0.7035, 'ONE_U'),
(NOW(), NOW(), 'new_user', '1012479', -0.7049, 'ONE_U'),
(NOW(), NOW(), 'new_user', '1007315', -0.7056, 'ONE_U'),
(NOW(), NOW(), 'new_user', '1007635', -0.7081, 'ONE_U'),
(NOW(), NOW(), 'new_user', '1012263', -0.7127, 'ONE_U'),
(NOW(), NOW(), 'new_user', '1009600', -0.7142, 'ONE_U'),
(NOW(), NOW(), 'new_user', '1012387', -0.7158, 'ONE_U'),
(NOW(), NOW(), 'new_user', '1010131', -0.7205, 'ONE_U'),
(NOW(), NOW(), 'new_user', '1011746', -0.7212, 'ONE_U'),
(NOW(), NOW(), 'new_user', '1012302', -0.7236, 'ONE_U'),
(NOW(), NOW(), 'new_user', '1012390', -0.7251, 'ONE_U'),
(NOW(), NOW(), 'new_user', '1012386', -0.7334, 'ONE_U'),
(NOW(), NOW(), 'new_user', '1012388', -0.737, 'ONE_U'),
(NOW(), NOW(), 'new_user', '1012391', -0.7412, 'ONE_U'),
(NOW(), NOW(), 'new_user', '1012303', -0.742, 'ONE_U'),
(NOW(), NOW(), 'new_user', '1009588', -0.7454, 'ONE_U'),
(NOW(), NOW(), 'new_user', '1012305', -0.746, 'ONE_U'),
(NOW(), NOW(), 'new_user', '1010888', -0.747, 'ONE_U'),
(NOW(), NOW(), 'new_user', '1009617', -0.7527, 'ONE_U'),
(NOW(), NOW(), 'new_user', '1011000', -0.7529, 'ONE_U'),
(NOW(), NOW(), 'new_user', '1012301', -0.7698, 'ONE_U'),
(NOW(), NOW(), 'new_user', '1012123', -0.7701, 'ONE_U'),
(NOW(), NOW(), 'new_user', '1012253', -0.7762, 'ONE_U'),
(NOW(), NOW(), 'new_user', '1006778', -0.7917, 'ONE_U'),
(NOW(), NOW(), 'new_user', '1011911', -0.7933, 'ONE_U'),
(NOW(), NOW(), 'new_user', '1007459', -0.7941, 'ONE_U'),
(NOW(), NOW(), 'new_user', '1011912', -0.7972, 'ONE_U'),
(NOW(), NOW(), 'new_user', '1006776', -0.8, 'ONE_U'),
(NOW(), NOW(), 'new_user', '1006779', -0.8, 'ONE_U'),
(NOW(), NOW(), 'new_user', '1006765', -0.8, 'ONE_U'),
(NOW(), NOW(), 'new_user', '1006768', -0.8, 'ONE_U'),
(NOW(), NOW(), 'new_user', '1006772', -0.8, 'ONE_U'),
(NOW(), NOW(), 'new_user', '1006775', -0.8, 'ONE_U'),
(NOW(), NOW(), 'new_user', '1009559', -0.8, 'ONE_U'),
(NOW(), NOW(), 'new_user', '1011795', -0.8, 'ONE_U'),
(NOW(), NOW(), 'new_user', '1012260', -0.8, 'ONE_U'),
(NOW(), NOW(), 'new_user', '1012261', -0.8, 'ONE_U'),
(NOW(), NOW(), 'new_user', '1012284', -0.8, 'ONE_U'),
(NOW(), NOW(), 'new_user', '1012306', -0.8, 'ONE_U'),
(NOW(), NOW(), 'new_user', '1012822', -0.8, 'ONE_U'),
(NOW(), NOW(), 'new_user', '1012823', -0.8, 'ONE_U'),
(NOW(), NOW(), 'new_user', '1012824', -0.8, 'ONE_U'),
(NOW(), NOW(), 'new_user', '1012825', -0.8, 'ONE_U'),
(NOW(), NOW(), 'new_user', '1012826', -0.8, 'ONE_U'),
(NOW(), NOW(), 'new_user', '1011003', -0.8054, 'ONE_U'),
(NOW(), NOW(), 'new_user', '1009571', -0.9243, 'ONE_U');</t>
  </si>
  <si>
    <t>[VCM][Prod] Chạy script update thông tin giá bán của voucher 25/10/2025</t>
  </si>
  <si>
    <t>2025-10-25T22:13:32.159+0700</t>
  </si>
  <si>
    <t>2025-10-25T23:35:03.971+0700</t>
  </si>
  <si>
    <t>Nhờ team DBA chạy giúp script update giá voucher với thông tin sau: IP: 172.31.1.41 Database:  vincart_mm_product SCript trong attach file Thời gian thực hiện: 23h 25/10/2023</t>
  </si>
  <si>
    <t>[OMC][PROD] Chạy câu lệnh SQL GSM ngày 25/10</t>
  </si>
  <si>
    <t>2025-10-25T20:34:50.028+0700</t>
  </si>
  <si>
    <t>2025-10-25T20:35:06.893+0700</t>
  </si>
  <si>
    <t>Dear team DBA, Nhờ team hỗ trợ chạy câu lênh SQL dưới đây ạ Issuse:  https://chat.google.com/room/AAAAH-v7fB4/uAOLRZPId0w/uAOLRZPId0w?cls=10 Thông tin DB: Project: vincart-prod
IP: 172.31.1.41
DB name: booking_transportation Câu lệnh SQL: START TRANSACTION;
UPDATE `trips`
SET `status` = 'FINISHED', `previous_status` = 'JOURNEY'
WHERE `id` = 109765;
COMMIT;</t>
  </si>
  <si>
    <t>Support cập nhật thông tin booking</t>
  </si>
  <si>
    <t>2025-10-25T16:56:23.215+0700</t>
  </si>
  <si>
    <t>2025-10-25T16:56:30.333+0700</t>
  </si>
  <si>
    <t>website</t>
  </si>
  <si>
    <t>Dear team,  Nhờ team cập nhật thông tin booking sau theo thông tin cập nhật của khách. update onehs_user_usecase.ekyc_user_information SET full_name = ‘Đào Văn Trưng’ where id = 2857; update onehs_transaction.basic_profiles set full_name = ‘Đào Văn Trưng’ where id = ‘a1a40ff6-84f2-44de-9dd7-b8d2be767baa’; Thanks Team</t>
  </si>
  <si>
    <t>[PROD] [VCM]  Release golive 25/10</t>
  </si>
  <si>
    <t>2025-10-25T10:08:15.288+0700</t>
  </si>
  <si>
    <t>2025-10-25T22:42:48.993+0700</t>
  </si>
  <si>
    <t>Dear Dương, Nhờ em chạy script sql cho đợt golvie 25/10/2025. Thời gian dự kiến:  22:00 25/10/225 Thông tin DB MySQL: IP: 172.31.4.9
Database name: ecom_promotion ALTER TABLE `campaigns`
    ADD COLUMN `rule_config_form` varchar(50) DEFAULT NULL;
update campaigns
set rule_config_form = 'RULE'
where channels like '%TCBM%'
  and campaigns.type = 'FLASHSALE'
  and exists (select 1
              from campaign_rule cr
              where cr.campaign_id = campaigns.id);
update campaigns
set rule_config_form = 'SEGMENT'
where channels like '%ONEU%'
  and campaigns.type = 'FLASHSALE'
  and exists (select 1 from campaign_segment cs where cs.campaign_id = campaigns.id);
;
create index campaign_segment_campaign_id_index
    on campaign_segment (campaign_id);</t>
  </si>
  <si>
    <t>[OMD TMS][Prod] Purge dữ liệu bảng rest2 access log trên database Oracle DB định kì tháng 10/2025</t>
  </si>
  <si>
    <t>2025-10-24T23:23:18.407+0700</t>
  </si>
  <si>
    <t>2025-10-24T23:35:50.953+0700</t>
  </si>
  <si>
    <t>Theo kế hoạch maintain hệ thống OMD TMS chi tiết tại   : Purge dữ liệu bảng  t1_rest2_access_logs  trên database Oracle DB, điều kiện các bản ghi tạo trước ngày 24/09/2025 (retain 1 months) Xóa bằng query theo khoảng thời gian mỗi lần 1 ngày vào ban ngày, và có thể 10 ngày 1 lần vào ban đêm tùy vào lượng archived log sinh ra nhiều ít -- Query xóa ngày 22-09-2025
delete from BYTM_PROD.t1_rest2_access_logs 
  where created_time &gt;= to_date('2025-09-22 00:00:00', 'YYYY-MM-DD HH24:MI:SS') 
  and created_time &lt;= to_date('2025-09-22 23:59:59', 'YYYY-MM-DD HH24:MI:SS'); Khoảng thời gian: các bản ghi tạo trước ngày 24/09/2025 (retain 1 months)</t>
  </si>
  <si>
    <t>Revoke role drop/truncte account omre cbp service</t>
  </si>
  <si>
    <t>2025-10-24T17:15:24.043+0700</t>
  </si>
  <si>
    <t>2025-12-15T08:57:06.351+0700</t>
  </si>
  <si>
    <t>Revoke role drop/truncte account omre cbp service ( granted &gt; due date: 15/11)</t>
  </si>
  <si>
    <t>2025-10-24T17:09:54.641+0700</t>
  </si>
  <si>
    <t>2025-10-24T17:10:48.670+0700</t>
  </si>
  <si>
    <t>Dear anh Dương,  Các dữ liệu của bảng  d_label  và  f_customer_label   trong database  dp_omc_semantic_omc_bsi_cdp  đang được cùng maintain bởi team DP và MTP.  Trong đó MTP sẽ quản lí create/update/delete các label cho logic riêng của MTP + dữ liệu bên bảng  f_customer_label  tương ứng. Những label MTP tự quản lí này hoàn toàn không liên quan đến các label của DP.  (label của MTP thuộc 2 category riêng là  mtp_custom  và  mtp_upload ) Do phát triển thêm 1 số tính năng, bên em muốn request thêm quyền DELETE trên 2 bảng  d_label  và  f_customer_label  để delete các data do MTP quản lí Thông tin request: URL:  tidb.int.onemount.dev:4000 Schema:  dp_omc_semantic_omc_bsi_cdp Username:  mtp_dp_omc_semantic_omc_bsi_cdp Permission:  DELETE Table:  d_label  +  f_customer_label</t>
  </si>
  <si>
    <t>[OMRE][CBP][PROD] Mở thêm quyền cho User để chạy migration.</t>
  </si>
  <si>
    <t>2025-10-24T16:47:59.062+0700</t>
  </si>
  <si>
    <t>2025-10-24T17:49:38.391+0700</t>
  </si>
  <si>
    <t>Dear sếp  @Nguyễn Văn Duy   Để tăng tốc quá trình golive, với số lượng service lên đồng loạt nhiều, A/e dev CBP kính nhờ sếp mở thêm quyền cho các User(Drop/truncate) để chạy service Migration và làm sạch dữ liệu trước khi golive chính thức. Quyền này apply đến hết ngày 15/11. Sau ngày trên ae sẽ tuân thủ theo rule của OM. Cảm ơn anh! cc: sếp  @Nguyễn Minh Khuê   @Đặng Văn Nam   No Service name Schema and user name 1 activity omre_cbp_activity 2 agent-channel omre_cbp_agent_channel 3 agent-core omre_cbp_agent_core 4 audit-log omre_cbp_audit_log 5 calendar omre_cbp_calendar 6 campaign omre_cbp_campaign 7 cloud-configuration omre_cbp_cloud_configuration 8     9 collab omre_cbp_collab 10 customer-channel omre_cbp_customer_channel 11 customer-platform omre_cbp_customer_platform 12     13 ops-channel omre_cbp_ops_channel 14 ops-ma-channel omre_cbp_ops_ma_channel 15 partner-gateway omre_cbp_partner_gateway 16 raa-service omre_cbp_raa_service 17 reference-data omre_cbp_reference_data 18 transaction omre_cbp_transaction 19 virtual-tour omre_cbp_virtual_tour 20 CDP omre_cdp_core</t>
  </si>
  <si>
    <t xml:space="preserve">[Production] Kiểm tra thông tin recommendation của user. </t>
  </si>
  <si>
    <t>2025-10-24T16:43:34.306+0700</t>
  </si>
  <si>
    <t>2025-10-24T16:45:48.186+0700</t>
  </si>
  <si>
    <t>Hi anh Dương, Bên em muốn kiểm tra dữ liệu recommendation của user. Nhờ anh chạy giúp em thông tin dưới: IP: vincart-ecom-medium-mysql-master.int.vinid.net:3306 (172.31.4.9)
DB: vincart_rec
Script: SELECT * FROM voucher_recommendation_partition WHERE user_id = '1004573536'</t>
  </si>
  <si>
    <t>[OMD][DP][Kafka][PROD] Hỗ trợ tạo kafka topic cho các bảng TiDB Caresoft</t>
  </si>
  <si>
    <t>2025-10-24T16:37:07.046+0700</t>
  </si>
  <si>
    <t>2025-10-27T12:33:54.493+0700</t>
  </si>
  <si>
    <t>Dear anh  @Trần Trương Dương  và team DBA, Hiện tại, OMD có nhu cầu chuyển luồng migrate dữ liệu Caresoft từ tiDB của CDP về DP sang sử dụng kafka topic để có thể ingest nhằm đảm bảo chất lượng dữ liệu. Nhờ anh Dương tạo kafka topic cho bảng theo thông tin dưới đây ạ. IP Host Schema Table omd-tidb.int.onemount.com:4000 omd_cdp_data_from_ingest caresoft_agent omd-tidb.int.onemount.com:4000 omd_cdp_data_from_ingest caresoft_call omd-tidb.int.onemount.com:4000 omd_cdp_data_from_ingest caresoft_campaign omd-tidb.int.onemount.com:4000 omd_cdp_data_from_ingest caresoft_customer omd-tidb.int.onemount.com:4000 omd_cdp_data_from_ingest caresoft_service omd-tidb.int.onemount.com:4000 omd_cdp_data_from_ingest caresoft_ticket omd-tidb.int.onemount.com:4000 omd_cdp_data_from_ingest caresoft_custom_field omd-tidb.int.onemount.com:4000 omd_cdp_data_from_ingest caresoft_smart_dialer omd-tidb.int.onemount.com:4000 omd_cdp_data_from_ingest caresoft_chat omd-tidb.int.onemount.com:4000 omd_cdp_data_from_ingest caresoft_message omd-tidb.int.onemount.com:4000 omd_cdp_data_from_ingest caresoft_ticket_comment Thanks and regards! cong.do1 cc anh  @Lê Minh Tú   @Lưu Văn Hiếu</t>
  </si>
  <si>
    <t>[PROD] Index table ODS cho dự án OMD Aftersale Campaign</t>
  </si>
  <si>
    <t>2025-10-24T16:29:17.723+0700</t>
  </si>
  <si>
    <t>2025-10-24T17:17:42.440+0700</t>
  </si>
  <si>
    <t>Nhờ team index cho table vb_omd_tracking_gmv_daily, vb_omd_tracking_gmv_monthly trên ODS cho dự án OMD Aftersale Campaign để xây dựng service tính toán cho hệ thống : -- vb_omd_tracking_gmv_daily
CREATE INDEX idx_gmv_daily_date_gtcode ON vb_omd_tracking_gmv_daily (order_date, gt_code);
-- vb_omd_tracking_gmv_monthly
CREATE INDEX idx_gmv_monthly_month_gtcode ON vb_omd_tracking_gmv_monthly (order_month, gt_code);</t>
  </si>
  <si>
    <t>[NON-PROD] Index table ODS cho dự án OMD Aftersale Campaign</t>
  </si>
  <si>
    <t>2025-10-24T16:28:42.874+0700</t>
  </si>
  <si>
    <t>2025-10-24T17:16:37.033+0700</t>
  </si>
  <si>
    <t>Update length data tcb recommendation ở ODS</t>
  </si>
  <si>
    <t>2025-10-24T15:44:27.171+0700</t>
  </si>
  <si>
    <t>2025-10-24T15:45:46.028+0700</t>
  </si>
  <si>
    <t xml:space="preserve">Data:  tcb_voucher_recommendation Dữ liệu trả ra: List voucher recommendation của user, list này có kèm theo điểm nên rất dài. là 1 list json, và có thể update thêm list nếu user có mua thêm sản phẩm Mong muốn: k giới hạn length. ticket cũ:   </t>
  </si>
  <si>
    <t>[OMRE][NON-PROD] tạo mới database nonprod</t>
  </si>
  <si>
    <t>2025-10-24T11:25:49.056+0700</t>
  </si>
  <si>
    <t>2025-10-30T10:41:46.572+0700</t>
  </si>
  <si>
    <t>Repo:  https://gitlab.id.vin/1housing/cbp/apply/backend/listing SAD:    Em chào anh chị, Anh chị tạo giúp em schema cho môi trường non-prod cho service này giúp em với ạ. Tên schema: omre_cbp_listing_qc name:  omre-cbp-mysql8   IP: 172.31.0.67 project: omre-cobroker-np DNS:  omre-cobroker-np--omre-cbp-mysql8.cloudsql.int .</t>
  </si>
  <si>
    <t>[OMC][CDP] Tạo Segment Pilot FnB MVP 1</t>
  </si>
  <si>
    <t>2025-10-24T10:43:38.306+0700</t>
  </si>
  <si>
    <t>2025-10-24T10:43:47.349+0700</t>
  </si>
  <si>
    <t>Dear anh  @Nguyễn Văn Dũng , nhờ anh chạy giúp em script sau: -- DB: tidb.int.onemount.com
-- Schema: dp_omc_semantic_omc_bsi_cdp
INSERT INTO f_customer_label (pk, customer_pk, customer_id, label_cate_code, label_cate_name, label_code, label_name, label_value, row_created_at) VALUES
('9f6f6095c705228969fd50dc590e1a75', 'e89c1f789667921f1e8536deae0b2a03', '7804689', 'ttcn', 'Nhân khẩu học và thông tin cá nhân', 'ttcn_eco_org', 'Nơi làm việc OneMount', 'PILOT_FNB', NOW());
-- DB: 172.31.1.21:3306
-- Schema: mtp_martech_profile
INSERT INTO mtp_martech_profile.mtp_anonymous_profile_segmentation_job
    (`id`, `segmentation_id`, `status`, `hash`, `properties`, `external_properties`, `created_at`, `display_name`, `display_order`)
VALUES
    (
        '88d784e9-819b-4d50-a01a-b7eafc83671a',
        'f83a1b2542cd4e7b9a8c7fd638e2oskj',
        '',
        'cd7f4e2b205234141884aa131c6d3187e86bc4c6d87eeb93f92a17cc62f778a0','{}',
        '{
          "AND": [
            {
              "data_type": "STRING",
              "label_code": "ttcn_eco_org",
              "label_value": "",
              "operator": "",              
              "value_expr": "IS NOT NULL"
            }
          ]
        }',
        '2025-10-02 22:00:00',
        'Pilot FnB MVP 1',
        0
    ); Best regards Dinh Quang Nguyen</t>
  </si>
  <si>
    <t>Khởi dữ liệu kho test SCM_TEST - Demo Masterise</t>
  </si>
  <si>
    <t>2025-10-24T10:06:10.901+0700</t>
  </si>
  <si>
    <t>2025-10-24T23:15:48.130+0700</t>
  </si>
  <si>
    <t>Hi DBA team, Hiện tại nghiệp vụ có nhu cầu mở mới kho SCM_TEST - Demo Masterise,  nhờ team DBA hỗ trợ cập nhật giá trị theo thông tin dưới đây.   Cụm WMS Project : vinid-b2b-platform-prod Instance/IP : main (read-write): 172.31.4.59 Port : 3306 Database : omd_wms_t26 Script : file  omd_wms_t26.sql  trong file đính kèm Cum WES Project : vinid-b2b-platform-prod Instance/IP : main (read-write): 172.31.1.143 Port : 3306 Database : wes_t26 Script : file  wes_t26.sql  trong file đính kèm Câu query đánh giá là có thể ảnh hưởng đến vận hành hệ thống nên mong muốn chạy vào thời gian vận hành thấp điểm (từ 22h-2h sáng).</t>
  </si>
  <si>
    <t>[DFS][DP][Kafka][NON-PROD] Hỗ trợ tạo kafka topic cho db vinpay_saas_tpay_staging</t>
  </si>
  <si>
    <t>2025-10-24T09:33:34.963+0700</t>
  </si>
  <si>
    <t>2025-10-24T16:35:31.501+0700</t>
  </si>
  <si>
    <t>Dear anh Dương,  Phục vụ đẩy dữ liệu xây dựng báo cáo cho TCB. Em cần anh hỗ trợ số yêu cầu sau: Nhờ anh tạo kafka topic cho các bảng sau: DB type: TiDB Host:  tidb.int.onemount.dev Port:  4000 DB:  vinpay_saas_tpay_staging Tables:  tcb_device_history soundbox_notification Cấp quyền read cho user  dataplatform_ingestion Cho chạy TiCDC để dữ liệu của DB  vinpay_saas_tpay_staging  đổ lên kafka topic và chạy bình thường để phục vụ chạy UAT với TCB. (Lần trước đã remove TiCDC changefeed mỗi lần UAT em đều phải chạy migrate lại, việc này khá bất tiện và tốn nhiều effort ạ) Em cảm ơn ạ.</t>
  </si>
  <si>
    <t>[OMRE][CBP][PROD] - Build hạ tầng mongo DB cho Listing</t>
  </si>
  <si>
    <t>2025-10-24T09:10:24.369+0700</t>
  </si>
  <si>
    <t>2025-10-24T15:17:47.578+0700</t>
  </si>
  <si>
    <t>Hi team, Nhờ team hỗ trợ tạo database cho listing-service mt Prod với thông tin như sau:   omre-cbp-prod-shard-00-00.8j11t.mongodb.net:27017
omre-cbp-prod-shard-00-01.8j11t.mongodb.net:27017
omre-cbp-prod-shard-00-02.8j11t.mongodb.net:27017
omre-cbp-prod.8j11t.mongodb.net:27017   Repo:  https://gitlab.id.vin/1housing/cbp/apply/backend/listing SAD:    DB name:  omre_cbp_listing Username:  omre_cbp_listing</t>
  </si>
  <si>
    <t>[UPAY][PROD] Kiểm thử restore (clone sang 1 instance mới) bản backup của DB mysql trên gcloud</t>
  </si>
  <si>
    <t>2025-10-23T17:34:44.701+0700</t>
  </si>
  <si>
    <t>2025-10-23T17:35:02.162+0700</t>
  </si>
  <si>
    <t>Thực hiện Kiểm thử restore (clone sang 1 instance mới) bản backup của DB mysql trên gcloud. Lựa chọn instance để kiểm thử restore:  project: vinpay-prod instance: low-performance Master IP: 172.31.1.149 DNS của master:  vinpay-sql-lp-master.int.vinid.net https://console.cloud.google.com/sql/instances/low-performance/overview?project=vinpay-prod Quá trình thực hiện sẽ phát sinh thêm 1 instance mới, nên nhờ sếp  @Nguyễn Quang Bách  xác nhận giúp dự án. Sau khi test xong quy trình, chụp chiếu ghi nhận thông tin, team sẽ thực hiện bỏ luôn instance mới này.</t>
  </si>
  <si>
    <t>[OMD][WMS] Hỗ trợ cập nhật tên kho cho kho MES_2D_022</t>
  </si>
  <si>
    <t>2025-10-23T16:50:07.510+0700</t>
  </si>
  <si>
    <t>2025-10-23T17:07:31.472+0700</t>
  </si>
  <si>
    <t>Hi DBA team, Hiện tại kho MES_2D_022 cần đổi tên, nhờ team DBA hỗ trợ cập nhật giá trị theo thông tin dưới đây. 1. Cập nhật trên WMS Project : vinid-b2b-platform-prod Instance/IP : main (read-write): 172.31.4.59 Port : 3306 Database : omd_wms_core Query update base_dc bd set bd.dc_name = 'NPP An Thịnh Phát' where bd.dc_code = 'MES_2D_022'; 2. Cập nhật trên WES Project : vinid-b2b-platform-prod Instance/IP : main (read-write): 172.31.1.143 Port : 3306 Database : wes_master update warehouse w set w.name = 'NPP An Thịnh Phát' where w.code = 'MES_2D_022'; Câu query đánh giá là an toàn nên có thể thực hiện cập nhật bất kỳ lúc nào mà không ảnh hưởng đến vận hành hệ thống.</t>
  </si>
  <si>
    <t>2025-10-23T14:25:18.903+0700</t>
  </si>
  <si>
    <t>2025-10-23T18:02:12.797+0700</t>
  </si>
  <si>
    <t>Hi DBA team, Hiện tại có 1 bản ghi trong Database bị lỗi code logic nên cần cập nhật bổ  sung thông tin, nhờ team DBA hỗ trợ cập nhật giá trị theo thông tin dưới đây. Project : vinid-b2b-platform-prod Instance/IP : main (read-write): 172.31.4.59 Port : 3306 Database : omd_wms_thuanphong2 INSERT into wave_inventory_order_item 
(id, wave_order_item_id, product_code, 
batch_id , do_no, do_item_id, 
picked_uom_code, requested_quantity, from_pallet_id, created_date, is_active, dc_code)
select woi.wave_inv_item_id, wii.id, woi.prod_code, 
woi.batch_id, woi.do_no, wii.do_item_id,
woi.picking_uom, woi.trans_qty, woi.from_pallet_id, now(), true, woi.dc_code
from order_item oi
join whse_order_item woi on woi.order_item_id = oi.order_item_id
join wave_order_item wii on wii.do_item_id = oi.order_item_id
join whse_order_hdr woh on woh.whse_order_hdr_id = woi.whse_order_hdr_id
where wii.header_id = 6849 and woh.main_instruction_type = 'PICKING';</t>
  </si>
  <si>
    <t>[UPAY] Update inactive 1 bản ghi bị  trùng</t>
  </si>
  <si>
    <t>2025-10-23T12:23:12.039+0700</t>
  </si>
  <si>
    <t>2025-10-23T14:23:43.409+0700</t>
  </si>
  <si>
    <t>Hi a  @Nguyễn Văn Dũng   nhờ a chạy giúp em ticket sau nhé ạ.  Thông tin database saas_tpay:  pay-tidb.int.onemount.com:4000/saas_tpay Thời gian chạy: Khi ticket được approval UPDATE UNIFIED_STORE SET status = 'INACTIVE' WHERE id = 7489 and merchant_code = '40129447' and tcb_store_id = 'S11438019652003';
UPDATE UNIFIED_TERMINAL SET status = 'INACTIVE' WHERE id = 12699 and merchant_code = '40129447' and tcb_terminal_id = 'T18183769263323';</t>
  </si>
  <si>
    <t>[omd][mdm][np] Xin cấp readonly cho database mdm</t>
  </si>
  <si>
    <t>2025-10-23T12:16:00.053+0700</t>
  </si>
  <si>
    <t>2025-10-23T12:17:28.980+0700</t>
  </si>
  <si>
    <t>Hi anh Dương theo ticket đã tạo này:    nhờ anh tạo giúp em 1 account readonly trên schema đó nhé  cà qc và uat chung 1 tk cũng được anh ạ Em cảm ơn anh nhé!</t>
  </si>
  <si>
    <t>[OMD] [CDP] UPDATE cấu hình ingest worker cho job caresoft customer.approach_channel</t>
  </si>
  <si>
    <t>2025-10-23T12:05:26.493+0700</t>
  </si>
  <si>
    <t>2025-10-23T12:08:43.363+0700</t>
  </si>
  <si>
    <t xml:space="preserve">Dear  @Trần Trương Dương Update giúp cho CDP PROD theo ticket  https://vinid-team.atlassian.net/browse/B2B1D-59137 B1. Thêm fidle vào bảng
    ALTER TABLE omd_cdp_data_from_ingest.caresoft_customer ADD approach_channel varchar(100) NULL;
B2. Cập nhật
UPDATE omd_cdp_orchestration.event
SET ingest_transform_spec='[{"operation":"shift","spec":{"payload":{"contact":{"@":"&amp;1","address":"address","campaign_handler_id":"campaign_handler_id","city_id":"city_id","created_at":"caresoft_created_at","created_from":"created_from","custom_fields":{"*":{"lable":{"GT code":{"@2":{"value":"customer_code_tmp"}}},"lable":{"Kênh tiếp cận":{"@2":{"value":"approach_channel_tmp"}}}}},"district_id":"district_id","email":"email","email2":"email2","gender":"gender","id":"caresoft_customer_id","organization":"organization","organization_id":"organization_id","phone_no":"phone_no","phone_no2":"phone_no2","take_email_at":"take_email_at","take_phone_at":"take_phone_at","updated_at":"caresoft_updated_at","username":"username","zalo_id":"zalo_id"}}}}]'
WHERE code ='CaresoftCustomerEvent';
UPDATE omd_cdp_orchestration.event_relation
SET transform_spec='{"params":[{"jsonPath":"$.caresoft_customer_id","name":"caresoft_customer_id","type":"String"},{"jsonPath":"$.username","name":"username","type":"String"},{"jsonPath":"$.email","name":"email","type":"String"},{"jsonPath":"$.email2","name":"email2","type":"String"},{"jsonPath":"$.phone_no","name":"phone_no","type":"String"},{"jsonPath":"$.phone_no2","name":"phone_no2","type":"String"},{"jsonPath":"$.phone_no3","name":"phone_no3","type":"String"},{"jsonPath":"$.caresoft_created_at","name":"caresoft_created_at","type":"String"},{"jsonPath":"$.caresoft_updated_at","name":"caresoft_updated_at","type":"String"},{"jsonPath":"$.created_from","name":"created_from","type":"String"},{"jsonPath":"$.organization_id","name":"organization_id","type":"String"},{"jsonPath":"$.organization","name":"organization","type":"String"},{"jsonPath":"$.city_id","name":"city_id","type":"String"},{"jsonPath":"$.district_id","name":"district_id","type":"String"},{"jsonPath":"$.address","name":"address","type":"String"},{"jsonPath":"$.gender","name":"gender","type":"String"},{"jsonPath":"$.campaign_handler_id","name":"campaign_handler_id","type":"String"},{"jsonPath":"$.custom_fields","name":"custom_fields","type":"String"},{"jsonPath":"$.follower_id","name":"follower_id","type":"String"},{"jsonPath":"$.take_phone_at","name":"take_phone_at","type":"String"},{"jsonPath":"$.take_email_at","name":"take_email_at","type":"String"},{"jsonPath":"$.customer_code_tmp","name":"customer_code","type":"String"},{"jsonPath":"$.zalo_id","name":"zalo_id","type":"String"},{"jsonPath":"$.approach_channel_tmp","name":"approach_channel","type":"String"}],"parent":"","sqlInsert":"INSERT INTO caresoft_customer (caresoft_customer_id, username, email, email2, phone_no, phone_no2, phone_no3,                                caresoft_created_at, caresoft_updated_at, created_from, organization_id, organization,                                city_id, district_id, address, gender, campaign_handler_id, custom_fields, follower_id,                                take_phone_at, take_email_at, customer_code,created_by, last_modified_by,zalo_id,approach_channel) VALUES (?, ?, ?, ?, ?, ?, ?, ?, ?, ?, ?, ?, ?, ?, ?, ?, ?, ?, ?, ?, ?, ?,''system'',''system'',?,?) ON DUPLICATE KEY UPDATE caresoft_customer_id=VALUES(caresoft_customer_id),                         username=VALUES(username),                         email=VALUES(email),                         email2=VALUES(email2),                         phone_no=VALUES(phone_no),                         phone_no2=VALUES(phone_no2),                         phone_no3=VALUES(phone_no3),                         caresoft_created_at=VALUES(caresoft_created_at),                         caresoft_updated_at=VALUES(caresoft_updated_at),                         created_from=VALUES(created_from),                         organization_id=VALUES(organization_id),                         organization=VALUES(organization),                         city_id=VALUES(city_id),                         district_id=VALUES(district_id),                         address=VALUES(address),                         gender=VALUES(gender),                         campaign_handler_id=VALUES(campaign_handler_id),                         custom_fields=VALUES(custom_fields),                         follower_id=VALUES(follower_id),                         take_phone_at=VALUES(take_phone_at),                         take_email_at=VALUES(take_email_at), customer_code=VALUES(customer_code), zalo_id=VALUES(zalo_id),approach_channel=VALUES(approach_channel)","type":"Table"}'
WHERE id=20003; thanks thầy cc  @Bùi Quang Đại   @Trịnh Trung Thành  </t>
  </si>
  <si>
    <t>Nhờ anh truy vấn dự liệu LitePOS OMS PROD ạ</t>
  </si>
  <si>
    <t>2025-10-23T11:58:07.751+0700</t>
  </si>
  <si>
    <t>2025-10-23T12:04:18.157+0700</t>
  </si>
  <si>
    <t>SELECT * FROM BusinessDeclarationForm WHERE id = 21 Thông tin DB gcp project: omd-pos-prod
instance: omd-pos-commerce (IP: 172.31.1.6)
DB: litepos_oms_prod Em cảm ơn</t>
  </si>
  <si>
    <t>[OMC][Kafka][PROD] Hỗ trợ tạo kafka topic DB vincart_mm_order</t>
  </si>
  <si>
    <t>2025-10-23T10:48:44.174+0700</t>
  </si>
  <si>
    <t>2025-10-23T17:31:18.642+0700</t>
  </si>
  <si>
    <t>Dear anh Linh, Phục vụ xây dựng báo cáo luồng food delivery. Nhờ anh tạo kafka topic cho bảng sau: DB:  vincart_mm_order IP:  172.31.1.41:3306 Table:  order_merchant_fees Em cảm ơn ạ.</t>
  </si>
  <si>
    <t>2025-10-23T10:17:05.532+0700</t>
  </si>
  <si>
    <t>2025-10-23T11:55:04.215+0700</t>
  </si>
  <si>
    <t>Hi DBA team, Hiện tại có 1 bản ghi trong Database bị lỗi code logic nên cần cập nhật bổ  sung thông tin, nhờ team DBA hỗ trợ cập nhật giá trị theo thông tin dưới đây. Project : vinid-b2b-platform-prod Instance/IP : main (read-write): 172.31.4.59 Port : 3306 Database : omd_wms_thuanphong2 INSERT into wave_inventory_order_item 
(id, wave_order_item_id, product_code, 
batch_id , do_no, do_item_id, 
picked_uom_code, requested_quantity, from_pallet_id, created_date, is_active, dc_code)
select woi.wave_inv_item_id, wii.id, woi.prod_code, 
woi.batch_id, woi.do_no, wii.do_item_id,
woi.picking_uom, woi.trans_qty, woi.from_pallet_id, now(), true, woi.dc_code
from order_item oi
join whse_order_item woi on woi.order_item_id = oi.order_item_id
join wave_order_item wii on wii.do_item_id = oi.order_item_id
join whse_order_hdr woh on woh.whse_order_hdr_id = woi.whse_order_hdr_id
where wii.header_id = 15814 and woh.main_instruction_type = 'PICKING';</t>
  </si>
  <si>
    <t>[UPAY] Tác động database stagging</t>
  </si>
  <si>
    <t>2025-10-23T10:10:31.534+0700</t>
  </si>
  <si>
    <t>2025-10-23T10:10:38.191+0700</t>
  </si>
  <si>
    <t>A  @Nguyễn Văn Dũng   chạy giúp em script sau trên môi trường  stagging .  db:  vinpay_saas_tpay_staging domain:  tidb.int.onemount.dev  PORT:  4000 ALTER TABLE SOUNDBOX_NOTIFICATION
    ADD COLUMN CIF        VARCHAR(20) COLLATE utf8mb4_unicode_ci;</t>
  </si>
  <si>
    <t>[PROD] Chạy câu lệnh SQL GSM ngày 23/10</t>
  </si>
  <si>
    <t>2025-10-23T10:06:15.206+0700</t>
  </si>
  <si>
    <t>2025-10-23T10:06:19.342+0700</t>
  </si>
  <si>
    <t>Dear anh Dương, Nhờ anh hỗ trợ team chạy câu lênh SQL dưới đây ạ Issuse:  https://vinid-team.atlassian.net/browse/SH-67126 Thông tin DB: Project: vincart-prod
IP: 172.31.1.41
DB name: booking_transportation Câu lệnh SQL: START TRANSACTION;
UPDATE `trips`
SET `status` = 'CANCELLED', `previous_status` = 'INITIATED'
WHERE `id` IN (11644,117382);
COMMIT;</t>
  </si>
  <si>
    <t>[VinPAY][RnF] [PROD] Xin hỗ trợ update dữ liệu cho database trustsafety_themis</t>
  </si>
  <si>
    <t>2025-10-22T18:13:45.004+0700</t>
  </si>
  <si>
    <t>2025-10-22T18:14:04.218+0700</t>
  </si>
  <si>
    <t>Hi các anh,  Hiện tại theo request của PO bên em cần update thông tin db trường created_at và updated_at của bảng rule,  Em gửi các anh thông tin DB :  host:  172.31.1.195 DB:  trustsafety_themis Câu lệnh :  UPDATE trustsafety_themis.rule SET created_at = '2023-07-02 00:30:33', updated_at = '2023-07-02 00:30:33' WHERE id in (23,24,25, 26,27); Thanks các anh</t>
  </si>
  <si>
    <t xml:space="preserve">[PROD] Tạo index mysql </t>
  </si>
  <si>
    <t>2025-10-22T17:48:34.505+0700</t>
  </si>
  <si>
    <t>2025-10-22T17:48:39.259+0700</t>
  </si>
  <si>
    <t xml:space="preserve">IP:  172.31.1.41 Database:  vincart_mm_order query: ALTER TABLE orders ADD INDEX order_status_idx (status), ALGORITHM=INPLACE, LOCK=NONE; CR:   </t>
  </si>
  <si>
    <t>[QR247][PROD] Cập nhật giao dịch duplicate phục vụ báo cáo đối soát</t>
  </si>
  <si>
    <t>2025-10-22T16:01:54.641+0700</t>
  </si>
  <si>
    <t>2025-10-22T16:02:13.108+0700</t>
  </si>
  <si>
    <t>Dear team DBA, Các anh chạy giúp em script bên dưới để cập nhật lại giao dịch duplicate ạ Thông tin DB:  pay-tidb.int.onemount.com:4000/saas_tpay Script:  UPDATE TRANSACTION_DETAIL SET
merchant_code = 'WINCOMMERCE', merchant_id = 'M11692465447381', merchant_name = 'WINCOMMERCE', store_code = '2B47', store_id = 'S11749093078532', store_name = 'WM Plus TTH 198 Phạm Văn Đồng', terminal_code = '2B47_01', terminal_id='T11749093078539', terminal_name='2B47_01', partner = 'OMEWCM'
WHERE id = '3112783349c345139e94cd87f206ba57'; CR:  https://vinid-team.atlassian.net/servicedesk/customer/portal/15/SH-67097?created=true</t>
  </si>
  <si>
    <t>[PROD] [VCM]  Chạy script SQL migration golive 25/10</t>
  </si>
  <si>
    <t>2025-10-22T14:53:25.231+0700</t>
  </si>
  <si>
    <t>2025-10-25T22:42:15.144+0700</t>
  </si>
  <si>
    <t>Dear Linh, Dương, Nhờ a/e chạy giúp team script sql cho đợt golive 25/10/2015. Thời gian dự kiến là: 22h00 ngày 25/10/2025 Thông tin DB và script bên dưới: IP: 172.31.1.119
Database name: vincart_rec CREATE TABLE IF NOT EXISTS `tcb_voucher_recommendation`
(
    `id`                        INT         NOT NULL PRIMARY KEY AUTO_INCREMENT,
    `created_at`                DATETIME    NOT NULL DEFAULT CURRENT_TIMESTAMP,
    `updated_at`                DATETIME    NOT NULL DEFAULT CURRENT_TIMESTAMP ON UPDATE CURRENT_TIMESTAMP,
    `user_id`                   VARCHAR(50) NOT NULL,
    `list_recommended`          JSON
);
CREATE UNIQUE INDEX tcb_voucher_recommendation_user_id_unique_idx ON `tcb_voucher_recommendation` (`user_id`);
CREATE INDEX tcb_voucher_recommendation_userid_idx ON `tcb_voucher_recommendation` (`user_id`);
CREATE TABLE IF NOT EXISTS `voucher_recommendation_partition`
(
    `id`                        INT         NOT NULL AUTO_INCREMENT,
    `created_at`                DATETIME    NOT NULL DEFAULT CURRENT_TIMESTAMP,
    `updated_at`                DATETIME    NOT NULL DEFAULT CURRENT_TIMESTAMP ON UPDATE CURRENT_TIMESTAMP,
    `user_id`                   VARCHAR(50) NOT NULL,
    `item_id`                   VARCHAR(255) NOT NULL,
    `score`                     DOUBLE NOT NULL,
    `channel`                   VARCHAR(10) NOT NULL,
     PRIMARY KEY (id, created_at)
    );
CREATE UNIQUE INDEX voucher_recommendation_partition_user_id_item_channel_unique_idx ON `voucher_recommendation_partition` (`user_id`,`item_id`,`channel`);
CREATE INDEX voucher_recommendation_partition_userid_channel_idx ON `voucher_recommendation_partition` (`user_id`, `channel`);</t>
  </si>
  <si>
    <t>[VCM] Update ratelimit cho user trong campain ngày 22/10</t>
  </si>
  <si>
    <t>2025-10-22T13:33:43.238+0700</t>
  </si>
  <si>
    <t>2025-10-22T13:33:47.812+0700</t>
  </si>
  <si>
    <t>Hi anh Dũng, Nhờ anh chạy script update danh sách các key với thông  tin dưới đây: IP:  vincart-prod--onevoucher.memstore.int (172.31.0.196) DB: 3 SET vincart:ratelimit:voucher_group:items:total:29:12817243 0 SET vincart:ratelimit:voucher_group:items:total:29:2564038 1 SET vincart:ratelimit:voucher_group:items:total:29:10358019 1 SET vincart:ratelimit:voucher_group:items:total:29:533586 0 SET vincart:ratelimit:voucher_group:items:total:29:157363 1 SET vincart:ratelimit:voucher_group:items:total:29:20489176 0 SET vincart:ratelimit:voucher_group:items:total:29:20443497 0 SET vincart:ratelimit:voucher_group:items:total:29:2945835 0 SET vincart:ratelimit:voucher_group:items:total:29:12964612 0 SET vincart:ratelimit:voucher_group:items:total:29:5422904 1 SET vincart:ratelimit:voucher_group:items:total:29:12908642 0 SET vincart:ratelimit:voucher_group:items:total:29:12468455 1 SET vincart:ratelimit:voucher_group:items:total:29:20092107 0 SET vincart:ratelimit:voucher_group:items:total:29:12142531 1 SET vincart:ratelimit:voucher_group:items:total:29:20293893 0 SET vincart:ratelimit:voucher_group:items:total:29:20600288 1 SET vincart:ratelimit:voucher_group:items:total:29:20483539 0 SET vincart:ratelimit:voucher_group:items:total:29:800040458 0 SET vincart:ratelimit:voucher_group:items:total:29:20612829 0 SET vincart:ratelimit:voucher_group:items:total:29:20589686 0 SET vincart:ratelimit:voucher_group:items:total:29:368264 1 SET vincart:ratelimit:voucher_group:items:total:29:10535461 1 SET vincart:ratelimit:voucher_group:items:total:29:20437700 1 SET vincart:ratelimit:voucher_group:items:total:29:10904732 1 SET vincart:ratelimit:voucher_group:items:total:29:7302044 0 SET vincart:ratelimit:voucher_group:items:total:29:3906847 0 Chạy trước 14h</t>
  </si>
  <si>
    <t>[Unified-Merchant] [Reconcile] Cấu hình merchant nhận báo cáo đối soát Unified Merchant Report</t>
  </si>
  <si>
    <t>2025-10-22T12:30:55.166+0700</t>
  </si>
  <si>
    <t>2025-10-22T13:34:07.176+0700</t>
  </si>
  <si>
    <t>Nhờ các anh DBA chạy script bên dưới, nhằm cấu hình cho merchant Maison nhận file báo cáo đối soát Thông tin DB:  tidb.int.onemount.com:4000/vinidpay_reconciliation Script:  INSERT INTO UNIFILED_MC_CONFIG 
(ID, MERCHANT_ID, STORE_ID, TERMINAL_ID, BANK_ACCOUNT_NUMBER, SERVICE_TYPE, REPORT_FREQUENCY, REPORT_TIME, REPORT_DAY_OF_WEEK, REPORT_DAY_OF_MONTH, REPORT_FORMAT, DELIVERY_CHANEL, DELIVERY_EMAIL, STATUS, CREATED_AT, UPDATED_AT, CREATED_BY, UPDATED_BY, MAX_ROWS, PGP_PUBLIC_KEY_BASE64, PGP_PARTNER_ID, DIRECTORY_FOLDER, MERCHANT_NAME, UNZIP_KEY) 
VALUES (2, null, null, null, '1751036869', 'SMARTPOS', 'Daily', '15:30:00', null, null, 'excel', 'sftp', null, 1, '2025-10-16 11:06:20', '2025-10-21 15:43:08', 'phunm1', 'phunm1', 10000, 'LS0tLS1CRUdJTiBQR1AgUFVCTElDIEtFWSBCTE9DSy0tLS0tCgptRE1FYU50SmFSWUpLd1lCQkFIYVJ3OEJBUWRBSDkrZkIzMlNLVHgvMkpNNWZCby9TMjMwYWJjcG5ZYzdsNGRUCjhkOXFvcEswTTFCSFVDQnJaWGtnVkVOQ0xVMUJTVk5QVGkwek1EQTVNalVnUEd4cFkyVnVjMmx1WjBCdFlXbHoKYjI1eWJXa3VZMjl0UG9pWkJCTVdDZ0JCRmlFRWZpWHptTGRTQVl4eFBBRUFMTVQrTzhjdzBQRUZBbWpiU1drQwpHd01GQ1FXbEJtY0ZDd2tJQndJQ0lnSUdGUW9KQ0FzQ0JCWUNBd0VDSGdjQ0Y0QUFDZ2tRTE1UK084Y3cwUEdmCldRRC9lb2g2eFdMWklUckZFZy83djJ5dEd2NkxrS0taVWRqazRkQm5wSUhsM2JrQS8zc3JaREQ3WkFRSjVmU1oKelhuNU5KbFFTUlROQm9wUVFnOHVJbWJrcytVSHVEZ0VhTnRKYVJJS0t3WUJCQUdYVlFFRkFRRUhRS2dIZEFncQpKbndaOVB6Z3FTV0d5VnltRHRpK1gwWCtoN0NFUHV6VlFhQVZBd0VJQjRoK0JCZ1dDZ0FtRmlFRWZpWHptTGRTCkFZeHhQQUVBTE1UK084Y3cwUEVGQW1qYlNXa0NHd3dGQ1FXbEJtY0FDZ2tRTE1UK084Y3cwUEVhNVFFQWlQYUkKc0hTTnM2TERYVVVPRjk5QnZtbS8vZzMzejdYdmcySnZtWmRNczZBQS8wanlXK0pQSVU4d01TSEdDSGFjMWRyMQplM3Y2YndGRWk1UGNQZ1JibXdBQgo9UlY3UAotLS0tLUVORCBQR1AgUFVCTElDIEtFWSBCTE9DSy0tLS0tCg==', 'licensing@maisonrmi.com', '/maison', 'CTCP MAISON RETAIL', null);</t>
  </si>
  <si>
    <t>[PROD] Chạy câu lệnh SQL GSM ngày 22/10</t>
  </si>
  <si>
    <t>2025-10-22T11:18:00.471+0700</t>
  </si>
  <si>
    <t>2025-10-22T11:20:10.762+0700</t>
  </si>
  <si>
    <t>Dear anh Dương, Nhờ anh hỗ trợ team chạy câu lênh SQL dưới đây ạ Issuse:  https://chat.google.com/room/AAAAH-v7fB4/NhotrASsaMI/NhotrASsaMI?cls=10 Thông tin DB: Project: vincart-prod
IP: 172.31.1.41
DB name: booking_transportation Câu lệnh SQL: START TRANSACTION;
UPDATE `trips`
SET `status` = 'FINISHED', `previous_status` = 'JOURNEY'
WHERE `id` = 109758;
COMMIT;</t>
  </si>
  <si>
    <t>[OMC][CDP] Update segments cho MKT</t>
  </si>
  <si>
    <t>2025-10-22T09:48:21.298+0700</t>
  </si>
  <si>
    <t>2025-10-22T09:48:33.076+0700</t>
  </si>
  <si>
    <t>Dear anh  @Nguyễn Văn Dũng  , nhờ anh chạy giúp em script trong cmt. Best regards Dinh Quang Nguyen</t>
  </si>
  <si>
    <t>[PROD] Chạy câu lệnh SQL phục vụ golive 21/10</t>
  </si>
  <si>
    <t>2025-10-22T09:47:40.555+0700</t>
  </si>
  <si>
    <t>2025-10-22T09:47:58.959+0700</t>
  </si>
  <si>
    <t>Dear anh Dương, Nhờ anh hỗ trợ team chạy câu lệnh SQL với các thông tin dưới đây # E Invoice
# Project: vinid-service-platform-prod
# IP: 172.31.1.102
# DB name: oneu_e_invoice
# SQL:
START TRANSACTION;
CREATE TABLE ServiceVatInfo
(
    id                   BIGINT AUTO_INCREMENT PRIMARY KEY,
    createdAt            TIMESTAMP DEFAULT CURRENT_TIMESTAMP,
    lastModifiedAt       TIMESTAMP DEFAULT CURRENT_TIMESTAMP ON UPDATE CURRENT_TIMESTAMP,
    serviceCode          VARCHAR(25)   NOT NULL,
    vatRate              DECIMAL(5, 2) NOT NULL,
    isCalculatedVAT      BOOLEAN       NOT NULL,
    shippingVatRate      DECIMAL(5, 2) NOT NULL,
    providerCode         VARCHAR(25)   NOT NULL,
    companyName          VARCHAR(500)  NOT NULL,
    companyAddress       VARCHAR(1000) NOT NULL,
    companyTaxCode       VARCHAR(50)   NOT NULL,
    companyPhone         VARCHAR(20)   NOT NULL,
    companyFax           VARCHAR(20),
    companyAccountNumber VARCHAR(50)   NOT NULL,
    companyBankName      VARCHAR(500)  NOT NULL
);
CREATE UNIQUE INDEX idx_service_vat_info_service_code ON ServiceVatInfo (serviceCode);
ALTER TABLE `EInvoiceQueue`
    ADD COLUMN `invoiceReceiver` varchar(20) NULL DEFAULT 'CUSTOMER';
ALTER TABLE `EInvoiceQueue`
    ADD COLUMN `serviceCode` varchar(25) NOT NULL;
UPDATE `EInvoiceQueue` SET `serviceCode` = 'TICKET';
ALTER TABLE `EInvoice`
    ADD COLUMN `invoiceReceiver` varchar(20) NULL DEFAULT 'CUSTOMER';
ALTER TABLE `EInvoice`
    ADD COLUMN `serviceCode` varchar(25) NOT NULL;
UPDATE `EInvoice` SET `serviceCode` = 'TICKET';
CREATE TABLE EventLogs
(
    id             BIGINT AUTO_INCREMENT PRIMARY KEY,
    createdAt      TIMESTAMP DEFAULT CURRENT_TIMESTAMP,
    lastModifiedAt TIMESTAMP DEFAULT CURRENT_TIMESTAMP ON UPDATE CURRENT_TIMESTAMP,
    serviceCode    VARCHAR(25) NOT NULL,
    orderCode      VARCHAR(25) NOT NULL,
    message        JSON        NOT NULL
);
CREATE INDEX idx_event_logs_service_code ON EventLogs (serviceCode);
CREATE INDEX idx_event_logs_order_code ON EventLogs (orderCode);
COMMIT; Các câu lệnh sau chạy lúc 21h ngày 21/10 # Merchant service
# Project: vincart-prod
# IP: 172.31.1.41
# DB name: vincart_mm_merchant
# SQL:
START TRANSACTION;
CREATE TABLE IF NOT EXISTS `merchant_tags`
(
    `id`            INT                NOT NULL AUTO_INCREMENT PRIMARY KEY,
    `created_at`    DATETIME           NOT NULL DEFAULT CURRENT_TIMESTAMP,
    `updated_at`    DATETIME           NOT NULL DEFAULT CURRENT_TIMESTAMP ON UPDATE CURRENT_TIMESTAMP,
    `merchant_code` VARCHAR(25) UNIQUE NOT NULL,
    `merchant_id`   BIGINT UNIQUE      NOT NULL,
    `tags`          TEXT                        DEFAULT NULL,
    `status`        VARCHAR(25)        NOT NULL
);
CREATE UNIQUE INDEX merchant_code_merchant_tags_idx ON merchant_tags (merchant_code);
CREATE TABLE IF NOT EXISTS `merchant_vat_info`
(
    `id`                  INT      NOT NULL AUTO_INCREMENT PRIMARY KEY,
    `created_at`          DATETIME NOT NULL DEFAULT CURRENT_TIMESTAMP,
    `updated_at`          DATETIME NOT NULL DEFAULT CURRENT_TIMESTAMP ON UPDATE CURRENT_TIMESTAMP,
    `buyer_name`          VARCHAR(25)       DEFAULT NULL,
    `merchant_id`         BIGINT   NOT NULL,
    `company_name`        VARCHAR(500)      DEFAULT NULL,
    `tax_code`            VARCHAR(20)       DEFAULT NULL,
    `address`             VARCHAR(500)      DEFAULT NULL,
    `email`               VARCHAR(100)      DEFAULT NULL,
    `verification_status` VARCHAR(20)       DEFAULT NULL,
    `tax_payment_method`  VARCHAR(50)       DEFAULT NULL,
    `created_by`          VARCHAR(50)       DEFAULT NULL,
    `updated_by`          VARCHAR(50)       DEFAULT NULL
);
CREATE UNIQUE INDEX merchant_id_merchant_vat_info_idx ON merchant_vat_info (merchant_id);
ALTER TABLE `merchants`
    ADD COLUMN `merchant_type` VARCHAR(25) NULL DEFAULT NULL;
COMMIT;
# Product service
# Project: vincart-prod
# IP: 172.31.1.41
# DB name: vincart_mm_product
# SQL:
START TRANSACTION;
ALTER TABLE `store_product_groups`
    ADD COLUMN `deleted_at` TIMESTAMP DEFAULT NULL;
create table IF NOT EXISTS `product_stats`
(
    id            bigint auto_increment primary key,
    created_at    TIMESTAMP DEFAULT CURRENT_TIMESTAMP,
    updated_at    TIMESTAMP DEFAULT CURRENT_TIMESTAMP ON UPDATE CURRENT_TIMESTAMP,
    merchant_id   bigint not null,
    store_id      bigint not null,
    product_id    bigint not null,
    variant_id    bigint not null,
    sold_quantity bigint not null
);
create unique index product_stats_variant_id_index on product_stats (variant_id)
create index store_product_group_detail_group_id_index
    on store_product_group_detail (group_id);
create index store_product_group_detail_product_id_index
    on store_product_group_detail (product_id);
COMMIT;
# Order service
# Project: vincart-prod
# IP: 172.31.1.41
# DB name: vincart_mm_order
# SQL:
START TRANSACTION;
ALTER TABLE `order_metas`
    ADD COLUMN `send_mail_count` INT DEFAULT 0;
CREATE TABLE IF NOT EXISTS `fulfillment_item_toppings`
(
    `id`                  INT          NOT NULL AUTO_INCREMENT,
    `created_at`          DATETIME     NOT NULL DEFAULT CURRENT_TIMESTAMP,
    `updated_at`          DATETIME     NOT NULL DEFAULT CURRENT_TIMESTAMP ON UPDATE CURRENT_TIMESTAMP,
    `fulfillment_item_id` BIGINT(20)   NOT NULL,
    `fulfillment_id`      BIGINT(20)   NOT NULL,
    `order_id`            BIGINT(20)   NOT NULL,
    `group_topping_id`    BIGINT(20)   NOT NULL,
    `group_topping_name`  VARCHAR(500) NOT NULL,
    `topping_id`          BIGINT(20)   NOT NULL,
    `topping_name`        VARCHAR(500) NOT NULL,
    `price`               DECIMAL(18, 3)        DEFAULT NULL,
    PRIMARY KEY (`id`)
);
CREATE INDEX idx_fulfillment_id_fulfillment_item_toppings ON `fulfillment_item_toppings` (fulfillment_id);
CREATE INDEX idx_order_id_fulfillment_item_toppings ON `fulfillment_item_toppings` (order_id);
CREATE INDEX idx_fulfillment_item_id_fulfillment_item_toppings ON `fulfillment_item_toppings` (fulfillment_item_id);
ALTER TABLE `shipment_provider_tracking`
    ADD COLUMN `driver` JSON DEFAULT NULL;
ALTER TABLE `order_items` MODIFY COLUMN variant_id bid;
create index shipment_reference_status_created_at_index
    on shipments (reference_status, created_at);
CREATE TABLE IF NOT EXISTS `order_merchant_fees`
(
    `id`              INT            NOT NULL AUTO_INCREMENT,
    `order_id`        INT            NOT NULL,
    `fee_amount`      DECIMAL(18, 3) NOT NULL DEFAULT 0,
    `vat_rate`        DECIMAL(18, 3) NOT NULL DEFAULT 0,
    `discount_amount` DECIMAL(18, 3) NOT NULL DEFAULT 0,
    `vat_amount`      DECIMAL(18, 3) NOT NULL DEFAULT 0,
    `net_amount`      DECIMAL(18, 3) NOT NULL DEFAULT 0,
    `created_at`      DATETIME       NOT NULL DEFAULT CURRENT_TIMESTAMP,
    `updated_at`      DATETIME       NOT NULL DEFAULT CURRENT_TIMESTAMP ON UPDATE CURRENT_TIMESTAMP,
    PRIMARY KEY (`id`),
    UNIQUE INDEX (`order_id`)
);
COMMIT;</t>
  </si>
  <si>
    <t>[PROD] [VCM]  Chạy script SQL migration trạng thái Order</t>
  </si>
  <si>
    <t>2025-10-21T18:00:00.511+0700</t>
  </si>
  <si>
    <t>2025-10-22T11:08:42.234+0700</t>
  </si>
  <si>
    <t>Dear DBA team, Nhờ các anh em support chạy script update trạng thái đơn hàng. Thời gian dự kiến:  Từ 17h:00 21/10/2025 https://vinid-team.atlassian.net/browse/TCW-5712 Thông tin DB Mysql: Database name: vmm-order 
IP: 172.31.1.41 Script gửi attachment bên dưới.</t>
  </si>
  <si>
    <t>[CBP] [PROD] Clean DB omre_cbp_collab do lỗi migration</t>
  </si>
  <si>
    <t>2025-10-21T16:55:19.977+0700</t>
  </si>
  <si>
    <t>2025-10-22T10:40:08.598+0700</t>
  </si>
  <si>
    <t>Nhờ ae DBA, clean giúp db này:  omre_cbp_collab  do quá trình test deploy golive bị fail. Thanks a/e.</t>
  </si>
  <si>
    <t>[OMD] [CDP] UPDATE cấu hình ingest worker cho job caresoft customer</t>
  </si>
  <si>
    <t>2025-10-21T16:45:31.932+0700</t>
  </si>
  <si>
    <t>2025-10-21T16:51:03.631+0700</t>
  </si>
  <si>
    <t xml:space="preserve">Dear  @Trần Trương Dương   Update giúp cho CDP PROD theo ticket  https://vinid-team.atlassian.net/browse/B2B1D-59137 B1. Thêm fidle vào bảng
    ALTER TABLE omd_cdp_data_from_ingest.caresoft_customer ADD zalo_id varchar(100) NULL;
B2. Cập nhật
UPDATE omd_cdp_orchestration.event
SET ingest_transform_spec='[{"operation":"shift","spec":{"payload":{"contact":{"@":"&amp;1","address":"address","campaign_handler_id":"campaign_handler_id","city_id":"city_id","created_at":"caresoft_created_at","created_from":"created_from","custom_fields":{"*":{"lable":{"GT code":{"@2":{"value":"customer_code_tmp"}}}}},"district_id":"district_id","email":"email","email2":"email2","gender":"gender","id":"caresoft_customer_id","organization":"organization","organization_id":"organization_id","phone_no":"phone_no","phone_no2":"phone_no2","take_email_at":"take_email_at","take_phone_at":"take_phone_at","updated_at":"caresoft_updated_at","username":"username","zalo_id":"zalo_id"}}}}]'
WHERE code ='CaresoftCustomerEvent';
UPDATE omd_cdp_orchestration.event_relation
SET transform_spec='{"params":[{"jsonPath":"$.caresoft_customer_id","name":"caresoft_customer_id","type":"String"},{"jsonPath":"$.username","name":"username","type":"String"},{"jsonPath":"$.email","name":"email","type":"String"},{"jsonPath":"$.email2","name":"email2","type":"String"},{"jsonPath":"$.phone_no","name":"phone_no","type":"String"},{"jsonPath":"$.phone_no2","name":"phone_no2","type":"String"},{"jsonPath":"$.phone_no3","name":"phone_no3","type":"String"},{"jsonPath":"$.caresoft_created_at","name":"caresoft_created_at","type":"String"},{"jsonPath":"$.caresoft_updated_at","name":"caresoft_updated_at","type":"String"},{"jsonPath":"$.created_from","name":"created_from","type":"String"},{"jsonPath":"$.organization_id","name":"organization_id","type":"String"},{"jsonPath":"$.organization","name":"organization","type":"String"},{"jsonPath":"$.city_id","name":"city_id","type":"String"},{"jsonPath":"$.district_id","name":"district_id","type":"String"},{"jsonPath":"$.address","name":"address","type":"String"},{"jsonPath":"$.gender","name":"gender","type":"String"},{"jsonPath":"$.campaign_handler_id","name":"campaign_handler_id","type":"String"},{"jsonPath":"$.custom_fields","name":"custom_fields","type":"String"},{"jsonPath":"$.follower_id","name":"follower_id","type":"String"},{"jsonPath":"$.take_phone_at","name":"take_phone_at","type":"String"},{"jsonPath":"$.take_email_at","name":"take_email_at","type":"String"},{"jsonPath":"$.customer_code_tmp","name":"customer_code","type":"String"},{"jsonPath":"$.zalo_id","name":"zalo_id","type":"String"}],"parent":"","sqlInsert":"INSERT INTO caresoft_customer (caresoft_customer_id, username, email, email2, phone_no, phone_no2, phone_no3,                                caresoft_created_at, caresoft_updated_at, created_from, organization_id, organization,                                city_id, district_id, address, gender, campaign_handler_id, custom_fields, follower_id,                                take_phone_at, take_email_at, customer_code,created_by, last_modified_by,zalo_id) VALUES (?, ?, ?, ?, ?, ?, ?, ?, ?, ?, ?, ?, ?, ?, ?, ?, ?, ?, ?, ?, ?, ?,''system'',''system'',?) ON DUPLICATE KEY UPDATE caresoft_customer_id=VALUES(caresoft_customer_id),                         username=VALUES(username),                         email=VALUES(email),                         email2=VALUES(email2),                         phone_no=VALUES(phone_no),                         phone_no2=VALUES(phone_no2),                         phone_no3=VALUES(phone_no3),                         caresoft_created_at=VALUES(caresoft_created_at),                         caresoft_updated_at=VALUES(caresoft_updated_at),                         created_from=VALUES(created_from),                         organization_id=VALUES(organization_id),                         organization=VALUES(organization),                         city_id=VALUES(city_id),                         district_id=VALUES(district_id),                         address=VALUES(address),                         gender=VALUES(gender),                         campaign_handler_id=VALUES(campaign_handler_id),                         custom_fields=VALUES(custom_fields),                         follower_id=VALUES(follower_id),                         take_phone_at=VALUES(take_phone_at),                         take_email_at=VALUES(take_email_at), customer_code=VALUES(customer_code), zalo_id=VALUES(zalo_id)","type":"Table"}'
WHERE id=20003; thanks thầy cc  @Bùi Quang Đại  </t>
  </si>
  <si>
    <t>[OMC][ONEU] Thêm key redis</t>
  </si>
  <si>
    <t>2025-10-21T16:31:23.980+0700</t>
  </si>
  <si>
    <t>2025-10-21T16:31:28.783+0700</t>
  </si>
  <si>
    <t>Dear team Nhờ mọi người set giúp em key sau trên redis ạ key : google:token:StoredCredential:vmm-product-google-drive-user value:  rO0ABXNyADJjb20uZ29vZ2xlLmFwaS5jbGllbnQuYXV0aC5vYXV0aDIuU3RvcmVkQ3JlZGVudGlhbAAAAAAAAAABAgAETAALYWNjZXNzVG9rZW50ABJMamF2YS9sYW5nL1N0cmluZztMABpleHBpcmF0aW9uVGltZU1pbGxpc2Vjb25kc3QAEExqYXZhL2xhbmcvTG9uZztMAARsb2NrdAAhTGphdmEvdXRpbC9jb25jdXJyZW50L2xvY2tzL0xvY2s7TAAMcmVmcmVzaFRva2VucQB+AAF4cHQA/XlhMjkuYTBBUVFfQkRUR1k3OEhRbUpjWmVrY2dxVldKV0dyNkhzZzF0clNxdU5rTkg3MGFybFpDckZSVDB3S3NwcDBqR1dzNWhSN1RJM3UwYnNJTktpYzRNTGJUSmkxdV9wWFhwM21faTdCNjBzSkZfcjd0am9wX1NucUxaYnN6OTQzRGdqZElPX2dwVG1JUjJrdzF1bUV0dWYtS2R5ZFp1Z1BvWTBBNG5EVGdPS09YbGxmcmZJWXhOeEZRckJTTUlWdFNwcWliNE1iSWJnYUNnWUtBU1FTQVJJU0ZRSEdYMk1pbGxLZWhSNnFJUW1Eek9XbGJXcTB1QTAyMDZzcgAOamF2YS5sYW5nLkxvbmc7i+SQzI8j3wIAAUoABXZhbHVleHIAEGphdmEubGFuZy5OdW1iZXKGrJUdC5TgiwIAAHhwAAABmgXOgsxzcgAoamF2YS51dGlsLmNvbmN1cnJlbnQubG9ja3MuUmVlbnRyYW50TG9ja2ZVqCwsyGrrAgABTAAEc3luY3QAL0xqYXZhL3V0aWwvY29uY3VycmVudC9sb2Nrcy9SZWVudHJhbnRMb2NrJFN5bmM7eHBzcgA0amF2YS51dGlsLmNvbmN1cnJlbnQubG9ja3MuUmVlbnRyYW50TG9jayROb25mYWlyU3luY2WIMudTe78LAgAAeHIALWphdmEudXRpbC5jb25jdXJyZW50LmxvY2tzLlJlZW50cmFudExvY2skU3luY7geopSqRFp8AgAAeHIANWphdmEudXRpbC5jb25jdXJyZW50LmxvY2tzLkFic3RyYWN0UXVldWVkU3luY2hyb25pemVyZlWoQ3U/UuMCAAFJAAVzdGF0ZXhyADZqYXZhLnV0aWwuY29uY3VycmVudC5sb2Nrcy5BYnN0cmFjdE93bmFibGVTeW5jaHJvbml6ZXIz36+5rW1vqQIAAHhwAAAAAHA= host : vincart-prod--vmm.memstore.int port : 6379 database : 0 CR:  https://vinid-team.atlassian.net/servicedesk/customer/portal/15/SH-67099?created=true</t>
  </si>
  <si>
    <t>[PROD] Thêm database và table cho Merchant Mini App</t>
  </si>
  <si>
    <t>2025-10-21T15:37:13.145+0700</t>
  </si>
  <si>
    <t>2025-10-21T15:37:38.165+0700</t>
  </si>
  <si>
    <t>Nhờ team add thêm database và table phục vụ golive: Release plan:     CR :  https://vinid-team.atlassian.net/servicedesk/customer/portal/15/SH-67090?created=true Thông tin: Thêm database MySQL: merchant_app Instance ID:  https://console.cloud.google.com/sql/instances/main/databases?project=vinid-service-platform-prod Thêm table: câu lệnh SQL: CREATE TABLE merchant_mappings
(
    `id`               BIGINT       NOT NULL AUTO_INCREMENT PRIMARY KEY,
    `provider_user_id` VARCHAR(127) NOT NULL,
    `provider_name`    VARCHAR(127) NOT NULL,
    `staff_id`         BIGINT                DEFAULT 0,
    `merchant_id`      BIGINT                DEFAULT 0,
    `login_at`         TIMESTAMP    NOT NULL DEFAULT CURRENT_TIMESTAMP,
    `expired_at`       TIMESTAMP    NOT NULL DEFAULT CURRENT_TIMESTAMP,
    `is_logout`        BOOL         NOT NULL,
    `token`            TEXT         NOT NULL,
    `selected_service` VARCHAR(127)          DEFAULT NULL,
    `is_first_login`   BOOL         NOT NULL,
    `extra_data`       TEXT                  DEFAULT NULL,
    `username`         VARCHAR(127)          DEFAULT NULL
);
CREATE INDEX merchant_mappings_provider_idx ON merchant_mappings (provider_name, provider_user_id);
CREATE INDEX merchant_mappings_username_idx ON merchant_mappings (username);
CREATE INDEX merchant_mappings_is_logout_idx ON merchant_mappings (is_logout);  E cảm ơn!</t>
  </si>
  <si>
    <t xml:space="preserve">[UPAY] Tác động database thêm quyền trên ops-platform </t>
  </si>
  <si>
    <t>2025-10-21T15:26:45.428+0700</t>
  </si>
  <si>
    <t>2025-10-21T15:28:31.076+0700</t>
  </si>
  <si>
    <t>a  @Nguyễn Văn Dũng   ơi nhờ a chạy giúp em script sau khi được approval ạ.  Thông tin db: project: vinid-service-platform-prod
instance: common
Master IP: 172.31.1.102
schema: admin_service CR:     Script chạy tác động   INSERT INTO service (created_at, updated_at, created_by, updated_by, name, code)
VALUES (CURRENT_TIMESTAMP, CURRENT_TIMESTAMP, 'InitMigrateJob', 'InitMigrateJob', 'Food Delivery', 'vincart_food_delivery');
SELECT @service_id := id FROM service WHERE code = 'vincart_food_delivery';
INSERT INTO module (name, code, service_id) VALUES('Food Management', 'FoodDelivery_FoodManagement', @service_id);
SET @module_id = LAST_INSERT_ID();
INSERT INTO permission (module, name, code, new_code, new_name, module_id) VALUES ('FoodDelivery_FoodManagement', 'View', 1000, 1000, 'View', @module_id);
INSERT INTO permission (module, name, code, new_code, new_name, module_id) VALUES ('FoodDelivery_FoodManagement', 'Edit', 1002, 1002, 'Edit', @module_id);
INSERT INTO permission (module, name, code, new_code, new_name, module_id) VALUES ('FoodDelivery_FoodManagement', 'Create', 1001, 1001, 'Create', @module_id);
INSERT INTO permission (module, name, code, new_code, new_name, module_id) VALUES ('FoodDelivery_FoodManagement', 'Import', 1005, 1005, 'Import', @module_id);
INSERT INTO permission (module, name, code, new_code, new_name, module_id) VALUES ('FoodDelivery_FoodManagement', 'Export', 1006, 1006, 'Export', @module_id);
SELECT @service_id := id FROM service WHERE code = 'vincart_food_delivery';
INSERT INTO module (name, code, service_id) VALUES('Group Topping Management', 'FoodDelivery_GroupToppingManagement', @service_id);
SET @module_id = LAST_INSERT_ID();
INSERT INTO permission (module, name, code, new_code, new_name, module_id) VALUES ('FoodDelivery_GroupToppingManagement', 'View', 1000, 1000, 'View', @module_id);
INSERT INTO permission (module, name, code, new_code, new_name, module_id) VALUES ('FoodDelivery_GroupToppingManagement', 'Edit', 1002, 1002, 'Edit', @module_id);
INSERT INTO permission (module, name, code, new_code, new_name, module_id) VALUES ('FoodDelivery_GroupToppingManagement', 'Create', 1001, 1001, 'Create', @module_id);
INSERT INTO permission (module, name, code, new_code, new_name, module_id) VALUES ('FoodDelivery_GroupToppingManagement', 'Import', 1005, 1005, 'Import', @module_id);
INSERT INTO permission (module, name, code, new_code, new_name, module_id) VALUES ('FoodDelivery_GroupToppingManagement', 'Export', 1006, 1006, 'Export', @module_id);
SELECT @service_id := id FROM service WHERE code = 'vincart_food_delivery';
INSERT INTO module (name, code, service_id) VALUES('Order List', 'FoodDelivery_Order_List', @service_id);
SET @module_id = LAST_INSERT_ID();
INSERT INTO permission (module, name, code, new_code, new_name, module_id) VALUES ('FoodDelivery_Order_List', 'View', 1000, 1000, 'View', @module_id);
INSERT INTO permission (module, name, code, new_code, new_name, module_id) VALUES ('FoodDelivery_Order_List', 'Edit', 1002, 1002, 'Edit', @module_id);
INSERT INTO permission (module, name, code, new_code, new_name, module_id) VALUES ('FoodDelivery_Order_List', 'Create', 1001, 1001, 'Create', @module_id);
INSERT INTO permission (module, name, code, new_code, new_name, module_id) VALUES ('FoodDelivery_Order_List', 'Import', 1005, 1005, 'Import', @module_id);
INSERT INTO permission (module, name, code, new_code, new_name, module_id) VALUES ('FoodDelivery_Order_List', 'Export', 1006, 1006, 'Export', @module_id);
SELECT @service_id := id FROM service WHERE code = 'vincart_food_delivery';
INSERT INTO module (name, code, service_id) VALUES('Menu Management', 'FoodDelivery_MenuManagement', @service_id);
SET @module_id = LAST_INSERT_ID();
INSERT INTO permission (module, name, code, new_code, new_name, module_id) VALUES ('FoodDelivery_MenuManagement', 'View', 1000, 1000, 'View', @module_id);
INSERT INTO permission (module, name, code, new_code, new_name, module_id) VALUES ('FoodDelivery_MenuManagement', 'Edit', 1002, 1002, 'Edit', @module_id);
INSERT INTO permission (module, name, code, new_code, new_name, module_id) VALUES ('FoodDelivery_MenuManagement', 'Create', 1001, 1001, 'Create', @module_id);
INSERT INTO permission (module, name, code, new_code, new_name, module_id) VALUES ('FoodDelivery_MenuManagement', 'Import', 1005, 1005, 'Import', @module_id);
INSERT INTO permission (module, name, code, new_code, new_name, module_id) VALUES ('FoodDelivery_MenuManagement', 'Export', 1006, 1006, 'Export', @module_id);
SELECT @service_id := id FROM service WHERE code = 'vincart_food_delivery';
INSERT INTO module (name, code, service_id) VALUES('Collection Store', 'FoodDelivery_CollectionStore', @service_id);
SET @module_id = LAST_INSERT_ID();
INSERT INTO permission (module, name, code, new_code, new_name, module_id) VALUES ('FoodDelivery_CollectionStore', 'View', 1000, 1000, 'View', @module_id);
INSERT INTO permission (module, name, code, new_code, new_name, module_id) VALUES ('FoodDelivery_CollectionStore', 'Edit', 1002, 1002, 'Edit', @module_id);
INSERT INTO permission (module, name, code, new_code, new_name, module_id) VALUES ('FoodDelivery_CollectionStore', 'Create', 1001, 1001, 'Create', @module_id);
INSERT INTO permission (module, name, code, new_code, new_name, module_id) VALUES ('FoodDelivery_CollectionStore', 'Import', 1005, 1005, 'Import', @module_id);
INSERT INTO permission (module, name, code, new_code, new_name, module_id) VALUES ('FoodDelivery_CollectionStore', 'Export', 1006, 1006, 'Export', @module_id); SELECT @service_id := id FROM service WHERE code = 'merchant_management';
INSERT INTO module (name, code, service_id) VALUES('Merchant Tag', 'Vcart_MerchantManagement_MerchantTag', @service_id);
SET @module_id = LAST_INSERT_ID();
INSERT INTO permission (module, name, code, new_code, new_name, module_id) VALUES ('Vcart_MerchantManagement_MerchantTag', 'View', 1000, 1000, 'View', @module_id);
INSERT INTO permission (module, name, code, new_code, new_name, module_id) VALUES ('Vcart_MerchantManagement_MerchantTag', 'Edit', 1002, 1002, 'Edit', @module_id);</t>
  </si>
  <si>
    <t>[UPAY] Tạo tài khoản có quyền đọc đến cụm vinid-service-platform-prod</t>
  </si>
  <si>
    <t>2025-10-21T12:18:00.365+0700</t>
  </si>
  <si>
    <t>2025-10-21T12:18:28.881+0700</t>
  </si>
  <si>
    <t>a  @Nguyễn Văn Dũng   ơi em có ticket order tạo 1 có quyền đọc với db  vinid-service-platform-prod  với mục đích để check thông tin config ops-admin project: vinid-service-platform-prod
instance: common
Master IP: 172.31.1.102
slave IP: 172.31.1.181</t>
  </si>
  <si>
    <t>[Outsystems][non-prod][Expense] Xin quyền để migrate data cho các tenant</t>
  </si>
  <si>
    <t>2025-10-21T11:51:33.225+0700</t>
  </si>
  <si>
    <t>2025-10-21T12:14:00.254+0700</t>
  </si>
  <si>
    <t>Expense</t>
  </si>
  <si>
    <t>Hi DBA team, Expense đang có nhu cầu migrate dữ liệu giữa các tenant,  cần cấp quyền:  read/write/update/create/insert và có thể tạo được bảng tạm database ip:  172.31.0.38 database name:  outsystems_DEV user:  OSRUNTIME_DEV</t>
  </si>
  <si>
    <t>[DBA-CRM] Clone PROD to DEV system (Postgres 16)</t>
  </si>
  <si>
    <t>2025-10-21T09:54:44.676+0700</t>
  </si>
  <si>
    <t>2025-10-27T11:39:15.439+0700</t>
  </si>
  <si>
    <t>Tiến hành migrate sandbox để chuẩn bị move db go on aws</t>
  </si>
  <si>
    <t>[DBA-SAP] Build SAP DEV SYSTEM</t>
  </si>
  <si>
    <t>2025-10-21T09:53:15.249+0700</t>
  </si>
  <si>
    <t>2025-10-27T11:39:19.609+0700</t>
  </si>
  <si>
    <t>Build sap dev and import schema DEv</t>
  </si>
  <si>
    <t>[OMC][PROD] scale up TCB campaign 10/2025</t>
  </si>
  <si>
    <t>2025-10-21T09:39:00.476+0700</t>
  </si>
  <si>
    <t>2025-11-06T09:12:59.953+0700</t>
  </si>
  <si>
    <t>CR:      Thời gian thực hiện:  sau 1h 14/10/2025, và sau 1h 28/10/2025  Chi tiết như sau:   https://console.cloud.google.com/sql/instances/main/overview?project=vincart-prod 172.31.1.41 Từ: 12 CPUs 32 GB RAM , innodb_buffer_pool_size  18874368000 Lên: 16 CPUs 46 GB RAM, innodb_buffer_pool_size  24874368000   https://console.cloud.google.com/sql/instances/ecom-medium-mysql/overview?project=vincart-prod 172.31.4.9 Từ: 4 vCPUs 8 GB RAM , innodb_buffer_pool_size   3221225472 Lên: 8 CPUs 16 GB RAM, innodb_buffer_pool_size  10037418240 nêú tăng trước rôì thì Giữ nguyên cấu hình   https://console.cloud.google.com/sql/instances/oneloyalty/overview?project=vinid-loyalty-prod 172.31.7.6 Từ: 4 CPUs          8 GB RAM , innodb_buffer_pool_size   4294967296 Lên: 8 CPUs        16 GB RAM , innodb_buffer_pool_size   10037418240  nêú tăng trước rôì thì Giữ nguyên cấu hình   https://console.cloud.google.com/sql/instances/onevoucher/overview?project=vinid-loyalty-prod 172.31.4.126 Từ: 4 CPUs          16 GB RAM , innodb_buffer_pool_size  8589934592 Lên: 8 CPUs        24 GB RAM , innodb_buffer_pool_size  12884901888  nêú tăng trước rôì thì Giữ nguyên cấu hình   https://console.cloud.google.com/sql/instances/voucher-distribution/overview?project=vinid-loyalty-prod 172.31.4.82 Từ: 2 CPUs          8 GB RAM , innodb_buffer_pool_size   4294967283 Lên: 8 CPUs        16 GB RAM , innodb_buffer_pool_size  10037418240  nêú tăng trước rôì thì Giữ nguyên cấu hình   https://console.cloud.google.com/sql/instances/postgres-01/overview?authuser=0&amp;project=vinid-service-platform-prod 172.31.7.11 4 CPUs          16 GB RAM (dự án có yêu cầu khi hạ cấu hình thì vẫn giữ 4 CPUs để chạy hàng ngày)  nêú tăng trước rôì thì Giữ nguyên cấu hình   https://console.cloud.google.com/sql/instances/omc-authentication/overview?project=omc-base-platform-prod 172.31.3.40 Từ: 4 CPUs          8 GB RAM Giữ nguyên cấu hình (ko tăng)</t>
  </si>
  <si>
    <t>[OMC][PROD] scale up TCB campaign 14/10/2025</t>
  </si>
  <si>
    <t>2025-10-21T09:38:15.903+0700</t>
  </si>
  <si>
    <t>2025-10-21T09:41:05.983+0700</t>
  </si>
  <si>
    <t>Description CR:    Thời gian thực hiện:  sau 1h 14/10/2025  Chi tiết như sau:   https://console.cloud.google.com/sql/instances/main/overview?project=vincart-prod 172.31.1.41 Từ: 12 CPUs 32 GB RAM , innodb_buffer_pool_size  12884901888 Lên: 16 CPUs 46 GB RAM, innodb_buffer_pool_size  18874368000   https://console.cloud.google.com/sql/instances/ecom-medium-mysql/overview?project=vincart-prod 172.31.4.9 Từ: 4 vCPUs 8 GB RAM , innodb_buffer_pool_size   3221225472 Lên: 8 CPUs 16 GB RAM, innodb_buffer_pool_size  10037418240 nêú tăng trước rôì thì Giữ nguyên cấu hình   https://console.cloud.google.com/sql/instances/oneloyalty/overview?project=vinid-loyalty-prod 172.31.7.6 Từ: 4 CPUs          8 GB RAM , innodb_buffer_pool_size   4294967296 Lên: 8 CPUs        16 GB RAM , innodb_buffer_pool_size   10037418240  nêú tăng trước rôì thì Giữ nguyên cấu hình   https://console.cloud.google.com/sql/instances/onevoucher/overview?project=vinid-loyalty-prod 172.31.4.126 Từ: 4 CPUs          16 GB RAM , innodb_buffer_pool_size  8589934592 Lên: 8 CPUs        24 GB RAM , innodb_buffer_pool_size  12884901888  nêú tăng trước rôì thì Giữ nguyên cấu hình   https://console.cloud.google.com/sql/instances/voucher-distribution/overview?project=vinid-loyalty-prod 172.31.4.82 Từ: 2 CPUs          8 GB RAM , innodb_buffer_pool_size   4294967283 Lên: 8 CPUs        16 GB RAM , innodb_buffer_pool_size  10037418240  nêú tăng trước rôì thì Giữ nguyên cấu hình   https://console.cloud.google.com/sql/instances/postgres-01/overview?authuser=0&amp;project=vinid-service-platform-prod 172.31.7.11 4 CPUs          8 GB RAM (dự án có yêu cầu khi hạ cấu hình thì vẫn giữ 4 CPUs để chạy hàng ngày)  nêú tăng trước rôì thì Giữ nguyên cấu hình   https://console.cloud.google.com/sql/instances/omc-authentication/overview?project=omc-base-platform-prod 172.31.3.40 Từ: 4 CPUs          8 GB RAM Giữ nguyên cấu hình (ko tăng)</t>
  </si>
  <si>
    <t xml:space="preserve">[OMC][PS2][OneVoucher][PROD] Giảm cấu hình DB onevoucher </t>
  </si>
  <si>
    <t>2025-10-21T01:03:32.186+0700</t>
  </si>
  <si>
    <t>2025-10-21T01:15:50.512+0700</t>
  </si>
  <si>
    <t>Thực hiện nâng cấu hình theo CR :  Chi tiết như sau : Instance name : onevoucher Instance IP : 172.31.4.126 Cấu hình từ 16 CPUs	64 GB RAM , innodb_buffer_pool_size  36000000000 xuống 4 CPUs 16 GB RAM , innodb_buffer_pool_size  8589934592 Thời gian thực hiện:   1h 21/10/2025 Em cảm ơn.</t>
  </si>
  <si>
    <t xml:space="preserve">[OMC][PS2][OneVoucher][PROD] Nâng cấu hình DB onevoucher </t>
  </si>
  <si>
    <t>2025-10-20T20:01:54.756+0700</t>
  </si>
  <si>
    <t>2025-10-20T20:02:04.430+0700</t>
  </si>
  <si>
    <t>Thực hiện nâng cấu hình theo CR :    Chi tiết như sau :  Instance name : onevoucher Instance IP : 172.31.4.126 Cấu hình từ 4 CPUs 16 GB RAM , innodb_buffer_pool_size  8589934592 lên 16 CPUs	32 GB RAM , innodb_buffer_pool_size  18874368000 Thời gian thực hiện:  22h 19/10/2025 Em cảm ơn.</t>
  </si>
  <si>
    <t>[OMRE][CBP][PROD] - Build hạ tầng mongo DB cho CMA</t>
  </si>
  <si>
    <t>2025-10-20T19:57:07.969+0700</t>
  </si>
  <si>
    <t>2025-10-20T19:58:02.959+0700</t>
  </si>
  <si>
    <t>Hi team,  Nhờ team hỗ trợ tạo database cho CMA-service mt Prod với thông tin như sau: omre-cbp-prod-shard-00-00.8j11t.mongodb.net:27017 omre-cbp-prod-shard-00-01.8j11t.mongodb.net:27017   omre-cbp-prod-shard-00-02.8j11t.mongodb.net:27017   omre-cbp-prod.8j11t.mongodb.net:27017    Repo:  https://gitlab.id.vin/1housing/cbp/apply/backend/valuation/cma    SAD:    DB name: omre_cbp_cma  Username: omre_cbp_cma</t>
  </si>
  <si>
    <t>[OMD][NonProd] Phân quyền read cho user dataplatform_ingestion vào host 172.31.1.12</t>
  </si>
  <si>
    <t>2025-10-20T19:14:58.636+0700</t>
  </si>
  <si>
    <t>2025-10-20T19:36:01.725+0700</t>
  </si>
  <si>
    <t>Dear teamDBA, hiện tại OMD có nhu cầu xin quyền read ở host 172.31.12 để thực hiện đọc dữ liệu và kéo dữ liệu ở môi trường nonprod về Data Platform, nhờ anh Linh hỗ trợ  grant thêm quyền cho user dataplatform_ingestion select được theo thông tin sau với ạ Host: 172.31.1.12 Schema:  camunda_bpm_qc User: dataplatform_ingestion Thanks and regards! cong.do1</t>
  </si>
  <si>
    <t>[OMRE][Kafka][NonPROD] Tạo topic kafka kéo các bảng UAT CBP về DP Non PROD (phần 3)</t>
  </si>
  <si>
    <t>2025-10-20T18:21:17.229+0700</t>
  </si>
  <si>
    <t>2025-10-20T20:24:44.535+0700</t>
  </si>
  <si>
    <t>Team CDP đang có nhu cầu kéo dữ liệu từ CBP UAT về DP Non PROD phục vụ việc build model. Nhờ team DBA hỗ trợ tạo topic theo danh sách sau: Database:  omre_cbp_agent_core_uat Môi trường: Non PROD. Host: 172.31.0.67 Port: 3306 Tables: + command_templates
+ commands
+ master_agents
+ shedlock
+ agents
+ app_configs
+ econtracts
+ email_verify
+ email_verify_history
+ task_templates Database:  omre_cbp_transaction_uat Môi trường: Non PROD. Host: 172.31.0.67 Port: 3306 Tables: + payment_requests
+ transactions
+ fee_templates
+ gsm_configuration
+ gsm_transaction
+ income_ledgers
+ job_logs
+ shedlock
+ income_fees Em xin cảm ơn.</t>
  </si>
  <si>
    <t>Team OMS y/c Phân thêm quyền query vào bảng customerunit2addressinfo trong DB "tidb_ods"."omd_vinid_b2b_platform_prod_b2b_commerce_b2b_user_prod"</t>
  </si>
  <si>
    <t>2025-10-20T18:20:11.549+0700</t>
  </si>
  <si>
    <t>2025-10-21T09:44:12.011+0700</t>
  </si>
  <si>
    <t>Team OMS y/c Phân thêm quyền query vào bảng customerunit2addressinfo trong DB "tidb_ods"."omd_vinid_b2b_platform_prod_b2b_commerce_b2b_user_prod" Bảng customerunit2addressinfo là bảng trung gian của 2 bảng  trong ticket đã xin trước đó ạ    Account: oms_taskbox_readonly</t>
  </si>
  <si>
    <t>2025-10-20T18:19:41.058+0700</t>
  </si>
  <si>
    <t>2025-10-21T09:44:16.393+0700</t>
  </si>
  <si>
    <t>2025-10-20T18:15:09.765+0700</t>
  </si>
  <si>
    <t>2025-10-23T14:24:12.836+0700</t>
  </si>
  <si>
    <t>A  @Nguyễn Văn Dũng   chạy giúp em script sau trên môi trường  stagging .  db:  vinpay_saas_tpay_staging domain:  tidb.int.onemount.dev  PORT:  4000 ALTER TABLE SOUNDBOX_NOTIFICATION
    ADD COLUMN NOTIFY_DATE        TIMESTAMP(3),
    ADD COLUMN VIRTUAL_ACCOUNT_NO VARCHAR(20) COLLATE utf8mb4_unicode_ci,
    ADD COLUMN PAYMENT_NARRATIVE  VARCHAR(600) COLLATE utf8mb4_unicode_ci;
ALTER TABLE SOUNDBOX_NOTIFICATION
ADD INDEX (NOTIFY_DATE)</t>
  </si>
  <si>
    <t>2025-10-20T16:43:19.217+0700</t>
  </si>
  <si>
    <t>2025-10-20T16:44:01.750+0700</t>
  </si>
  <si>
    <t>[DBA-SAP] Hỗ trợ tháo replicate trên con cũ để đảm bảo hệ thống DEv tạm chạy ổn định</t>
  </si>
  <si>
    <t>2025-10-20T11:54:56.589+0700</t>
  </si>
  <si>
    <t>2025-10-21T09:52:49.905+0700</t>
  </si>
  <si>
    <t>Tiến hành tắt kết nối và cấu hình replicate cho hệ SAP MAS và MTR để ổn định hệ DEV tạm</t>
  </si>
  <si>
    <t>Tạo lại bảng DB Taskbox PROD</t>
  </si>
  <si>
    <t>2025-10-20T11:27:00.842+0700</t>
  </si>
  <si>
    <t>2025-10-20T11:38:25.339+0700</t>
  </si>
  <si>
    <t>Nhờ anh tạo giúp e bảng sau lên DB PROD của taskbox ạ CREATE TABLE uploadtask (
  id bigint NOT NULL AUTO_INCREMENT,
  createdAt datetime DEFAULT NULL,
  createdBy varchar(255) DEFAULT NULL,
  deleted bit(1) DEFAULT NULL,
  lastModifiedAt datetime DEFAULT NULL,
  lastModifiedBy varchar(255) DEFAULT NULL,
  version int DEFAULT NULL,
  completedAt datetime DEFAULT NULL,
  confirmed bit(1) DEFAULT NULL,
  confirmedBy varchar(255) DEFAULT NULL,
  errorMessage text,
  extension varchar(255) DEFAULT NULL,
  extraData text,
  filename varchar(255) NOT NULL,
  headers text,
  status varchar(255) NOT NULL,
  type varchar(255) NOT NULL,
  file_id bigint DEFAULT NULL,
  store_id bigint DEFAULT NULL,
  PRIMARY KEY (id),
  KEY importTypeIdx (type),
  KEY createdAtIdx (createdAt),
  KEY statusIdx (status),
  KEY FKbsrnppm8a0oqr8gk9pwm1k1d3 (file_id),
  KEY FK42r7r5fmc7ft4uqcjcsdupwjm (store_id),
  CONSTRAINT FK42r7r5fmc7ft4uqcjcsdupwjm FOREIGN KEY (store_id) REFERENCES basestore (id),
  CONSTRAINT FKbsrnppm8a0oqr8gk9pwm1k1d3 FOREIGN KEY (file_id) REFERENCES documentmedia (id)
) ENGINE=InnoDB DEFAULT CHARSET=utf8mb4 COLLATE=utf8mb4_0900_ai_ci; Thông tin DB: prod
jdbc:mysql://onemg-integration-platform-prd--main.cloudsql.int:3306/omd_taskbox
172.31.1.118 Em cảm ơn</t>
  </si>
  <si>
    <t>[UPAY][PROD] Bật HA cho instance CloudSQL</t>
  </si>
  <si>
    <t>2025-10-20T11:25:29.941+0700</t>
  </si>
  <si>
    <t>2025-10-20T11:36:53.686+0700</t>
  </si>
  <si>
    <t xml:space="preserve">Rà soát, thu thập các DB liên quan đến UPAY: Các DB liên quan dịch vụ: --Cổng thanh toán vinpay-sql-onehub-master.int.vinid.net:3306/qrdb vinpay-sql-onehub-master.int.vinid.net:3306/pay_payment_gateway vinpay-sql-hp-master.int.vinid.net:3306/transaction_log – Tra cứu đối soát 172.31.1.133:3306/reconciliation – Hỗ trợ thu hộ chi hộ vinpay-sql-lp-master.int.vinid.net:3306/ops_pay_service   Hiện tại đang có 2 instance CloudSQL là  low-performance  và  reconciliation  là chưa enable HA. Cần Thực hiện enable HA cho 2 instance này : – Tra cứu đối soát 172.31.1.133:3306/reconciliation – Hỗ trợ thu hộ chi hộ vinpay-sql-lp-master.int.vinid.net:3306/ops_pay_service (IP: 172.31.1.149) Quá trình bật HA,  có downtime,  dự kiến 10-15 phút. Chuỗi kết nối vào DB vẫn giữ nguyên, không thay đổi. Các DB có ảnh hưởng, nằm trên instance 172.31.1.133 :   https://console.cloud.google.com/sql/instances/reconciliation/overview?project=vinid-incubator-prod bo bo_accounting bo_accounting_history reconciliation   Các DB có ảnh hưởng, nằm trên instance 172.31.1.149 https://console.cloud.google.com/sql/instances/low-performance/overview?project=vinpay-prod loan_collection_service ops_pay_service ops_risk_service payment_prod payslip pp_name_matching Thời gian thực hiện: 1h ngày 20/10/2025, bật bào trì. CR:   </t>
  </si>
  <si>
    <t>[Merchant-TCB] Hỗ trợ xóa dữ liệu 20251020</t>
  </si>
  <si>
    <t>2025-10-20T11:09:48.805+0700</t>
  </si>
  <si>
    <t>2025-10-20T15:32:07.877+0700</t>
  </si>
  <si>
    <t>Dear team, Nhờ team chạy giúp câu lệnh bên dưới để  xóa   dữ liệu   không hợp lệ ạ. Thông tin database https://console.cloud.google.com/sql/instances/merchant-tcb/overview?inv=1&amp;invt=AbsndA&amp;project=vinid-merchant-prod DB_MYSQL_HOST=172.31.4.108
DB_MYSQL_DATABASE=merchant_service_tcb Câu lệnh -- terminal 01
DELETE FROM tpay_terminal_service WHERE terminal_code IN (SELECT code FROM tpay_terminal WHERE tcb_merchant_code IN ('71749685'));
-- terminal 02
DELETE FROM tpay_request_terminal WHERE tcb_merchant_code IN ('71749685');
-- terminal 03
DELETE FROM tpay_terminal WHERE tcb_merchant_code IN ('71749685');
-- store 01
DELETE FROM tpay_store_service WHERE store_id IN (SELECT id FROM tpay_store WHERE tcb_merchant_code IN ('71749685'));
-- store 02
DELETE FROM tpay_request_store WHERE tcb_merchant_code IN ('71749685');
-- store 03
DELETE FROM tpay_store WHERE tcb_merchant_code IN ('71749685');
-- merchant 01
DELETE FROM tpay_request_merchant WHERE tcb_merchant_code IN ('71749685');
-- merchant 02
DELETE FROM tpay_request_merchant_bank WHERE tcb_merchant_code IN ('71749685');
-- merchant 03
DELETE FROM tpay_merchant WHERE tcb_merchant_code IN ('71749685');</t>
  </si>
  <si>
    <t>[CBP] [PROD] Khởi tạo DB môi trường Prod cho các service của OMRE - CBP</t>
  </si>
  <si>
    <t>2025-10-20T11:01:10.958+0700</t>
  </si>
  <si>
    <t>2025-10-22T10:38:22.196+0700</t>
  </si>
  <si>
    <t>Dear Dương, Nhở Dương tạo các schema môi trường PROD cho các service theo table dưới đây. Thông tin Credential nhờ Dương gửi về cho bạn Devops  @Nguyễn Đức Anh  để thực hiện config. cc:  @Lê Văn Huy   @Đinh Xuân Trung Đức   @Phạm Khắc Hòa   No Service name Schema and user name 1 activity omre_cbp_activity 2 agent-channel omre_cbp_agent_channel 3 agent-core omre_cbp_agent_core 4 audit-log omre_cbp_audit_log 5 calendar omre_cbp_calendar 6 campaign omre_cbp_campaign 7 cloud-configuration omre_cbp_cloud_configuration 8 9 collab omre_cbp_collab 10 customer-channel omre_cbp_customer_channel 11 customer-platform omre_cbp_customer_platform 12 13 ops-channel omre_cbp_ops_channel 14 ops-ma-channel omre_cbp_ops_ma_channel 15 partner-gateway omre_cbp_partner_gateway 16 raa-service omre_cbp_raa_service 17 reference-data omre_cbp_reference_data 18 transaction omre_cbp_transaction 19 virtual-tour omre_cbp_virtual_tour 20 CDP omre_cdp_core Thanks Dương.</t>
  </si>
  <si>
    <t>Setup hệ thống mới SAP lên S3, và cấu hình S3 cho CRM và CS</t>
  </si>
  <si>
    <t>2025-10-20T09:15:36.211+0700</t>
  </si>
  <si>
    <t>2025-10-27T11:39:49.265+0700</t>
  </si>
  <si>
    <t>[PROD] Chạy câu lệnh SQL GSM ngày 19/10</t>
  </si>
  <si>
    <t>2025-10-19T22:30:23.067+0700</t>
  </si>
  <si>
    <t>2025-10-19T22:36:12.656+0700</t>
  </si>
  <si>
    <t>Dear anh Dương, Nhờ anh hỗ trợ team chạy câu lênh SQL dưới đây ạ Issuse:  https://chat.google.com/room/AAAAH-v7fB4/e7pnMcGMsNA/e7pnMcGMsNA?cls=10 Thông tin DB: Project: vincart-prod
IP: 172.31.1.41
DB name: booking_transportation Câu lệnh SQL: START TRANSACTION;
UPDATE `trips`
SET `status` = 'FINISHED', `previous_status` = 'JOURNEY'
WHERE `id` = 109757;
COMMIT;</t>
  </si>
  <si>
    <t>[TPAY][NON-PROD] Tạo tài khoản SFTP cho merchant Mobicast lấy file báo cáo đối soát</t>
  </si>
  <si>
    <t>2025-10-19T21:53:47.062+0700</t>
  </si>
  <si>
    <t>2025-10-19T21:53:58.550+0700</t>
  </si>
  <si>
    <t>Dự án Tpay cần cấp tài khoản và 1 thư mục con trong thư mục trong thư mục tpay dành cho đối tác Mobicast để đọc file từ sFTP server. Thông tin sFTP server cần kết nối đến: Non-prod:  35.229.130.107:2022 Nhờ team support tạo server và cấp account cho dự án. Em tên thư mục và folder ạ. Account: mobicast Folder: /mobicast</t>
  </si>
  <si>
    <t>[Prod]Kéo bảng dữ liệu từ OS</t>
  </si>
  <si>
    <t>2025-10-19T21:53:04.673+0700</t>
  </si>
  <si>
    <t>2025-10-19T21:54:11.818+0700</t>
  </si>
  <si>
    <t>Dear team, Luồng RTB đang có nhu cầu dữ liệu: GT follow zalo OA Oneshop  Nhờ team hỗ trợ kéo về DP (prod), thông tin dữ liệu: Thông tin môi trường non-prod: TABLE_SCHEMA : dbo TABLE_CATALOG: main IP Non Prod: 172.31.0.38 physical_name: [OSUSR_4vx_ZaloUser] Thông tin môi trường PROD: TABLE_SCHEMA : dbo TABLE_CATALOG: main IP Prod: 172.31.1.45 physical_name: [OSUSR_4vx_ZaloUser] Linh grant giúp a thêm bảng này cho user dataplatform_ingestion nhé Regrads, Vĩnh</t>
  </si>
  <si>
    <t xml:space="preserve">[UPAY] Backup, xóa dữ liệu do bị trùng cif </t>
  </si>
  <si>
    <t>2025-10-19T21:52:31.923+0700</t>
  </si>
  <si>
    <t>2025-10-19T21:52:43.346+0700</t>
  </si>
  <si>
    <t>Hi a  @Nguyễn Văn Dũng   nhờ a chạy giúp em ticket sau nhé ạ.  Thông tin database saas_tpay:  pay-tidb.int.onemount.com:4000/saas_tpay Thời gian chạy: Khi ticket được approval script   backup CREATE TABLE IF NOT EXISTS BACKUP_20251017_MERCHANT LIKE MERCHANT;
CREATE TABLE IF NOT EXISTS BACKUP_20251017_STORE LIKE STORE;
CREATE TABLE IF NOT EXISTS BACKUP_20251017_TERMINAL LIKE TERMINAL;
CREATE TABLE IF NOT EXISTS BACKUP_20251017_SERVICE LIKE SERVICE;
INSERT INTO BACKUP_20251017_MERCHANT SELECT * FROM MERCHANT where MERCHANT_CODE IN ('11388883', '20002572', '20896375', '20896406', '22661117', '25266284', '26921580', '27609831', '28207508', '28675172', '29029350', '29994838', '30297119', '31492335', '32434011', '32557839', '32892446', '32997705', '33000743', '33653709', '33785410', '34752503', '35801183', '36103193', '36268196', '36305954', '36488446', '36695704', '36709351', '36761815', '36968484', '37925043', '38008193', '38052674', '38325514', '38729294', '38985374', '39252998', '50648326', '50886037', '70268581', '71053677', '71491191', '71907927', '73610743', '73715568', '73983328', '73997493', '74395887', '74672119', '74896040', '74902990', '75045474', '75113759', '75146174', '75188087', '20719443', '21664066', '24358178', '26461938', '27915227', '30292315', '31575095', '31780391', '31798271', '32119926', '32342940', '33316760', '33554056', '33696137', '33812839', '33995258', '33997778', '34307251', '34410688', '34931513', '35043708', '37228444', '38396309', '38814872', '38886815', '39114678', '39648059', '39852641', '40134141', '50658496', '50733399', '70942483', '72328984', '73045620', '73141566', '74602718', '74642667', '74643138', '74676119', '74701620', '74716809', '74745950', '74759932', '74767579', '74799608', '74812863', '74826299', '74827376', '74828771', '74847457', '74874862', '74905906', '75194564');
INSERT INTO BACKUP_20251017_STORE SELECT * FROM STORE where MERCHANT_CODE IN ('11388883', '20002572', '20896375', '20896406', '22661117', '25266284', '26921580', '27609831', '28207508', '28675172', '29029350', '29994838', '30297119', '31492335', '32434011', '32557839', '32892446', '32997705', '33000743', '33653709', '33785410', '34752503', '35801183', '36103193', '36268196', '36305954', '36488446', '36695704', '36709351', '36761815', '36968484', '37925043', '38008193', '38052674', '38325514', '38729294', '38985374', '39252998', '50648326', '50886037', '70268581', '71053677', '71491191', '71907927', '73610743', '73715568', '73983328', '73997493', '74395887', '74672119', '74896040', '74902990', '75045474', '75113759', '75146174', '75188087', '20719443', '21664066', '24358178', '26461938', '27915227', '30292315', '31575095', '31780391', '31798271', '32119926', '32342940', '33316760', '33554056', '33696137', '33812839', '33995258', '33997778', '34307251', '34410688', '34931513', '35043708', '37228444', '38396309', '38814872', '38886815', '39114678', '39648059', '39852641', '40134141', '50658496', '50733399', '70942483', '72328984', '73045620', '73141566', '74602718', '74642667', '74643138', '74676119', '74701620', '74716809', '74745950', '74759932', '74767579', '74799608', '74812863', '74826299', '74827376', '74828771', '74847457', '74874862', '74905906', '75194564');
INSERT INTO BACKUP_20251017_TERMINAL SELECT * FROM TERMINAL where MERCHANT_CODE IN ('11388883', '20002572', '20896375', '20896406', '22661117', '25266284', '26921580', '27609831', '28207508', '28675172', '29029350', '29994838', '30297119', '31492335', '32434011', '32557839', '32892446', '32997705', '33000743', '33653709', '33785410', '34752503', '35801183', '36103193', '36268196', '36305954', '36488446', '36695704', '36709351', '36761815', '36968484', '37925043', '38008193', '38052674', '38325514', '38729294', '38985374', '39252998', '50648326', '50886037', '70268581', '71053677', '71491191', '71907927', '73610743', '73715568', '73983328', '73997493', '74395887', '74672119', '74896040', '74902990', '75045474', '75113759', '75146174', '75188087', '20719443', '21664066', '24358178', '26461938', '27915227', '30292315', '31575095', '31780391', '31798271', '32119926', '32342940', '33316760', '33554056', '33696137', '33812839', '33995258', '33997778', '34307251', '34410688', '34931513', '35043708', '37228444', '38396309', '38814872', '38886815', '39114678', '39648059', '39852641', '40134141', '50658496', '50733399', '70942483', '72328984', '73045620', '73141566', '74602718', '74642667', '74643138', '74676119', '74701620', '74716809', '74745950', '74759932', '74767579', '74799608', '74812863', '74826299', '74827376', '74828771', '74847457', '74874862', '74905906', '75194564');
INSERT INTO BACKUP_20251017_SERVICE SELECT * FROM SERVICE where MERCHANT_CODE IN ('11388883', '20002572', '20896375', '20896406', '22661117', '25266284', '26921580', '27609831', '28207508', '28675172', '29029350', '29994838', '30297119', '31492335', '32434011', '32557839', '32892446', '32997705', '33000743', '33653709', '33785410', '34752503', '35801183', '36103193', '36268196', '36305954', '36488446', '36695704', '36709351', '36761815', '36968484', '37925043', '38008193', '38052674', '38325514', '38729294', '38985374', '39252998', '50648326', '50886037', '70268581', '71053677', '71491191', '71907927', '73610743', '73715568', '73983328', '73997493', '74395887', '74672119', '74896040', '74902990', '75045474', '75113759', '75146174', '75188087', '20719443', '21664066', '24358178', '26461938', '27915227', '30292315', '31575095', '31780391', '31798271', '32119926', '32342940', '33316760', '33554056', '33696137', '33812839', '33995258', '33997778', '34307251', '34410688', '34931513', '35043708', '37228444', '38396309', '38814872', '38886815', '39114678', '39648059', '39852641', '40134141', '50658496', '50733399', '70942483', '72328984', '73045620', '73141566', '74602718', '74642667', '74643138', '74676119', '74701620', '74716809', '74745950', '74759932', '74767579', '74799608', '74812863', '74826299', '74827376', '74828771', '74847457', '74874862', '74905906', '75194564') and SERVICE_CODE IN ('MQR', 'TQR'); script   delete   DELETE FROM MERCHANT where MERCHANT_CODE IN ('11388883', '20002572', '20896375', '20896406', '22661117', '25266284', '26921580', '27609831', '28207508', '28675172', '29029350', '29994838', '30297119', '31492335', '32434011', '32557839', '32892446', '32997705', '33000743', '33653709', '33785410', '34752503', '35801183', '36103193', '36268196', '36305954', '36488446', '36695704', '36709351', '36761815', '36968484', '37925043', '38008193', '38052674', '38325514', '38729294', '38985374', '39252998', '50648326', '50886037', '70268581', '71053677', '71491191', '71907927', '73610743', '73715568', '73983328', '73997493', '74395887', '74672119', '74896040', '74902990', '75045474', '75113759', '75146174', '75188087', '20719443', '21664066', '24358178', '26461938', '27915227', '30292315', '31575095', '31780391', '31798271', '32119926', '32342940', '33316760', '33554056', '33696137', '33812839', '33995258', '33997778', '34307251', '34410688', '34931513', '35043708', '37228444', '38396309', '38814872', '38886815', '39114678', '39648059', '39852641', '40134141', '50658496', '50733399', '70942483', '72328984', '73045620', '73141566', '74602718', '74642667', '74643138', '74676119', '74701620', '74716809', '74745950', '74759932', '74767579', '74799608', '74812863', '74826299', '74827376', '74828771', '74847457', '74874862', '74905906', '75194564');
DELETE FROM STORE where MERCHANT_CODE IN ('11388883', '20002572', '20896375', '20896406', '22661117', '25266284', '26921580', '27609831', '28207508', '28675172', '29029350', '29994838', '30297119', '31492335', '32434011', '32557839', '32892446', '32997705', '33000743', '33653709', '33785410', '34752503', '35801183', '36103193', '36268196', '36305954', '36488446', '36695704', '36709351', '36761815', '36968484', '37925043', '38008193', '38052674', '38325514', '38729294', '38985374', '39252998', '50648326', '50886037', '70268581', '71053677', '71491191', '71907927', '73610743', '73715568', '73983328', '73997493', '74395887', '74672119', '74896040', '74902990', '75045474', '75113759', '75146174', '75188087', '20719443', '21664066', '24358178', '26461938', '27915227', '30292315', '31575095', '31780391', '31798271', '32119926', '32342940', '33316760', '33554056', '33696137', '33812839', '33995258', '33997778', '34307251', '34410688', '34931513', '35043708', '37228444', '38396309', '38814872', '38886815', '39114678', '39648059', '39852641', '40134141', '50658496', '50733399', '70942483', '72328984', '73045620', '73141566', '74602718', '74642667', '74643138', '74676119', '74701620', '74716809', '74745950', '74759932', '74767579', '74799608', '74812863', '74826299', '74827376', '74828771', '74847457', '74874862', '74905906', '75194564');
DELETE FROM TERMINAL where MERCHANT_CODE IN ('11388883', '20002572', '20896375', '20896406', '22661117', '25266284', '26921580', '27609831', '28207508', '28675172', '29029350', '29994838', '30297119', '31492335', '32434011', '32557839', '32892446', '32997705', '33000743', '33653709', '33785410', '34752503', '35801183', '36103193', '36268196', '36305954', '36488446', '36695704', '36709351', '36761815', '36968484', '37925043', '38008193', '38052674', '38325514', '38729294', '38985374', '39252998', '50648326', '50886037', '70268581', '71053677', '71491191', '71907927', '73610743', '73715568', '73983328', '73997493', '74395887', '74672119', '74896040', '74902990', '75045474', '75113759', '75146174', '75188087', '20719443', '21664066', '24358178', '26461938', '27915227', '30292315', '31575095', '31780391', '31798271', '32119926', '32342940', '33316760', '33554056', '33696137', '33812839', '33995258', '33997778', '34307251', '34410688', '34931513', '35043708', '37228444', '38396309', '38814872', '38886815', '39114678', '39648059', '39852641', '40134141', '50658496', '50733399', '70942483', '72328984', '73045620', '73141566', '74602718', '74642667', '74643138', '74676119', '74701620', '74716809', '74745950', '74759932', '74767579', '74799608', '74812863', '74826299', '74827376', '74828771', '74847457', '74874862', '74905906', '75194564');
DELETE FROM SERVICE where MERCHANT_CODE IN ('11388883', '20002572', '20896375', '20896406', '22661117', '25266284', '26921580', '27609831', '28207508', '28675172', '29029350', '29994838', '30297119', '31492335', '32434011', '32557839', '32892446', '32997705', '33000743', '33653709', '33785410', '34752503', '35801183', '36103193', '36268196', '36305954', '36488446', '36695704', '36709351', '36761815', '36968484', '37925043', '38008193', '38052674', '38325514', '38729294', '38985374', '39252998', '50648326', '50886037', '70268581', '71053677', '71491191', '71907927', '73610743', '73715568', '73983328', '73997493', '74395887', '74672119', '74896040', '74902990', '75045474', '75113759', '75146174', '75188087', '20719443', '21664066', '24358178', '26461938', '27915227', '30292315', '31575095', '31780391', '31798271', '32119926', '32342940', '33316760', '33554056', '33696137', '33812839', '33995258', '33997778', '34307251', '34410688', '34931513', '35043708', '37228444', '38396309', '38814872', '38886815', '39114678', '39648059', '39852641', '40134141', '50658496', '50733399', '70942483', '72328984', '73045620', '73141566', '74602718', '74642667', '74643138', '74676119', '74701620', '74716809', '74745950', '74759932', '74767579', '74799608', '74812863', '74826299', '74827376', '74828771', '74847457', '74874862', '74905906', '75194564') and SERVICE_CODE IN ('MQR', 'TQR');</t>
  </si>
  <si>
    <t>Add INDEX cho DB B2B Promotion bảng CouponCode</t>
  </si>
  <si>
    <t>2025-10-18T12:10:23.275+0700</t>
  </si>
  <si>
    <t>2025-10-18T13:11:28.904+0700</t>
  </si>
  <si>
    <t>promotion_issues</t>
  </si>
  <si>
    <t>Do bảng không có index và dữ liệu đã trên 3M bản ghi nên nhờ các a review và add thêm index giúp em câu script dưới đây ạ CREATE INDEX idx_coupon_type_store_id ON Coupon (DTYPE, store_id, id);
CREATE INDEX idx_cc_coupon_created_id ON CouponCode (coupon_id, createdAt, id);
CREATE INDEX idx_cc_coupon_apply_created_id ON CouponCode (coupon_id, applyStatus, createdAt, id);
CREATE INDEX idx_cc_code ON CouponCode (code);
CREATE INDEX idx_cc_sonumber ON CouponCode (soNumber);
CREATE INDEX idx_cc_coupon_reserved_id ON CouponCode (coupon_id, reservedAt, id);
CREATE INDEX idx_cc_coupon_effectiveFrom ON CouponCode (coupon_id, effectiveFrom);
CREATE INDEX idx_cc_coupon_effectiveTo   ON CouponCode (coupon_id, effectiveTo); Thông tin DB gcp project: vinid-b2b-platform-prod
instance_name: b2b-commerce
instanceIP: 172.31.4.113
dbname: b2b_promotion_prod Thời gian:  Sau 21h ngày 18/10/2025</t>
  </si>
  <si>
    <t>[PROD] Chạy câu lệnh SQL GSM ngày 17/10</t>
  </si>
  <si>
    <t>2025-10-18T12:03:26.799+0700</t>
  </si>
  <si>
    <t>2025-10-18T12:08:06.208+0700</t>
  </si>
  <si>
    <t>Dear anh Dương, Nhờ anh hỗ trợ team chạy câu lênh SQL dưới đây ạ Issuse:  https://chat.google.com/room/AAAAH-v7fB4/TmwFMnugpEQ/TmwFMnugpEQ?cls=10 Thông tin DB: Project: vincart-prod
IP: 172.31.1.41
DB name: booking_transportation Câu lệnh SQL: START TRANSACTION;
UPDATE `trips`
SET `status` = 'FINISHED', `previous_status` = 'JOURNEY'
WHERE `id` = 88353;
COMMIT;</t>
  </si>
  <si>
    <t>[OMD] - Yêu cầu bổ sung thêm cột vào bảng trên ODS</t>
  </si>
  <si>
    <t>2025-10-17T17:58:27.075+0700</t>
  </si>
  <si>
    <t>2025-11-07T10:52:27.004+0700</t>
  </si>
  <si>
    <t>Context: Để phục vụ nhu cầu tính GMV Loyalty ver3.0. Thông tin chi tiết theo ticket sau: Để theo dõi được thời điểm dữ liệu insert/update Nhờ team hỗ trợ bổ sung cột theo thông tin sau: STT table_name column_name data_type defaul_value 1 omd_vinid_app_common_dev_main_mysql_8_omd_b2b_custom_oms_qc. vb_omd_tracking_gmv_monthly ods_updated_at timestamp current datetime 2 omd_vinid_app_common_dev_main_mysql_8_omd_b2b_custom_oms_qc. vb_omd_tracking_gmv_daily ods_updated_at timestamp current datetime Thanks,</t>
  </si>
  <si>
    <t>[CBP] [NONPROD] Tạo DB cho Service mới.</t>
  </si>
  <si>
    <t>2025-10-17T17:53:15.755+0700</t>
  </si>
  <si>
    <t>2025-10-20T11:01:40.020+0700</t>
  </si>
  <si>
    <t>Host:172.31.0.67 Tạo user &amp; schema cho 2 môi trường qc/uat như sau: QC Database: omre_cbp_assignment_qc USER: omre_cbp_assignment_qc UAT Database: omre_cbp_assignment_uat USER: omre_cbp_assignment_uat thanks a/e.</t>
  </si>
  <si>
    <t>HandOver DBA Offboard</t>
  </si>
  <si>
    <t>2025-10-17T17:51:58.825+0700</t>
  </si>
  <si>
    <t>2025-11-05T10:55:11.177+0700</t>
  </si>
  <si>
    <t xml:space="preserve">HandOver DBA Offboard  </t>
  </si>
  <si>
    <t>2025-10-17T17:48:20.535+0700</t>
  </si>
  <si>
    <t>2025-10-17T17:48:26.135+0700</t>
  </si>
  <si>
    <t>Hi team, Nhờ các anh chạy giúp team script bên dưới để add 2 user vào whitelist dịch vụ Cổng thanh toán UPay ạ Thông tin DB:  DB:  172.31.1.148:3306/pay_payment_gateway UPDATE SYSTEM_CONFIGURATION SET system_param_value = '921183,8410315,215348,6394863,4979923,12600406,11374836,12575808,12601772,13444997,4107396,6475838,335497', system_param_name='LIST USER_ID PILOT TCB DIRECT'
where system_param_code = 'USER_ID_PILOT_TCB_DIRECT' nhờ các anh hỗ trợ ạ</t>
  </si>
  <si>
    <t>[Merchant-TCB] Hỗ trợ query dữ liệu 20251016</t>
  </si>
  <si>
    <t>2025-10-17T17:28:55.988+0700</t>
  </si>
  <si>
    <t>2025-10-17T17:36:25.510+0700</t>
  </si>
  <si>
    <t>Dear team, Nhờ team chạy giúp câu lệnh bên dưới để  xóa   dữ liệu   không hợp lệ ạ. Thông tin database https://console.cloud.google.com/sql/instances/merchant-tcb/overview?inv=1&amp;invt=AbsndA&amp;project=vinid-merchant-prod DB_MYSQL_HOST=172.31.4.108
DB_MYSQL_DATABASE=merchant_service_tcb Câu lệnh -- terminal 01
DELETE FROM tpay_terminal_service WHERE terminal_code IN (SELECT code FROM tpay_terminal WHERE tcb_merchant_code IN ('11388883', '20002572', '20896375', '20896406', '22661117', '25266284', '26921580', '27609831', '28207508', '28675172', '29029350', '29994838', '30297119', '31492335', '32434011', '32557839', '32892446', '32997705', '33000743', '33653709', '33785410', '34752503', '35801183', '36103193', '36268196', '36305954', '36488446', '36695704', '36709351', '36761815', '36968484', '37925043', '38008193', '38052674', '38325514', '38729294', '38985374', '39252998', '50648326', '50886037', '70268581', '71053677', '71491191', '71907927', '73610743', '73715568', '73983328', '73997493', '74395887', '74672119', '74896040', '74902990', '75045474', '75113759', '75146174', '75188087', '20719443', '21664066', '24358178', '26461938', '27915227', '30292315', '31575095', '31780391', '31798271', '32119926', '32342940', '33316760', '33554056', '33696137', '33812839', '33995258', '33997778', '34307251', '34410688', '34931513', '35043708', '37228444', '38396309', '38814872', '38886815', '39114678', '39648059', '39852641', '40134141', '50658496', '50733399', '70942483', '72328984', '73045620', '73141566', '74602718', '74642667', '74643138', '74676119', '74701620', '74716809', '74745950', '74759932', '74767579', '74799608', '74812863', '74826299', '74827376', '74828771', '74847457', '74874862', '74905906', '75194564'));
-- terminal 02
DELETE FROM tpay_request_terminal WHERE tcb_merchant_code IN ('11388883', '20002572', '20896375', '20896406', '22661117', '25266284', '26921580', '27609831', '28207508', '28675172', '29029350', '29994838', '30297119', '31492335', '32434011', '32557839', '32892446', '32997705', '33000743', '33653709', '33785410', '34752503', '35801183', '36103193', '36268196', '36305954', '36488446', '36695704', '36709351', '36761815', '36968484', '37925043', '38008193', '38052674', '38325514', '38729294', '38985374', '39252998', '50648326', '50886037', '70268581', '71053677', '71491191', '71907927', '73610743', '73715568', '73983328', '73997493', '74395887', '74672119', '74896040', '74902990', '75045474', '75113759', '75146174', '75188087', '20719443', '21664066', '24358178', '26461938', '27915227', '30292315', '31575095', '31780391', '31798271', '32119926', '32342940', '33316760', '33554056', '33696137', '33812839', '33995258', '33997778', '34307251', '34410688', '34931513', '35043708', '37228444', '38396309', '38814872', '38886815', '39114678', '39648059', '39852641', '40134141', '50658496', '50733399', '70942483', '72328984', '73045620', '73141566', '74602718', '74642667', '74643138', '74676119', '74701620', '74716809', '74745950', '74759932', '74767579', '74799608', '74812863', '74826299', '74827376', '74828771', '74847457', '74874862', '74905906', '75194564');
-- terminal 03
DELETE FROM tpay_terminal WHERE tcb_merchant_code IN ('11388883', '20002572', '20896375', '20896406', '22661117', '25266284', '26921580', '27609831', '28207508', '28675172', '29029350', '29994838', '30297119', '31492335', '32434011', '32557839', '32892446', '32997705', '33000743', '33653709', '33785410', '34752503', '35801183', '36103193', '36268196', '36305954', '36488446', '36695704', '36709351', '36761815', '36968484', '37925043', '38008193', '38052674', '38325514', '38729294', '38985374', '39252998', '50648326', '50886037', '70268581', '71053677', '71491191', '71907927', '73610743', '73715568', '73983328', '73997493', '74395887', '74672119', '74896040', '74902990', '75045474', '75113759', '75146174', '75188087', '20719443', '21664066', '24358178', '26461938', '27915227', '30292315', '31575095', '31780391', '31798271', '32119926', '32342940', '33316760', '33554056', '33696137', '33812839', '33995258', '33997778', '34307251', '34410688', '34931513', '35043708', '37228444', '38396309', '38814872', '38886815', '39114678', '39648059', '39852641', '40134141', '50658496', '50733399', '70942483', '72328984', '73045620', '73141566', '74602718', '74642667', '74643138', '74676119', '74701620', '74716809', '74745950', '74759932', '74767579', '74799608', '74812863', '74826299', '74827376', '74828771', '74847457', '74874862', '74905906', '75194564');
-- store 01
DELETE FROM tpay_store_service WHERE store_id IN (SELECT id FROM tpay_store WHERE tcb_merchant_code IN ('11388883', '20002572', '20896375', '20896406', '22661117', '25266284', '26921580', '27609831', '28207508', '28675172', '29029350', '29994838', '30297119', '31492335', '32434011', '32557839', '32892446', '32997705', '33000743', '33653709', '33785410', '34752503', '35801183', '36103193', '36268196', '36305954', '36488446', '36695704', '36709351', '36761815', '36968484', '37925043', '38008193', '38052674', '38325514', '38729294', '38985374', '39252998', '50648326', '50886037', '70268581', '71053677', '71491191', '71907927', '73610743', '73715568', '73983328', '73997493', '74395887', '74672119', '74896040', '74902990', '75045474', '75113759', '75146174', '75188087', '20719443', '21664066', '24358178', '26461938', '27915227', '30292315', '31575095', '31780391', '31798271', '32119926', '32342940', '33316760', '33554056', '33696137', '33812839', '33995258', '33997778', '34307251', '34410688', '34931513', '35043708', '37228444', '38396309', '38814872', '38886815', '39114678', '39648059', '39852641', '40134141', '50658496', '50733399', '70942483', '72328984', '73045620', '73141566', '74602718', '74642667', '74643138', '74676119', '74701620', '74716809', '74745950', '74759932', '74767579', '74799608', '74812863', '74826299', '74827376', '74828771', '74847457', '74874862', '74905906', '75194564'));
-- store 02
DELETE FROM tpay_request_store WHERE tcb_merchant_code IN ('11388883', '20002572', '20896375', '20896406', '22661117', '25266284', '26921580', '27609831', '28207508', '28675172', '29029350', '29994838', '30297119', '31492335', '32434011', '32557839', '32892446', '32997705', '33000743', '33653709', '33785410', '34752503', '35801183', '36103193', '36268196', '36305954', '36488446', '36695704', '36709351', '36761815', '36968484', '37925043', '38008193', '38052674', '38325514', '38729294', '38985374', '39252998', '50648326', '50886037', '70268581', '71053677', '71491191', '71907927', '73610743', '73715568', '73983328', '73997493', '74395887', '74672119', '74896040', '74902990', '75045474', '75113759', '75146174', '75188087', '20719443', '21664066', '24358178', '26461938', '27915227', '30292315', '31575095', '31780391', '31798271', '32119926', '32342940', '33316760', '33554056', '33696137', '33812839', '33995258', '33997778', '34307251', '34410688', '34931513', '35043708', '37228444', '38396309', '38814872', '38886815', '39114678', '39648059', '39852641', '40134141', '50658496', '50733399', '70942483', '72328984', '73045620', '73141566', '74602718', '74642667', '74643138', '74676119', '74701620', '74716809', '74745950', '74759932', '74767579', '74799608', '74812863', '74826299', '74827376', '74828771', '74847457', '74874862', '74905906', '75194564');
-- store 03
DELETE FROM tpay_store WHERE tcb_merchant_code IN ('11388883', '20002572', '20896375', '20896406', '22661117', '25266284', '26921580', '27609831', '28207508', '28675172', '29029350', '29994838', '30297119', '31492335', '32434011', '32557839', '32892446', '32997705', '33000743', '33653709', '33785410', '34752503', '35801183', '36103193', '36268196', '36305954', '36488446', '36695704', '36709351', '36761815', '36968484', '37925043', '38008193', '38052674', '38325514', '38729294', '38985374', '39252998', '50648326', '50886037', '70268581', '71053677', '71491191', '71907927', '73610743', '73715568', '73983328', '73997493', '74395887', '74672119', '74896040', '74902990', '75045474', '75113759', '75146174', '75188087', '20719443', '21664066', '24358178', '26461938', '27915227', '30292315', '31575095', '31780391', '31798271', '32119926', '32342940', '33316760', '33554056', '33696137', '33812839', '33995258', '33997778', '34307251', '34410688', '34931513', '35043708', '37228444', '38396309', '38814872', '38886815', '39114678', '39648059', '39852641', '40134141', '50658496', '50733399', '70942483', '72328984', '73045620', '73141566', '74602718', '74642667', '74643138', '74676119', '74701620', '74716809', '74745950', '74759932', '74767579', '74799608', '74812863', '74826299', '74827376', '74828771', '74847457', '74874862', '74905906', '75194564');
-- merchant 01
DELETE FROM tpay_request_merchant WHERE tcb_merchant_code IN ('11388883', '20002572', '20896375', '20896406', '22661117', '25266284', '26921580', '27609831', '28207508', '28675172', '29029350', '29994838', '30297119', '31492335', '32434011', '32557839', '32892446', '32997705', '33000743', '33653709', '33785410', '34752503', '35801183', '36103193', '36268196', '36305954', '36488446', '36695704', '36709351', '36761815', '36968484', '37925043', '38008193', '38052674', '38325514', '38729294', '38985374', '39252998', '50648326', '50886037', '70268581', '71053677', '71491191', '71907927', '73610743', '73715568', '73983328', '73997493', '74395887', '74672119', '74896040', '74902990', '75045474', '75113759', '75146174', '75188087', '20719443', '21664066', '24358178', '26461938', '27915227', '30292315', '31575095', '31780391', '31798271', '32119926', '32342940', '33316760', '33554056', '33696137', '33812839', '33995258', '33997778', '34307251', '34410688', '34931513', '35043708', '37228444', '38396309', '38814872', '38886815', '39114678', '39648059', '39852641', '40134141', '50658496', '50733399', '70942483', '72328984', '73045620', '73141566', '74602718', '74642667', '74643138', '74676119', '74701620', '74716809', '74745950', '74759932', '74767579', '74799608', '74812863', '74826299', '74827376', '74828771', '74847457', '74874862', '74905906', '75194564');
-- merchant 02
DELETE FROM tpay_request_merchant_bank WHERE tcb_merchant_code IN ('11388883', '20002572', '20896375', '20896406', '22661117', '25266284', '26921580', '27609831', '28207508', '28675172', '29029350', '29994838', '30297119', '31492335', '32434011', '32557839', '32892446', '32997705', '33000743', '33653709', '33785410', '34752503', '35801183', '36103193', '36268196', '36305954', '36488446', '36695704', '36709351', '36761815', '36968484', '37925043', '38008193', '38052674', '38325514', '38729294', '38985374', '39252998', '50648326', '50886037', '70268581', '71053677', '71491191', '71907927', '73610743', '73715568', '73983328', '73997493', '74395887', '74672119', '74896040', '74902990', '75045474', '75113759', '75146174', '75188087', '20719443', '21664066', '24358178', '26461938', '27915227', '30292315', '31575095', '31780391', '31798271', '32119926', '32342940', '33316760', '33554056', '33696137', '33812839', '33995258', '33997778', '34307251', '34410688', '34931513', '35043708', '37228444', '38396309', '38814872', '38886815', '39114678', '39648059', '39852641', '40134141', '50658496', '50733399', '70942483', '72328984', '73045620', '73141566', '74602718', '74642667', '74643138', '74676119', '74701620', '74716809', '74745950', '74759932', '74767579', '74799608', '74812863', '74826299', '74827376', '74828771', '74847457', '74874862', '74905906', '75194564');
-- merchant 03
DELETE FROM tpay_merchant WHERE tcb_merchant_code IN ('11388883', '20002572', '20896375', '20896406', '22661117', '25266284', '26921580', '27609831', '28207508', '28675172', '29029350', '29994838', '30297119', '31492335', '32434011', '32557839', '32892446', '32997705', '33000743', '33653709', '33785410', '34752503', '35801183', '36103193', '36268196', '36305954', '36488446', '36695704', '36709351', '36761815', '36968484', '37925043', '38008193', '38052674', '38325514', '38729294', '38985374', '39252998', '50648326', '50886037', '70268581', '71053677', '71491191', '71907927', '73610743', '73715568', '73983328', '73997493', '74395887', '74672119', '74896040', '74902990', '75045474', '75113759', '75146174', '75188087', '20719443', '21664066', '24358178', '26461938', '27915227', '30292315', '31575095', '31780391', '31798271', '32119926', '32342940', '33316760', '33554056', '33696137', '33812839', '33995258', '33997778', '34307251', '34410688', '34931513', '35043708', '37228444', '38396309', '38814872', '38886815', '39114678', '39648059', '39852641', '40134141', '50658496', '50733399', '70942483', '72328984', '73045620', '73141566', '74602718', '74642667', '74643138', '74676119', '74701620', '74716809', '74745950', '74759932', '74767579', '74799608', '74812863', '74826299', '74827376', '74828771', '74847457', '74874862', '74905906', '75194564');</t>
  </si>
  <si>
    <t xml:space="preserve">[OMC][NRs][nonPROD]Tăng resource database = 1/2 PROD cho chạy Performance test </t>
  </si>
  <si>
    <t>2025-10-17T17:14:03.259+0700</t>
  </si>
  <si>
    <t>2025-10-17T17:24:46.997+0700</t>
  </si>
  <si>
    <t xml:space="preserve">Tăng resource database = 1/2 PROD cho chạy Performance test  CR:    Cụ thể database  https://console.cloud.google.com/sql/instances/booking-loadtest-vmm/overview?project=vincart-nonprod từ 2 vCPU, 4 GB RAM → lên 4 vCPU, 16GB RAM  https://console.cloud.google.com/sql/instances/booking-loadtest-ecom/overview?project=vincart-nonprod từ 8vCPU, 16GB RAM giảm còn 4vCPU, 8GB RAM </t>
  </si>
  <si>
    <t>[OMD][PROD] Add INDEX cho DB TASKBOX PROD</t>
  </si>
  <si>
    <t>2025-10-17T16:51:01.251+0700</t>
  </si>
  <si>
    <t>2025-10-17T16:51:34.662+0700</t>
  </si>
  <si>
    <t>Nhờ các a add index giúp team cho database taskbox ạ ALTER TABLE TaskCenter ADD INDEX taskTypeIdx (taskType), ALGORITHM=INPLACE, LOCK=NONE;
ALTER TABLE TaskCenter ADD INDEX taskStatusIdx (taskStatus), ALGORITHM=INPLACE, LOCK=NONE;
ALTER TABLE TaskCenter ADD INDEX planTaskDoneIdx (planTaskDone), ALGORITHM=INPLACE, LOCK=NONE;
ALTER TABLE CallPlan ADD INDEX idx_smartDialerCampaignID (smartDialerCampaignID), ALGORITHM=INPLACE, LOCK=NONE;
ALTER TABLE CallPlan ADD INDEX idx_customerPhone (customerPhone), ALGORITHM=INPLACE, LOCK=NONE;
ALTER TABLE CallPlan ADD INDEX idx_smartDialerStatus (smartDialerStatus), ALGORITHM=INPLACE, LOCK=NONE; Thông tin DB jdbc:mysql://onemg-integration-platform-prd--main.cloudsql.int:3306/omd_taskbox
172.31.1.118 E cảm ơn</t>
  </si>
  <si>
    <t>[OMC][ONEU] [Prod] Cập nhật lại trạng thái store</t>
  </si>
  <si>
    <t>2025-10-17T12:07:51.180+0700</t>
  </si>
  <si>
    <t>2025-10-17T15:11:39.998+0700</t>
  </si>
  <si>
    <t>Dear team DBA Nhờ team chạy giúp em ticket này để update lại trạng thái của store ạ project: vincart-prod instance: main ip: 172.31.1.41 DB: vincart_mm_merchant UPDATE `stores`
SET status = 'active'
WHERE merchant_id = 1295
  and code in
      ('2', '3', '5', '8', '11', '14', '19', '21', '24', '27', '28', '29', '30', '66', '68', '69',
       '70', '86', '93', '107', '108', '134', '136', '137', '143', '174', '186', '195', '207',
       '211', '213', '215', '216', '229', '290', '294', '298', '300', '301', '306', '307', '312',
       '314', '319', '320', '325', '327', '329', '331', '332', '348', '349', '365', '370', '382',
       '391', '415', '416', '417', '420', '422', '427', '428', '132', '140', '209', '218', '252',
       '269', '295', '296', '359', '373', '419', '429', '4', '34', '35', '36', '38', '39', '40',
       '41', '42', '43', '44', '45', '49', '59', '62', '77', '78', '80', '81', '83', '85', '89',
       '90', '95', '96', '99', '101', '102', '103', '105', '127', '128', '129', '135', '147', '149',
       '150', '151', '152', '158', '159', '160', '161', '172', '173', '175', '178', '180', '182',
       '184', '187', '189', '190', '192', '193', '194', '199', '200', '201', '219', '220', '221',
       '222', '223', '230', '231', '236', '237', '238', '239', '241', '244', '245', '246', '249',
       '250', '255', '260', '261', '263', '264', '271', '272', '273', '274', '281', '283', '302',
       '309', '310', '311', '315', '316', '322', '323', '326', '330', '333', '334', '337', '338',
       '339', '340', '341', '342', '343', '344', '346', '357', '358', '361', '364', '371', '374',
       '375', '380', '381', '383', '386', '388', '389', '392', '393', '395', '396', '398', '399',
       '404', '405', '406', '407', '425', '431', '432', '433', '434', '441', '442', '443', '444',
       '445', '447', '448', '449', '450', '451', '501', '453', '454', '456', '457', '458', '455',
       '461', '462', '465', '469', '470', '471', '473', '474', '475', '477', '479', '478', '480',
       '525', '537', '538', '541', '542', '531', '544', '546', '463', '481', '482', '483', '484',
       '485', '486', '487', '489', '490', '491', '492', '493', '494', '495', '496', '497', '498',
       '499', '500', '503', '504', '505', '508', '509', '510', '512', '513', '514', '515', '517',
       '518', '521', '522', '549', '550', '551', '552', '554', '555', '564', '761', '623', '767',
       '607', '746', '629', '771', '618', '734', '796', '683', '736', '759', '697', '600', '709',
       '567', '661', '738', '599', '795', '711', '621', '559', '580', '602', '696', '733', '764',
       '706', '651', '779', '721', '773', '662', '774', '735', '640', '644', '681', '583', '620',
       '671', '611', '762', '556', '699', '728', '707', '772', '676', '663', '598', '785', '659',
       '692', '700', '664', '678', '625', '788', '610', '627', '673', '732', '763', '670', '725',
       '572', '619', '712', '648', '744', '581', '615', '777', '645', '596', '730', '731', '716',
       '593', '636', '694', '654', '613', '652', '739', '760', '568', '720', '617', '605', '557',
       '667', '606', '770', '586', '769', '782', '657', '714', '677', '685', '558', '626', '684',
       '689', '784', '575', '592', '701', '682', '710', '574', '638', '726', '643', '634', '698',
       '624', '595', '594', '579', '660', '766', '718', '569', '577', '675', '604', '622', '693',
       '691', '650', '679', '768', '666', '609', '780', '781', '790', '791', '792', '793', '794',
       '798', '799', '800', '802', '803', '804', '805', '808', '806', '810', '817', '818', '827',
       '826', '833', '825', '829', '830', '831', '832', '834', '836', '814', '820', '819', '821',
       '822', '823', '811', '812', '813', '815', 'XU8', '880', '881', '886', '889', '890', '888',
       '884', '885', '887', '891', '892', '883', '858', '895', '897', '898', '899', '900', '901',
       '902', '903', '904', '905');</t>
  </si>
  <si>
    <t>Hỗ trợ phân quyền update DB để phục vụ việc tắt/bật bảo trì dịch vụ Smart Pos</t>
  </si>
  <si>
    <t>2025-10-17T11:33:34.917+0700</t>
  </si>
  <si>
    <t>2025-10-17T11:33:39.687+0700</t>
  </si>
  <si>
    <t>Dear Anh/Chị team DBA, Team IT247 xin quyền update DB để phục vụ việc tắt/bật bảo trì dịch vụ Smart Pos. Thông tin truy cập: DB: pay-tidb.int.onemount.com:4000
SCHEMA: saas_tpay
TABLE: SYSTEM_CONFIGURATION Các user gồm: nhatntt thanhdv19 dungnt96 huong.le3 tung.hoang2 kien.nguyen12 hoang.phan cuong.nguyen8 hoapd1 Trân trọng.</t>
  </si>
  <si>
    <t>[GAMI][PS2][Prod] Hỗ trợ cập nhật tiến độ cho loyalty id 1009816482 campaign challenge MTB_INSPIRE_GR2_OCT</t>
  </si>
  <si>
    <t>2025-10-17T10:58:02.903+0700</t>
  </si>
  <si>
    <t>2025-10-17T10:58:07.161+0700</t>
  </si>
  <si>
    <t>Hỗ trợ cập nhật tiến độ data cho loyalty id 1009816482 campaign challenge MTB_INSPIRE_GR2_OCT. Host:  172.31.4.75 Db:  promo_quest Query: UPDATE `campaign_progress` SET `amount`=2, `is_finish`=1,`finish_time`='2025-10-17 10:30:00',`updated_at`='2025-10-17 10:30:00' WHERE campaign_id = 70 AND customer_id = '1009816482' AND phrase_id ='Phrase14@610740eb-38df-45c6-9d05-babb68092e0d';
UPDATE `campaign_progress` SET `amount`=2, `is_finish`=1,`finish_time`='2025-10-17 10:30:00',`updated_at`='2025-10-17 10:30:00' WHERE campaign_id = 70 AND customer_id = '1009816482' AND phrase_id ='Phrase15@b652a8b4-3e60-4540-bf62-d580a0c91081';
UPDATE `campaign_progress` SET `amount`=1,`updated_at`='2025-10-17 10:30:00' WHERE campaign_id = 70 AND customer_id = '1009816482' AND phrase_id ='Phrase16@333015b8-d5eb-44e4-98ef-3a4ed8b0267f'; Theo issue được phát hiện bởi team vận hành</t>
  </si>
  <si>
    <t>[MCL][Prod][TiDB OMC] Request chạy script db</t>
  </si>
  <si>
    <t>2025-10-17T09:01:14.077+0700</t>
  </si>
  <si>
    <t>2025-10-17T09:01:19.973+0700</t>
  </si>
  <si>
    <t>Dear anh, Nhờ anh chạy giúp em script sau ạ: Thông tin DB: URL:  omc-mtp-tidb.int.onemount.com:4000 Schema:  omc_merchant_loyalty Script: UPDATE store SET ommp_store_code = 'LBC', ommp_address_id = 400010 where id = 7;</t>
  </si>
  <si>
    <t>Kéo lại dữ liệu ODS cho Taskbox non-prod bảng TaskCenter</t>
  </si>
  <si>
    <t>2025-10-16T17:39:17.843+0700</t>
  </si>
  <si>
    <t>2025-10-16T17:40:08.011+0700</t>
  </si>
  <si>
    <t>"ods-tidb"."omd_vinid_app_common_dev_main_omd_taskbox".TaskCenter https://dremio.ops.onemount.dev/new_query?jobId=17b583ac-04cb-222f-93d4-33f992681800&amp;scriptId=9b7d681a-e00f-4464-be18-4e07a9455bad&amp;tipVersion=0009290689958243&amp;version=0009290689958243 Nhờ a chạy lại job CDC để update data mới nhất giúp team với ạ. E cảm ơn</t>
  </si>
  <si>
    <t>[OMD][TCB Sales App] Nhờ bổ sung index cho các table sales app</t>
  </si>
  <si>
    <t>2025-10-16T17:37:52.801+0700</t>
  </si>
  <si>
    <t>2025-10-16T21:25:47.454+0700</t>
  </si>
  <si>
    <t xml:space="preserve">Hi team DBA, Dự án TCB Sales App có 1 số query hiện tại đang chưa có index, nhờ team DBA hỗ trợ bổ sung index cho dự án ạ. Thời gian thực hiện thêm index ưu tiên thực hiện sau 21h theo quy định, có một số index bổ sung trên table khá lớn nên nhờ các anh/chị DBA hỗ trợ monitor giúp ạ. Em cám ơn  Thông tin update DB như sau Project: omd-pos-prod Instance:  main-pos-integration IP: 172.31.3.63 DB: omd_saleapp_tcb_prod Script CREATE INDEX idx_startedTime_createdAt USING BTREE ON `Action` (startedTime,createdAt);
CREATE INDEX idx_createdAt USING BTREE ON `Store` (createdAt);
CREATE INDEX idx_surveyTemplate_id_createdAt USING BTREE ON `Survey` (surveyTemplate_id, createdAt); cc  @Hoàng Văn Phụng  a  @Phạm Văn Linh  </t>
  </si>
  <si>
    <t>[OMC][MTP] Clear dữ liệu tháng 08/2025</t>
  </si>
  <si>
    <t>2025-10-16T17:25:29.970+0700</t>
  </si>
  <si>
    <t>2025-10-16T22:01:06.482+0700</t>
  </si>
  <si>
    <t>Dear anh  @Trần Trương Dương  , nhờ anh chạy giúp em script sau vào  21h ngày 16/10/2025 DB:  omc-mtp-tidb.int.onemount.com:4000 -- OMC
ALTER TABLE omc_mtp_tracking_events.mtp_tracking_events_omc DROP PARTITION p20250801;
ALTER TABLE omc_mtp_tracking_events.mtp_tracking_events_omc DROP PARTITION p20250802;
ALTER TABLE omc_mtp_tracking_events.mtp_tracking_events_context_omc DROP PARTITION p20250801;
ALTER TABLE omc_mtp_tracking_events.mtp_tracking_events_context_omc DROP PARTITION p20250802;
ALTER TABLE omc_mtp_tracking_events.mtp_tracking_event_sessions DROP PARTITION p2025_08;
ALTER TABLE omc_mtp_martech_activation.mtp_ads_events DROP PARTITION p2025_08;
ALTER TABLE omc_mtp_martech_activation.mtp_push_events DROP PARTITION p2025_08;
ALTER TABLE omc_mtp_martech_activation.mtp_tracking_email_events DROP PARTITION p2025_08;
ALTER TABLE omc_mtp_martech_activation.mtp_tracking_email_notifications DROP PARTITION p2025_08;
ALTER TABLE omc_mtp_martech_activation.mtp_tracking_fcm_messages DROP PARTITION p2025_08;
ALTER TABLE omc_mtp_martech_activation.mtp_tracking_push_notifications DROP PARTITION p2025_08;
-- OMRE
ALTER TABLE omre_mtp_tracking_events.mtp_tracking_events_omre drop partition p20250801;
ALTER TABLE omre_mtp_tracking_events.mtp_tracking_events_omre drop partition p20250802;
ALTER TABLE omre_mtp_tracking_events.mtp_tracking_events_context_omre DROP PARTITION p20250801;
ALTER TABLE omre_mtp_tracking_events.mtp_tracking_events_context_omre DROP PARTITION p20250802; Best regards Dinh Quang Nguyen</t>
  </si>
  <si>
    <t>2025-10-16T17:04:20.012+0700</t>
  </si>
  <si>
    <t>2025-10-16T17:08:18.536+0700</t>
  </si>
  <si>
    <t>V/v extend user dev on PROD</t>
  </si>
  <si>
    <t>2025-10-16T16:56:20.523+0700</t>
  </si>
  <si>
    <t>2025-10-20T11:54:19.336+0700</t>
  </si>
  <si>
    <t>gia hạn time sử dụng user trên DB PROD cho DEV hỗ trợ golive</t>
  </si>
  <si>
    <t>Tạo user db mpm temporary 4 day từ 22-26/9</t>
  </si>
  <si>
    <t>2025-10-16T16:54:58.871+0700</t>
  </si>
  <si>
    <t>2026-02-02T12:33:14.497+0700</t>
  </si>
  <si>
    <t xml:space="preserve">Nhờ ae support tạo user temp để ae dự án setup các dữ liệu cần thiết để golive lần đầu vào ngày 25/9 tới  Thông tin db:  mpm-prod.crcykac8kxtw.ap-southeast-1.rds.amazonaws.com  port 3306 Quyền edit data, import export các schema trong ảnh </t>
  </si>
  <si>
    <t>2025-10-16T15:36:15.207+0700</t>
  </si>
  <si>
    <t>2025-10-16T16:26:59.200+0700</t>
  </si>
  <si>
    <t>Dear team, Nhờ team chạy giúp câu lệnh để đếm số bản ghi các bảng với ạ. Thông tin database https://console.cloud.google.com/sql/instances/merchant-tcb/overview?inv=1&amp;invt=AbsndA&amp;project=vinid-merchant-prod DB_MYSQL_HOST=172.31.4.108
DB_MYSQL_DATABASE=merchant_service_tcb Câu lệnh SELECT count(1) FROM tpay_request_merchant;
SELECT count(1) FROM tpay_request_merchant_bank;
SELECT count(1) FROM tpay_request_store;
SELECT count(1) FROM tpay_request_terminal;
SELECT count(1) FROM tpay_store;
SELECT count(1) FROM tpay_store_service;
SELECT count(1) FROM tpay_terminal;
SELECT count(1) FROM tpay_terminal_service;</t>
  </si>
  <si>
    <t>[TMS][Prod] Execute sql migration script for Golive TMS Sprint LOG S95 (16/10/2025)</t>
  </si>
  <si>
    <t>2025-10-16T15:15:14.703+0700</t>
  </si>
  <si>
    <t>2025-10-16T22:58:55.308+0700</t>
  </si>
  <si>
    <t>Nhờ team thực hiện migration sql trước 22h ngày 16/10/2025 cho các database sau: Database  bytm_prod  (Oracle instance on GCE oracle-primary (Private IP: 10.255.24.170) (see attachments) (theo thứ tự) tms_S95_oracle.sql</t>
  </si>
  <si>
    <t>ADD thông tin tài khoản cho kho MAG08</t>
  </si>
  <si>
    <t>2025-10-16T14:16:28.549+0700</t>
  </si>
  <si>
    <t>2025-10-16T14:30:48.187+0700</t>
  </si>
  <si>
    <t>Dear anh em DBA  Do hôm qua chạy SQL thiếu tạo tài khoản cho MAG08, Nhờ ae chạy update giúp em thông tin sau: INSERT INTO restriction (key_restriction, value_restriction, user_id, role_id, is_active, created_by, last_modified_by, created_date, last_modified_date) SELECT     'DC',     'MAG_08',     u.id,     r.id,     TRUE,     'system',     'system',     UTC_TIMESTAMP,     UTC_TIMESTAMP FROM     role r     JOIN user u WHERE     r.code = 'WES_R_SUPERADMIN'     AND u.user_name IN ('phuonghd1@onemount.com', 'thien.hoang1@onemount.com', 'hoang.dau@onemount.com', 'ngocvtp@onemount.com', 'phuong.vu4@onemount.com');</t>
  </si>
  <si>
    <t>2025-10-16T10:25:46.152+0700</t>
  </si>
  <si>
    <t>2025-10-17T17:27:18.900+0700</t>
  </si>
  <si>
    <t>Dear các anh  Team em cần truy cập dữ liệu trên ODS  Bảng : omd_vinid_b2b_platform_prod_b2b_commerce_b2b_user_prod.CustomerUnit User : omd_metrics_platform</t>
  </si>
  <si>
    <t>[OMC][Flash Sale TCB] Hạ cấu hình các instance mysql/postgreSQL phục vụ Flash Sale 16/10/2025</t>
  </si>
  <si>
    <t>2025-10-16T01:22:23.376+0700</t>
  </si>
  <si>
    <t>2025-10-16T01:25:15.456+0700</t>
  </si>
  <si>
    <t>LoyaltyApp, OMC</t>
  </si>
  <si>
    <t>Thời gian thực hiện:  sau 1hAM  16/10/2025  Chi tiết như sau:   https://console.cloud.google.com/sql/instances/main/overview?project=vincart-prod 172.31.1.41 Từ: 8 CPUs 24 GB RAM , 20000 connections, innodb_buffer_pool_size  12884901888 Lên: 12 CPUs 32 GB RAM, innodb_buffer_pool_size           16874368000 Về ban đầu 8CPUs 24GB Ram , innodb_buffer_pool_size  12884901888   https://console.cloud.google.com/sql/instances/ecom-medium-mysql/overview?project=vincart-prod 172.31.4.9 Từ: 4 vCPUs 8 GB RAM , innodb_buffer_pool_size    3221225472 Lên: 8 CPUs 16 GB RAM, innodb_buffer_pool_size  10037418240 Về ban đầu 4 vCPUs 8 GB RAM , innodb_buffer_pool_size   3221225472   https://console.cloud.google.com/sql/instances/oneloyalty/overview?project=vinid-loyalty-prod 172.31.7.6 Từ: 4 CPUs          8 GB RAM , innodb_buffer_pool_size   4294967296 Lên: 8 CPUs        16 GB RAM , innodb_buffer_pool_size   10037418240  Về ban đầu 4 CPUs          8 GB RAM , innodb_buffer_pool_size   4294967296 https://console.cloud.google.com/sql/instances/onevoucher/overview?project=vinid-loyalty-prod 172.31.4.126 Từ: 4 CPUs          16 GB RAM , innodb_buffer_pool_size                    8589934592 Lên: 8 CPUs        24 GB RAM , innodb_buffer_pool_size  12884901888 Về ban đầu 4 CPUs          16 GB RAM , innodb_buffer_pool_size                    8589934592   https://console.cloud.google.com/sql/instances/voucher-distribution/overview?project=vinid-loyalty-prod 172.31.4.82 Từ: 2 CPUs          8 GB RAM , innodb_buffer_pool_size   4294967283 Lên: 8 CPUs        16 GB RAM , innodb_buffer_pool_size  10037418240 Về ban đầu 2 CPUs          8 GB RAM , innodb_buffer_pool_size   4294967283   https://console.cloud.google.com/sql/instances/postgres-01/overview?authuser=0&amp;project=vinid-service-platform-prod 172.31.7.11 Từ: 4 CPUs          8 GB RAM Lên: 4 CPUs        16 GB RAM Về ban đầu 4 CPUs          8 GB RAM   https://console.cloud.google.com/sql/instances/omc-authentication/overview?project=omc-base-platform-prod 172.31.3.40 Từ: 4 CPUs          8 GB RAM Giữ nguyên cấu hình</t>
  </si>
  <si>
    <t>Hỗ trợ tạo dữ liệu mở mới kho SCM_TEST - Demo Masterise và kho SCM_TEST_1 - Demo Masterise 01</t>
  </si>
  <si>
    <t>2025-10-15T22:20:24.515+0700</t>
  </si>
  <si>
    <t>2025-10-15T23:02:10.238+0700</t>
  </si>
  <si>
    <t>Hi DBA team,  Hiện tại nghiệp vụ có nhu cầu mở mới kho SCM_TEST - Demo Masterise,  nhờ team DBA hỗ trợ cập nhật giá trị theo thông tin dưới đây   Cụm WMS Project : vinid-b2b-platform-prod Instance/IP : main (read-write): 172.31.4.59 Port : 3306 Database : omd_wms_core Script : file  omd_wms_core_demo_mag.sql  trong file đính kèm Cum WES Project : vinid-b2b-platform-prod Instance/IP : main (read-write): 172.31.1.143 Port : 3306 Database : wes_master Script : file  wes_master_demo_mag.sql  trong file đính kèm Câu query đánh giá là có thể ảnh hưởng đến vận hành hệ thống nên mong muốn chạy vào thời gian vận hành thấp điểm (từ 22h-2h sáng).</t>
  </si>
  <si>
    <t>Hỗ trợ tạo dữ liệu mở mới kho MAG_07 (LSB-NTTC)</t>
  </si>
  <si>
    <t>2025-10-15T22:15:23.478+0700</t>
  </si>
  <si>
    <t>2025-10-15T22:19:23.684+0700</t>
  </si>
  <si>
    <t>Hi DBA team,  Hiện tại nghiệp vụ có nhu cầu mở mới kho MAG_07 (LSB-NTTC),  nhờ team DBA hỗ trợ cập nhật giá trị theo thông tin dưới đây   Cụm WMS Project : vinid-b2b-platform-prod Instance/IP : main (read-write): 172.31.4.59 Port : 3306 Database : omd_wms_core Script : file  omd_wms_core_mag07.sql  trong file đính kèm Cum WES Project : vinid-b2b-platform-prod Instance/IP : main (read-write): 172.31.1.143 Port : 3306 Database : wes_master Script : file  wes_master_mag07.sql  trong file đính kèm Câu query đánh giá là có thể ảnh hưởng đến vận hành hệ thống nên mong muốn chạy vào thời gian vận hành thấp điểm (từ 22h-2h sáng).</t>
  </si>
  <si>
    <t>Hỗ trợ tạo dữ liệu mở mới kho  MAG_08 (Lux 2&amp;3)</t>
  </si>
  <si>
    <t>2025-10-15T22:08:30.493+0700</t>
  </si>
  <si>
    <t>2025-10-15T22:13:44.545+0700</t>
  </si>
  <si>
    <t>Hi DBA team,  Hiện tại nghiệp vụ có nhu cầu mở mới kho MAG_07 (LSB-NTTC),  nhờ team DBA hỗ trợ cập nhật giá trị theo thông tin dưới đây   Cụm WMS Project : vinid-b2b-platform-prod Instance/IP : main (read-write): 172.31.4.59 Port : 3306 Database : omd_wms_core Script : file  omd_wms_core_mag08.sql  trong file đính kèm Cum WES Project : vinid-b2b-platform-prod Instance/IP : main (read-write): 172.31.1.143 Port : 3306 Database : wes_master Script : file  wes_master_mag08.sql  trong file đính kèm Câu query đánh giá là có thể ảnh hưởng đến vận hành hệ thống nên mong muốn chạy vào thời gian vận hành thấp điểm (từ 22h-2h sáng).</t>
  </si>
  <si>
    <t>[OMD-B2B-PROMOTION] Yêu cầu alter table chứa master data</t>
  </si>
  <si>
    <t>2025-10-15T19:51:14.183+0700</t>
  </si>
  <si>
    <t>2025-10-15T20:01:05.419+0700</t>
  </si>
  <si>
    <t>Hi Team, Nhờ Team run giúp lệnh sau, thêm cột extract từ payload json của master data ALTER TABLE Conditions
    ADD COLUMN region VARCHAR(1000)
        GENERATED ALWAYS AS (
            REPLACE(
                    REPLACE(
                            REPLACE(
                                    REPLACE
                                    (
                                            JSON_EXTRACT(payload, '$.parameters.regions.value'),
                                            '[', ''
                                    ),
                                    ']', ''
                            ),
                            '"', ''
                    ),
                    ' ', ''
            )
            ) VIRTUAL; Thời gian thực hiện 20h:00 tối hôm nay 15/10 Thông tin DB: b2b-promotion project=vinid-b2b-platform-prod instance:  b2b-commerce 172.31.4.113 db: b2b_promotion_prod Thank Team!</t>
  </si>
  <si>
    <t>[OMRE][Non PROD] Fix connector Kafka</t>
  </si>
  <si>
    <t>2025-10-15T19:10:27.418+0700</t>
  </si>
  <si>
    <t>2025-10-15T19:11:09.078+0700</t>
  </si>
  <si>
    <t>Connector kafka của CBP đang bị lỗi. Em nhờ team rà soát và fix lỗi giúp e ạ Em cảm ơn.</t>
  </si>
  <si>
    <t>[OMC][PROD]Tạo index cho vincart_mm_orders</t>
  </si>
  <si>
    <t>2025-10-15T17:39:24.915+0700</t>
  </si>
  <si>
    <t>2025-10-15T17:39:54.625+0700</t>
  </si>
  <si>
    <t>landing_oneu</t>
  </si>
  <si>
    <t xml:space="preserve">IP: 172.31.1.41 database: vincart_mm_order query: ALTER TABLE orders ADD INDEX order_user_id_idx (user_id), ALGORITHM=INPLACE, LOCK=NONE; CR:   </t>
  </si>
  <si>
    <t xml:space="preserve">[OMC][PROD] Tại index cho bảng vmm_product_inventory </t>
  </si>
  <si>
    <t>2025-10-15T16:33:58.646+0700</t>
  </si>
  <si>
    <t>2025-10-15T16:37:49.669+0700</t>
  </si>
  <si>
    <t>Đánh index cho bảng inventories cuả database vincart_mm_product IP: 172.31.1.41 instane name: main query: ALTER TABLE inventories ADD INDEX inventory_product_id_idx (product_id), ALGORITHM=INPLACE, LOCK=NONE;  </t>
  </si>
  <si>
    <t>[OMC][CDP] Tạo standard segments cho MKT</t>
  </si>
  <si>
    <t>2025-10-15T16:18:25.080+0700</t>
  </si>
  <si>
    <t>2025-10-15T16:18:39.841+0700</t>
  </si>
  <si>
    <t>Dear anh  @Nguyễn Văn Dũng  , nhờ anh chạy giúp em script sau: DB:  172.31.3.49 INSERT INTO mtp_audience_management.public.segments
(data_source_id, type, status, description, hash, level_1, level_2, level_3, level_4, segment_config, business_unit_id)
VALUES
-- 0 giao dịch
(2, 'STANDARD', 'ACTIVE',
 'KH đăng kí sinh lời tự động ở app Techcombank tuỳ chọn option nhận lãi bằng điểm',
 'e5131a41228c94f6b7fd7a1f50587d569066166c988169b902740e8a24a11e46',
 'Hành vi liên kết tài khoản OneU &amp; TCB Rewards',
 'Đặc điểm khách hàng', 'Đã bật Sinh lời tự động (AE+)',
 '', '{
  "AND": [
    {
      "AND": [
        {
          "label_code": "hv_tt_ae_plus_upoint",
          "operator": "=",
          "data_type": "STRING",
          "value": "1"
        }
      ]
    }
  ]
}', 4); Best regards Dinh Quang Nguyen</t>
  </si>
  <si>
    <t>[OMD] - Kéo dữ liệu Dremio vb_omd_tracking_gmv về ODS</t>
  </si>
  <si>
    <t>2025-10-15T11:59:24.887+0700</t>
  </si>
  <si>
    <t>2025-10-15T17:19:35.134+0700</t>
  </si>
  <si>
    <t>Description Context: Để phục vụ nhu cầu tính GMV Loyalty ver3.0. Thông tin chi tiết theo ticket sau:   Nhờ team hỗ trợ kéo các bảng sau từ Dremio về DB ODS ạ Schema :  +  Nonprod : omd_vinid_app_common_dev_main_mysql_8_omd_b2b_custom_oms_qc +  Prod : omd_vinid_b2b_platform_prod_b2b_commerce_b2b_oms_prod STT Source (Dremio) Target (ODS) Query Tần suất Thời gian chạy 1 dp.omd.semantic."omd_basedata"."vb_omd_tracking_gmv_monthly" omd_vinid_app_common_dev_main_mysql_8_omd_b2b_custom_oms_qc. vb_omd_tracking_gmv_monthly select * from dp.omd.semantic."omd_basedata"."vb_omd_tracking_gmv_monthly"
where row_created_at &gt;= date_add(current_date(), cast(-1 as interval DAY)) 1 ngày/lần 00:00 2 dp.omd.semantic."omd_basedata"."vb_omd_tracking_gmv_daily" omd_vinid_app_common_dev_main_mysql_8_omd_b2b_custom_oms_qc. vb_omd_tracking_gmv_daily select * from dp.omd.semantic."omd_basedata"."vb_omd_tracking_gmv_daily"
where row_created_at &gt;= date_add(current_date(), cast(-1 as interval DAY)) 1 ngày/lần 00:00 Lưu ý: Lần chạy đầu tiên Init dữ liệu phải đẩy full, bỏ điều kiện where trong query Thanks</t>
  </si>
  <si>
    <t>[Salestools][NonProd] Cài đặt extention PostGIS và tạo mới schema</t>
  </si>
  <si>
    <t>2025-10-15T10:25:59.740+0700</t>
  </si>
  <si>
    <t>2025-10-15T10:26:17.148+0700</t>
  </si>
  <si>
    <t xml:space="preserve">Team dự án cần hỗ trợ cài đặt PostGIS để sử dụng các function query geospatial data cho bài toán CHIA TUYẾN BÁN HÀNG CHO SALE Instance:  https://console.cloud.google.com/sql/instances?project=om-common-db-np Tạo mới schema:  geo_boundaries Import file schema như đính kèm </t>
  </si>
  <si>
    <t>Team OMS-taskbox xin cấp account service</t>
  </si>
  <si>
    <t>2025-10-15T10:14:03.376+0700</t>
  </si>
  <si>
    <t>2025-10-16T17:17:43.408+0700</t>
  </si>
  <si>
    <t>E xin Y/c cấp 1 user database dùng cho api application service connect trực tiếp database TiDB schema b2b_user_prod ạ</t>
  </si>
  <si>
    <t>2025-10-15T09:44:12.962+0700</t>
  </si>
  <si>
    <t>2025-10-23T17:34:59.992+0700</t>
  </si>
  <si>
    <t>[UPAY][PROD] Nâng disk của component TIKV cụm Tidb Upay</t>
  </si>
  <si>
    <t>2025-10-15T09:11:23.501+0700</t>
  </si>
  <si>
    <t>2025-10-15T09:11:33.268+0700</t>
  </si>
  <si>
    <t>Products</t>
  </si>
  <si>
    <t>Nâng disk của component TIKV cụm Tidb Upay IP: 10.255.24.243, 10.255.24.241, 10.255.24.238 Disk: sdb từ 750GB lên 1000GB</t>
  </si>
  <si>
    <t>[UPAY][PROD] Tạo export các DB mysql trên gcloud ra bucket, sau đó đẩy về DC lưu trữ</t>
  </si>
  <si>
    <t>2025-10-14T23:04:04.203+0700</t>
  </si>
  <si>
    <t>2025-10-15T11:30:30.107+0700</t>
  </si>
  <si>
    <t>Dự án UPAY cần thực hiện Tạo export các DB mysql trên gcloud ra bucket, sau đó đẩy về DC lưu trữ Các DB liên quan dịch vụ: --Cổng thanh toán vinpay-sql-onehub-master.int.vinid.net:3306/qrdb vinpay-sql-onehub-master.int.vinid.net:3306/pay_payment_gateway vinpay-sql-hp-master.int.vinid.net:3306/transaction_log – Tra cứu đối soát 172.31.1.133:3306/reconciliation – Hỗ trợ thu hộ chi hộ vinpay-sql-lp-master.int.vinid.net:3306/ops_pay_service Thông tin các project cloud liên quan project: vinpay-prod instance: high-performance Master IP: 172.31.1.146 DNS:  vinpay-sql-hp-master.int.vinid.net project: vinpay-prod instance: low-performance Master IP: 172.31.1.149 DNS:  vinpay-sql-lp-master.int.vinid.net project: vinpay-prod instance: onehub Master IP: 172.31.1.148 DNS:  vinpay-sql-onehub-master.int.vinid.net project: vinid-incubator-prod instance: reconciliation	 Master IP: 172.31.1.133 Tên các file thực hiện export: .133 oneid-data-backup-prod-int/mysql/UPAY/Cloud_SQL_Export_2025_10_14_reconciliation.sql .148 oneid-data-backup-prod-int/mysql/UPAY/Cloud_SQL_Export_2025_10_14_pay_payment_gateway.sql oneid-data-backup-prod-int/mysql/UPAY/Cloud_SQL_Export_2025_10_14_qrdb.sql .146 oneid-data-backup-prod-int/mysql/UPAY/Cloud_SQL_Export_2025_10_14_transaction_log.sql .149 oneid-data-backup-prod-int/mysql/UPAY/Cloud_SQL_Export_2025_10_14_ops_pay_service.sql Bucket lưu trữ:  oneid-data-backup-prod-int/mysql/UPAY https://console.cloud.google.com/storage/browser/oneid-data-backup-prod-int/mysql/UPAY?project=vinid-app-common-prod Sau khi có file backup export trên bucket, nhờ  @Đặng Ngọc Bền   @Lê Tuấn Tú  kéo về lưu trữ ở DC giúp dự án. Thời gian thực hiện export:  23h ngày 14oct25</t>
  </si>
  <si>
    <t>[VCM][Prod] Chạy script update thông tin giá bán của voucher.</t>
  </si>
  <si>
    <t>2025-10-14T22:48:35.772+0700</t>
  </si>
  <si>
    <t>2025-10-14T23:57:31.240+0700</t>
  </si>
  <si>
    <t>Nhờ team DBA chạy giúp script update giá voucher với thông tin sau: IP: 172.31.1.41 Database:  vincart_mm_product SCript trong attach file  Thời gian thực hiện: 23h 14/10/2023</t>
  </si>
  <si>
    <t>MH - Support delete duplicate record task template</t>
  </si>
  <si>
    <t>2025-10-14T17:21:22.442+0700</t>
  </si>
  <si>
    <t>2025-12-15T21:58:14.839+0700</t>
  </si>
  <si>
    <t>Hi các anh, Trong quá trình user sử dụng app để tạo cấu hình công việc định kỳ sáng nay, do lỗi race condition nên hệ thống đã tạo ra các bản ghi duplicate code nhau, nhờ các anh support em câu query xóa sau để user có thể sử dụng bình thường lại được tính năng này, em cảm ơn ạ. Trên mysql: DELETE FROM task_templates
WHERE created_date &gt;= '2025-10-14'; thông tin database :  mpm-prod.crcykac8kxtw.ap-southeast-1.rds.amazonaws.com:3306 tên database:  mpm_common_tasks Trên es: POST /db-mpm-common-tasks-task-templates-stg/_delete_by_query
{
  "size": 1000,
  "query": {
    "range": {
      "created_date": {
        "gte": "1760400000000"
      }
    }
  }
}</t>
  </si>
  <si>
    <t>[OMC][DP][Kafka][PROD] V/v tạo topic bảng mới</t>
  </si>
  <si>
    <t>2025-10-14T15:14:54.222+0700</t>
  </si>
  <si>
    <t>2025-10-14T16:45:42.778+0700</t>
  </si>
  <si>
    <t>Dear Linh, Em tạo giúp anh topic cho bảng mới trên VMM để anh kéo dữ liệu về DP với nhé: Host: 172.31.1.41 Table: vincart_mm_product . variant_price_segments</t>
  </si>
  <si>
    <t>[VCM] Update tồn campaign voucher cho FS 14/10/2025</t>
  </si>
  <si>
    <t>2025-10-14T12:28:30.436+0700</t>
  </si>
  <si>
    <t>2025-10-14T12:30:37.426+0700</t>
  </si>
  <si>
    <t>Hi anh Dương, Anh chạy giúp em script ở dưới nhé: Database  vincart_mm_product IP:  172.31.1.41 Script migrate ticket_code trên bảng  campaign_variant UPDATE `campaign_variant` SET `quantity` = '0' WHERE variant_id = 1011278 and campaign_code = 'bWjLnGPRd';
UPDATE `campaign_variant` SET `quantity` = '0' WHERE variant_id = 1011046 and campaign_code = 'mE32Dm2Zb';
UPDATE `campaign_variant` SET `quantity` = '0' WHERE variant_id = 1011493 and campaign_code = 'zzk2Y5d3Z';
UPDATE `campaign_variant` SET `quantity` = '0' WHERE variant_id = 1011268 and campaign_code = 'zzk2Y5d3Z';
UPDATE `campaign_variant` SET `quantity` = '0' WHERE variant_id = 1012130 and campaign_code = 'zzk2Y5d3Z';
UPDATE `campaign_variant` SET `quantity` = '0' WHERE variant_id = 1012459 and campaign_code = 'zzk2Y5d3Z';</t>
  </si>
  <si>
    <t>[OMD][DP][Kafka][PROD] Hỗ trợ tạo kafka topic cho các bảng TiDB</t>
  </si>
  <si>
    <t>2025-10-13T17:10:41.664+0700</t>
  </si>
  <si>
    <t>2025-10-14T12:35:23.561+0700</t>
  </si>
  <si>
    <t xml:space="preserve">Dear anh  @Trần Trương Dương  và team DBA, Hiện tại, OMD có nhu cầu kéo thêm dữ liệu từ tiDB của CDP về DP để khai thác xây dựng báo cáo, nhờ anh Dương tạo kafka topic cho bảng theo thông tin dưới đây ạ. IP Host Schema Table omd-tidb.int.onemount.com:4000 omd_cdp_data_from_ingest GT_PROFILE Thanks and regards! cong.do1 cc anh  @Lê Minh Tú   @Lưu Văn Hiếu  </t>
  </si>
  <si>
    <t>[DBA - SAP] Giảm size và active lại hệ DEV/Staging SAP</t>
  </si>
  <si>
    <t>2025-10-13T15:12:14.816+0700</t>
  </si>
  <si>
    <t>2025-10-13T15:13:09.910+0700</t>
  </si>
  <si>
    <t>Bật lại hệ sap cũ để cho DEV sài tạm phục vụ việc QC function mới</t>
  </si>
  <si>
    <t>2025-10-13T14:45:47.444+0700</t>
  </si>
  <si>
    <t>2025-10-13T14:53:12.122+0700</t>
  </si>
  <si>
    <t>2025-10-13T14:27:59.733+0700</t>
  </si>
  <si>
    <t>2025-10-16T17:00:51.805+0700</t>
  </si>
  <si>
    <t>ODS, OMD</t>
  </si>
  <si>
    <t>Context: Để phục vụ nhu cầu tính GMV Loyalty ver3.0. Thông tin chi tiết theo ticket sau:   Nhờ team hỗ trợ kéo các bảng sau từ Dremio về DB ODS ạ Dremio ODS Comment dp.omd.semantic.omd_basedata.vb_omd_tracking_gmv_daily vb_omd_tracking_gmv_daily dp.omd.semantic.omd_basedata.vb_omd_tracking_gmv_monthly vb_omd_tracking_gmv_monthly Thanks</t>
  </si>
  <si>
    <t>[DBA - CTMS] hỗ trợ tạo database staging trên env sandbox</t>
  </si>
  <si>
    <t>2025-10-13T11:48:07.727+0700</t>
  </si>
  <si>
    <t>2025-10-13T11:49:00.139+0700</t>
  </si>
  <si>
    <t>ctms-staging  DB_CONNECTION: mysql   DB_DATABASE: erp-stg   DB_HOST:  ctms-staging-mysql.cr62264i6qsz.ap-southeast-1.rds.amazonaws.com   DB_PASSWORD: X2NL1PPvGL52HJbZBLvSlvVLYPP2jgpJ   DB_PORT: "3306"   DB_USERNAME: erp-stg</t>
  </si>
  <si>
    <t>[OMRE][Kafka][CBP][CDP][NonPROD] Tạo topic cho các bảng CBP môi trường UAT</t>
  </si>
  <si>
    <t>2025-10-13T10:42:10.763+0700</t>
  </si>
  <si>
    <t>2025-10-13T10:42:46.566+0700</t>
  </si>
  <si>
    <t>Dear các anh. Em đang triển khai các data model liên quan đến dự án CBP. Em có nhu cầu kéo bảng từ source về DP nên mong các anh hỗ trợ tạo topic theo thông tin sau ạ: Database: omre_cbp_collab_uat Host:172.31.0.67 Port:3306 Table:  match_bookmark_listings cont_contact_listings Em xin cảm ơn ạ.</t>
  </si>
  <si>
    <t>[DBA] V/v tạo script backup cho CS</t>
  </si>
  <si>
    <t>2025-10-13T02:48:50.353+0700</t>
  </si>
  <si>
    <t>2025-10-13T02:49:30.788+0700</t>
  </si>
  <si>
    <t>script backup cho CS</t>
  </si>
  <si>
    <t>[UPAY] [PS2] [GL] Modify data type table</t>
  </si>
  <si>
    <t>2025-10-11T12:14:43.600+0700</t>
  </si>
  <si>
    <t>2025-10-11T12:15:15.469+0700</t>
  </si>
  <si>
    <t>Hi các anh, Vào lúc 18h ngày 10/10/2025 , team em có deploy modify column kiểu dữ liệu decimal(32,6) nhờ các anh process giúp em với ạ. CR :    Em gửi thông tin DB :  tidb.int.onemount.com:4000/vinpay_vinpay_prod_saas_ps2_general_ledger alter table gl_burning_voucher_cost_detail modify selling_prepaid_cost decimal(32, 6) null;
alter table gl_burning_voucher_cost_detail modify prepaid_cost_difference decimal(32, 6) null;
alter table gl_burning_voucher_cost_summary modify selling_prepaid_cost decimal(32, 6) null;
alter table gl_burning_voucher_cost_summary modify prepaid_cost_difference decimal(32, 6) null;
alter table gl_aggregate_accounting modify vnd_amount decimal(32, 6) null;
alter table gl_pwp_post_purchase_cost_detail modify gross_amount decimal(32, 6) null;
alter table gl_pwp_post_purchase_cost_detail modify cost_difference decimal(32, 6) null;
alter table gl_pwp_post_purchase_cost_detail modify received_value decimal(32, 6) null;
alter table gl_pwp_post_purchase_cost_summary modify gross_amount decimal(32, 6) null;
alter table gl_pwp_post_purchase_cost_summary modify cost_difference decimal(32, 6) null;
alter table gl_pwp_post_purchase_cost_summary modify received_value decimal(32, 6) null; Em cảm ơn,</t>
  </si>
  <si>
    <t>[DBA] V/v tạo script backup cho CRM postgres 12</t>
  </si>
  <si>
    <t>2025-10-11T09:43:31.575+0700</t>
  </si>
  <si>
    <t>2025-10-13T02:47:53.605+0700</t>
  </si>
  <si>
    <t>Database, MAG</t>
  </si>
  <si>
    <t>Tạo script backup database CRM postgres 10.10.12.72 với tần suất 1 ngày 1 lần</t>
  </si>
  <si>
    <t>[OMRE][CBP][PROD] Triển khai hạ tầng MongoDB Atlas</t>
  </si>
  <si>
    <t>2025-10-11T09:22:54.766+0700</t>
  </si>
  <si>
    <t>2025-10-11T09:23:49.568+0700</t>
  </si>
  <si>
    <t>Triển khai hạ tầng mongodb atlas production cho dự án cbp. thông tin khởi tạo: Tên cluster: OMRE-CBP-Prod Version mongoDB: MongoDB 8.0 (mới nhất hiện tại) Cấu hình mongoDB Atlas: khởi tạo M10, Auto-Scale lên M30 Storage: Auto-Scale</t>
  </si>
  <si>
    <t>[OMD][WMS] Hỗ trợ cập nhật dữ liệu transactionQty của order_item 511358 - kho NPP PHO04</t>
  </si>
  <si>
    <t>2025-10-10T16:53:23.182+0700</t>
  </si>
  <si>
    <t>2025-10-10T16:55:58.214+0700</t>
  </si>
  <si>
    <t>Hi DBA team, Hiện tại có 1 trường trong Database sai dữ liệu do lỗi trong quy trình vận hành dẫn đến block luồng Cất hàng , nhờ team DBA hỗ trợ cập nhật giá trị theo thông tin dưới đây. Project : vinid-b2b-platform-prod Instance/IP : main (read-write): 172.31.4.59 Port : 3306 Database : omd_wms_thuanphong2 Query update order_item i set i.transaction_qty = 120 where i.order_item_id = 511358; Câu query đánh giá là an toàn nên có thể thực hiện cập nhật bất kỳ lúc nào mà không ảnh hưởng đến vận hành hệ thống.</t>
  </si>
  <si>
    <t>2025-10-10T15:30:46.242+0700</t>
  </si>
  <si>
    <t>2025-10-10T15:45:45.396+0700</t>
  </si>
  <si>
    <t>Repo:  https://gitlab.id.vin/1housing/cbp/virtualtour/panorama-process.git Em chào anh chị, Anh/chị tạo giúp em schema cho môi trường non-prod cho service này giúp em với ạ. schema: omre_cbp_panorama_process_uat user: omre_cbp_panorama_process_uat password: htI7hBxZ9PKhS8Mf  schema: omre_cbp_panorama_process_qc   user: omre_cbp_panorama_process_qc   password: Gdwedfkndgwodn@123 name:  omre-cbp-mysql8  IP: 172.31.0.67 project: omre-cobroker-np DNS:  omre-cobroker-np--omre-cbp-mysql8.cloudsql.int .</t>
  </si>
  <si>
    <t>Team OMS-taskbox xin cấp tài khoản để query vào DB trên ODS</t>
  </si>
  <si>
    <t>2025-10-10T15:08:44.632+0700</t>
  </si>
  <si>
    <t>2025-10-10T15:24:22.721+0700</t>
  </si>
  <si>
    <t>Dear a Dương Team TaskBox đang có nhu cầu query vào DB ở trên ODS, nhờ a cấp giúp e 1 account ạ E gửi thông tin DB:  QC: DB Mysql  ODS TiDB omd_oracle_hybris  Schema: omd_vinid_app_common_dev_main_mysql_8_omd_b2b_custom_user_qc</t>
  </si>
  <si>
    <t>Nhờ anh truy vấn dự liệu LitePOS PCM PROD ạ</t>
  </si>
  <si>
    <t>2025-10-10T11:45:30.567+0700</t>
  </si>
  <si>
    <t>2025-10-10T11:53:57.159+0700</t>
  </si>
  <si>
    <t>Nhờ anh truy vấn dự liệu LitePOS PCM PROD ạ SELECT b.StoreKey, b.createdAt
FROM BaseStore b
WHERE 
    NOT EXISTS (
        SELECT 1 
        FROM Merchant m 
        WHERE m.code = b.StoreKey
    )
    OR
    NOT EXISTS (
        SELECT 1 
        FROM Warehouse w 
        WHERE w.code = CONCAT('W_', b.StoreKey)
    ); thông tin DB: gcp project: omd-pos-prod
instance: omd-pos-commerce (IP: 172.31.1.6)
DB: litepos_pcm_prod  </t>
  </si>
  <si>
    <t>[TCB][POS][PROD] Bổ sung index TMS SmartPOS</t>
  </si>
  <si>
    <t>2025-10-09T23:30:45.797+0700</t>
  </si>
  <si>
    <t>2025-10-10T00:57:20.819+0700</t>
  </si>
  <si>
    <t>dear các anh, nhờ các anh bổ sung index dưới trên database  https://console.cloud.google.com/sql/instances/gini-tms-smartpos/overview?project=vinpay-prod  giúp team ạ CREATE INDEX IX_PARAMETER_PART_APP_FAM_PARNAME
ON dbo.PARAMETER (PARTID, APPNM, FAMNM, PARNAMELOC)
INCLUDE (VALUE);
CREATE INDEX IX_APP_PARAM_JOIN
ON dbo.APPLICATION_PARAMETER (APPNM, GROUP_NAME, SUB_GROUP_NAME, PARAM_VISIBLE)
INCLUDE (GROUP_VALUE, PARAM_NAME, ROW_VALUE, ID); Thời gian thực hiện: 00hAM - 02hAM ngày 10/10/2025</t>
  </si>
  <si>
    <t>[OMRE][CBP][Broker][NonPROD]V/v nâng cấp Cloudsql version từ 8.0 lên 8.4.6 trên Host instance omre-cbp-mysql8</t>
  </si>
  <si>
    <t>2025-10-09T22:14:29.480+0700</t>
  </si>
  <si>
    <t>2025-10-14T23:59:36.745+0700</t>
  </si>
  <si>
    <t>[OMRE][CBP][Broker][NonPROD]V/v nâng cấp Cloudsql version từ 8.0 lên 8.4.6 trên Host instance omre-cbp-mysql8 Host instance:  https://console.cloud.google.com/sql/instances/omre-cbp-mysql8/overview?project=omre-cobroker-np Thời gian: 22h ngày 09/10/2025.</t>
  </si>
  <si>
    <t>[OMC][CDP] Xoá segment test và clear dữ liệu user tương tác với Gami</t>
  </si>
  <si>
    <t>2025-10-09T17:38:59.050+0700</t>
  </si>
  <si>
    <t>2025-10-09T17:39:09.065+0700</t>
  </si>
  <si>
    <t>Dear anh  @Nguyễn Văn Dũng  ,  nhờ anh chạy giúp em script sau: -- DB: tidb.int.onemount.com
-- Schema: dp_omc_semantic_omc_bsi_cdp
DELETE FROM dp_omc_semantic_omc_bsi_cdp.f_customer_label
WHERE label_code IN (
  'hv_gd_dv_vc_gami_l30_txn',
  'hv_gd_dv_vc_gami_not_done_lasttime',
  'hv_gd_dv_vc_gami_done_lasttime',
  'hv_gd_dv_vc_gami_has'
);
INSERT INTO dp_omc_semantic_omc_bsi_cdp.f_customer_label (pk, customer_pk, customer_id, label_cate_code, label_cate_name, label_code, label_name, label_value, row_created_at)
VALUES
('3b9f7e8b7f7a7b9c7a9b7c9d7e9f7a1b', 'e8b7f7a7b9c7a9b7c9d7e9f7a1b2c3d', '88322', 'hv_tt', 'Hành vi tương tác', 'hv_tt_inspire_nonhh_01_10_no_burn_l30d', 'Là khách hàng Inspire của TCB liên kết tài khoản', '1', NOW()),
('4c0a8f9c8a8b8c0a8b9c8d0a9f1b2c4e', 'e8b7f7a7b9c7a9b7c9d7e9f7a1b2c3d', '88322', 'hv_tt', 'Hành vi tương tác', 'hv_tt_ntb_01_10_no_burn_l30d', 'Là khách hàng NTB của TCB liên kết tài khoản', '1', NOW()),
('5d1b9a0d9b9c9d1b9c0d9e1b0a2c3d5f', 'f9c8a8b8c0a8b9c8d0a9f1b2c3d4e5f', '7686094', 'hv_tt', 'Hành vi tương tác', 'hv_tt_inspire_nonhh_01_10_no_burn_l30d', 'Là khách hàng Inspire của TCB liên kết tài khoản', '1', NOW()),
('6e2c0b1e0c0d0e2c0d1e0f2c1b3d4e6a', 'f9c8a8b8c0a8b9c8d0a9f1b2c3d4e5f', '7686094', 'hv_tt', 'Hành vi tương tác', 'hv_tt_ntb_01_10_no_burn_l30d', 'Là khách hàng NTB của TCB liên kết tài khoản', '1', NOW()),
('7f3d1c2f1d1e1f3d1e2f1a3d2c4e5f7b', '0a9b9c9d0b9c8d0a9e1b0f2c3d4e5f6a', '1242171', 'hv_tt', 'Hành vi tương tác', 'hv_tt_inspire_nonhh_01_10_no_burn_l30d', 'Là khách hàng Inspire của TCB liên kết tài khoản', '1', NOW()),
('8a4e2d3a2e2f2a4e2f3a2b4e3d5f6a8c', '0a9b9c9d0b9c8d0a9e1b0f2c3d4e5f6a', '1242171', 'hv_tt', 'Hành vi tương tác', 'hv_tt_ntb_01_10_no_burn_l30d', 'Là khách hàng NTB của TCB liên kết tài khoản', '1', NOW()),
('9b5f3e4b3f3a3b5f3e4b3c5f4e6a7b9d', '1b0c0d1e0c0d9e1b0f2c1a3d4e5f6a7b', '788579', 'hv_tt', 'Hành vi tương tác', 'hv_tt_inspire_nonhh_01_10_no_burn_l30d', 'Là khách hàng Inspire của TCB liên kết tài khoản', '1', NOW()),
('0c6a4f5c4a4b4c6a4f5c4d6a5f7b8c0e', '1b0c0d1e0c0d9e1b0f2c1a3d4e5f6a7b', '788579', 'hv_tt', 'Hành vi tương tác', 'hv_tt_ntb_01_10_no_burn_l30d', 'Là khách hàng NTB của TCB liên kết tài khoản', '1', NOW()),
('1d7b5a6d5b5c5d7b5a6d5e7b6a8c9d1f', '2c1d1e2f1d1e0f2c1a3d2b4e5f6a7b8c', '20486001', 'hv_tt', 'Hành vi tương tác', 'hv_tt_inspire_nonhh_01_10_no_burn_l30d', 'Là khách hàng Inspire của TCB liên kết tài khoản', '1', NOW()),
('2e8c6b7e6c6d6e8c6b7e6f8c7b9d0e2a', '2c1d1e2f1d1e0f2c1a3d2b4e5f6a7b8c', '20486001', 'hv_tt', 'Hành vi tương tác', 'hv_tt_ntb_01_10_no_burn_l30d', 'Là khách hàng NTB của TCB liên kết tài khoản', '1', NOW()),
('3f9d7c8f7d7e7f9d7c8f7a9d8c0e1f3b', '3d2e2f3a2e2f1a3d2b4e3c5f6a7b8c9d', '20319366', 'hv_tt', 'Hành vi tương tác', 'hv_tt_inspire_nonhh_01_10_no_burn_l30d', 'Là khách hàng Inspire của TCB liên kết tài khoản', '1', NOW()),
('4a0e8d9a8e8f8a0e8d9a8b0e9d1f2a4c', '3d2e2f3a2e2f1a3d2b4e3c5f6a7b8c9d', '20319366', 'hv_tt', 'Hành vi tương tác', 'hv_tt_ntb_01_10_no_burn_l30d', 'Là khách hàng NTB của TCB liên kết tài khoản', '1', NOW()),
('5b1f9e0b9f9a9b1f9e0b9c1f0e2a3b5d', '4e3f3a4b3f3a2b4e3c5f4d6a7b8c9d0e', '20300966', 'hv_tt', 'Hành vi tương tác', 'hv_tt_inspire_nonhh_01_10_no_burn_l30d', 'Là khách hàng Inspire của TCB liên kết tài khoản', '1', NOW()),
('6c2a0f1c0a0b0c2a0f1c0d2a1f3b4c6e', '4e3f3a4b3f3a2b4e3c5f4d6a7b8c9d0e', '20300966', 'hv_tt', 'Hành vi tương tác', 'hv_tt_ntb_01_10_no_burn_l30d', 'Là khách hàng NTB của TCB liên kết tài khoản', '1', NOW()),
('7d3b1a2d1b1c1d3b1a2d1e3b2a4c5d7f', '5f4a4b5c4a4b3c5f4d6a5e7b8c9d0e1f', '18398', 'hv_tt', 'Hành vi tương tác', 'hv_tt_inspire_nonhh_01_10_no_burn_l30d', 'Là khách hàng Inspire của TCB liên kết tài khoản', '1', NOW()),
('8e4c2b3e2c2d2e4c2b3e2f4c3b5d6e8a', '5f4a4b5c4a4b3c5f4d6a5e7b8c9d0e1f', '18398', 'hv_tt', 'Hành vi tương tác', 'hv_tt_ntb_01_10_no_burn_l30d', 'Là khách hàng NTB của TCB liên kết tài khoản', '1', NOW()),
('9f5d3c4f3d3e3f5d3c4f3a5d4c6e7f9b', '6a5b5c6d5b5c4d6a5e7b6f8c9d0e1f2a', '1981277', 'hv_tt', 'Hành vi tương tác', 'hv_tt_inspire_nonhh_01_10_no_burn_l30d', 'Là khách hàng Inspire của TCB liên kết tài khoản', '1', NOW()),
('0a6e4d5a4e4f4a6e4d5a4b6e5d7f8a0c', '6a5b5c6d5b5c4d6a5e7b6f8c9d0e1f2a', '1981277', 'hv_tt', 'Hành vi tương tác', 'hv_tt_ntb_01_10_no_burn_l30d', 'Là khách hàng NTB của TCB liên kết tài khoản', '1', NOW()),
('1b7f5e6b5f5a5b7f5e6b5c7f6e8a9b1d', '7b6c6d7e6c6d5e7b6f8c7a9d0e1f2a3b', '4877371', 'hv_tt', 'Hành vi tương tác', 'hv_tt_inspire_nonhh_01_10_no_burn_l30d', 'Là khách hàng Inspire của TCB liên kết tài khoản', '1', NOW()),
('2c8a6f7c6a6b6c8a6f7c6d8a7f9b0c2e', '7b6c6d7e6c6d5e7b6f8c7a9d0e1f2a3b', '4877371', 'hv_tt', 'Hành vi tương tác', 'hv_tt_ntb_01_10_no_burn_l30d', 'Là khách hàng NTB của TCB liên kết tài khoản', '1', NOW()),
('3d9b7a8d7b7c7d9b7a8d7e9b8a0c1d3f', '8c7d7e8f7d7e6f8c7a9d8b0e1f2a3b4c', '94741', 'hv_tt', 'Hành vi tương tác', 'hv_tt_inspire_nonhh_01_10_no_burn_l30d', 'Là khách hàng Inspire của TCB liên kết tài khoản', '1', NOW()),
('4e0c8b9e8c8d8e0c8b9e8f0c9b1d2e4a', '8c7d7e8f7d7e6f8c7a9d8b0e1f2a3b4c', '94741', 'hv_tt', 'Hành vi tương tác', 'hv_tt_ntb_01_10_no_burn_l30d', 'Là khách hàng NTB của TCB liên kết tài khoản', '1', NOW()),
('5f1d9c0f9d9e9f1d9c0f9a1d0c2e3f5b', '9d8e8f9a8e8f7a9d8b0e9c1f2a3b4c5d', '625301', 'hv_tt', 'Hành vi tương tác', 'hv_tt_inspire_nonhh_01_10_no_burn_l30d', 'Là khách hàng Inspire của TCB liên kết tài khoản', '1', NOW()),
('6a2e0d1a0e0f0a2e0d1a0b2e1d3f4a6c', '9d8e8f9a8e8f7a9d8b0e9c1f2a3b4c5d', '625301', 'hv_tt', 'Hành vi tương tác', 'hv_tt_ntb_01_10_no_burn_l30d', 'Là khách hàng NTB của TCB liên kết tài khoản', '1', NOW()),
('7b3f1e2b1f0a1b3f1e2b1c3f2e4a5b7d', '0e9f9a0b9f9a8b0e9c1f0d2a3b4c5d6e', '7631808', 'hv_tt', 'Hành vi tương tác', 'hv_tt_inspire_nonhh_01_10_no_burn_l30d', 'Là khách hàng Inspire của TCB liên kết tài khoản', '1', NOW()),
('8c4a2f3c2a1b2c4a2f3c2d4a3f5b6c8e', '0e9f9a0b9f9a8b0e9c1f0d2a3b4c5d6e', '7631808', 'hv_tt', 'Hành vi tương tác', 'hv_tt_ntb_01_10_no_burn_l30d', 'Là khách hàng NTB của TCB liên kết tài khoản', '1', NOW()),
('9d5b3a4d3b2c3d5b3a4d3e5b4a6c7d9f', '1f0a0b1c0a0b9c1f0d2a1e3b4c5d6e7f', '367940', 'hv_tt', 'Hành vi tương tác', 'hv_tt_inspire_nonhh_01_10_no_burn_l30d', 'Là khách hàng Inspire của TCB liên kết tài khoản', '1', NOW()),
('0e6c4b5e4c3d4e6c4b5e4f6c5b7d8e0a', '1f0a0b1c0a0b9c1f0d2a1e3b4c5d6e7f', '367940', 'hv_tt', 'Hành vi tương tác', 'hv_tt_ntb_01_10_no_burn_l30d', 'Là khách hàng NTB của TCB liên kết tài khoản', '1', NOW()),
('1f7d5c6f5d4e5f7d5c6f5a7d6c8e9f1b', '2a1b1c2d1b1c0d2a1e3b2f4c5d6e7f8a', '20258588', 'hv_tt', 'Hành vi tương tác', 'hv_tt_inspire_nonhh_01_10_no_burn_l30d', 'Là khách hàng Inspire của TCB liên kết tài khoản', '1', NOW()),
('2a8e6d7a6e5f6a8e6d7a6b8e7d9f0a2c', '2a1b1c2d1b1c0d2a1e3b2f4c5d6e7f8a', '20258588', 'hv_tt', 'Hành vi tương tác', 'hv_tt_ntb_01_10_no_burn_l30d', 'Là khách hàng NTB của TCB liên kết tài khoản', '1', NOW()),
('3b9f7e8b7f6a7b9f7e8b7c9f8e0a1b3d', '3b2c2d3e2c2d1e3b2f4c3a5d6e7f8a9b', '1836554', 'hv_tt', 'Hành vi tương tác', 'hv_tt_inspire_nonhh_01_10_no_burn_l30d', 'Là khách hàng Inspire của TCB liên kết tài khoản', '1', NOW()),
('4c0a8f9c8a7b8c0a8f9c8d0a9f1b2c4e', '3b2c2d3e2c2d1e3b2f4c3a5d6e7f8a9b', '1836554', 'hv_tt', 'Hành vi tương tác', 'hv_tt_ntb_01_10_no_burn_l30d', 'Là khách hàng NTB của TCB liên kết tài khoản', '1', NOW()),
('5d1b9a0d9b8c9d1b9a0d9e1b0a2c3d5f', '4c3d3e4f3d3e2f4c3a5d4b6e7f8a9b0c', '1703899', 'hv_tt', 'Hành vi tương tác', 'hv_tt_inspire_nonhh_01_10_no_burn_l30d', 'Là khách hàng Inspire của TCB liên kết tài khoản', '1', NOW()),
('6e2c0b1e0c9d0e2c0b1e0f2c1b3d4e6a', '4c3d3e4f3d3e2f4c3a5d4b6e7f8a9b0c', '1703899', 'hv_tt', 'Hành vi tương tác', 'hv_tt_ntb_01_10_no_burn_l30d', 'Là khách hàng NTB của TCB liên kết tài khoản', '1', NOW()),
('7f3d1c2f1d0e1f3d1c2f1a3d2c4e5f7b', '5d4e4f5a4e4f3a5d4b6e5c7f8a9b0c1d', '3518980', 'hv_tt', 'Hành vi tương tác', 'hv_tt_inspire_nonhh_01_10_no_burn_l30d', 'Là khách hàng Inspire của TCB liên kết tài khoản', '1', NOW()),
('8a4e2d3a2e1f2a4e2d3a2b4e3d5f6a8c', '5d4e4f5a4e4f3a5d4b6e5c7f8a9b0c1d', '3518980', 'hv_tt', 'Hành vi tương tác', 'hv_tt_ntb_01_10_no_burn_l30d', 'Là khách hàng NTB của TCB liên kết tài khoản', '1', NOW()),
('9b5f3e4b3f2a3b5f3e4b3c5f4e6a7b9d', '6e5f5a6b5f5a4b6e5c7f6d8a9b0c1d2e', '1435901', 'hv_tt', 'Hành vi tương tác', 'hv_tt_inspire_nonhh_01_10_no_burn_l30d', 'Là khách hàng Inspire của TCB liên kết tài khoản', '1', NOW()),
('0c6a4f5c4a3b4c6a4f5c4d6a5f7b8c0e', '6e5f5a6b5f5a4b6e5c7f6d8a9b0c1d2e', '1435901', 'hv_tt', 'Hành vi tương tác', 'hv_tt_ntb_01_10_no_burn_l30d', 'Là khách hàng NTB của TCB liên kết tài khoản', '1', NOW()),
('1d7b5a6d5b4c5d7b5a6d5e7b6a8c9d1f', '7f6a6b7c6a6b5c7f6d8a7e9b0c1d2e3f', '62554', 'hv_tt', 'Hành vi tương tác', 'hv_tt_inspire_nonhh_01_10_no_burn_l30d', 'Là khách hàng Inspire của TCB liên kết tài khoản', '1', NOW()),
('2e8c6b7e6c5d6e8c6b7e6f8c7b9d0e2a', '7f6a6b7c6a6b5c7f6d8a7e9b0c1d2e3f', '62554', 'hv_tt', 'Hành vi tương tác', 'hv_tt_ntb_01_10_no_burn_l30d', 'Là khách hàng NTB của TCB liên kết tài khoản', '1', NOW()),
('3f9d7c8f7d6e7f9d7c8f7a9d8c0e1f3b', '8a7b7c8d7b7c6d8a7e9b8f0c1d2e3f4a', '3440105', 'hv_tt', 'Hành vi tương tác', 'hv_tt_inspire_nonhh_01_10_no_burn_l30d', 'Là khách hàng Inspire của TCB liên kết tài khoản', '1', NOW()),
('4a0e8d9a8e7f8a0e8d9a8b0e9d1f2a4c', '8a7b7c8d7b7c6d8a7e9b8f0c1d2e3f4a', '3440105', 'hv_tt', 'Hành vi tương tác', 'hv_tt_ntb_01_10_no_burn_l30d', 'Là khách hàng NTB của TCB liên kết tài khoản', '1', NOW()),
('5b1f9e0b9f8a9b1f9e0b9c1f0e2a3b5d', '9b8c8d9e8c8d7e9b8f0c9a1d2e3f4a5b', '31635103', 'hv_tt', 'Hành vi tương tác', 'hv_tt_inspire_nonhh_01_10_no_burn_l30d', 'Là khách hàng Inspire của TCB liên kết tài khoản', '1', NOW()),
('6c2a0f1c0a9b0c2a0f1c0d2a1f3b4c6e', '9b8c8d9e8c8d7e9b8f0c9a1d2e3f4a5b', '31635103', 'hv_tt', 'Hành vi tương tác', 'hv_tt_ntb_01_10_no_burn_l30d', 'Là khách hàng NTB của TCB liên kết tài khoản', '1', NOW()),
('7d3b1a2d1b0c1d3b1a2d1e3b2a4c5d7f', '0c9d9e0f9d9e8f0c9a1d0b2e3f4a5b6c', '28140025', 'hv_tt', 'Hành vi tương tác', 'hv_tt_inspire_nonhh_01_10_no_burn_l30d', 'Là khách hàng Inspire của TCB liên kết tài khoản', '1', NOW()),
('8e4c2b3e2c1d2e4c2b3e2f4c3b5d6e8a', '0c9d9e0f9d9e8f0c9a1d0b2e3f4a5b6c', '28140025', 'hv_tt', 'Hành vi tương tác', 'hv_tt_ntb_01_10_no_burn_l30d', 'Là khách hàng NTB của TCB liên kết tài khoản', '1', NOW()),
('9f5d3c4f3d2e3f5d3c4f3a5d4c6e7f9b', '1d0e0f1a0e0f9a1d0b2e1c3f4a5b6c7d', '20056576', 'hv_tt', 'Hành vi tương tác', 'hv_tt_inspire_nonhh_01_10_no_burn_l30d', 'Là khách hàng Inspire của TCB liên kết tài khoản', '1', NOW()),
('0a6e4d5a4e3f4a6e4d5a4b6e5d7f8a0c', '1d0e0f1a0e0f9a1d0b2e1c3f4a5b6c7d', '20056576', 'hv_tt', 'Hành vi tương tác', 'hv_tt_ntb_01_10_no_burn_l30d', 'Là khách hàng NTB của TCB liên kết tài khoản', '1', NOW()),
('1b7f5e6b5f4a5b7f5e6b5c7f6e8a9b1d', '2e1f1a2b1f1a0b2e1c3f2d4a5b6c7d8e', '39707883', 'hv_tt', 'Hành vi tương tác', 'hv_tt_inspire_nonhh_01_10_no_burn_l30d', 'Là khách hàng Inspire của TCB liên kết tài khoản', '1', NOW()),
('2c8a6f7c6a5b6c8a6f7c6d8a7f9b0c2e', '2e1f1a2b1f1a0b2e1c3f2d4a5b6c7d8e', '39707883', 'hv_tt', 'Hành vi tương tác', 'hv_tt_ntb_01_10_no_burn_l30d', 'Là khách hàng NTB của TCB liên kết tài khoản', '1', NOW()),
('3d9b7a8d7b6c7d9b7a8d7e9b8a0c1d3f', '3f2a2b3c2a2b1c3f2d4a3e5b6c7d8e9f', '34818287', 'hv_tt', 'Hành vi tương tác', 'hv_tt_inspire_nonhh_01_10_no_burn_l30d', 'Là khách hàng Inspire của TCB liên kết tài khoản', '1', NOW()),
('4e0c8b9e8c7d8e0c8b9e8f0c9b1d2e4a', '3f2a2b3c2a2b1c3f2d4a3e5b6c7d8e9f', '34818287', 'hv_tt', 'Hành vi tương tác', 'hv_tt_ntb_01_10_no_burn_l30d', 'Là khách hàng NTB của TCB liên kết tài khoản', '1', NOW()),
('5f1d9c0f9d8e9f1d9c0f9a1d0c2e3f5b', '4a3b3c4d3b3c2d4a3e5b4f6c7d8e9f0a', '38545540', 'hv_tt', 'Hành vi tương tác', 'hv_tt_inspire_nonhh_01_10_no_burn_l30d', 'Là khách hàng Inspire của TCB liên kết tài khoản', '1', NOW()),
('6a2e0d1a0e9f0a2e0d1a0b2e1d3f4a6c', '4a3b3c4d3b3c2d4a3e5b4f6c7d8e9f0a', '38545540', 'hv_tt', 'Hành vi tương tác', 'hv_tt_ntb_01_10_no_burn_l30d', 'Là khách hàng NTB của TCB liên kết tài khoản', '1', NOW()),
('7b3f1e2b1f0a1b3f1e2b1c3f2e4a5b7d', '5b4c4d5e4c4d3e5b4f6c5a7d8e9f0a1b', '27063013', 'hv_tt', 'Hành vi tương tác', 'hv_tt_inspire_nonhh_01_10_no_burn_l30d', 'Là khách hàng Inspire của TCB liên kết tài khoản', '1', NOW()),
('8c4a2f3c2a1b2c4a2f3c2d4a3f5b6c8e', '5b4c4d5e4c4d3e5b4f6c5a7d8e9f0a1b', '27063013', 'hv_tt', 'Hành vi tương tác', 'hv_tt_ntb_01_10_no_burn_l30d', 'Là khách hàng NTB của TCB liên kết tài khoản', '1', NOW()),
('9d5b3a4d3b2c3d5b3a4d3e5b4a6c7d9f', '6c5d5e6f5d5e4f6c5a7d6b8e9f0a1b2c', '34963368', 'hv_tt', 'Hành vi tương tác', 'hv_tt_inspire_nonhh_01_10_no_burn_l30d', 'Là khách hàng Inspire của TCB liên kết tài khoản', '1', NOW()),
('0e6c4b5e4c3d4e6c4b5e4f6c5b7d8e0a', '6c5d5e6f5d5e4f6c5a7d6b8e9f0a1b2c', '34963368', 'hv_tt', 'Hành vi tương tác', 'hv_tt_ntb_01_10_no_burn_l30d', 'Là khách hàng NTB của TCB liên kết tài khoản', '1', NOW()),
('1f7d5c6f5d4e5f7d5c6f5a7d6c8e9f1b', '7d6e6f7a6e6f5a7d6b8e7c9f0a1b2c3d', '33718640', 'hv_tt', 'Hành vi tương tác', 'hv_tt_inspire_nonhh_01_10_no_burn_l30d', 'Là khách hàng Inspire của TCB liên kết tài khoản', '1', NOW()),
('2a8e6d7a6e5f6a8e6d7a6b8e7d9f0a2c', '7d6e6f7a6e6f5a7d6b8e7c9f0a1b2c3d', '33718640', 'hv_tt', 'Hành vi tương tác', 'hv_tt_ntb_01_10_no_burn_l30d', 'Là khách hàng NTB của TCB liên kết tài khoản', '1', NOW()),
('3b9f7e8b7f6a7b9f7e8b7c9f8e0a1b3d', '8e7f7a8b7f7a6b8e7c9f8d0a1b2c3d4e', '33602416', 'hv_tt', 'Hành vi tương tác', 'hv_tt_inspire_nonhh_01_10_no_burn_l30d', 'Là khách hàng Inspire của TCB liên kết tài khoản', '1', NOW()),
('4c0a8f9c8a7b8c0a8f9c8d0a9f1b2c4e', '8e7f7a8b7f7a6b8e7c9f8d0a1b2c3d4e', '33602416', 'hv_tt', 'Hành vi tương tác', 'hv_tt_ntb_01_10_no_burn_l30d', 'Là khách hàng NTB của TCB liên kết tài khoản', '1', NOW()),
('5d1b9a0d9b8c9d1b9a0d9e1b0a2c3d5f', '9f8a8b9c8a8b7c9f8d0a9e1b2c3d4e5f', '97002070', 'hv_tt', 'Hành vi tương tác', 'hv_tt_inspire_nonhh_01_10_no_burn_l30d', 'Là khách hàng Inspire của TCB liên kết tài khoản', '1', NOW()),
('6e2c0b1e0c9d0e2c0b1e0f2c1b3d4e6a', '9f8a8b9c8a8b7c9f8d0a9e1b2c3d4e5f', '97002070', 'hv_tt', 'Hành vi tương tác', 'hv_tt_ntb_01_10_no_burn_l30d', 'Là khách hàng NTB của TCB liên kết tài khoản', '1', NOW()),
('7f3d1c2f1d0e1f3d1c2f1a3d2c4e5f7b', '0a9b9c0d9b9c8d0a9e1b0f2c3d4e5f6a', '164706', 'hv_tt', 'Hành vi tương tác', 'hv_tt_inspire_nonhh_01_10_no_burn_l30d', 'Là khách hàng Inspire của TCB liên kết tài khoản', '1', NOW()),
('8a4e2d3a2e1f2a4e2d3a2b4e3d5f6a8c', '0a9b9c0d9b9c8d0a9e1b0f2c3d4e5f6a', '164706', 'hv_tt', 'Hành vi tương tác', 'hv_tt_ntb_01_10_no_burn_l30d', 'Là khách hàng NTB của TCB liên kết tài khoản', '1', NOW()),
('9b5f3e4b3f2a3b5f3e4b3c5f4e6a7b9d', '1b0c0d1e0c0d9e1b0f2c1a3d4e5f6a7b', '1841404', 'hv_tt', 'Hành vi tương tác', 'hv_tt_inspire_nonhh_01_10_no_burn_l30d', 'Là khách hàng Inspire của TCB liên kết tài khoản', '1', NOW()),
('0c6a4f5c4a3b4c6a4f5c4d6a5f7b8c0e', '1b0c0d1e0c0d9e1b0f2c1a3d4e5f6a7b', '1841404', 'hv_tt', 'Hành vi tương tác', 'hv_tt_ntb_01_10_no_burn_l30d', 'Là khách hàng NTB của TCB liên kết tài khoản', '1', NOW()); -- DB: 172.31.1.21
-- Schema: mtp_martech_profile
DELETE FROM mtp_martech_profile.mtp_anonymous_profile_segmentation_job
WHERE id IN (
  '780ebb56-f375-4f63-b56b-3e505222b3f4',
  'db8caf77-ace0-40de-8e82-0fe88332d50b',
  '0c4a1aef-1768-4446-8acb-6aaef92fcbb8',
  '8972d1b4-ffc3-4b00-a9ab-a35e3ef9978e',
  '082402fd-4d0c-4b62-a03e-5aac2184ab51',
  '1db0edd6-a0a6-4c47-b46f-3bde27414834',
  'f080f218-34e2-4993-b5c3-a11d2bcca598',
  '92253a5a-8c4b-4c4a-a719-32d0fee51a1f'
); Best regards Dinh Quang Nguyen</t>
  </si>
  <si>
    <t>[omd][master-data-mgmt] Xin cấp database cho dự án mới master-data-management</t>
  </si>
  <si>
    <t>2025-10-09T16:49:46.885+0700</t>
  </si>
  <si>
    <t>2025-10-09T17:04:17.175+0700</t>
  </si>
  <si>
    <t>Hi anh Dương Nhờ anh tạo giúp em 1 DB mới cho dự án master data management  môi trường non-prod trước anh nhé SAD:    project: vinid-app-common-dev instance: main-mysql-8-2 (172.31.0.68) DB name: qc: omd_mdm_qc uat: omd_mdm_uat</t>
  </si>
  <si>
    <t>[Kafka][Prod] Tạo kafka topic cho các bảng của Litepos</t>
  </si>
  <si>
    <t>2025-10-09T14:27:21.465+0700</t>
  </si>
  <si>
    <t>2025-10-09T18:44:19.611+0700</t>
  </si>
  <si>
    <t>Dear team DBA, Hiện tại OMD có nhu cầu kéo thêm dữ liệu của litePos về Data Platform để xây dựng báo cáo ạ, nhờ anh Linh và team giúp em tạo kafka_topic cho bảng theo thông tin dưới đây ạ PROD: IP host: 172.31.1.6:3306 (mysql) Schema:  litepos_user_prod Tables: CustomerUnit Thanks and regards! cong.do1</t>
  </si>
  <si>
    <t>[OMC][DISCOUNT][PROD] Xin cấp tài khoản quyền read truy cập db</t>
  </si>
  <si>
    <t>2025-10-09T14:18:00.447+0700</t>
  </si>
  <si>
    <t>2025-10-09T14:20:30.773+0700</t>
  </si>
  <si>
    <t>Hi team, Do nhu cầu  chủ động check thông tin db trên prod  để hỗ trợ các bên liên quan trong quá trình phát triển, nhờ team Cấp  quyền read  với username  thachnn3 Thông tin database GCP project : vinid-loyalty-prod Instance name : discount Instance IP : 172.31.4.99 Database name : discount_service, budget_service Thanks team.</t>
  </si>
  <si>
    <t>[OMD-1SEAL-PROD-NONPROD] - Hỗ trợ import dữ liệu master data Boundary ĐVHC</t>
  </si>
  <si>
    <t>2025-10-09T11:06:44.345+0700</t>
  </si>
  <si>
    <t>2025-10-11T15:33:27.169+0700</t>
  </si>
  <si>
    <t>Dear các anh, Context: 1SEAL có nhu cầu import dữ liệu boudary ĐVHC lên database TiDB sử dụng để làm lên phương án gán tuyến cho Sale. Do đó cần import các file boundary Đơn vị hành chính với nội dung như sau: Môi trường Nonprod: Import dữ liệu của các Tỉnh/Thành Phố sau: 'TP. Hà Nội',                        'T. Bắc Giang',                        'T. Bắc Ninh',                        'T. Hưng Yên',                        'T. Hải Dương',                        'TP. Hải Phòng',                        'T. Bà Rịa - Vũng Tàu',                        'T. Bình Dương',                        'T. Đồng Nai',                        'TP Hồ Chí Minh',                        'TP. Cần Thơ',                        'T. An Giang',                        'T. Đồng Tháp',                        'T. Trà Vinh',                        'T. Vĩnh Long',                        'T. Tiền Giang',                        'TP. Hồ Chí Minh' Môi trường PROD: Import toàn bộ các Tỉnh/Thành Phố Source:   Thư mục file cần import    Đích:   Import vào các bảng tương ứng /old/province/*.csv → s2_province_old File source Table destination Ex /old/province/[Mã province - Tên province]/*.csv s2_province_old /old/province/58 - Ninh Thuận/S2 - Covering - 22 - 58 - Ninh Thuận - 1000000 - 188218.csv /old/province/[Mã province - Tên province]/district/[mã district - Tên district]/*.csv s2_district_old /old/province/58 - Ninh Thuận/district/589 - Thuận Nam/S2 - Covering - 22 - 589 - Thuận Nam - 1000000 - 76569.csv /old/province/[Mã province - Tên province]/district/[mã district - Tên district]/ward/*.csv s2_ward_old /old/province/58 - Ninh Thuận/district/589 - Thuận Nam/ward/S2 - Covering - 22 - 22885 - Phước Hà - 1000000 - 39922.csv /new/province/[Mã province - Tên province]/*.csv s2_province_new /new/province/01 - Hà Nội/S2 - Covering - 22 - 01 - Hà Nội - 1000000 - 251180.csv /new/province/[Mã province - Tên province]/ward/*.csv s2_ward_new /new/province/01 - Hà Nội/ward/S2 - Covering - 22 - 10489 - Hương Sơn - 1000000 - 27542.csv Cấu trúc chung của các bảng đích (áp dụng cho cả bảng old và bảng new) Column_name Data_type Comment STT varchar province_code varchar province_name varchar district_code varchar district_name varchar ward_code varchar ward_name varchar block_id varchar level varchar</t>
  </si>
  <si>
    <t>MH - Support update template QR code</t>
  </si>
  <si>
    <t>2025-10-09T09:35:55.330+0700</t>
  </si>
  <si>
    <t>2025-10-09T10:21:07.227+0700</t>
  </si>
  <si>
    <t>Hi các anh, Do lúc config qr template trên prod em sử dụng config cũ nên hiện cần update lại config mới cho phần này. Nhờ các anh support em để qr hoạt động được ạ. Đây là câu query ạ: UPDATE `qr_content_templates` SET template_string = '{"qr_id":"{qr_id}"}' WHERE code = 'CASE_DETAILS_DYNAMIC_QR_TPL'; thông tin database :  mpm-prod.crcykac8kxtw.ap-southeast-1.rds.amazonaws.com:3306 tên database:  qr_service</t>
  </si>
  <si>
    <t>Hỗ trợ tạo dữ liệu mở mới kho DEMO_MAG - Demo Masterise</t>
  </si>
  <si>
    <t>2025-10-09T09:20:44.131+0700</t>
  </si>
  <si>
    <t>2025-10-09T09:22:17.016+0700</t>
  </si>
  <si>
    <t>Description Hi DBA team,  Hiện tại nghiệp vụ có nhu cầu mở mới kho MES_2D_026 - Bảo Khang,  nhờ team DBA hỗ trợ cập nhật giá trị theo thông tin dưới đây   Cụm WMS Project : vinid-b2b-platform-prod Instance/IP : main (read-write): 172.31.4.59 Port : 3306 Database : omd_wms_core Script : file  omd_wms_core_demo_mag.sql  trong file đính kèm Cum WES Project : vinid-b2b-platform-prod Instance/IP : main (read-write): 172.31.1.143 Port : 3306 Database : wes_master Script : file  wes_master_demo_mag.sql  trong file đính kèm Câu query đánh giá là có thể ảnh hưởng đến vận hành hệ thống nên mong muốn chạy vào thời gian vận hành thấp điểm (từ 22h-2h sáng).</t>
  </si>
  <si>
    <t>[GAMI][PS2][Prod] Hỗ trợ migration DB thực hiện release 08/10/2025</t>
  </si>
  <si>
    <t>2025-10-08T22:22:31.162+0700</t>
  </si>
  <si>
    <t>2025-10-08T22:22:35.316+0700</t>
  </si>
  <si>
    <t>LoyaltyEngagement</t>
  </si>
  <si>
    <t>Hỗ trợ migration DB thực hiện release 08/10/2025 22h Host: 172.31.1.19 DB:  pe_rule_engine UPDATE `rule_templates` SET `payload`='{"id":"10565095-b151-456b-bf81-4537ac758015","request_id":"39bfc1c538c45e155322ab655c21f473","ref_event_id":"10565095-b151-456b-bf81-4537ac758015","event":"firebase_screen_code","service_code":"merchant_vinshop","timestamp":1689589203,"user_id":"45560239","payload_id":"10565095-b151-456b-bf81-4537ac758015","payload":{"meta":{"device_id":"","app_version":"7.32.3","is_bad_device":false},"merchant":{"id":45560239,"code":"MCL0FL14DB066"},"extra_data":{"offer_code":"xxx","seller_code":"1MG","product_code":"10238152_1MG006","product_type":"COMBO"}}}' WHERE id = 40; INSERT INTO `topic_mapping` (`id`, `topic`, `module`, `created_at`, `updated_at`) VALUES (46, 'gami-vinshop-event', 'VINSHOP', '2025-09-23 00:00:00', '2025-09-23 00:00:00');
INSERT INTO `rule_templates` (`id`, `name`, `code`, `description`, `payload`, `is_active`, `created_at`, `updated_at`, `deleted_at`) VALUES (46, 'VINSHOP - Gami event', 'VINSHOP_004', 'VINSHOP - Gami event', '{
    "id": "10565095-b151-456b-bf81-4537ac758015",
    "event": "TurnEvent",
    "payload": {
        "data": {
            "turn": 10,
            "campaign_code": "vinshop10"
        },
        "merchant": {
            "id": 45560239,
            "code": "MCL0FL14DB066"
        }
    },
    "user_id": "45560239",
    "timestamp": 1689589203,
    "payload_id": "10565095-b151-456b-bf81-4537ac758015",
    "request_id": "39bfc1c538c45e155322ab655c21f473",
    "ref_event_id": "10565095-b151-456b-bf81-4537ac758015",
    "service_code": "merchant_vinshop"
}', '1', '2025-09-23 00:00:00', '2025-09-23 00:00:00', NULL);
INSERT INTO `rule_template_job` (`id`, `module_name`, `rule_template_id`, `job_id`, `created_at`, `updated_at`, `deleted_at`) VALUES (45, 'VINSHOP', '46', '1', '2025-09-23 00:00:00', '2025-09-23 00:00:00', NULL); instance: 172.31.1.14 DB: gamezone INSERT INTO rule_event_templates (`name`, `code`,`payload`,`description`, `is_active`, `event`) VALUES ('VINSHOP', 'VINSHOP', '{
    "id": "10565095-b151-456b-bf81-4537ac758015",
    "event": "TurnEvent",
    "payload": {
        "data": {
            "turn": 10,
            "campaign_code": "vinshop10"
        },
        "merchant": {
            "id": 45560239,
            "code": "MCL0FL14DB066"
        }
    },
    "user_id": "45560239",
    "timestamp": 1689589203,
    "payload_id": "10565095-b151-456b-bf81-4537ac758015",
    "request_id": "39bfc1c538c45e155322ab655c21f473",
    "ref_event_id": "10565095-b151-456b-bf81-4537ac758015",
    "service_code": "merchant_vinshop"
}', 'Gami Vinshop event', true, 'GamiVinshopEvent');</t>
  </si>
  <si>
    <t>Xin quyền query trên db: merchant-tcb tại 172.31.4.108</t>
  </si>
  <si>
    <t>2025-10-08T21:32:31.922+0700</t>
  </si>
  <si>
    <t>2025-10-08T21:33:09.536+0700</t>
  </si>
  <si>
    <t>Nhờ team tạo giúp account hoapd1 với nhé Cảm ơn</t>
  </si>
  <si>
    <t>[SOFTPOS] Cập nhập thông tin merchant TPAY</t>
  </si>
  <si>
    <t>2025-10-08T15:44:54.823+0700</t>
  </si>
  <si>
    <t>2025-10-08T15:45:02.789+0700</t>
  </si>
  <si>
    <t>Hi a  @Nguyễn Văn Dũng , nhờ a run giúp e query bên dưới với ạ Thông tin database saas_tpay:  pay-tidb.int.onemount.com:4000/saas_tpay CR:  Script CREATE TABLE BACKUP_08102025_MERCHANT (ID bigint, VA_NAME_OPTION varchar(64) COLLATE utf8mb4_unicode_ci);
CREATE TABLE BACKUP_08102025_ACCOUNT (ID bigint, ACCOUNT_NUMBER varchar(50) COLLATE utf8mb4_unicode_ci);
INSERT INTO BACKUP_08102025_MERCHANT(ID, VA_NAME_OPTION)
SELECT ID, VA_NAME_OPTION
FROM MERCHANT
WHERE partner_id NOT IN ('OME', 'OMEPL', 'OMEWCM')
  AND VA_NAME_OPTION is null
  AND TPAY_MERCHANT_ID is null;
INSERT INTO BACKUP_08102025_ACCOUNT(ID, ACCOUNT_NUMBER)
SELECT t1.ID, t1.ACCOUNT_NUMBER
FROM ACCOUNT t1
         JOIN service_account sa ON t1.id = sa.ACCOUNT_ID
         JOIN service s ON sa.service_id = s.id
         JOIN (SELECT a.MERCHANT_CODE, a.ACCOUNT_NUMBER, s.SERVICE_CODE
               FROM ACCOUNT a
                        JOIN service_account sa ON a.id = sa.ACCOUNT_ID
                        JOIN service s ON sa.service_id = s.id
               WHERE a.ACCOUNT_BY_PURPOSE = 'COLLECTION'
                 and a.CREATED_BY = 'UNIFIED_MERCHANT_SERVICE') t2 ON t1.MERCHANT_CODE = t2.MERCHANT_CODE and
                                                                      t2.SERVICE_CODE = s.SERVICE_CODE
WHERE t1.ACCOUNT_BY_PURPOSE IN ('FEE', 'REFUND')
  and t1.CREATED_BY = 'UNIFIED_MERCHANT_SERVICE'
  and t1.ACCOUNT_NUMBER = ''
  AND s.service_code IN ('TQR', 'MQR');
UPDATE MERCHANT
SET VA_NAME_OPTION = 'FULL_NAME1'
WHERE partner_id NOT IN ('OME', 'OMEPL', 'OMEWCM')
  AND VA_NAME_OPTION is null
  AND TPAY_MERCHANT_ID is null;
UPDATE ACCOUNT t1
    JOIN service_account sa ON t1.id = sa.ACCOUNT_ID
    JOIN service s ON sa.service_id = s.id
    JOIN (SELECT a.MERCHANT_CODE, a.ACCOUNT_NUMBER, s.SERVICE_CODE
    FROM ACCOUNT a
    JOIN service_account sa ON a.id = sa.ACCOUNT_ID
    JOIN service s ON sa.service_id = s.id
    WHERE a.ACCOUNT_BY_PURPOSE = 'COLLECTION'
    and a.CREATED_BY = 'UNIFIED_MERCHANT_SERVICE') t2 ON t1.MERCHANT_CODE = t2.MERCHANT_CODE and
    t2.SERVICE_CODE = s.SERVICE_CODE
    SET t1.ACCOUNT_NUMBER = t2.ACCOUNT_NUMBER
WHERE t1.ACCOUNT_BY_PURPOSE IN ('FEE', 'REFUND')
  and t1.CREATED_BY = 'UNIFIED_MERCHANT_SERVICE'
  and t1.ACCOUNT_NUMBER = ''
  AND s.service_code IN ('TQR', 'MQR');</t>
  </si>
  <si>
    <t>[OMC][LP][Core] - Insert master data cho chương trình Techcombank Rewards</t>
  </si>
  <si>
    <t>2025-10-08T15:34:15.019+0700</t>
  </si>
  <si>
    <t>2025-10-08T15:48:48.498+0700</t>
  </si>
  <si>
    <t>Dear anh Linh, Nhờ anh chạy các file sql scripts đính kèm trên môi trường PROD của DB loyalty oracle IP: 10.255.23.119 Service name: oneloyaltydb Port: 1521 schema app: OLOYALTY Scripts: INSERT INTO OLOYALTY.ATTRIBUTE_MASTER_DATA (PROGRAM_ID,ATTRIBUTE_CODE,ATTRIBUTE_TYPE,VALUE,STATUS,DESCRIPTION) VALUES (426,'EVENT_CODE',1,'120561','A','Digital Checklist - NTB (30-DAY)');
INSERT INTO OLOYALTY.ATTRIBUTE_MASTER_DATA (PROGRAM_ID,ATTRIBUTE_CODE,ATTRIBUTE_TYPE,VALUE,STATUS,DESCRIPTION) VALUES (426,'EVENT_CODE',1,'120562','A','Digital Checklist - NTB (30-DAY)');
INSERT INTO OLOYALTY.ATTRIBUTE_MASTER_DATA (PROGRAM_ID,ATTRIBUTE_CODE,ATTRIBUTE_TYPE,VALUE,STATUS,DESCRIPTION) VALUES (426,'EVENT_NAME',1,'120561','A','Digital Checklist - NTB (30-DAY)');
INSERT INTO OLOYALTY.ATTRIBUTE_MASTER_DATA (PROGRAM_ID,ATTRIBUTE_CODE,ATTRIBUTE_TYPE,VALUE,STATUS,DESCRIPTION) VALUES (426,'EVENT_NAME',1,'120562','A','Digital Checklist - NTB (30-DAY)');
INSERT INTO OLOYALTY.ATTRIBUTE_MASTER_DATA (PROGRAM_ID,ATTRIBUTE_CODE,ATTRIBUTE_TYPE,VALUE,STATUS,DESCRIPTION) VALUES (426,'TXN_CODE',1,'10407013048042000_1114','A','Techcombank Visa Eco Credit Card_Purchase');
INSERT INTO OLOYALTY.ATTRIBUTE_MASTER_DATA (PROGRAM_ID,ATTRIBUTE_CODE,ATTRIBUTE_TYPE,VALUE,STATUS,DESCRIPTION) VALUES (426,'TXN_CODE',1,'10407013048042000_1214','A','Techcombank Visa Eco Credit Card_Purchase'); Thanks!</t>
  </si>
  <si>
    <t>[TPAY][NON-PROD] Tạo tài khoản SFTP cho merchant Maison lấy file báo cáo đối soát</t>
  </si>
  <si>
    <t>2025-10-08T13:22:18.710+0700</t>
  </si>
  <si>
    <t>2025-10-08T13:22:22.918+0700</t>
  </si>
  <si>
    <t>Dự án Tpay cần cấp tài khoản và 1 thư mục con trong thư mục trong thư mục tpay dành cho đối tác Maison để đọc file từ sFTP server. Thông tin sFTP server cần kết nối đến: Non-prod:  35.229.130.107:2022 Nhờ team support tạo server và cấp account cho dự án. Em tên thư mục và folder ạ. Account: maison Folder: maison</t>
  </si>
  <si>
    <t>Modify column in table orders of database ecom_data_analytics</t>
  </si>
  <si>
    <t>2025-10-08T11:42:04.626+0700</t>
  </si>
  <si>
    <t>2025-10-08T12:51:54.761+0700</t>
  </si>
  <si>
    <t xml:space="preserve">IP: 172.31.4.10 name: ecom-high-mysq https://console.cloud.google.com/sql/instances/ecom-high-mysql/overview?project=vincart-prod database: ecom_data_analytics tables: orders query: ALTER TABLE orders MODIFY COLUMN reference_number text; CR:     </t>
  </si>
  <si>
    <t>[MAG][DBA]-Chuẩn hoá hệ thống database MAG</t>
  </si>
  <si>
    <t>2025-10-08T10:30:22.649+0700</t>
  </si>
  <si>
    <t>2025-11-22T09:34:41.777+0700</t>
  </si>
  <si>
    <t>Chuẩn hoá hệ thống database MAG</t>
  </si>
  <si>
    <t>hỗ trợ pilot kiểm thử hệ thống sapb1 server mới</t>
  </si>
  <si>
    <t>2025-10-08T10:29:58.865+0700</t>
  </si>
  <si>
    <t>2025-10-13T02:51:54.656+0700</t>
  </si>
  <si>
    <t>Hỗ trợ clone database MAS MTR MPM MAG để kiểm thử t5 09102025</t>
  </si>
  <si>
    <t>2025-10-08T10:29:36.790+0700</t>
  </si>
  <si>
    <t>2025-10-13T02:51:52.189+0700</t>
  </si>
  <si>
    <t xml:space="preserve">Hỗ trợ Build RDP sap b1 client mới </t>
  </si>
  <si>
    <t>2025-10-08T10:28:55.213+0700</t>
  </si>
  <si>
    <t>2025-10-13T02:51:47.237+0700</t>
  </si>
  <si>
    <t>Hỗ trợ Build RDP sap b1 client mới</t>
  </si>
  <si>
    <t>2025-10-08T09:52:52.138+0700</t>
  </si>
  <si>
    <t>2025-10-08T10:54:21.282+0700</t>
  </si>
  <si>
    <t>Nhờ anh truy vấn dự liệu LitePOS PCM PROD ạ SELECT b.StoreKey FROM BaseStore b WHERE -- Không tồn tại trong Merchant NOT EXISTS ( SELECT 1 FROM Merchant m WHERE m.code = b.StoreKey ) OR -- Không tồn tại trong Warehouse NOT EXISTS ( SELECT 1 FROM Warehouse w WHERE w.code = CONCAT('W_', b.StoreKey) ) thông tin DB: gcp project: omd-pos-prod
instance: omd-pos-commerce (IP: 172.31.1.6)
DB: litepos_pcm_prod</t>
  </si>
  <si>
    <t>V/v tạo user thực hiện scan CDD - dự án PCI DSS</t>
  </si>
  <si>
    <t>2025-10-08T09:40:37.981+0700</t>
  </si>
  <si>
    <t>2025-10-08T10:40:37.043+0700</t>
  </si>
  <si>
    <t>Dear các anh, Theo kế hoạch triển khai dự án PCI DSS, hiện tại team security cần thực hiện hạng mục CDD (Card Data Discovery) scan đối với các DB trong scope đánh giá năm nay, vì vậy cần team hỗ trợ tạo user trên các DB standby (nếu có) để có thể thực hiện scan ạ. Chi tiết 2 DB cần scan như sau: DB 1: Name : DB 172.31.4.32:3306 Phân quyền user: Read only DB 2: Name : DB pay_payment_gateway Phân quyền user: Read only Thời gian thu hồi user: 31/10/2025 Nhờ các anh hỗ trợ giúp em nhé ạ. Em cảm ơn ạ</t>
  </si>
  <si>
    <t>[OMC][PS2][Loyalty][PROD] - archive dữ liệu history cho các bảng cần move data sang COLD - Tháng 10/2025</t>
  </si>
  <si>
    <t>2025-10-07T15:37:07.354+0700</t>
  </si>
  <si>
    <t>2025-10-11T00:00:43.369+0700</t>
  </si>
  <si>
    <t>Các bảng cần move data sang COLD, sau đó archive lên GCS: TRANSACTION_HISTORY_ATTRIBUTE TRANSACTION_HISTORY POINT_TRANSACTION COUNTER_TRANSACTION_HISTORY 3 bảng TRANSACTION_HISTORY, POINT_TRANSACTION, COUNTER_TRANSACTION_HISTORY :  Trên môi trường PROD (HOT), Giữ lại data đầy đủ của 6 tháng gần nhất. (tháng n-1, n-2, n-3, n-4, n-5, n-6). Trên môi trường COLD, sẽ có data lịch sử (history 6 tháng tiếp theo) n-7, n-8, n-9, n-10, n-11, n-12. Ví dụ, hiện tại là tháng 10/2025, thì data giữ lại ở db chính PROD là tháng 9/2025, 8/2025, 7/2025, 6/2025, 5/2025, 4/2025. Các tháng lịch sử khác (history 6 tháng tiếp theo) sẽ khai thác trên db COLD: tháng 3/2025, 2/2025, 1/2025, 12/2024, 11/2024, 10/2024. Bảng TRANSACTION_HISTORY_ATTRIBUTE  : Tháng hiện tại là tháng n.  Trên DB chính PROD (HOT), giữ lại data đầy đủ của 3 tháng gần nhất (tháng thứ n-1,n-2,n-3 sau tháng hiện tại). Các data tháng thứ n-4,n-5,n-6 sau tháng n hiện tại thì chuyển sang db COLD.) Ví dụ, hiện tại là tháng 10/2025, thì data giữ lại ở db chính PROD là tháng 9/2025, 8/2025, 7/2025. Các tháng 6/2025, 5/2025, 4/2025 sẽ khai thác trên db COLD.</t>
  </si>
  <si>
    <t>[OMC][PS2][Loyalty][PROD] - archive dữ liệu history cho các bảng PAY_WITH_POINT_TRANSACTION_HISTORY - Tháng 10/2025</t>
  </si>
  <si>
    <t>2025-10-07T15:35:47.965+0700</t>
  </si>
  <si>
    <t>2025-10-11T00:01:43.652+0700</t>
  </si>
  <si>
    <t>Giữ nguyên các partition,chỉ DELETE xóa data theo điều kiện where là:  status = 'F'  and transaction_time đủ full  1 tháng  gần nhất Ví dụ, hiện tại tháng 10/2025, thì sẽ thực hiện DELETE Xóa data có: status = 'F' and transaction_time &lt; to_date('01/09/2025','dd/MM/yyyy')</t>
  </si>
  <si>
    <t>[OMC][PS2][Loyalty][PROD] - archive dữ liệu history cho các bảng KAFKA_ , TIER_HISTORY - Tháng 10/2025</t>
  </si>
  <si>
    <t>2025-10-07T15:33:57.684+0700</t>
  </si>
  <si>
    <t>2025-10-11T00:24:02.861+0700</t>
  </si>
  <si>
    <t>[OMC][PS2][Loyalty][PROD] - Thực hiện archive dữ liệu history cho DB Loyalty - Tháng 10/2025</t>
  </si>
  <si>
    <t>2025-10-07T15:32:16.033+0700</t>
  </si>
  <si>
    <t>2025-10-11T00:45:37.466+0700</t>
  </si>
  <si>
    <t>Team DBA cần thực hiện archive dữ liệu lịch sử của 1 số bảng lớn trong DB LOYALTY, để tối ưu dung lượng lưu trữ data , tránh để data lưu trữ quá lớn trong DB dẫn tới chi phí phần cứng tăng và giảm hiệu suất IO khi truy xuất data lớn. Quy định về thời gian lưu trữ data (dự án đã confirm với TCB qua email): Live data tier: không TTL expired bất kể dữ liệu nào Backup tier: Thực hiện backup full 2 lần/tuần và incremental các ngày còn lại Archiving tier:  Dữ liệu Archive được thực hiện 6 tháng/lần và store với retention là 365 days Kế hoạch thực hiện archive dữ liệu history của DB Loyalty , thực hiện trong  tháng 10 năm 2025 Các bảng cần lưu trữ data và thực hiện xóa data history:   Tables Partition column Life time Note CR / Ticket liên quan KAFKA_AUDIT_TRAIL_PRODUCT_INFO CREATED_AT 1 month     KAFKA_AUDIT_TRAIL_CARD_INFO CREATED_AT 1 month     KAFKA_AUDIT_TRAIL_CUSTOMER_PROFILE CREATED_AT 1 month   08Sep25, Tạo index mới: DBASD-8384 KAFKA_AUDIT_TRAIL_EARN_TRANSACTION CREATED_AT 1 month   08Sep25, Tạo index mới: DBASD-8384 KAFKA_AUDIT_TRAIL_EARN_EVENT CREATED_AT 1 month   08Sep25, Tạo index mới: DBASD-8384 TIER_HISTORY CREATED_AT 6 month     POINT_TRANSACTION_ACCOUNT_BALANCE CREATED_AT 6 month Từ tháng 5/2025,  tạm dừng ko xóa data history bảng này nữa , để CNSP review lại xem có dùng dữ liệu quá 6 tháng ko?   PAY_WITH_POINT_TRANSACTION_HISTORY TRANSACTION_TIME Giữ nguyên các partition,chỉ DELETE xóa data theo điều kiện where là:  status = 'F'  and transaction_time đủ full  1 tháng  gần nhất Ví dụ, hiện tại tháng 10/2025, thì sẽ thực hiện DELETE Xóa data có: status = 'F' and transaction_time &lt; to_date('01/09/2025','dd/MM/yyyy')   TRANSACTION_HISTORY_ATTRIBUTE CREATED_AT 3 month Tháng hiện tại là tháng n. Trên DB chính PROD (HOT), giữ lại data đầy đủ của 3 tháng gần nhất (tháng thứ n-1,n-2,n-3 sau tháng hiện tại). Các data tháng thứ n-4,n-5,n-6 sau tháng n hiện tại thì chuyển sang db COLD.) Ví dụ, hiện tại là tháng 10/2025, thì data giữ lại ở db chính PROD là tháng 9/2025, 8/2025, 7/2025. Các tháng 6/2025, 5/2025, 4/2025 sẽ khai thác trên db COLD.   TRANSACTION_HISTORY TRANSACTION_TIME 6 month Trên môi trường PROD (HOT), Giữ lại data đầy đủ của 6 tháng gần nhất. (tháng n-1, n-2, n-3, n-4, n-5, n-6). Trên môi trường COLD, sẽ có data lịch sử (history 6 tháng tiếp theo) n-7, n-8, n-9, n-10, n-11, n-12. Ví dụ, hiện tại là tháng 10/2025, thì data giữ lại ở db chính PROD là tháng 9/2025, 8/2025, 7/2025, 6/2025, 5/2025, 4/2025. Các tháng lịch sử khác (history 6 tháng tiếp theo) sẽ khai thác trên db COLD: tháng 3/2025, 2/2025, 1/2025, 12/2024, 11/2024, 10/2024   POINT_TRANSACTION TRANSACTION_TIME 6 month Trên môi trường PROD (HOT), Giữ lại data đầy đủ của 6 tháng gần nhất. (tháng n-1, n-2, n-3, n-4, n-5, n-6). Trên môi trường COLD, sẽ có data lịch sử (history 6 tháng tiếp theo) n-7, n-8, n-9, n-10, n-11, n-12. Ví dụ, hiện tại là tháng 10/2025, thì data giữ lại ở db chính PROD là tháng 9/2025, 8/2025, 7/2025, 6/2025, 5/2025, 4/2025. Các tháng lịch sử khác (history 6 tháng tiếp theo) sẽ khai thác trên db COLD: tháng 3/2025, 2/2025, 1/2025, 12/2024, 11/2024, 10/2024   COUNTER_TRANSACTION_HISTORY CREATED_AT 6 month "Trên môi trường PROD (HOT), Giữ lại data đầy đủ của 6 tháng gần nhất. (tháng n-1, n-2, n-3, n-4, n-5, n-6). Trên môi trường COLD, sẽ có data lịch sử (history 6 tháng tiếp theo) n-7, n-8, n-9, n-10, n-11, n-12. Ví dụ, hiện tại là tháng 10/2025, thì data giữ lại ở db chính PROD là tháng 9/2025, 8/2025, 7/2025, 6/2025, 5/2025, 4/2025. Các tháng lịch sử khác (history 6 tháng tiếp theo) sẽ khai thác trên db COLD: tháng 3/2025, 2/2025, 1/2025, 12/2024, 11/2024, 10/2024"   COUNTER_HISTORY CREATED_AT Không xóa data select /*+ parallel(8) */ count(*) from OLOYALTY.COUNTER_HISTORY; -- Jun25: 1.239.192.444, Jul25: 1.241.861.674, Aug25: 1.243.737.744, Sep25: 1.245.368.045, oct25: 1.246.539.190 Chạy Gather statistic + rebuild index bảng COUNTER_HISTORY 01.01: 922 tr 01.02: 1,030 tr 01.03: 1,223 tr 01.04: 1,232 tr 01.05: 1,234 tr                     Các bảng theo dõi thông tin:         MEMBER_ATTRIBUTE Không tạo partition có thể xoá các bảng ghi có status = 'I' Rà soát theo mỗi quý 1 lần. Khi tỉ lệ số rows STATUS = 'I' chiếm khoảng 20% số row của bảng thì thực hiện DELETE bớt data có STATUS = 'I' select /*+ parallel(8) */ count(*) from OLOYALTY.MEMBER_ATTRIBUTE; -- Aug24: 717.918.360, oct25: 817.733.762  select /*+ parallel(8) */ count(*) from OLOYALTY.MEMBER_ATTRIBUTE where STATUS = 'A'; -- Aug24: 504.987.882, oct25: 531.694.076  select /*+ parallel(8) */ count(*) from OLOYALTY.MEMBER_ATTRIBUTE where STATUS = 'I'; -- Aug24: 212.930.565, oct25: 286.039.686   POINT_TRANSACTION_BLOCKING EXPIRED_DATE Xoá các bản ghi trước năm 2024 Đã làm tháng 9/2024. select count(*) from OLOYALTY.POINT_TRANSACTION_BLOCKING; -- Jun25: 11.979.959, Jul25: 12.687.645, oct25: 14.493.225   Phương án làm archive data cho các bảng này: export các partition vi phạm thời gian lưu trữ data life time ONLINE Lưu trữ các partition đã export lên GCS (thời gian lưu trữ trên GCS là 1 năm). Các dữ liệu nào cần khai thác trên COLD, thì sẽ import sang db COLD. Drop các partition đã export + archived trên DB PROD Chạy lại gather statistic cho bảng vừa drop partition (có thể để DB auto chạy cũng được)  </t>
  </si>
  <si>
    <t>[OMC][PROD][MicroAppAuthen] Update app host cho Merchant Loyalty</t>
  </si>
  <si>
    <t>2025-10-07T15:27:23.402+0700</t>
  </si>
  <si>
    <t>2025-10-07T15:27:27.268+0700</t>
  </si>
  <si>
    <t>Dear team DBA, Trong tối 07/10/2025, team OneU sẽ golive phần support thêm plugin consumer authen v2 cho merchant loyalty. Release plan:  Nhờ team update giúp dữ liệu: Instance ID:  https://console.cloud.google.com/sql/instances/main/insights;duration=PT1H;sort_by=TOTAL_EXEC_TIME/executed?authuser=0&amp;inv=1&amp;invt=Ab1exA&amp;project=vinid-service-platform-prod Database name: microapp UPDATE `app_host`
SET issuer = "https://auth-om.onemount.com/iam/v1/tpay-merchant-prod/" 
WHERE id = 3; Em cảm ơn!</t>
  </si>
  <si>
    <t>[MCL][Prod][TiDB OMC] Request support golive 7/10</t>
  </si>
  <si>
    <t>2025-10-07T15:17:25.534+0700</t>
  </si>
  <si>
    <t>2025-10-07T15:17:43.325+0700</t>
  </si>
  <si>
    <t>Dear anh, Team MTP có plan golive theo CR:  . Nhờ anh hỗ trợ team các mục sau ạ: Support golive, thời gian dự kiến:  21h tối 7/10 Chạy script sau  Tại thời điểm golive -- update for paper contract
alter table omc_merchant_loyalty.contract modify type enum('CONTRACT','APPENDIX','APPENDIX_INCREMENTAL','APPENDIX_OVERRIDE','CANCEL_ENROLLMENT','PAPER_CONTRACT') not null;
alter table omc_merchant_loyalty.contract modify status enum('DRAFT','SUBMITTED','PENDING_SIGNATURE','PENDING_HIDDEN_SIGNATURE','REJECTED_HIDDEN_SIGNATURE','PENDING_APPROVE','SIGNED','TERMINATED','CANCELLED','IN_REVIEW', 'PENDING') not null;
-- change data type from int to varchar
alter table omc_merchant_loyalty.contract modify template_id varchar(50) null;
alter table omc_merchant_loyalty.contract modify appendix_template_id varchar(50) null;
alter table omc_merchant_loyalty.contract modify cancel_appendix_template_id varchar(50) null;
-- update to uuid
update omc_merchant_loyalty.contract set template_id = '732097dc-2870-4ed4-835f-35d31c60dfb2' where template_id = '989';
update omc_merchant_loyalty.contract set template_id = '87e2cfe1-35ff-4c41-be61-3677b3a35524' where template_id = '988';
update omc_merchant_loyalty.contract set template_id = '05feb942-cb5e-4082-bb27-f0f2c6bf0b52' where template_id = '1068';
update omc_merchant_loyalty.contract set template_id = '93e872a2-1d67-487e-9639-9d3021d78311' where template_id = '884';
update omc_merchant_loyalty.contract set template_id = '8665d647-7ef3-43b7-9483-cdaf3519f101' where template_id = '1063';
update omc_merchant_loyalty.contract set template_id = '93e872a2-1d67-487e-9639-9d3021d78311' where template_id = '1061';
update omc_merchant_loyalty.contract set appendix_template_id = '732097dc-2870-4ed4-835f-35d31c60dfb2' where appendix_template_id = '989';
update omc_merchant_loyalty.contract set appendix_template_id = '05feb942-cb5e-4082-bb27-f0f2c6bf0b52' where appendix_template_id = '1068';
update omc_merchant_loyalty.contract set appendix_template_id = '8665d647-7ef3-43b7-9483-cdaf3519f101' where appendix_template_id = '1063';
update omc_merchant_loyalty.contract set cancel_appendix_template_id = '35877dd7-dacb-428e-bbe0-9bc04d281d82' where cancel_appendix_template_id = '997';
update omc_merchant_loyalty.contract set cancel_appendix_template_id = '3103e0d1-e665-4e32-8f4b-f462fff010d7' where cancel_appendix_template_id = '1069';
update omc_merchant_loyalty.contract set cancel_appendix_template_id = '5c31086c-4443-4ab5-a2f4-772cd64924b6' where cancel_appendix_template_id = '1064'; Thông tin DB: URL:  omc-mtp-tidb.int.onemount.com:4000 Schema:  omc_merchant_loyalty</t>
  </si>
  <si>
    <t>[OMC][PS2][Loyalty][PROD] - Thực hiện modify column cho bảng PS2_EVENT_TOTAL_PV</t>
  </si>
  <si>
    <t>2025-10-07T14:50:55.457+0700</t>
  </si>
  <si>
    <t>2025-10-07T14:52:07.260+0700</t>
  </si>
  <si>
    <t>Dear anh Linh, Nhờ anh chạy script sau để tăng size cho column  TOTAL_EVENT_AMOUNT  của bảng  PS2_EVENT_TOTAL_PV , hiên tại  NUMBER(19,6)  không đủ kích thước để lưu trữ, dẫn đến lỗi. Cần tăng lên NUMBER(38,6). ALTER TABLE OLOYALTY.PS2_EVENT_TOTAL_PV MODIFY TOTAL_EVENT_AMOUNT NUMBER(38,6); Notes : Bảng này dữ liệu bé, không ảnh hưởng các luồng trên app Database Loyalty core (Oracle): IP: 10.255.23.119 DB: OLOYALTY Thanks!</t>
  </si>
  <si>
    <t>[OMRE][CBP][Broker]V/v clone và kiểm thử nâng cấp Cloudsql version từ 8.0 lên 8.4.6 trên Host instance omre-cbp-mysql8</t>
  </si>
  <si>
    <t>2025-10-07T11:37:40.919+0700</t>
  </si>
  <si>
    <t>2025-10-09T17:11:38.011+0700</t>
  </si>
  <si>
    <t>[OMRE][CBP][Broker]V/v clone và kiểm thử nâng cấp Cloudsql version từ 8.0 lên 8.4.6 trên Host instance omre-cbp-mysql8 Host instance:  https://console.cloud.google.com/sql/instances/omre-cbp-mysql8/overview?project=omre-cobroker-np</t>
  </si>
  <si>
    <t xml:space="preserve">MH - Support active bank account </t>
  </si>
  <si>
    <t>2025-10-07T11:24:01.105+0700</t>
  </si>
  <si>
    <t>2025-10-08T10:00:34.880+0700</t>
  </si>
  <si>
    <t>updating</t>
  </si>
  <si>
    <t>Hi các anh,  Do khi vận hành setup các thông tin bank account của ban quản lý trong dự án mpm platform thì PO setup sai thông tin  Nhờ các a update giúp e query này để active lại bank account đang hoạt động  câu query  UPDATE acg_bank_accounts t
SET t.deleted = 0
WHERE t.id = '0008bcb5-7378-4c47-8811-f40a2ec9f419'; thông tin database :  mpm-prod.crcykac8kxtw.ap-southeast-1.rds.amazonaws.com:3306 tên database:  mpm_mh_mpm</t>
  </si>
  <si>
    <t>[Prod] Update infor serial_fulfillment_item for VMM</t>
  </si>
  <si>
    <t>2025-10-07T11:06:44.643+0700</t>
  </si>
  <si>
    <t>2025-10-07T11:20:59.515+0700</t>
  </si>
  <si>
    <t>Nhờ anh Dương chạy giúp em script dưới: IP: 172.31.1.41 DB: vincart_mm_order Script:  -- Update status order
UPDATE vincart_mm_order.orders
SET status='FINISHED', fulfillment_status='SHIPPED'
WHERE code = 'MRKYD22';
UPDATE vincart_mm_order.orders
SET status='FINISHED', fulfillment_status='SHIPPED'
WHERE code = 'MENGB5D';
-- Insert serial_fulfillment_items
INSERT INTO vincart_mm_order.serial_fulfillment_items
(created_at, updated_at, user_id, order_id, order_code, fulfillment_id, fulfillment_item_id, variant_id, serial_code, distribute_code, expired_time)
VALUES (now(), now(), '1009885179', 3318260, 'MRKYD22', 3250805, 3557935, 1007767, 'ce3c6544bf724f0ca6c435429d8b93ab', 'ueiOj4qfSZj_hFm2zhbO', '2025-12-21 23:59:59'),
(now(), now(), '1004425423', 3318633, 'MENGB5D', 3251178, 3558308, 1007566, 'a75ebd5c91b042f0989dce48d2971d2a', 'kT7oCWXIknf3Udms5_57v', '2025-12-21 10:07:36');</t>
  </si>
  <si>
    <t>[OMRE][CBP][Non-Product] Yêu cầu tạo database và user cho service cbp-customer-platform môi trường non-product</t>
  </si>
  <si>
    <t>2025-10-07T09:52:48.247+0700</t>
  </si>
  <si>
    <t>2025-10-07T10:01:09.600+0700</t>
  </si>
  <si>
    <t>CBP_Customer_Platform</t>
  </si>
  <si>
    <t>Nhờ team tạo và cấp quyền database cho service cbp-customer-platform như sau env:  qc , uat Database:omre_cbp_customer_platform_{{env}}
User:omre_cbp_customer_platform_{{env}}</t>
  </si>
  <si>
    <t>[PROD] [VCM]  Chạy script SQL migration</t>
  </si>
  <si>
    <t>2025-10-07T09:27:17.322+0700</t>
  </si>
  <si>
    <t>2025-10-07T10:19:33.504+0700</t>
  </si>
  <si>
    <t>Nhờ Dương chạy giúp script migrate store accepted cho môt số voucher bị thiếu. Thông tin DB: Thời gian chạy lúc  16: 00 06/10/2025 ip: 172.31.1.41
Database name:vincart_mm_product Backup db trước khi chạy script dưới create  table entity_attributes_values_06102025 like entity_attributes_values;
insert into entity_attributes_values_06102025 select * from entity_attributes_values; Script sql chạy trong attach file.</t>
  </si>
  <si>
    <t>[OMC][Kafka][PROD] Hỗ trợ tạo kafka topic DB gami_gamezone</t>
  </si>
  <si>
    <t>2025-10-06T16:20:01.560+0700</t>
  </si>
  <si>
    <t>2025-10-06T19:46:35.866+0700</t>
  </si>
  <si>
    <t xml:space="preserve">Dear anh Linh, Phục vụ phát triển dữ liệu CDP nhờ anh Linh tạo kafka topic cho bảng sau: Host:  172.31.1.14 DB:  gami_gamezone Bảng:  transactions Em cảm ơn ạ cc chị  @Giang Thu Trang  </t>
  </si>
  <si>
    <t>[OMD] [CDP] update schedule cho job transform spec</t>
  </si>
  <si>
    <t>2025-10-06T15:32:17.055+0700</t>
  </si>
  <si>
    <t>2025-10-07T10:09:26.878+0700</t>
  </si>
  <si>
    <t>Dear  @Trần Trương Dương Từ yêu cầu  https://vinid-team.atlassian.net/browse/B2B1D-58878 Và thay đổi schedule job theo yêu cầu BA  https://chat.google.com/room/AAAAkYpjfgc/6crliipyvmU/m4Z9rJvqniE?cls=10 Nhờ thầy update schedule cho job transform spec UPDATE omd_cdp_orchestration.job_transform_definition
SET update_frequency='{"applyTimeRange": {"from": "", "to": ""}, "applyTimeRangeInDay": {"from": "00:00:00", "to": "23:59:59"}, "cron": "59 59 23 * * *"}'
where job_code ='CaresoftGetZaloJob' Cảm ơn!</t>
  </si>
  <si>
    <t>V/v Clone và kiểm thử upgrade Cloudsql Postgres SQL version từ 13 lên 15.</t>
  </si>
  <si>
    <t>2025-10-06T15:18:00.337+0700</t>
  </si>
  <si>
    <t>2025-10-07T10:20:00.336+0700</t>
  </si>
  <si>
    <t>OMREC</t>
  </si>
  <si>
    <t>Thực hiện kiểm thử upgrade Cloudsql Postgres SQL version từ 13 lên 15 trên Host instance: https://console.cloud.google.com/sql/instances/sonarqube/overview?inv=1&amp;invt=AbsVIA&amp;project=vinid-app-common-dev</t>
  </si>
  <si>
    <t>[OMD] [CDP] Xin phân quyền cho tài khoản chaucv, thanhtt25 query dữ liệu CDP qua dremio</t>
  </si>
  <si>
    <t>2025-10-06T15:12:29.460+0700</t>
  </si>
  <si>
    <t>2025-10-06T15:24:24.957+0700</t>
  </si>
  <si>
    <t>Hi  @Trần Trương Dương   Nhờ hỗ trợ read only query check lỗi các data trên CDP Cho tài khoản  @Chu Văn Châu   ,    @Trịnh Trung Thành   query dữ liệu CDP qua  dremio Cảm ơn!</t>
  </si>
  <si>
    <t>2025-10-06T12:32:17.885+0700</t>
  </si>
  <si>
    <t>2025-10-11T00:44:15.160+0700</t>
  </si>
  <si>
    <t>Dear Team DAB, Nhờ team  xoá tất cả các data  cho các bảng sau giúp ạ :   OLOYALTY.MEMBER_INFO_VERSIONING
OLOYALTY.CUSTOMER_CARD_INFO_VERSIONING
OLOYALTY.CUSTOMER_PROFILE_VERSIONING
OLOYALTY.CUSTOMER_PRODUCT_INFO_VERSIONING Nguyên nhân : Data ghi nhận bị lỗi</t>
  </si>
  <si>
    <t>[Saitama] Cập nhập trạng thái thiết bị soundbox</t>
  </si>
  <si>
    <t>2025-10-06T12:10:41.657+0700</t>
  </si>
  <si>
    <t>2025-10-06T12:10:56.484+0700</t>
  </si>
  <si>
    <t>Hi a  @Nguyễn Văn Dũng , nhờ a run giúp e trên PROD với ạ Thông tin database saas_tpay:  pay-tidb.int.onemount.com:4000/saas_tpay CR Ticket:    Script:  UPDATE TCB_DEVICE 
SET PHYSICAL_STATUS ='SALE_HOLDING'
WHERE PHYSICAL_STATUS ='PENDING_ASSIGNED' AND SERVICE = 'SOUNDBOX';</t>
  </si>
  <si>
    <t>2025-10-06T10:59:26.996+0700</t>
  </si>
  <si>
    <t>2025-10-06T10:59:35.732+0700</t>
  </si>
  <si>
    <t>[OMD] [CDP] thêm cột vào table &amp; update transform spec</t>
  </si>
  <si>
    <t>2025-10-06T10:56:36.341+0700</t>
  </si>
  <si>
    <t>2025-10-06T12:10:22.405+0700</t>
  </si>
  <si>
    <t>Dear  @Trần Trương Dương   Từ yêu cầu  https://vinid-team.atlassian.net/browse/B2B1D-58878 Nhờ thầy hỗ trợ thêm cột vào table &amp; update transform spec --- Thêm mới cột
ALTER TABLE omd_cdp_data_from_ingest.GT_PROFILE ADD following_status BIT NULL;
ALTER TABLE omd_cdp_data_from_ingest.GT_PROFILE ADD last_user_activity_time TIMESTAMP NULL;
--- Update transform spec
UPDATE omd_cdp_orchestration.job_transform_definition
SET transform_spec='{"dynamicEnrich":[{"enrichKey":"enrich","uri":"bean:caresoftService?method=getZaloId(${body[customer_phone]})"}],"filterColumn":"customer_code","forceCreateJoltFile":true,"intervalMinutes":10,"jobRouteUri":"direct:jobRouteDynamicTransform","joltSpec":[{"operation":"modify-overwrite-beta","spec":{"*":{"enrich":{"user_id":["=notNull(@(1,user_id))",null],"username":["=notNull(@(1,username))",null],"zalo_psid":["=notNull(@(1,zalo_psid))",null],"following_status":["=notNull(@(1,following_status))",null],"last_user_activity_time":["=notNull(@(1,last_user_activity_time))",null]}}}},{"operation":"shift","spec":{"*":{"@":"[&amp;1]","enrich":{"user_id":"[&amp;2].user_id","username":"[&amp;2].username","zalo_psid":"[&amp;2].zalo_psid","following_status":"[&amp;2].following_status","last_user_activity_time":"[&amp;2].last_user_activity_time"}}}}],"limit":500,"offset":0,"pagingType":"CURSOR_PAGING","saveLastValue":false,"sqlInsert":"INSERT INTO GT_PROFILE(customer_code, caresoft_user_id, caresoft_username, zalo_psid) VALUES(:#customer_code, :#user_id, :#username, :#zalo_psid) ON DUPLICATE KEY UPDATE customer_code=VALUES(customer_code),caresoft_user_id=VALUES(caresoft_user_id),caresoft_username=VALUES(caresoft_username),zalo_psid=VALUES(zalo_psid)","sqlInsertDatasource":"ingestDataSource","sqlQuery":"SELECT gp.customer_code, gp.customer_phone FROM omd_cdp_data_from_ingest.GT_PROFILE gp WHERE 1 = 1 AND :#{header.param} AND gp.customer_status = 'ACTIVE' AND gp.customer_level &gt; 0 AND gp.zalo_psid is null AND EXISTS (SELECT 1 FROM omd_cdp_data_from_ingest.caresoft_customer cc WHERE gp.customer_code = cc.customer_code) ORDER BY gp.customer_code LIMIT :#${header.limit}","sqlQueryDatasource":"ingestDataSource","threads":1}'
where job_code ='CaresoftGetZaloJob' @Bùi Quang Đại  ntt</t>
  </si>
  <si>
    <t>[OMRE][CBP][NON-PROD] Request access vào read-replica của CBP - môi trường UAT</t>
  </si>
  <si>
    <t>2025-10-06T10:16:26.345+0700</t>
  </si>
  <si>
    <t>2025-10-07T12:49:13.185+0700</t>
  </si>
  <si>
    <t>Hi team, Hiện tại đội dev đã tạo db UAT cho dự án CBP, nhờ team cấp quyền truy cập vào read_replica của CBP - UAT với ạ, em cảm ơn ạ Thông tin db: omre_cbp_cma_uat https://mongos-ilb-2.int.onemount.dev:27017/ Username có thể giống với ticket   (avm_reader) hoặc khác cũng được ạ Em cảm ơn team nhiều</t>
  </si>
  <si>
    <t>[OMD] [CDP] Nhờ query thông tin cấu hình job_transform_definition</t>
  </si>
  <si>
    <t>2025-10-06T09:56:50.649+0700</t>
  </si>
  <si>
    <t>2025-10-06T10:03:19.790+0700</t>
  </si>
  <si>
    <t>Dear  @Trần Trương Dương   Nhờ thấy hỗ trợ SELECT * FROM omd_cdp_orchestration_prod.job_transform_definition
where job_code ='CaresoftGetZaloJob' Cảm ơn!</t>
  </si>
  <si>
    <t>[OMC][CDP] Migrate dữ liệu Loyalty-Core</t>
  </si>
  <si>
    <t>2025-10-04T18:28:29.515+0700</t>
  </si>
  <si>
    <t>2025-10-04T18:30:08.537+0700</t>
  </si>
  <si>
    <t>Dear anh  @Nguyễn Văn Dũng  , nhờ anh chạy giúp em script sau DB:  omc-mtp-tidb.int.onemount.com:4000 Schema:  omc_mtp_user_profile TRUNCATE TABLE omc_mtp_user_profile.loyalty_cus; Thời gian chạy: 16h25ph Best regards Dinh Quang Nguyen</t>
  </si>
  <si>
    <t>2025-10-04T13:09:12.369+0700</t>
  </si>
  <si>
    <t>2025-10-04T13:12:15.037+0700</t>
  </si>
  <si>
    <t>Dear anh Dương, Phục vụ cho việc bán vé ticketing tối nay nhờ anh hỗ trợ team chạy câu lệnh SQL dưới đây ạ Project: vinticket-prod
IP: 172.31.1.3	
Db name: vinticket SQL: START TRANSACTION;
UPDATE `ticket_types`
SET `source` = 2, `expiry_type` = 2
WHERE `id` IN (5314,5313,5312);
COMMIT;</t>
  </si>
  <si>
    <t>Cập nhật columns luồng data RIMs</t>
  </si>
  <si>
    <t>2025-10-04T11:05:25.880+0700</t>
  </si>
  <si>
    <t>2025-10-06T11:06:24.356+0700</t>
  </si>
  <si>
    <t>Hiện tại hệ thống RIMs bên Techcombank vừa go live theo đơn vị hành chính mới, do đó có cập nhật thêm 1 số trường của các bảng trong DB. Nhờ team DE cập nhật giúp e vào luồng daily data hàng ngày của RIMs ạ: ID Bảng thay đổi Nội dung cập nhật Mô tả BR01 L01_TINHTHANH Cập nhật thêm cột ISNEW Cập nhật lại các data từ các columns từ file TCB đẩy qua daily BR02 L02_QUANHUYEN Cập nhật thêm cột ISNEW BR03 L03_PHUONGXA Cập nhật thêm cột ISNEW BR04 LKG00_DOANDUONG Cập nhật thêm cột ISNEW BR05 V_BDS_PHIEUYEUCAU Cập nhật thêm cột IDTST24 BR06 V_BDS_TOTRINH Cập nhật thêm cột MB_CODE BR07 V_DS_PHIEUYEUCAU Cập nhật thêm cột IDTST24 BR08 V_DS_TOTRINH Cập nhật thêm cột MB_CODE Nhờ team hỗ trợ ạ, em cảm ơn.</t>
  </si>
  <si>
    <t>[OMC][Gami][PROD] Nâng cấp database GAMI cho campaign Hồng Bao OneU</t>
  </si>
  <si>
    <t>2025-10-04T11:01:23.237+0700</t>
  </si>
  <si>
    <t>2025-10-08T22:13:42.236+0700</t>
  </si>
  <si>
    <t>Nâng cấp database GAMI cho campaign Hồng Bao OneU. Hiện tại cấu hình DB đang 2 CPU, 8GB, cần nâng cấp thêm để đáp ứng chạy campaign Cấu hình hiện tại: DB gami: https://console.cloud.google.com/sql/instances/main/overview?project=vinid-gamification-prod host: 172.31.1.14 instance: main Cấu hình cũ Cấu hình mới CPU: 2 RAM: 8 GB CPU: 4 RAM: 8 GB 22h00 ngày 08/10/2025 , thực hiện nâng cấp lên:  CPU: 4  giữ nguyên ram</t>
  </si>
  <si>
    <t>[Saitama] Release 04/10/2025</t>
  </si>
  <si>
    <t>2025-10-04T09:41:35.847+0700</t>
  </si>
  <si>
    <t>2025-10-04T09:41:44.060+0700</t>
  </si>
  <si>
    <t>Hi a  @Nguyễn Văn Dũng  nhờ a chạy script theo mô tả  dưới đây ở môi trường PRODUCTION theo thông tin dưới đây ạ: Thời gian chạy script: Vào lúc  23h59p ngày 04/10/2025 (0h00p ngày 05/10/2025)  -  Khi team thông báo Thông tin database saas_tpay:  pay-tidb.int.onemount.com:4000/saas_tpay CR Ticket:    Script: Bước 1:   PB-26798.sql  - Thêm/Sửa bảng, cập nhập dữ liệu cho luồng SaleApp Bước 2:  export_update_unified_merchant_service_smartpos.sql  - Backup và cập nhập thông tin unified merchant service cho smartpos Bước 3:  export_update_unified_store.sql  - Backup và cập nhập thông tin unified store</t>
  </si>
  <si>
    <t>[UPAY][PROD] Script release ECOM ngày 04/10/2025</t>
  </si>
  <si>
    <t>2025-10-04T09:41:19.191+0700</t>
  </si>
  <si>
    <t>2025-10-04T09:41:25.399+0700</t>
  </si>
  <si>
    <t>Hi các anh Nhờ anh chạy các script sau giúp em trên: Prod  vào lúc  00:01 ngày 04/10/2025, 1 số query có thể chạy trước em sẽ note riêng ạ Thông tin database gồm có những DB sau ạ: Prod SAAS :  pay-tidb.int.onemount.com:4000/saas_tpay Prod OneHub :  mysql://vinpay-sql-onehub-master.int.vinid.net:3306/pay_payment_gateway Query em xin phép bổ sung trong comment ạ</t>
  </si>
  <si>
    <t>[UPAY][PROD] Script release ECOM ngày 01/10/2025</t>
  </si>
  <si>
    <t>2025-10-04T09:41:01.950+0700</t>
  </si>
  <si>
    <t>2025-10-04T09:45:29.038+0700</t>
  </si>
  <si>
    <t>Hi anh Nhờ anh chạy các script sau giúp em trên: Prod  vào lúc  00:01 ngày 01/10/2025 Thông tin database: Prod :  pay-tidb.int.onemount.com:4000/saas_tpay Em gửi query ạ alter table TOKENIZATION
    add token_cybersource_info varchar(500) null;</t>
  </si>
  <si>
    <t>[OMRE][CBP][Non-Prod]-Build hạ tầng mongo DB cho CMA</t>
  </si>
  <si>
    <t>2025-10-04T09:16:33.776+0700</t>
  </si>
  <si>
    <t>2025-10-04T12:22:15.963+0700</t>
  </si>
  <si>
    <t>Hi team, nhờ team hỗ trợ tạo database CMA mt uat với thông tin như sau mongos-ilb-2.int.onemount.dev:27017 Repo:  https://gitlab.id.vin/1housing/cbp/apply/backend/valuation/cma   SAD:    DB name:  omre_cbp_cma_uat Username:  omre_cbp_cma_uat</t>
  </si>
  <si>
    <t>[UPAY][PROD] Tác động database hỗ trợ update charge code phí</t>
  </si>
  <si>
    <t>2025-10-03T18:16:33.522+0700</t>
  </si>
  <si>
    <t>2025-10-03T18:16:38.746+0700</t>
  </si>
  <si>
    <t>a  @Nguyễn Văn Dũng  ơi. Nhờ a chạy giúp em script sau Thông tin database saas_tpay:  pay-tidb.int.onemount.com:4000/saas_tpay Thời gian: Ngay sau khi được approval  update AUTO_SETTLEMENT
set charge_code = 'DN15727'
where id = 465730587339330993 and merchant_code = 'Pharmacity' and status = 'FAIL' and fee_type = 'TRANSACTION_PROCESS';</t>
  </si>
  <si>
    <t>2025-10-03T17:50:26.268+0700</t>
  </si>
  <si>
    <t>2025-10-03T17:52:45.614+0700</t>
  </si>
  <si>
    <t xml:space="preserve">Dear anh/chị, hiện tại hệ thống RIMs bên Techcombank vừa go live theo đơn vị hành chính mới, do đó có cập nhật thêm 1 số trường của các bảng trong DB. Thông tin DB: 'Server=172.31.4.18;' 'Database=rimsprod; Nhờ team chạy giúp e script sau để DE hỗ trợ đẩy data ạ: ALTER TABLE [dbo].[TMP_LKG00_DOANDUONG] ADD [ISNEW] bit DEFAULT(0); Em cảm ơn. CC  @Former user  </t>
  </si>
  <si>
    <t>https://vinid-team.atlassian.net/browse/SRE-15162</t>
  </si>
  <si>
    <t>2025-10-03T16:26:19.152+0700</t>
  </si>
  <si>
    <t>2025-10-03T16:26:41.444+0700</t>
  </si>
  <si>
    <t xml:space="preserve">Hỗ trợ support ticket   </t>
  </si>
  <si>
    <t>V/v hỗ trợ Bravo ERP (nexa)</t>
  </si>
  <si>
    <t>2025-10-03T16:26:08.454+0700</t>
  </si>
  <si>
    <t>2025-11-03T09:59:45.216+0700</t>
  </si>
  <si>
    <t>hỗ trợ dự án Bravo</t>
  </si>
  <si>
    <t>[Merchant-TCB] Cập nhật dữ liệu 20251003</t>
  </si>
  <si>
    <t>2025-10-03T16:23:32.602+0700</t>
  </si>
  <si>
    <t>2025-10-03T16:23:51.912+0700</t>
  </si>
  <si>
    <t>Dear team, Nhờ team chạy giúp câu lệnh bên dưới ạ. Thông tin database https://console.cloud.google.com/sql/instances/merchant-tcb/overview?inv=1&amp;invt=AbsndA&amp;project=vinid-merchant-prod DB_MYSQL_HOST=172.31.4.108
DB_MYSQL_DATABASE=merchant_service_tcb Câu lệnh -- query id
SELECT id INTO @store_service_id_8589 
FROM tpay_store_service WHERE (merchant_service_id = 'MQR_8599' AND store_id = 656578) LIMIT 1;
SELECT id INTO @store_service_id_3450 
FROM tpay_store_service WHERE (merchant_service_id = 'TQR_3450' AND store_id = 656578) LIMIT 1;
-- Update bảng store
UPDATE tpay_store
SET status = 'ACTIVE'
WHERE (id = '656578');
-- update bảng store service
UPDATE tpay_store_service
SET status = 'ACTIVE', sid = 'S11757052865361'
WHERE id=@store_service_id_8589;
UPDATE tpay_store_service
SET status = 'ACTIVE', sid = 'S11757052865361'
WHERE id=@store_service_id_3450;
-- Update request terminal
UPDATE tpay_request_terminal
SET status = APPROVED
WHERE (id = '90594');
-- Insert data trong bảng terminal
INSERT INTO tpay_terminal (created_at, updated_at, approved_at, approved_by, code, name, status, tcb_merchant_code, tcb_store_code, tcb_terminal_code, tcb_merchant_id, tcb_store_id, tcb_terminal_id, mqr, virtual_account_number, merchant_code, store_code, source)
		VALUES('2025-10-03 10:31:47', '2025-10-03 10:31:47', '2025-10-03 10:31:47', 'hienntm', 'SHOP_582_HUNG_VUONG_01', 'SHOP_582_HUNG_VUONG_01', 'ACTIVE', 'HASAKI', 'SHOP_582_HUNG_VUONG', 'SHOP_582_HUNG_VUONG_01', 'M11697529726460', 'S11757052865361', 'T11757052865367', '00020101021138630010A000000727013300069704070119MS06T117570528653670208QRIBFTTA53037045802VN6304BE95', 'MS06T11757052865367', 'NCCTHKXG', 'CHQUSPFT', 'OPS_PORTAL');
-- Insert data bảng terminal service
INSERT INTO tpay_terminal_service (created_at, updated_at, terminal_code, store_service_id, tid, mid, status, virtual_account_number, virtual_account_name, qr_url, source)
		VALUES('2025-10-03 08:17:29', '2025-10-03 08:17:29', 'SHOP_582_HUNG_VUONG_01', @store_service_id_3450, 'T11757052865367', 'M11697529726460', 'ACTIVE', 'MS06T11757052865367', 'HASAKI BEAUTY AND CLINIC JOINT STOCK COMPANY', '00020101021138630010A000000727013300069704070119MS06T117570528653670208QRIBFTTA53037045802VN6304BE95', 'OPS_PORTAL');
INSERT INTO tpay_terminal_service (created_at, updated_at, terminal_code, store_service_id, tid, mid, status, virtual_account_number, virtual_account_name, qr_url)
		VALUES('2025-10-03 08:17:29', '2025-10-03 08:17:29', 'SHOP_582_HUNG_VUONG_01', @store_service_id_8589, 'T11757052865367', 'M11697529726460', 'ACTIVE', 'MS06T11757052865367', 'HASAKI BEAUTY AND CLINIC JOINT STOCK COMPANY', '00020101021138630010A000000727013300069704070119MS06T117570528653670208QRIBFTTA53037045802VN6304BE95');</t>
  </si>
  <si>
    <t>[UPay][PROD] Bật cấu hình nguồn tiền TCB Direct</t>
  </si>
  <si>
    <t>2025-10-03T14:26:38.687+0700</t>
  </si>
  <si>
    <t>2025-10-03T14:27:00.934+0700</t>
  </si>
  <si>
    <t>Dear team DBA, Nhờ các anh chạy script bên dưới để off nguồn tiền TCB Direct Thông tin DB:  vinpay-sql-onehub-master.int.vinid.net:3306/pay_payment_gateway UPDATE pay_payment_gateway.PROVIDER SET IS_ACTIVE=1 WHERE provider_id='41';  </t>
  </si>
  <si>
    <t>[DBA - CES] Hỗ trợ tạo RDS cho dự án CES</t>
  </si>
  <si>
    <t>2025-10-03T14:06:54.994+0700</t>
  </si>
  <si>
    <t>2025-10-03T14:07:02.517+0700</t>
  </si>
  <si>
    <t xml:space="preserve"> Hỗ trợ tạo RDS cho dự án CES</t>
  </si>
  <si>
    <t>[DBA - MPM] Hỗ trợ tạo user temp-dev cho dev MPM</t>
  </si>
  <si>
    <t>2025-10-03T14:06:15.938+0700</t>
  </si>
  <si>
    <t>2025-10-03T14:06:23.679+0700</t>
  </si>
  <si>
    <t>Hỗ trợ tạo user temp-dev cho dev MPM</t>
  </si>
  <si>
    <t>[DBA - ctms] V/v hỗ trợ recover database CTMS qua RDS</t>
  </si>
  <si>
    <t>2025-10-03T14:05:28.038+0700</t>
  </si>
  <si>
    <t>2025-10-03T14:05:37.131+0700</t>
  </si>
  <si>
    <t>hỗ trợ recover database CTMS qua RDS</t>
  </si>
  <si>
    <t>[DBA - matomo] hỗ trợ tạo RDS Common cho shareserivce matomo</t>
  </si>
  <si>
    <t>2025-10-03T14:04:41.611+0700</t>
  </si>
  <si>
    <t>2025-10-03T14:05:02.658+0700</t>
  </si>
  <si>
    <t>hỗ trợ tạo RDS Common cho shareserivce matomo</t>
  </si>
  <si>
    <t>hỗ trợ clone MASSTG cho đội dự án đi demo</t>
  </si>
  <si>
    <t>2025-10-03T14:03:36.877+0700</t>
  </si>
  <si>
    <t>2025-10-03T14:03:45.620+0700</t>
  </si>
  <si>
    <t>B1, MAG, SAP</t>
  </si>
  <si>
    <t>V/v hỗ trợ MAG</t>
  </si>
  <si>
    <t>2025-10-03T14:02:52.870+0700</t>
  </si>
  <si>
    <t>2026-05-13T17:32:03.265+0700</t>
  </si>
  <si>
    <t>V/v hỗ trợ IOTek</t>
  </si>
  <si>
    <t>2025-10-03T14:01:32.753+0700</t>
  </si>
  <si>
    <t>2026-05-13T17:31:58.889+0700</t>
  </si>
  <si>
    <t xml:space="preserve">V/v hỗ trợ IOTek triển khai dự án </t>
  </si>
  <si>
    <t>V/v hỗ trợ dự án IOTek và MAG.</t>
  </si>
  <si>
    <t>2025-10-03T14:00:16.069+0700</t>
  </si>
  <si>
    <t>2025-10-03T14:00:50.316+0700</t>
  </si>
  <si>
    <t>clone hệ DEV và tạo record DEV để tiến hành kiểm thử function</t>
  </si>
  <si>
    <t>2025-10-03T13:58:36.560+0700</t>
  </si>
  <si>
    <t>2025-10-03T13:59:20.398+0700</t>
  </si>
  <si>
    <t>V/v Mock dữ liệu vào ODS phục vụ verify  push notify voucher trên production</t>
  </si>
  <si>
    <t>2025-10-03T12:48:04.794+0700</t>
  </si>
  <si>
    <t>2025-10-03T12:50:15.412+0700</t>
  </si>
  <si>
    <t>IP: TiDB Database:  notification_system_data_output Script: INSERT INTO omc_oneu_voucher_recommendation.notification_system_data_output (user_id, user_name, rec_item, template_id, product_type, scheduling_from_hour, scheduling_to_hour,  scheduling_day, created_at, updated_at, id) VALUES 
('9318042','Vũ Thị Hảo','a265bbab3c2f4e7aa310ff6d6e98fd36','REMIND_001','ticket',14,18,'2025-10-03','2025-10-03 09:18:46.642491+07:00','2025-10-03 09:18:46.642491+07:00','999995526242485190'),
('213675',' Trần Tuấn Linh','ff1ef1aff5794521b9f760762ce759d4','REMIND_001','ticket',15,18,'2025-10-03','2025-10-03 09:18:46.642491+07:00','2025-10-03 09:18:46.642491+07:00','999995526242485191'),
('10271609','Cao Thị Kim Yến','fb543cdce4ba48a8ab816ef31c783ab9','REMIND_001','ticket',16,18,'2025-10-03','2025-10-03 09:18:46.642491+07:00','2025-10-03 09:18:46.642491+07:00','999995526242485192'); Thời gian chạy: 11h00</t>
  </si>
  <si>
    <t>2025-10-03T11:09:57.478+0700</t>
  </si>
  <si>
    <t>2025-10-03T11:26:34.718+0700</t>
  </si>
  <si>
    <t>Dear anh, Nhờ a chạy giúp em file script sau ở ODS Prod ạ: DB:  tidb.int.onemount.com:4000 Schema:  dp_omc_semantic_omc_bsi_cdp Em cảm ơn ạ</t>
  </si>
  <si>
    <t>[OMC][CDP] Clear dữ liệu import sai</t>
  </si>
  <si>
    <t>2025-10-03T10:38:33.101+0700</t>
  </si>
  <si>
    <t>2025-10-03T10:38:41.216+0700</t>
  </si>
  <si>
    <t>Dear anh  @Nguyễn Văn Dũng  , nhờ anh chạy em script sau với ạ DB:  tidb.int.onemount.com:4000 Schema:  dp_omc_semantic_omc_bsi_cdp DELETE FROM dp_omc_semantic_omc_bsi_cdp.f_customer_label
WHERE label_code IN (
  'hv_tt_ntb_01.10_no_burn_l30d',
  'hv_tt_inspire_nonhh_01.10_no_burn_l30d'
); Best regards Dinh Quang Nguyen</t>
  </si>
  <si>
    <t>[UPAY][PROD] Script release ngày 03/10/2025</t>
  </si>
  <si>
    <t>2025-10-03T08:22:58.631+0700</t>
  </si>
  <si>
    <t>2025-10-03T08:23:18.619+0700</t>
  </si>
  <si>
    <t>Hi anh Nhờ anh chạy các script sau giúp em trên: Prod  vào lúc  00:01 ngày 01/10/2025 Thông tin database: Prod :  pay-tidb.int.onemount.com:4000/saas_tpay Em gửi query ạ ALTER TABLE EXPORT_BATCH
ADD COLUMN file_count INT;</t>
  </si>
  <si>
    <t>[OMC][MCL][PROD] Hỗ trợ cập nhật dữ liệu - Merchant Loyalty</t>
  </si>
  <si>
    <t>2025-10-02T22:56:47.615+0700</t>
  </si>
  <si>
    <t>2025-10-02T22:56:53.971+0700</t>
  </si>
  <si>
    <t>Dear team, team em có nhu cầu cập nhật dữ liệu vào TIDB với các thông tin dưới đây. Nhờ team giúp đỡ ạ. Thời gian : Nhờ team chạy luôn giúp em ạ. DB :  omc-mtp-tidb.int.onemount.com:4000 Schema :  omc_merchant_loyalty UPDATE omc_merchant_loyalty.merchant
SET om_merchant_code    = 'DOTCB25275Vog',
    om_merchant_subtype = 'MT'
WHERE id = 78773; Thanks team.</t>
  </si>
  <si>
    <t>[OMC][CDP] Tạo segment cho MKT chạy campaign NTB &amp; Inspire No-Burn</t>
  </si>
  <si>
    <t>2025-10-02T22:37:37.286+0700</t>
  </si>
  <si>
    <t>2025-10-02T22:37:45.922+0700</t>
  </si>
  <si>
    <t>Dear anh  @Nguyễn Văn Dũng  , nhờ anh chạy giúp em script sau: DB:  172.31.1.21:3306 Schema:  mtp_martech_profile INSERT INTO mtp_martech_profile.mtp_anonymous_profile_segmentation_job
    (`id`, `segmentation_id`, `status`, `hash`, `properties`, `external_properties`, `created_at`, `display_name`, `display_order`)
VALUES
    (
        'e655f79e-44d0-427e-acad-50872d47a38c',
        'f83a1b2542cd4e7b9a8c7fd638e2oskj',
        '',
        '3dcf4922bcd0f48d23dbd97636ffdb250ed28132505aae6492ecea39a9226228','{}',
        '{
          "OR": [
            {
              "data_type": "STRING",
              "label_code": "hv_tt_ntb_01.10_no_burn_l30d",
              "label_value": "1",
              "operator": "="
            },
            {
              "data_type": "STRING",
              "label_code": "hv_tt_inspire_nonhh_01.10_no_burn_l30d",
              "label_value": "1",
              "operator": "="
            }
          ]
        }',
        '2025-10-02 22:00:00',
        'NTB &amp; Inspire non-HH - 01.10_no_burn_l30d',
        0
    ),(
        '928d94fa-b0e3-4e97-b074-01a9312e1dc1',
        'f83a1b2542cd4e7b9a8c7fd638e2oskj',
        '',
        '0330677aff6284275f6b4c715e6135a731c7abfaf8dbf1723be70f91626c5974','{}',
        '{
          "AND": [
            {
              "data_type": "STRING",
              "label_code": "hv_tt_ntb_01.10_no_burn_l30d",
              "label_value": "1",
              "operator": "="
            }
          ]
        }',
        '2025-10-02 22:00:00',
        'NTB - 01.10_no_burn_l30d',
        0
    ),(
        '125ae56f-4710-4c0e-967e-82a8849bfcd7',
        'f83a1b2542cd4e7b9a8c7fd638e2oskj',
        '',
        '4c9d7b7dbedae94b84a430c261fe520f7bd944e0c26e328997a01a2486cb19da','{}',
        '{
          "AND": [
            {
              "data_type": "STRING",
              "label_code": "hv_tt_inspire_nonhh_01.10_no_burn_l30d",
              "label_value": "1",
              "operator": "="
            }
          ]
        }',
        '2025-10-02 22:00:00',
        'Inspire - 01.10_no_burn_l30d',
        0
    ); Best regards Dinh Quang Nguyen</t>
  </si>
  <si>
    <t>[UPAY][NON-PROD] Script release ngày 03/10/2025</t>
  </si>
  <si>
    <t>2025-10-02T21:05:29.960+0700</t>
  </si>
  <si>
    <t>2025-10-02T22:57:50.510+0700</t>
  </si>
  <si>
    <t>Hi anh Nhờ anh chạy các script sau giúp em trên: Staging   vào lúc  ngay sau approve Thông tin database: Staging : tidb.int.onemount.dev :4000/ vinpay_saas_tpay_staging CR:    Em gửi query ạ ALTER TABLE EXPORT_BATCH
ADD COLUMN file_count INT;</t>
  </si>
  <si>
    <t>2025-10-02T16:46:59.883+0700</t>
  </si>
  <si>
    <t>2025-10-02T16:47:15.264+0700</t>
  </si>
  <si>
    <t xml:space="preserve">a  @Nguyễn Văn Dũng   chạy giúp em scrpit sau trên môi trường  stagging .  db: vinpay_saas_tpay_staging domain: tidb.int.onemount.dev PORT: 4000 script chạy:  .sql </t>
  </si>
  <si>
    <t>[OMC][VCM][PROD] - Hỗ trợ migrate dữ liệu</t>
  </si>
  <si>
    <t>2025-10-02T14:37:37.657+0700</t>
  </si>
  <si>
    <t>2025-10-02T14:48:17.442+0700</t>
  </si>
  <si>
    <t>Voucher</t>
  </si>
  <si>
    <t>Nhờ team DBA support chạy giúp em các script sau: IP:  172.31.4.126 DB:  onevc_vsm_prod Script 1: UPDATE onevc_vsm_prod.sale s
SET s.effective_to = '2026-01-29 23:59:59' WHERE s.code = 'VD_VC_1741256489898' Script 2: INSERT INTO onevc_vsm_prod.flyway_schema_history (installed_rank,version,description,`type`,script,checksum,installed_by,installed_on,execution_time,success) VALUES
	 (126,'0125','alter  tb distribute request','SQL','V0125__alter__tb_distribute_request.sql',-450244771,'onevc_vsm_prod','2025-10-01 17:36:10',2660,1);
ALTER TABLE onevc_vsm_prod.`sale`
	ADD COLUMN `merchant_voucher_type` VARCHAR(32), ALGORITHM=INPLACE, LOCK=NONE; Link CR:  https://vinid-team.atlassian.net/browse/SH-66791</t>
  </si>
  <si>
    <t>[OMC][GAMI][PS2][Prod] Hỗ trợ đánh index bảng gamezone</t>
  </si>
  <si>
    <t>2025-10-02T14:23:14.387+0700</t>
  </si>
  <si>
    <t>2025-10-02T14:23:20.733+0700</t>
  </si>
  <si>
    <t>Hỗ trợ đánh index bảng gamezone Host:  172.31.4.75 Db:  promo_gamezone CREATE INDEX idx_transactions_user_campaign
  ON transactions (user_id, campaign_id);</t>
  </si>
  <si>
    <t>[OMC][ONEU] [Prod] Cập nhật lại trạng thái merchant</t>
  </si>
  <si>
    <t>2025-10-02T14:14:21.187+0700</t>
  </si>
  <si>
    <t>2025-10-02T15:16:53.824+0700</t>
  </si>
  <si>
    <t>Dear team DBA Nhờ team chạy giúp em ticket này để update lại trạng thái của merchant ạ project: vincart-prod instance: main ip: 172.31.1.41 DB: vincart_mm_merchant UPDATE `merchants`
SET status = 'active'
WHERE id in
      (212, 329, 63, 383, 35510, 11127, 18939, 19880, 20667, 333908, 3099, 3283, 3321, 3473, 4401,
       4749, 6659, 284748, 286061, 1295, 1014, 405, 3083, 1988, 2322, 36277, 36657, 21890, 2815,
       2814, 973, 23715, 1054, 226, 80);</t>
  </si>
  <si>
    <t>[Sao Mộc] Cập nhật các trường trong database RIMs</t>
  </si>
  <si>
    <t>2025-10-02T14:11:38.913+0700</t>
  </si>
  <si>
    <t>2025-10-02T15:36:18.085+0700</t>
  </si>
  <si>
    <t>Hiện tại hệ thống RIMs bên Techcombank vừa go live theo đơn vị hành chính mới, do đó có cập nhật thêm 1 số trường của các bảng trong DB. Nhờ anh/chị chạy giúp e script DDL ạ: Thông tin DB: 'Server=172.31.4.18;' 'Database=rimsprod; Script: ALTER TABLE [dbo].[L01_TINHTHANH] ADD [ISNEW] [bit]; ALTER TABLE [dbo].[L02_QUANHUYEN] ADD [ISNEW] [bit]; ALTER TABLE [dbo].[L03_PHUONGXA] ADD [ISNEW] [bit]; ALTER TABLE [dbo].[LKG00_DOANDUONG] ADD [ISNEW] [bit]; ALTER TABLE [dbo].[V_DS_PHIEUYEUCAU] ADD [IDTST24] [varchar](36) NULL; ALTER TABLE [dbo].[V_BDS_PHIEUYEUCAU] ADD [IDTST24] [varchar](36) NULL; ALTER TABLE [dbo].[V_DS_TOTRINH] ADD [MB_CODE] [nvarchar](50) NULL; ALTER TABLE [dbo].[V_BDS_TOTRINH] ADD [MB_CODE] [nvarchar](50) NULL; ALTER TABLE [dbo].[L01_TINHTHANH] ADD  DEFAULT ((0)) FOR [ISNEW]; ALTER TABLE [dbo].[L02_QUANHUYEN] ADD  DEFAULT ((0)) FOR [ISNEW]; ALTER TABLE [dbo].[L03_PHUONGXA] ADD  DEFAULT ((0)) FOR [ISNEW]; ALTER TABLE [dbo].[LKG00_DOANDUONG] ADD  DEFAULT ((0)) FOR [ISNEW]; Em cảm ơn. CC  Nguyễn Văn Trưởng   Vũ Hồng Nhung _</t>
  </si>
  <si>
    <t>2025-10-02T12:28:47.271+0700</t>
  </si>
  <si>
    <t>2025-10-02T14:34:59.096+0700</t>
  </si>
  <si>
    <t>Dear Linh, Nhờ em tạo topic và grant quyền cho account dataplatform_ingestion giúp anh để anh kéo dữ liệu về làm báo cáo cho biz nhé: Project: vincart-prod IP: 172.31.1.41 Danh sách các bảng: oneu_merchant_rating.item_likes oneu_merchant_rating.likes oneu_merchant_rating.merchant_review_stats oneu_merchant_rating.merchant_tag_stats oneu_merchant_rating.reviews oneu_merchant_rating.review_tags oneu_merchant_rating.tags</t>
  </si>
  <si>
    <t>[Kafka][Prod] Tạo kafka topic cho các bảng của WMS</t>
  </si>
  <si>
    <t>2025-10-02T11:38:50.407+0700</t>
  </si>
  <si>
    <t>2025-10-02T15:13:50.567+0700</t>
  </si>
  <si>
    <t>Hiện tại OMD đang có nhu cầu kéo thêm dữ liệu để phục vụ team SCM MAG, nhờ anh Linh tạo kafka topic ở môi trường PROD giúp team để kéo data về DP ạ! PROD: Project: vinid-b2b-platform-prod IP host: 172.31.4.59:3306 (mysql) Schema: omd_wms_fm Table list: kitting_component
kitting_header
kitting_inventory_item
kitting_item
product_kitting
product_kitting_item</t>
  </si>
  <si>
    <t xml:space="preserve">Mở truy cập db từ warp client </t>
  </si>
  <si>
    <t>2025-10-02T10:21:04.319+0700</t>
  </si>
  <si>
    <t>2025-10-06T09:57:28.587+0700</t>
  </si>
  <si>
    <t xml:space="preserve">Nhờ mọi người support để truy cập được db này từ warp-client tại nhà  Thông tin db:  mpm-prod.crcykac8kxtw.ap-southeast-1.rds.amazonaws.com  port 3306 User đang sử dụng temp_dev </t>
  </si>
  <si>
    <t>Xóa data B2B OMS PROD</t>
  </si>
  <si>
    <t>2025-10-02T08:50:20.021+0700</t>
  </si>
  <si>
    <t>2025-10-02T08:50:27.646+0700</t>
  </si>
  <si>
    <t>Nhờ a xóa giúp e các record thừa gây lỗi theo script sau ạ (a backup trước giúp em nhé) DELETE FROM CorsConfiguration
WHERE id IN (5, 6, 10, 11); Thông tin DB gcp project: vinid-b2b-platform-prod
instance_name: b2b-commerce
instanceIP: 172.31.4.113
dbname: b2b_oms_prod</t>
  </si>
  <si>
    <t>Update DB LitePOS PCM PROD</t>
  </si>
  <si>
    <t>2025-10-01T22:07:42.962+0700</t>
  </si>
  <si>
    <t>2025-10-01T23:23:31.869+0700</t>
  </si>
  <si>
    <t>Nhờ a cập nhật sql sau giúp team sau khi deploy lite pos PCM PROD tối nay 1/10/2025 ạ. Em sẽ tag a Quang nhắn anh sau khi deploy xong nhé UPDATE StockAdjustment
SET invoiceDate = DATE_FORMAT(createdAt, '%d/%m/%Y')
WHERE invoiceDate IS NULL AND createdAt IS NOT NULL; Thông tin DB gcp project: omd-pos-prod
instance: omd-pos-commerce (IP: 172.31.1.6)
DB: litepos_pcm_prod E cảm ơn</t>
  </si>
  <si>
    <t>[OMD] [User,OPS] cập nhật config CORS cho user và ops service</t>
  </si>
  <si>
    <t>2025-10-01T21:36:25.628+0700</t>
  </si>
  <si>
    <t>2025-10-01T22:33:21.062+0700</t>
  </si>
  <si>
    <t>Dear  @Trần Trương Dương   @Phạm Hồng Quang   Đêm nay ngày 1/10 Hỗ trợ bạn update CORS và config cho  B2B-USER User
		UPDATE omd_b2b_custom_user.CorsConfiguration
			SET valueContext = CONCAT(valueContext, ' https://b2b.oneshop.vn https://doitac.oneshop.vn https://backoffice-b2b.oneshop.vn')
			WHERE keyContext = 'allowedOrigins' and appContext='user_admin_api';
		UPDATE omd_b2b_custom_user.CorsConfiguration
			SET valueContext = CONCAT(valueContext, ' https://b2b.oneshop.vn https://doitac.oneshop.vn https://backoffice-b2b.oneshop.vn')
			WHERE keyContext = 'allowedOrigins' and appContext='user_public_api'; OMD-OPS-API - OMD OPS API
		UPDATE omd_b2b_ops_api.CorsConfiguration
		SET valueContext = CONCAT(valueContext, ' https://b2b.oneshop.vn https://doitac.oneshop.vn https://backoffice-b2b.oneshop.vn')
		WHERE keyContext = 'allowedOrigins';
		UPDATE omd_b2b_ops_api.OpsConfigMenuSystem 
		set `domain` = 'https://analytics.int.oneshop.vn'
		where `domain` ='https://analytics.int.vinshop.vn';
		UPDATE omd_b2b_ops_api.OpsConfigMenuSystem 
		set `domain` = 'https://analytics-ex.oneshop.vn'
		where `domain` ='https://analytics-ex.vinshop.vn';
		update omd_b2b_ops_api.OpsConfigSystem 
		set value ='https://analytics-ex.int.oneshop.vn'
		WHERE code ='superset_external_domain_config';
		update omd_b2b_ops_api.OpsConfigSystem 
		set value ='https://analytics.int.oneshop.vn'
		WHERE code ='superset_domain_config';</t>
  </si>
  <si>
    <t>[OMD-PROMOTION/LITE-POS-USER] Update master data</t>
  </si>
  <si>
    <t>2025-10-01T19:34:30.931+0700</t>
  </si>
  <si>
    <t>2025-10-01T19:34:34.670+0700</t>
  </si>
  <si>
    <t>Promo</t>
  </si>
  <si>
    <t>Hi Team, Nhờ Team run giúp câu lệnh update master data sau trên 2 DB B2B_promotion và Lite-pos-User update CorsConfiguration
set valueContext = CONCAT(valueContext,' https://backoffice-b2b.oneshop.vn https://b2b.oneshop.vn https://doitac.oneshop.vn https://backoffice-litepos.oneshop.vn')
where keyContext = 'allowedOrigins' Thời gian chạy: chạy sớm nhất có thể  Thông tin DB:  b2b-promotion project=vinid-b2b-platform-prod instance:  b2b-commerce 172.31.4.113 db: b2b_promotion_prod LitePos User gcp project: omd-pos-prod instance: omd-pos-commerce (172.31.1.6) DB Name: litepos_user_prod Thank Team!</t>
  </si>
  <si>
    <t>[GAMI][PS2][Prod] Hỗ trợ xuất data report chi tiết vé tuần W23 phục vụ đối soát TCB</t>
  </si>
  <si>
    <t>2025-10-01T16:04:22.204+0700</t>
  </si>
  <si>
    <t>2025-10-01T16:04:32.421+0700</t>
  </si>
  <si>
    <t>[GAMI][PS2][Prod] Hỗ trợ xuất data report chi tiết vé tuần W23 phục vụ đối soát TCB Host:  172.31.4.75 Db:  promo_gamezone Query: SELECT customer_id, SUM(claim_amount) FROM `rule_logs` WHERE campaign_id = 60 &amp;&amp; reward_type='TURN' &amp;&amp; status IN('SUCCESS', 'PARTIAL_SUCCESS') GROUP BY customer_id;  </t>
  </si>
  <si>
    <t>INSERT DB Taskbox PROD</t>
  </si>
  <si>
    <t>2025-10-01T15:57:31.816+0700</t>
  </si>
  <si>
    <t>2025-10-01T17:57:36.686+0700</t>
  </si>
  <si>
    <t>Nhờ anh chạy giúp team lệnh sau trên DB taskbox PROD ạ. Có thể update trong giờ nhé anh INSERT INTO ItemSequence (currValue, increment, name) VALUES (1, 1, 'CampaignSeq') Thông tin DB jdbc:mysql://onemg-integration-platform-prd--main.cloudsql.int:3306/omd_taskbox
172.31.1.118 E cảm ơn ạ</t>
  </si>
  <si>
    <t>[OMD - PROMOTION] Yêu cầu export master data</t>
  </si>
  <si>
    <t>2025-10-01T11:28:34.355+0700</t>
  </si>
  <si>
    <t>2025-10-01T21:35:17.680+0700</t>
  </si>
  <si>
    <t>Hi Team, Nhờ Team export giúp master data để phục vụ cho rebranding  table: B2BPromotionTemplate  | columns: id, code,  rulesTemplateEditor ,  rulesTemplate B2BPromotionRequest  | columns: id, code,  rulesTemplateEditor ,  rulesTemplate ,  shortName ,  fullName Promotion  | columns: id, code,  rulesTemplateEditor ,  rulesTemplate ,  name ,  fullName file export định dạng csv Thông tin DB: b2b-promotion project=vinid-b2b-platform-prod instance:  b2b-commerce 172.31.4.113 db: b2b_promotion_prod Thank Team!</t>
  </si>
  <si>
    <t>Import data recovery matomo từ mh lên rds do OM quản lý.</t>
  </si>
  <si>
    <t>2025-10-01T07:41:25.276+0700</t>
  </si>
  <si>
    <t>2025-10-02T10:20:06.707+0700</t>
  </si>
  <si>
    <t>matomo</t>
  </si>
  <si>
    <t xml:space="preserve">Dear a/e ,  Ticket này e tạo nhằm reqeust import database vào db matomo ( tạo mới ) chưa có data. nhằm mục đích để cho matomo sữ dụng DB RDS của aws. </t>
  </si>
  <si>
    <t>[Merchant-TCB] Cập nhật dữ liệu</t>
  </si>
  <si>
    <t>2025-09-30T23:17:16.286+0700</t>
  </si>
  <si>
    <t>2025-09-30T23:21:06.348+0700</t>
  </si>
  <si>
    <t>Dear team, Do OPS chưa hỗ trợ sửa dữ liệu, nên nhờ team chạy giúp câu lệnh bên dưới để cập nhật lại cho đúng ạ. Thông tin database https://console.cloud.google.com/sql/instances/merchant-tcb/overview?inv=1&amp;invt=AbsndA&amp;project=vinid-merchant-prod DB_MYSQL_HOST=172.31.4.108
DB_MYSQL_DATABASE=merchant_service_tcb Câu lệnh (1) tpay_store UPDATE
	tpay_store
SET
	status = 'ACTIVE'
WHERE
	id = '1285718'; (2) tpay_store_service UPDATE
	tpay_store_service
SET
	status = 'ACTIVE',
	mid = 'M08672582117179 ',
	sid = 'S07676586116328'
WHERE (merchant_service_id = 'SOFTPOS_QR_2118'); (3) tpay_terminal_service UPDATE
	tpay_terminal_service
SET
	tid = 'T09851991381391',
	mid = 'M08672582117179',
	virtual_account_number = 'MS16T09851991381391',
	virtual_account_name = 'DUONG NGOC HUY',
	qr_url = '00020101021138630010A000000727013300069704070119MS16T098519913813910208QRIBFTTA53037045802VN63047B30'
WHERE (store_service_id = '2568433');</t>
  </si>
  <si>
    <t>[OMC][ONEU] Chạy câu lệnh SQL phục vụ golive 30/9</t>
  </si>
  <si>
    <t>2025-09-30T22:18:05.950+0700</t>
  </si>
  <si>
    <t>2025-09-30T22:32:18.509+0700</t>
  </si>
  <si>
    <t>Dear anh Dương, Nhờ anh hỗ trợ team thực hiện các câu lệnh SQL dưới đây ạ Thời gian thực hiện: 21h ngày 30/09 project: vincart-prod instance: main ip: 172.31.1.41 DB: vincart_mm_product -- Nhóm topping (modifier group) là 1 tập hợp các topping (option) có thể chọn khi đặt hàng.
CREATE TABLE IF NOT EXISTS topping_groups
(
    id                 INT PRIMARY KEY AUTO_INCREMENT,
    code               VARCHAR(64)             NULL,
    name               VARCHAR(255)            NOT NULL,                  -- COMMENT 'Tên nhóm (vd: Mức đường, Thêm topping)',
    merchant_id        INT                     NOT NULL,                  -- COMMENT 'Merchant id',
    description        VARCHAR(512)            NULL,                      -- COMMENT 'Mô tả ngắn',
    selection_type     ENUM ('SINGLE','MULTI') NOT NULL DEFAULT 'SINGLE', -- COMMENT 'single: chọn 1, multi: nhiều',
    is_required        TINYINT(1)              NOT NULL DEFAULT 0,        -- COMMENT 'Có bắt buộc chọn &gt;= min_select',
    min_select         INT                     NOT NULL DEFAULT 0,        -- COMMENT 'Số lựa chọn tối thiểu trong nhóm',
    max_select         INT                     NOT NULL DEFAULT 1,        -- COMMENT 'Số lựa chọn tối đa trong nhóm',
    enable_option_qty  TINYINT(1)              NOT NULL DEFAULT 0,        -- COMMENT 'Cho phép mỗi option có quantity &gt; 1',
    max_qty_per_option INT                     NOT NULL DEFAULT 1,        -- COMMENT 'Giới hạn số lượng tối đa cho mỗi option',
    status             varchar(25)             NOT NULL,                  -- COMMENT 'Trạng thái hoạt động',
    sort_order         INT                     NOT NULL DEFAULT 0,        -- COMMENT 'Thứ tự hiển thị nhóm',
    created_at         TIMESTAMP                        DEFAULT CURRENT_TIMESTAMP,
    updated_at         TIMESTAMP                        DEFAULT CURRENT_TIMESTAMP ON UPDATE CURRENT_TIMESTAMP,
    UNIQUE KEY uq_topping_groups_code (code)
);
-- Mỗi option trong nhóm là 1 product (dùng làm topping).
CREATE TABLE IF NOT EXISTS topping_group_detail
(
    id         INT PRIMARY KEY AUTO_INCREMENT,
    group_id   INT            NOT NULL,              -- COMMENT 'Nhóm topping',
    product_id INT            NOT NULL,              -- COMMENT 'Product dùng làm topping (products.id)',
    name       VARCHAR(255)   NOT NULL,              -- COMMENT 'Tên option (vd: Đường trắng, Trà sữa)',
    price      DECIMAL(12, 2) NOT NULL DEFAULT 0.00, -- COMMENT 'Giá trị đi kèm price_mode; percent: -100..100 (%) trên giá variant',
    max_qty    INT            NULL,                  -- COMMENT 'Giới hạn số lượng tối đa cho topping này (NULL = dùng max của group)',
    status     varchar(50)    NOT NULL,              -- COMMENT 'Trạng thái mapping',
    sort_order INT            NOT NULL DEFAULT 0,    -- COMMENT 'Thứ tự hiển thị option trong nhóm',
    created_at TIMESTAMP      NOT NULL DEFAULT CURRENT_TIMESTAMP,
    updated_at TIMESTAMP      NOT NULL DEFAULT CURRENT_TIMESTAMP ON UPDATE CURRENT_TIMESTAMP
);
ALTER TABLE topping_group_detail
    ADD CONSTRAINT fk_gtp_group
        FOREIGN KEY (group_id) REFERENCES topping_groups (id)
            ON DELETE CASCADE ON UPDATE RESTRICT,
    ADD CONSTRAINT fk_gtp_product
        FOREIGN KEY (product_id) REFERENCES products (id)
            ON DELETE RESTRICT ON UPDATE RESTRICT;
-- Map 1 product -&gt; 1 nhóm topping. Nhiều product có thể dùng chung 1 group.
CREATE TABLE IF NOT EXISTS product_topping_group_mapping
(
    id                          INT PRIMARY KEY AUTO_INCREMENT,
    product_id                  INT        NOT NULL,                                                      -- COMMENT 'Sản phẩm gốc',
    group_id                    INT        NOT NULL,                                                      -- COMMENT 'Nhóm topping áp dụng',
    sort_order                  INT        NOT NULL DEFAULT 0,                                            -- COMMENT 'Thứ tự hiển thị nhóm trong product',
    is_required_override        TINYINT(1) NULL,                                                          -- COMMENT 'Override is_required (NULL = dùng của group)',
    min_select_override         INT        NULL,                                                          -- COMMENT 'Override min_select của modifier group',
    max_select_override         INT        NULL,                                                          -- COMMENT 'Override max_select của modifier group',
    enable_option_qty_override  TINYINT(1) NULL,                                                          -- COMMENT 'Override enable_option_qty của modifier group',
    max_qty_per_option_override INT        NULL,                                                          -- COMMENT 'Override max_qty_per_option của modifier group',
    created_at                  TIMESTAMP  NOT NULL DEFAULT CURRENT_TIMESTAMP,
    updated_at                  TIMESTAMP  NOT NULL DEFAULT CURRENT_TIMESTAMP ON UPDATE CURRENT_TIMESTAMP -- đảm bảo 1 product chỉ có 1 group
);
ALTER TABLE product_topping_group_mapping
    ADD CONSTRAINT fk_pmg_product
        FOREIGN KEY (product_id) REFERENCES products (id)
            ON DELETE CASCADE ON UPDATE RESTRICT,
    ADD CONSTRAINT fk_pmg_group
        FOREIGN KEY (group_id) REFERENCES topping_groups (id)
            ON DELETE RESTRICT ON UPDATE RESTRICT;
-- 1) Gán 1 nhóm topping cho 1 store
CREATE TABLE IF NOT EXISTS store_topping_group_mapping
(
    id         INT PRIMARY KEY AUTO_INCREMENT,
    store_code varchar(64) NOT NULL,           -- COMMENT 'Cửa hàng áp dụng nhóm topping này',
    group_id   INT         NOT NULL,           -- COMMENT 'Nhóm topping được gán cho store',
    status     varchar(25) NOT NULL,           -- COMMENT 'Nhóm này có đang bật ở store không?',
    sort_order INT         NOT NULL DEFAULT 0, -- COMMENT 'Thứ tự hiển thị nhóm trong store',
    created_at TIMESTAMP   NOT NULL DEFAULT CURRENT_TIMESTAMP,
    updated_at TIMESTAMP   NOT NULL DEFAULT CURRENT_TIMESTAMP ON UPDATE CURRENT_TIMESTAMP
);
ALTER TABLE store_topping_group_mapping
    ADD CONSTRAINT fk_stg_group
        FOREIGN KEY (group_id) REFERENCES topping_groups (id)
            ON DELETE RESTRICT ON UPDATE RESTRICT;
-- 2) Bật/tắt từng topping (option/topping_product) trong nhóm tại từng store
CREATE TABLE IF NOT EXISTS store_group_topping_detail
(
    id         INT PRIMARY KEY AUTO_INCREMENT,
    store_code varchar(64) NOT NULL,           -- COMMENT 'Cửa hàng áp dụng nhóm topping này',
    group_id   INT         NOT NULL,           -- COMMENT 'Nhóm topping',
    product_id INT         NOT NULL,           -- COMMENT 'Product dùng làm topping (products.id)',
    status     varchar(25) NOT NULL,           -- COMMENT 'Topping này có đang bật ở store không?',
    sort_order INT         NOT NULL DEFAULT 0, -- COMMENT 'Thứ tự hiển thị option trong nhóm tại store',
    updated_at TIMESTAMP   NOT NULL DEFAULT CURRENT_TIMESTAMP ON UPDATE CURRENT_TIMESTAMP,
    created_at TIMESTAMP   NOT NULL DEFAULT CURRENT_TIMESTAMP
);
ALTER TABLE store_group_topping_detail
    ADD CONSTRAINT fk_sgtp_group
        FOREIGN KEY (group_id) REFERENCES topping_groups (id)
            ON DELETE RESTRICT ON UPDATE RESTRICT,
    ADD CONSTRAINT fk_sgtp_product
        FOREIGN KEY (product_id) REFERENCES products (id)
            ON DELETE RESTRICT ON UPDATE RESTRICT;
  CREATE TABLE IF NOT EXISTS store_product_groups
(
    id          INT PRIMARY KEY AUTO_INCREMENT,
    name        VARCHAR(255) NOT NULL,           -- COMMENT 'Tên nhóm (vd: Sản phẩm bán chạy, Trà sữa ...)',
    merchant_id INT          NOT NULL,           -- COMMENT 'Merchant id',
    store_code  varchar(64)  NOT NULL,           -- COMMENT 'Cửa hàng cài đặt nhóm này',
    status      varchar(25)  NOT NULL,           -- COMMENT 'Trạng thái hoạt động',
    sort_order  INT          NOT NULL DEFAULT 0, -- COMMENT 'Thứ tự hiển thị nhóm',
    created_at  TIMESTAMP             DEFAULT CURRENT_TIMESTAMP,
    updated_at  TIMESTAMP             DEFAULT CURRENT_TIMESTAMP ON UPDATE CURRENT_TIMESTAMP
);
CREATE TABLE IF NOT EXISTS store_product_group_detail
(
    id         INT PRIMARY KEY AUTO_INCREMENT,
    group_id   INT NOT NULL,           -- COMMENT 'ID nhóm sản phầm',
    product_id INT NOT NULL,           -- COMMENT 'Product trong  nhóm',
    sort_order INT NOT NULL DEFAULT 0, -- COMMENT 'Thứ tự hiển thị sản phẩm trong nhóm',
    created_at TIMESTAMP    DEFAULT CURRENT_TIMESTAMP,
    updated_at TIMESTAMP    DEFAULT CURRENT_TIMESTAMP ON UPDATE CURRENT_TIMESTAMP
);
ALTER TABLE `topping_group_detail` CHANGE `created_at` `created_at` TIMESTAMP NULL DEFAULT CURRENT_TIMESTAMP;
ALTER TABLE `topping_group_detail` CHANGE `updated_at` `updated_at` TIMESTAMP NULL DEFAULT CURRENT_TIMESTAMP;
ALTER TABLE inventories
ADD COLUMN `status` varchar(25) DEFAULT null;
ALTER TABLE `store_group_topping_detail` CHANGE `created_at` `created_at` TIMESTAMP NULL DEFAULT CURRENT_TIMESTAMP;
ALTER TABLE `store_group_topping_detail` CHANGE `updated_at` `updated_at` TIMESTAMP NULL DEFAULT CURRENT_TIMESTAMP;
ALTER TABLE `topping_groups`
    ADD COLUMN `last_updated_by` VARCHAR(255) DEFAULT NULL;
ALTER TABLE imported_product ADD COLUMN type varchar(50) DEFAULT NULL;
ALTER TABLE `store_product_groups` ADD COLUMN `last_updated_by` varchar(100) DEFAULT NULL;
ALTER TABLE `topping_groups`
    ADD COLUMN `deleted_at` TIMESTAMP DEFAULT NULL;
ALTER TABLE `topping_group_detail`
    ADD COLUMN `deleted_at` TIMESTAMP DEFAULT NULL;</t>
  </si>
  <si>
    <t>[PROD] Chạy câu lệnh SQL phục vụ golive 30/09</t>
  </si>
  <si>
    <t>2025-09-30T21:39:38.531+0700</t>
  </si>
  <si>
    <t>2025-09-30T22:14:47.039+0700</t>
  </si>
  <si>
    <t xml:space="preserve">Dear anh Dương, Nhờ anh hỗ trợ team thực hiện các câu lệnh SQL dưới đây ạ Thời gian thực hiện: 21h ngày 30/09 Project: vincart-prod
IP: 172.31.1.41 DB name: oneu_merchant_rating
SQL:
-- Bảng reviews
CREATE TABLE IF NOT EXISTS `reviews`
(
    `id`            BIGINT UNSIGNED NOT NULL AUTO_INCREMENT,
    `created_at`    TIMESTAMP       NOT NULL DEFAULT CURRENT_TIMESTAMP,
    `updated_at`    TIMESTAMP       NOT NULL DEFAULT CURRENT_TIMESTAMP ON UPDATE CURRENT_TIMESTAMP,
    `user_id`       VARCHAR(64)     NOT NULL,
    `user_name`     VARCHAR(255)    NOT NULL,
    `user_avatar`   VARCHAR(1024)   NULL,
    `merchant_id`   BIGINT UNSIGNED NOT NULL,
    `merchant_code` VARCHAR(25)     NOT NULL,
    `store_id`      BIGINT UNSIGNED NULL,
    `order_id`      BIGINT UNSIGNED NOT NULL,
    `order_code`    VARCHAR(25)     NOT NULL,
    `rating`        INT UNSIGNED    NOT NULL,
    `content`       TEXT            NULL,
    `status`        VARCHAR(25)     NOT NULL,
    `images`        TEXT            NULL,
    `videos`        TEXT            NULL,
    `extra_data`    JSON            NULL,
    `service_code`  VARCHAR(64)     NOT NULL,
    PRIMARY KEY (`id`)
);
-- Unique index cho (user_id, order_code, merchant_id, service_code)
CREATE UNIQUE INDEX idx_reviews_user_id_order_code_merchant_id_service_code
    ON reviews (user_id, order_code, merchant_id, service_code);
-- Unique index cho (user_id, order_code, merchant_code)
CREATE UNIQUE INDEX idx_reviews_user_id_order_code_merchant_code
    ON reviews (user_id, order_code, merchant_code);
-- Bảng likes
CREATE TABLE IF NOT EXISTS `likes`
(
    `id`            BIGINT UNSIGNED NOT NULL AUTO_INCREMENT,
    `created_at`    TIMESTAMP       NOT NULL DEFAULT CURRENT_TIMESTAMP,
    `updated_at`    TIMESTAMP       NOT NULL DEFAULT CURRENT_TIMESTAMP ON UPDATE CURRENT_TIMESTAMP,
    `review_id`     BIGINT UNSIGNED NULL,
    `merchant_id`   BIGINT UNSIGNED NULL,
    `merchant_code` VARCHAR(25)     NOT NULL,
    `item_id`       BIGINT UNSIGNED NOT NULL,
    `user_id`       VARCHAR(64)     NOT NULL,
    `extra_data`    JSON            NULL,
    `service_code`  VARCHAR(64)     NOT NULL,
    `type`          VARCHAR(25)     NOT NULL,
    PRIMARY KEY (`id`)
);
CREATE INDEX idx_likes_merchant_id ON likes (merchant_id);
CREATE INDEX idx_likes_item_id ON likes (item_id);
CREATE INDEX idx_likes_user_id ON likes (user_id);
-- Bảng merchant_review_stats
CREATE TABLE IF NOT EXISTS `merchant_review_stats`
(
    `id`               BIGINT UNSIGNED NOT NULL AUTO_INCREMENT,
    `created_at`       TIMESTAMP       NOT NULL DEFAULT CURRENT_TIMESTAMP,
    `updated_at`       TIMESTAMP       NOT NULL DEFAULT CURRENT_TIMESTAMP ON UPDATE CURRENT_TIMESTAMP,
    `merchant_id`      BIGINT UNSIGNED NOT NULL,
    `total_reviews`    INT UNSIGNED             DEFAULT 0,
    `five_star_count`  INT UNSIGNED             DEFAULT 0,
    `four_star_count`  INT UNSIGNED             DEFAULT 0,
    `three_star_count` INT UNSIGNED             DEFAULT 0,
    `two_star_count`   INT UNSIGNED             DEFAULT 0,
    `one_star_count`   INT UNSIGNED             DEFAULT 0,
    `service_code`     VARCHAR(64)     NOT NULL,
    PRIMARY KEY (`id`)
);
CREATE UNIQUE INDEX idx_merchant_id_service_code ON merchant_review_stats (merchant_id, service_code);
-- Bảng item_like_stats
CREATE TABLE IF NOT EXISTS `item_likes`
(
    `id`             BIGINT UNSIGNED NOT NULL AUTO_INCREMENT,
    `created_at`     TIMESTAMP       NOT NULL DEFAULT CURRENT_TIMESTAMP,
    `updated_at`     TIMESTAMP       NOT NULL DEFAULT CURRENT_TIMESTAMP ON UPDATE CURRENT_TIMESTAMP,
    `item_id`        BIGINT UNSIGNED NOT NULL,
    `total_likes`    INT UNSIGNED             DEFAULT 0,
    `total_dislikes` INT UNSIGNED             DEFAULT 0,
    `service_code`   VARCHAR(64)     NOT NULL,
    `merchant_id`    BIGINT UNSIGNED NOT NULL,
    `merchant_code`  VARCHAR(25)     NOT NULL,
    PRIMARY KEY (`id`)
);
CREATE UNIQUE INDEX idx_item_id_service_code ON item_likes (item_id, service_code);
-- Bảng tags
CREATE TABLE IF NOT EXISTS `tags`
(
    `id`         BIGINT UNSIGNED NOT NULL AUTO_INCREMENT,
    `created_at` TIMESTAMP       NOT NULL DEFAULT CURRENT_TIMESTAMP,
    `updated_at` TIMESTAMP       NOT NULL DEFAULT CURRENT_TIMESTAMP ON UPDATE CURRENT_TIMESTAMP,
    `name`       VARCHAR(128)    NOT NULL,
    `slug`       VARCHAR(160)    NOT NULL,
    `status`     VARCHAR(25)     NOT NULL,
    PRIMARY KEY (`id`)
);
-- Bảng review_tags (N-N giữa reviews và tags)
CREATE TABLE IF NOT EXISTS `review_tags`
(
    `id`         BIGINT UNSIGNED NOT NULL AUTO_INCREMENT,
    `created_at` TIMESTAMP       NOT NULL DEFAULT CURRENT_TIMESTAMP,
    `updated_at` TIMESTAMP       NOT NULL DEFAULT CURRENT_TIMESTAMP ON UPDATE CURRENT_TIMESTAMP,
    `review_id`  BIGINT UNSIGNED NOT NULL,
    `tag_id`     BIGINT UNSIGNED NOT NULL,
    PRIMARY KEY (`id`)
);
CREATE INDEX idx_review_tags_review_id ON review_tags (review_id);
CREATE INDEX idx_review_tags_tag_id ON review_tags (tag_id);
-- Bảng merchant_tag_stats
CREATE TABLE IF NOT EXISTS `merchant_tag_stats`
(
    `id`            BIGINT UNSIGNED NOT NULL AUTO_INCREMENT,
    `created_at`    TIMESTAMP       NOT NULL DEFAULT CURRENT_TIMESTAMP,
    `updated_at`    TIMESTAMP       NOT NULL DEFAULT CURRENT_TIMESTAMP ON UPDATE CURRENT_TIMESTAMP,
    `merchant_id`   BIGINT UNSIGNED NOT NULL,
    `total_reviews` INT UNSIGNED             DEFAULT 0,
    `tag_id`        INT UNSIGNED    NOT NULL,
    PRIMARY KEY (`id`)
);
CREATE INDEX idx_merchant_tag_stats_merchant_id ON merchant_tag_stats (merchant_id); DB name: vincart_mm_merchant
SQL:
START TRANSACTION;
alter table staff
    add column merchant_id bigint not null default 0;
ALTER TABLE `staff` DROP INDEX staff_phone_number_index;
CREATE UNIQUE INDEX staff_merchant_id_phone_number_index
    ON staff (merchant_id, phone_number);
CREATE TABLE IF NOT EXISTS `collection_stores`
(
    `id`              INT          NOT NULL AUTO_INCREMENT PRIMARY KEY,
    `created_at`      DATETIME     NOT NULL DEFAULT CURRENT_TIMESTAMP,
    `updated_at`      DATETIME     NOT NULL DEFAULT CURRENT_TIMESTAMP ON UPDATE CURRENT_TIMESTAMP,
    `name`            VARCHAR(500) NOT NULL,
    `code`            VARCHAR(50)  UNIQUE NOT NULL,
    `banner_url`      VARCHAR(500)          DEFAULT NULL,
    `last_updated_by` VARCHAR(100) NOT NULL,
    `status`          VARCHAR(25)  NOT NULL,
    `tags`            TEXT                  DEFAULT NULL
);
COMMIT; DB name: vincart_mm_order
SQL:
START TRANSACTION;
ALTER TABLE `order_metas`
    ADD COLUMN `is_reviewed` TINYINT(1) DEFAULT 0;
CREATE TABLE IF NOT EXISTS `order_item_toppings`
(
    `id`                 INT          NOT NULL AUTO_INCREMENT,
    `created_at`         DATETIME     NOT NULL DEFAULT CURRENT_TIMESTAMP,
    `updated_at`         DATETIME     NOT NULL DEFAULT CURRENT_TIMESTAMP ON UPDATE CURRENT_TIMESTAMP,
    `order_item_id`      BIGINT(20)   NOT NULL,
    `group_topping_id`   BIGINT(20)   NOT NULL,
    `group_topping_name` VARCHAR(500) NOT NULL,
    `topping_id`         BIGINT(20)   NOT NULL,
    `topping_name`       VARCHAR(500) NOT NULL,
    `price`              DECIMAL(18, 3)        DEFAULT NULL,
    PRIMARY KEY (`id`)
);
CREATE INDEX idx_order_item_id_order_item_toppings ON `order_item_toppings` (order_item_id);
CREATE INDEX idx_serial_code_serial_fulfillment_items
    ON `serial_fulfillment_items`(serial_code);
COMMIT; Anh cần thêm thông tin nào thì comment giúp em nhé ạ </t>
  </si>
  <si>
    <t>2025-09-30T21:01:29.622+0700</t>
  </si>
  <si>
    <t>2025-09-30T21:01:43.623+0700</t>
  </si>
  <si>
    <t>Dear team, team em có nhu cầu cập nhật dữ liệu cấu hình cho service BackOffice với các thông tin dưới đây, nhờ team giúp đỡ với ạ. CR:     Thời gian chạy: 9h tối ngày 30-9-2025. Thông tin DB :  172.31.1.133:3306/bo Script :  UPDATE bo.CONFIG_POSTING_FLAG t
SET t.POSTING_FLAG = 1
WHERE t.ID IN (
    '280','281','282','283','284',
   '287','288','289',
    '290','291','292','293','294',
    '295','296','297','298','299'
); Thanks team, Thành An.</t>
  </si>
  <si>
    <t>2025-09-30T17:01:33.082+0700</t>
  </si>
  <si>
    <t>2025-09-30T17:39:18.056+0700</t>
  </si>
  <si>
    <t xml:space="preserve">Hi anh Nhờ anh chạy các script sau giúp em trên: Staging  vào lúc  ngay sau approve Thông tin database: Staging : tidb.int.onemount.dev:4000/vinpay_saas_tpay_staging Em gửi query ạ alter table TOKENIZATION
    add token_cybersource_info varchar(500) null;  CR:   </t>
  </si>
  <si>
    <t>2025-09-30T14:09:39.721+0700</t>
  </si>
  <si>
    <t>2025-09-30T15:26:19.490+0700</t>
  </si>
  <si>
    <t>IP: TiDB Database:  notification_system_data_output Script: INSERT INTO omc_oneu_voucher_recommendation.notification_system_data_output (user_id, user_name, rec_item, template_id, product_type, scheduling_from_hour, scheduling_to_hour,  scheduling_day, created_at, updated_at, id) VALUES 
('9318042','Vũ Thị Hảo','1010502','UP_006','voucher',16,18,'2025-9-30','2025-9-30 09:18:46.642491+07:00','2025-9-30 09:18:46.642491+07:00','9318042101050224108'),
('9318042','Vũ Thị Hảo','1010488','UP_006','voucher',16,18,'2025-9-30','2025-9-30 09:18:46.642491+07:00','2025-9-30 09:18:46.642491+07:00','9318042101048824108'),
('9318042','Vũ Thị Hảo','1011682','UP_007','voucher',16,18,'2025-9-30','2025-9-30 09:18:46.642491+07:00','2025-9-30 09:18:46.642491+07:00','9318042101168224108'),
('9318042','Vũ Thị Hảo','1007578','UP_008','voucher',16,18,'2025-9-30','2025-9-30 09:18:46.642491+07:00','2025-9-30 09:18:46.642491+07:00','9318042100757824108'),
('10271609','Cao Thị Kim Yến','1011744','UP_011','voucher',17,18,'2025-9-30','2025-9-30 09:18:46.642491+07:00','2025-9-30 09:18:46.642491+07:00','10271609101174424108'),
('10271609','Cao Thị Kim Yến','1007460','UP_011','voucher',17,18,'2025-9-30','2025-9-30 09:18:46.642491+07:00','2025-9-30 09:18:46.642491+07:00','10271609100746024108'),
('10271609','Cao Thị Kim Yến','1012045','UP_011','voucher',17,18,'2025-9-30','2025-9-30 09:18:46.642491+07:00','2025-9-30 09:18:46.642491+07:00','10271609101204524108'),
('213675',' Trần Tuấn Linh','1010502','UP_012','voucher',18,20,'2025-9-30','2025-9-30 09:18:46.642491+07:00','2025-9-30 09:18:46.642491+07:00','213675101050224108'),
('213675',' Trần Tuấn Linh','1010488','UP_012','voucher',18,20,'2025-9-30','2025-9-30 09:18:46.642491+07:00','2025-9-30 09:18:46.642491+07:00','213675101048824108'),
('213675',' Trần Tuấn Linh','1011682','UP_012','voucher',18,20,'2025-9-30','2025-9-30 09:18:46.642491+07:00','2025-9-30 09:18:46.642491+07:00','213675101168224108'),
('213675',' Trần Tuấn Linh','1007578','UP_012','voucher',18,20,'2025-9-30','2025-9-30 09:18:46.642491+07:00','2025-9-30 09:18:46.642491+07:00','213675100757824108'),
('213675',' Trần Tuấn Linh','1011744','UP_012','voucher',18,20,'2025-9-30','2025-9-30 09:18:46.642491+07:00','2025-9-30 09:18:46.642491+07:00','213675101174424108'),
('213675',' Trần Tuấn Linh','1007460','UP_012','voucher',18,20,'2025-9-30','2025-9-30 09:18:46.642491+07:00','2025-9-30 09:18:46.642491+07:00','213675100746024108'),
('213675',' Trần Tuấn Linh','1012045','UP_012','voucher',18,20,'2025-9-30','2025-9-30 09:18:46.642491+07:00','2025-9-30 09:18:46.642491+07:00','213675101204524108'),
('6527382','Nguyễn Thị Phương Thảo','2c2e9d35bd5f41fdbeece952558ef7c4','REMIND_001','ticket',17,20,'2025-9-30','2025-9-30 09:18:46.642491+07:00','2025-9-30 09:18:46.642491+07:00','6527382423177724108'); Thời gian chạy: 15h00</t>
  </si>
  <si>
    <t>[OMD-B2B-PROMOTION] Yêu cầu cập nhật master data</t>
  </si>
  <si>
    <t>2025-09-30T12:16:31.437+0700</t>
  </si>
  <si>
    <t>2025-09-30T12:22:22.466+0700</t>
  </si>
  <si>
    <t>Promotion</t>
  </si>
  <si>
    <t>Hi Team, Nhờ Team run file SQL trong đính kèm -&gt; update master data phục vụ cho việc rebranding VinShop Thời gian thực hiện  sớm nhất có thể Thông tin DB: project=vinid-b2b-platform-prod instance:  b2b-commerce 172.31.4.113 db: b2b_promotion_prod Thank Team!</t>
  </si>
  <si>
    <t>[PROD] Tạo mới DB Merchant Rating</t>
  </si>
  <si>
    <t>2025-09-30T10:54:49.774+0700</t>
  </si>
  <si>
    <t>2025-09-30T12:03:59.244+0700</t>
  </si>
  <si>
    <t>Dear anh Dương, Nhờ anh hỗ trợ team tạo mới DB với các thông tin dưới đây ạ Project: vincart-prod
IP: 172.31.1.41
DB name: oneu_merchant_rating
User name: oneu_merchant_rating SAD:  Anh cần thêm thông tin nào thì comment giúp em ạ Em cảm ơn anh</t>
  </si>
  <si>
    <t>[LP][Core] - Tạo user readony cho TO hỗ trợ việc kiểm tra dữ liệu</t>
  </si>
  <si>
    <t>2025-09-30T09:05:12.103+0700</t>
  </si>
  <si>
    <t>2025-10-01T15:07:29.363+0700</t>
  </si>
  <si>
    <t>Dear anh Linh, Nhầm phục việc tra cứu dữ liệu, nhờ anh cung cấp user (truongnn5) có quyền read only, cho các database sau: Database Loyalty core (Oracle): IP: 10.255.23.119 DB: OLOYALTY Database CPM (MySQL): Instance:  https://console.cloud.google.com/sql/instances/oneloyalty/overview?project=vinid-loyalty-prod DB: oneloyalty_cpm Database Oneloyalty Checkout (MySQL): Instance:  https://console.cloud.google.com/sql/instances/oneloyalty/overview?project=vinid-loyalty-prod DB: oneloyalty_checkout Cảm ơn anh!</t>
  </si>
  <si>
    <t>[VINSHOP] Revoke sessions trên môi trường PROD sau REBRANDING</t>
  </si>
  <si>
    <t>2025-09-29T20:30:29.033+0700</t>
  </si>
  <si>
    <t>2025-09-30T00:49:52.817+0700</t>
  </si>
  <si>
    <t>VinShop cần logout all devices trên môi trường  PROD  để user đăng nhập lại sau khi cập nhật hết REBRANDING TRUNCATE TABLE user_authenticate; Thông tin Database DB_MYSQL_HOST=172.31.1.44
DB_MYSQL_DATABASE=merchant_service Thời gian cụ thể chạy lệnh thì ước tính vào lúc 23h-23h30 ngày 29/09/2025 sau khi có confirm từ QC chị  @Lại Thị Xuân Phương  ạ  CC anh  @Former user  chị   @Chu Thị Hải Anh</t>
  </si>
  <si>
    <t>2025-09-29T20:03:25.092+0700</t>
  </si>
  <si>
    <t>2025-09-29T20:24:42.900+0700</t>
  </si>
  <si>
    <t>Hi Team, Nhờ Team run file SQL trong đính kèm -&gt; update master data phục vụ cho việc rebranding VinShop Thời gian thực hiện  20h ngày 29/09 Thông tin DB: project=vinid-b2b-platform-prod instance:  b2b-commerce 172.31.4.113 db: b2b_promotion_prod Thank Team!</t>
  </si>
  <si>
    <t>[SOFTPOS] Cập nhập thông tin bị thiếu cho luồng đồng bộ merchant</t>
  </si>
  <si>
    <t>2025-09-29T17:17:35.756+0700</t>
  </si>
  <si>
    <t>2025-09-29T17:17:42.146+0700</t>
  </si>
  <si>
    <t>Hi a  @Nguyễn Văn Dũng , nhờ a run giúp e query bên dưới với ạ Thông tin database saas_tpay:  pay-tidb.int.onemount.com:4000/saas_tpay CR:  Script CREATE TABLE BACKUP_29092025_MERCHANT (ID bigint, VA_NAME_OPTION varchar(64) COLLATE utf8mb4_unicode_ci);
CREATE TABLE BACKUP_29092025_ACCOUNT (ID bigint, ACCOUNT_NUMBER varchar(50) COLLATE utf8mb4_unicode_ci);
INSERT INTO BACKUP_29092025_MERCHANT(ID, VA_NAME_OPTION)
SELECT ID, VA_NAME_OPTION
FROM MERCHANT
WHERE partner_id NOT IN ('OME', 'OMEPL', 'OMEWCM')
  AND VA_NAME_OPTION is null
  AND TPAY_MERCHANT_ID is null;
INSERT INTO BACKUP_29092025_ACCOUNT(ID, ACCOUNT_NUMBER)
SELECT t1.ID, t1.ACCOUNT_NUMBER
FROM ACCOUNT t1
         JOIN service_account sa ON t1.id = sa.ACCOUNT_ID
         JOIN service s ON sa.service_id = s.id
         JOIN (SELECT a.MERCHANT_CODE, a.ACCOUNT_NUMBER, s.SERVICE_CODE
               FROM ACCOUNT a
                        JOIN service_account sa ON a.id = sa.ACCOUNT_ID
                        JOIN service s ON sa.service_id = s.id
               WHERE a.ACCOUNT_BY_PURPOSE = 'COLLECTION'
                 and a.CREATED_BY = 'UNIFIED_MERCHANT_SERVICE') t2 ON t1.MERCHANT_CODE = t2.MERCHANT_CODE and
                                                                      t2.SERVICE_CODE = s.SERVICE_CODE
WHERE t1.ACCOUNT_BY_PURPOSE IN ('FEE', 'REFUND')
  and t1.CREATED_BY = 'UNIFIED_MERCHANT_SERVICE'
  and t1.ACCOUNT_NUMBER = ''
  AND s.service_code IN ('TQR', 'MQR');
UPDATE MERCHANT
SET VA_NAME_OPTION = 'FULL_NAME1'
WHERE partner_id NOT IN ('OME', 'OMEPL', 'OMEWCM')
  AND VA_NAME_OPTION is null
  AND TPAY_MERCHANT_ID is null;
UPDATE ACCOUNT t1
    JOIN service_account sa ON t1.id = sa.ACCOUNT_ID
    JOIN service s ON sa.service_id = s.id
    JOIN (SELECT a.MERCHANT_CODE, a.ACCOUNT_NUMBER, s.SERVICE_CODE
    FROM ACCOUNT a
    JOIN service_account sa ON a.id = sa.ACCOUNT_ID
    JOIN service s ON sa.service_id = s.id
    WHERE a.ACCOUNT_BY_PURPOSE = 'COLLECTION'
    and a.CREATED_BY = 'UNIFIED_MERCHANT_SERVICE') t2 ON t1.MERCHANT_CODE = t2.MERCHANT_CODE and
    t2.SERVICE_CODE = s.SERVICE_CODE
    SET t1.ACCOUNT_NUMBER = t2.ACCOUNT_NUMBER
WHERE t1.ACCOUNT_BY_PURPOSE IN ('FEE', 'REFUND')
  and t1.CREATED_BY = 'UNIFIED_MERCHANT_SERVICE'
  and t1.ACCOUNT_NUMBER = ''
  AND s.service_code IN ('TQR', 'MQR');
-- om_merchant_id = 'MC250915LB1G4' -&gt;  om_merchant_id = 'MC250915LB1G5'
UPDATE  UNIFIED_MERCHANT_SERVICE set om_merchant_id = 'MC250915LB1G5'  where merchant_code = 'NCC5SYCY' and service_code in ('SMARTPOS_QR','SMARTPOS_CARD');
-- om_store_id = 'ST250915BG6TY' -&gt; 'ST250915BG6TZ'
UPDATE  UNIFIED_STORE set om_store_id = 'ST250915BG6TZ' where merchant_code = 'NCC5SYCY' and service_code in ('SMARTPOS_QR','SMARTPOS_CARD');
-- om_terminal_id = 'TM250915GEQMJ' -&gt;  'TM250915GEQMG'
UPDATE  UNIFIED_TERMINAL set om_terminal_id = 'TM250915GEQMG' where merchant_code = 'NCC5SYCY'  and service_code in ('SMARTPOS_QR','SMARTPOS_CARD');</t>
  </si>
  <si>
    <t>2025-09-29T15:32:05.415+0700</t>
  </si>
  <si>
    <t>2025-09-29T15:33:52.253+0700</t>
  </si>
  <si>
    <t>Dear anh Linh, Nhờ anh chạy các file sql scripts đính kèm trên môi trường PROD của DB loyalty oracle IP: 10.255.23.119 Service name: oneloyaltydb Port: 1521 schema app: OLOYALTY INSERT INTO OLOYALTY.ATTRIBUTE_MASTER_DATA (PROGRAM_ID,ATTRIBUTE_CODE,ATTRIBUTE_TYPE,VALUE,STATUS,DESCRIPTION) VALUES (426,'CST_TARGET_GROUP','2','MTB_NONTIER_GR1','A','KH ETB Nontier nhóm 1');
INSERT INTO OLOYALTY.ATTRIBUTE_MASTER_DATA (PROGRAM_ID,ATTRIBUTE_CODE,ATTRIBUTE_TYPE,VALUE,STATUS,DESCRIPTION) VALUES (426,'CST_TARGET_GROUP','2','MTB_NONTIER_GR2','A','KH ETB Nontier nhóm 2');
INSERT INTO OLOYALTY.ATTRIBUTE_MASTER_DATA (PROGRAM_ID,ATTRIBUTE_CODE,ATTRIBUTE_TYPE,VALUE,STATUS,DESCRIPTION) VALUES (426,'CST_TARGET_GROUP','2','MTB_INSPIRE_GR1','A','KH ETB Inspire nhóm 1');
INSERT INTO OLOYALTY.ATTRIBUTE_MASTER_DATA (PROGRAM_ID,ATTRIBUTE_CODE,ATTRIBUTE_TYPE,VALUE,STATUS,DESCRIPTION) VALUES (426,'CST_TARGET_GROUP','2','MTB_INSPIRE_GR2','A','KH ETB Inspire nhóm 2'); Cảm ơn anh!</t>
  </si>
  <si>
    <t>[OMC][CDP] Tạo standard segments cho OMC MKT</t>
  </si>
  <si>
    <t>2025-09-29T15:01:07.721+0700</t>
  </si>
  <si>
    <t>2025-09-29T15:01:19.503+0700</t>
  </si>
  <si>
    <t>Dear anh  @Nguyễn Văn Dũng  , nhờ anh chạy giúp em script sau. DB:  172.31.3.49 Schema:  mtp_audience_management INSERT INTO mtp_audience_management.public.segments
(data_source_id, type, status, description, hash, level_1, level_2, level_3, level_4, segment_config, business_unit_id)
VALUES
-- 0 giao dịch
(2, 'STANDARD', 'ACTIVE',
 'Trong 7 ngày gần nhất, tính từ thời điểm hiện tại, người dùng không có giao dịch nào',
 'e5131a41228c94f6b7fd7a1f50587d569066166c988169b902740e8a24a11e46',
 'Tần suât KH phát sinh tất cả giao dịch trong 7 ngày gần nhất',
 '0 giao dịch', '',
 '', '{
  "AND": [
    {
      "AND": [
        {
          "label_code": "hv_gd_dv_l7_txn",
          "operator": "=",
          "data_type": "INT",
          "value": "0"
        }
      ]
    }
  ]
}', 4),
-- 1 giao dịch
(2, 'STANDARD', 'ACTIVE',
 'Trong 7 ngày gần nhất, tính từ thời điểm hiện tại, người dùng có đúng 1 giao dịch',
 '24f90dca1db016d780e7a9dca9cf086a6e8a4eb09c4f10d0164d1226c7071780',
 'Tần suât KH phát sinh tất cả giao dịch trong 7 ngày gần nhất',
 '1 giao dịch', '',
 '', '{
  "AND": [
    {
      "AND": [
        {
          "label_code": "hv_gd_dv_l7_txn",
          "operator": "=",
          "data_type": "INT",
          "value": "1"
        }
      ]
    }
  ]
}', 4),
-- 2 giao dịch
(2, 'STANDARD', 'ACTIVE',
 'Trong 7 ngày gần nhất, tính từ thời điểm hiện tại, người dùng có đúng 2 giao dịch',
 'd703b7b80274026d57e501be95a6ab431dc501bf76e0c9f5e503029771609fdc',
 'Tần suât KH phát sinh tất cả giao dịch trong 7 ngày gần nhất',
 '2 giao dịch', '',
 '', '{
  "AND": [
    {
      "AND": [
        {
          "label_code": "hv_gd_dv_l7_txn",
          "operator": "=",
          "data_type": "INT",
          "value": "2"
        }
      ]
    }
  ]
}', 4),
-- 3 giao dịch
(2, 'STANDARD', 'ACTIVE',
 'Trong 7 ngày gần nhất, tính từ thời điểm hiện tại, người dùng có đúng 3 giao dịch',
 '6c144b87bde35704cd0df57a0242e8ddbc4821641fc8f523fa4797165d7cc544',
 'Tần suât KH phát sinh tất cả giao dịch trong 7 ngày gần nhất',
 '3 giao dịch', '',
 '', '{
  "AND": [
    {
      "AND": [
        {
          "label_code": "hv_gd_dv_l7_txn",
          "operator": "=",
          "data_type": "INT",
          "value": "3"
        }
      ]
    }
  ]
}', 4),
-- 4 giao dịch
(2, 'STANDARD', 'ACTIVE',
 'Trong 7 ngày gần nhất, tính từ thời điểm hiện tại, người dùng có đúng 4 giao dịch',
 '535064eb3f7a83975040331a3f1f62c671647524bfe32c0c3d39662f81ea46f8',
 'Tần suât KH phát sinh tất cả giao dịch trong 7 ngày gần nhất',
 '4 giao dịch', '',
 '', '{
  "AND": [
    {
      "AND": [
        {
          "label_code": "hv_gd_dv_l7_txn",
          "operator": "=",
          "data_type": "INT",
          "value": "4"
        }
      ]
    }
  ]
}', 4),
-- 5 giao dịch
(2, 'STANDARD', 'ACTIVE',
 'Trong 7 ngày gần nhất, tính từ thời điểm hiện tại, người dùng có đúng 5 giao dịch',
 'ea9ff7b0ac44c3825be60141db45ea5d20f0f9098c00733edfe20a1f40cbcf86',
 'Tần suât KH phát sinh tất cả giao dịch trong 7 ngày gần nhất',
 '5 giao dịch', '',
 '', '{
  "AND": [
    {
      "AND": [
        {
          "label_code": "hv_gd_dv_l7_txn",
          "operator": "=",
          "data_type": "INT",
          "value": "5"
        }
      ]
    }
  ]
}', 4),
(2, 'STANDARD', 'ACTIVE',
 'Trong 7 ngày gần nhất, tính từ thời điểm hiện tại, người dùng có nhiều hơn 5 giao dịch',
 'de7a973bb2ab4e0668e0b4b493204f9b3d0d6338937f1e6f2ab67d25c25e385e',
 'Tần suât KH phát sinh tất cả giao dịch trong 7 ngày gần nhất',
 'Trên 5 giao dịch', '',
 '', '{
  "AND": [
    {
      "AND": [
        {
          "label_code": "hv_gd_dv_l7_txn",
          "operator": "&gt;",
          "data_type": "INT",
          "value": "5"
        }
      ]
    }
  ]
}', 4),
(2, 'STANDARD', 'ACTIVE',
 'Người dùng lấy/ mua Voucher bất kỳ trong 7 ngày gần nhất',
 'a460a6262ae486b4c8caa96af8dac6d9a5eac1c4e9026adfce620dba36d9c34b',
 'Hành vi phát sinh tất cả giao dịch',
 'Hành vi sử dụng tất cả các loại Voucher', 'Thời gian kể từ lần cuối lấy/ mua tất cả Voucher',
 'Lần cuối lấy/ mua tất cả Voucher là trong 7 ngày gần đây', '{
  "AND": [
    {
      "AND": [
        {
          "label_code": "hv_gd_dv_vc_claim_lasttime",
          "operator": "&lt;=",
          "value_expr": "CURRENT_DATE",
          "data_type": "DATE"
        },
        {
          "label_code": "hv_gd_dv_vc_claim_lasttime",
          "operator": "&gt;",
          "value_expr": "CURRENT_DATE - INTERVAL 7 DAY",
          "data_type": "DATE"
        }
      ]
    }
  ]
}', 4); Best regards Dinh Quang Nguyen</t>
  </si>
  <si>
    <t>[OMC][GAMI][PS2][Prod] Hỗ trợ migration DB thực hiện CR Release định kỳ Gami trên TCB version 20250928_LE_LOY.2025.09.04</t>
  </si>
  <si>
    <t>2025-09-29T09:54:12.287+0700</t>
  </si>
  <si>
    <t>2025-09-29T15:54:42.104+0700</t>
  </si>
  <si>
    <t>Hỗ trợ migration DB thực hiện CR Release định kỳ Gami trên TCB version 20250928_LE_LOY.2025.09.04 CR:    Plan:    Host:  172.31.4.75 Db:  promo_rule_engine Tạo bảng và index refund_txn CREATE TABLE refund_txn
(
    id                BIGINT UNSIGNED AUTO_INCREMENT,
    created_at        TIMESTAMP    NOT NULL DEFAULT CURRENT_TIMESTAMP,
    created_date      DATE GENERATED ALWAYS AS (DATE(created_at)) STORED,
    updated_at        TIMESTAMP    NOT NULL ON UPDATE CURRENT_TIMESTAMP,
    loyalty_id        VARCHAR(64)  NOT NULL,
    txn_original_id   VARCHAR(255) NOT NULL DEFAULT '',
    transaction_id    VARCHAR(255) NOT NULL,
    transaction_time  BIGINT       NOT NULL,
    tenant_code       VARCHAR(24)  NOT NULL DEFAULT '',
    tenant_id         INT          NOT NULL DEFAULT 0,
    transaction_code  VARCHAR(64)  NULL,
    processing_status VARCHAR(24)  NOT NULL DEFAULT 'PENDING',
    message_id        VARCHAR(255) NULL DEFAULT '',
    event             VARCHAR(64)  NULL DEFAULT '',
    event_source      VARCHAR(64)  NULL DEFAULT '',
    payload_id        VARCHAR(255) NULL DEFAULT '',
    request_id        VARCHAR(255) NULL DEFAULT '',
    service_code      VARCHAR(24)  NULL DEFAULT '',
    business_code     VARCHAR(24)  NULL DEFAULT '',
    program_code      VARCHAR(24)  NULL DEFAULT '',
    payload           BLOB         NULL,
    extra_data        JSON         NULL,
    PRIMARY KEY (id, created_date),
    KEY idx_status (processing_status, id, created_date, loyalty_id),
    KEY idx_loyalty_id_txn_date (loyalty_id, created_date, processing_status),
    KEY idx_loyalty_id_txn_time (loyalty_id, transaction_time, processing_status),
    KEY idx_txn_time_status (transaction_time, processing_status),
    KEY idx_txn_date_status (created_date, processing_status),
    KEY idx_txn_original (txn_original_id),
    KEY idx_txn_id (transaction_id)
)
ENGINE=InnoDB DEFAULT CHARSET=utf8mb4 COLLATE=utf8mb4_unicode_ci
PARTITION BY RANGE COLUMNS(created_date) (
    PARTITION p202507 VALUES LESS THAN ('2025-08-01'),
    PARTITION p202508 VALUES LESS THAN ('2025-09-01'),
    PARTITION p202509 VALUES LESS THAN ('2025-10-01'),
    PARTITION p202510 VALUES LESS THAN ('2025-11-01'),
    PARTITION p202511 VALUES LESS THAN ('2025-12-01'),
    PARTITION p202512 VALUES LESS THAN ('2026-01-01'),
    PARTITION p202601 VALUES LESS THAN ('2026-02-01'),
    PARTITION p202602 VALUES LESS THAN ('2026-03-01'),
    PARTITION p202603 VALUES LESS THAN ('2026-04-01'),
    PARTITION p202604 VALUES LESS THAN ('2026-05-01'),
    PARTITION p202605 VALUES LESS THAN ('2026-06-01'),
    PARTITION p202606 VALUES LESS THAN ('2026-07-01'),
    PARTITION p202607 VALUES LESS THAN ('2026-08-01'),
    PARTITION p202608 VALUES LESS THAN ('2026-09-01'),
    PARTITION p202609 VALUES LESS THAN ('2026-10-01'),
    PARTITION p202610 VALUES LESS THAN ('2026-11-01'),
    PARTITION p202611 VALUES LESS THAN ('2026-12-01'),
    PARTITION p202612 VALUES LESS THAN ('2027-01-01'),
    PARTITION p202701 VALUES LESS THAN ('2027-02-01'),
    PARTITION p202702 VALUES LESS THAN ('2027-03-01'),
    PARTITION p202703 VALUES LESS THAN ('2027-04-01'),
    PARTITION p202704 VALUES LESS THAN ('2027-05-01'),
    PARTITION p202705 VALUES LESS THAN ('2027-06-01'),
    PARTITION p202706 VALUES LESS THAN ('2027-07-01'),
    PARTITION p202707 VALUES LESS THAN ('2027-08-01'),
    PARTITION p202708 VALUES LESS THAN ('2027-09-01'),
    PARTITION p202709 VALUES LESS THAN ('2027-10-01'),
    PARTITION p202710 VALUES LESS THAN ('2027-11-01'),
    PARTITION p202711 VALUES LESS THAN ('2027-12-01'),
    PARTITION p202712 VALUES LESS THAN ('2028-01-01'),
    PARTITION p202801 VALUES LESS THAN ('2028-02-01'),
    PARTITION p202802 VALUES LESS THAN ('2028-03-01'),
    PARTITION p202803 VALUES LESS THAN ('2028-04-01'),
    PARTITION p202804 VALUES LESS THAN ('2028-05-01'),
    PARTITION p202805 VALUES LESS THAN ('2028-06-01'),
    PARTITION p202806 VALUES LESS THAN ('2028-07-01'),
    PARTITION p202807 VALUES LESS THAN ('2028-08-01'),
    PARTITION p202808 VALUES LESS THAN ('2028-09-01'),
    PARTITION p202809 VALUES LESS THAN ('2028-10-01'),
    PARTITION p202810 VALUES LESS THAN ('2028-11-01'),
    PARTITION p202811 VALUES LESS THAN ('2028-12-01'),
    PARTITION p202812 VALUES LESS THAN ('2029-01-01'),
    PARTITION p202901 VALUES LESS THAN ('2029-02-01'),
    PARTITION p202902 VALUES LESS THAN ('2029-03-01'),
    PARTITION p202903 VALUES LESS THAN ('2029-04-01'),
    PARTITION p202904 VALUES LESS THAN ('2029-05-01'),
    PARTITION p202905 VALUES LESS THAN ('2029-06-01'),
    PARTITION p202906 VALUES LESS THAN ('2029-07-01'),
    PARTITION p202907 VALUES LESS THAN ('2029-08-01'),
    PARTITION p202908 VALUES LESS THAN ('2029-09-01'),
    PARTITION p202909 VALUES LESS THAN ('2029-10-01'),
    PARTITION p202910 VALUES LESS THAN ('2029-11-01'),
    PARTITION p202911 VALUES LESS THAN ('2029-12-01'),
    PARTITION pmax VALUES LESS THAN (MAXVALUE)
); Đánh index bảng data_reconciliation: ALTER TABLE `data_reconciliation`
    DROP INDEX `exists_idx`,
    ADD INDEX `idx_loyalty_id` (loyalty_cus_id, transaction_time, transaction_status),
    ADD INDEX `idx_txn_status` (transaction_status, transaction_time),
    ADD INDEX `idx_txn_id` (transaction_id, transaction_time, transaction_status),
    ADD INDEX `idx_event_id` (event_id, event_time, transaction_status); Đánh index bảng rule_logs: ALTER TABLE `rule_logs`
    ADD INDEX `idx_rule_logs_txn_id_user_id` (user_id, transaction_id, transaction_time),
    ADD INDEX `transaction_index` (transaction_id);     DB:  promo_quest Bảng campaign_progress: ALTER TABLE `campaign_progress`
    CHANGE COLUMN `amount` `amount` BIGINT NOT NULL,
    ADD COLUMN `extra_data` JSON NULL,
    ADD INDEX `idx_auto_redeeem_fifo` (campaign_id ASC, phrase_id ASC, is_finish ASC, received_reward ASC) VISIBLE; Bảng campaign_values: ALTER TABLE `campaign_values`
    ADD COLUMN `extra_data` JSON NULL,
    ADD INDEX `idx_auto_redeeem_fifo` (campaign_id ASC, phrase_id ASC, mission_id ASC, is_finish ASC, received_reward ASC) VISIBLE; Bảng transaction_logs_v2: ALTER TABLE `transaction_logs_v2`
    ALGORITHM=INPLACE,
    LOCK=NONE,
    ADD COLUMN `updated_at` TIMESTAMP NULL ON UPDATE CURRENT_TIMESTAMP,
    ADD COLUMN `extra_data` JSON NULL,
    ADD COLUMN `status` VARCHAR(50) NOT NULL DEFAULT 'SUCCESS',
    ADD COLUMN `gen_unique_status` VARCHAR(50)
        GENERATED ALWAYS AS (IF(status = 'SUCCESS', 'SUCCESS', NULL)) STORED,
    DROP INDEX `unique_index_transaction_log_v2`,
    ADD UNIQUE INDEX `unique_index_transaction_log_v2` (user_id, campaign_id, phrase_id, txn_key, gen_unique_status); Bảng rule_logs: alter table `rule_logs`
    add column status varchar(50) not null default 'SUCCESS'; Thêm bảng rollback_log CREATE TABLE IF NOT EXISTS `rollback_log`
(
    id           BIGINT AUTO_INCREMENT PRIMARY KEY,
    created_at   TIMESTAMP    NOT NULL DEFAULT CURRENT_TIMESTAMP,
    updated_at   TIMESTAMP    NOT NULL DEFAULT CURRENT_TIMESTAMP ON UPDATE CURRENT_TIMESTAMP,
    user_id      BIGINT       NOT NULL,
    customer_id  VARCHAR(255) NOT NULL,
    campaign_id  BIGINT       NOT NULL,
    phrase_id    VARCHAR(255) NOT NULL,
    txn_key      VARCHAR(255) NOT NULL,
    status       VARCHAR(50)  NOT NULL DEFAULT 'PROCESSING',
    extra_data   JSON         NULL,
    -- các index tối ưu
    KEY idx_txn_key (txn_key),
    KEY idx_user_campaign_status (user_id, campaign_id, status),
    KEY idx_status_created_at (status, created_at),
    KEY idx_customer_id (customer_id)
) ENGINE=InnoDB DEFAULT CHARSET=utf8mb4 COLLATE=utf8mb4_unicode_ci;     DB:  promo_gamezone Bảng transactions ALTER TABLE `transactions`
    ADD COLUMN `revoke_amount` BIGINT NULL DEFAULT 0,
    ALGORITHM=INPLACE,
    LOCK=NONE; Bảng rule_logs ALTER TABLE `rule_logs`
    ADD COLUMN `revoke_amount` BIGINT NULL DEFAULT 0,
    ADD INDEX `rule_logs_invoice_no_index` (invoice_no),
    ADD INDEX `idx_rule_logs_customer_id_invoice_no_status` (customer_id, invoice_no, status),
    ALGORITHM=INPLACE,
    LOCK=NONE; Tạo bảng worker_txn_logs CREATE TABLE IF NOT EXISTS worker_txn_logs (
    id VARCHAR(36) PRIMARY KEY,
    table_name VARCHAR(100) NOT NULL,
    backup_date DATE NOT NULL,
    record_count BIGINT NULL,
    file_path VARCHAR(500) NULL,
    status VARCHAR(20) NOT NULL DEFAULT 'QUEUED',
    created_at TIMESTAMP DEFAULT CURRENT_TIMESTAMP,
    updated_at TIMESTAMP DEFAULT CURRENT_TIMESTAMP ON UPDATE CURRENT_TIMESTAMP,
    INDEX idx_worker_txn_logs_table_status (table_name, status),
    INDEX idx_worker_txn_logs_table_date (table_name, backup_date)
); Thêm condition insert into condition_templates_v2 (id, code, type, name, description, template, fact, created_at, updated_at, deleted_at, status) 
values (
        29, 
        'tp27', 
        'POOL', 
        'Maximum number of consecutive gifts belonging to one gift group', 
        'Maximum number of consecutive gifts belonging to one gift group',
        '{\"Function\":{\"LimitRewardRedeemedConsecutive\":{\"Params\":[{\"Name\":\"limit\",\"Type\":\"int64\"},{\"Name\":\"rewardType\",\"Type\":\"[]string\"}],\"Return\":{\"Name\":\"\",\"Type\":\"bool\"},\"Variadic\":true,\"Description\":\"Maximum number of consecutive gifts belonging to one gift group\"}}}',
        'Fact',
        '2024-07-02 14:27:43',
        '2024-07-02 14:27:43',
        null,
        'ACTIVE'
);</t>
  </si>
  <si>
    <t>V/v Cập nhật và thêm bảng cấu trúc bảng DB e_invoice trên Prod</t>
  </si>
  <si>
    <t>2025-09-27T19:26:14.982+0700</t>
  </si>
  <si>
    <t>2025-09-27T19:27:23.944+0700</t>
  </si>
  <si>
    <t>Dear anh Dương, Nhờ anh hỗ trợ team chạy sql này trên db e-invoice prod. Project: oneu_e_invoice IP: 172.31.1.102 Các bước thực hiện: ALTER TABLE VatInfoTicket
    ADD COLUMN providerCode varchar(20) NULL DEFAULT NULL;
ALTER TABLE VatInfoTicket ADD UNIQUE (eventId);
ALTER TABLE EInvoiceQueue
    ADD COLUMN providerCode varchar(20) NULL DEFAULT NULL;
ALTER TABLE EInvoice
    ADD COLUMN providerCode varchar(20) NULL DEFAULT NULL;
-- =====================================================
-- Create SellerInfo Table for E-Invoice
-- Author: AI Assistant
-- Date: 2025-09-25
-- Description: Create table to store seller information for invoices
--              with relationships to VatInfoTicket by eventId and providerCode
-- =====================================================
-- Bảng SellerInfo - Thông tin người bán
CREATE TABLE SellerInfo
(
    id                      BIGINT AUTO_INCREMENT PRIMARY KEY,
    -- Liên kết với VatInfoTicket
    eventId                 BIGINT NOT NULL,
    providerCode           VARCHAR(20) NOT NULL,
    -- Các trường bắt buộc khi có sellerTaxCode
    sellerLegalName        VARCHAR(255) NOT NULL COMMENT 'Tên đăng ký kinh doanh của người bán',
    sellerTaxCode          VARCHAR(20) NOT NULL COMMENT 'Mã số thuế người bán (phải trùng với user đăng nhập)',
    sellerAddressLine      VARCHAR(255) NOT NULL COMMENT 'Địa chỉ người bán hiển thị trên hóa đơn',
    -- Các trường bắt buộc có điều kiện (cho QR Code 78)
    merchantCode           VARCHAR(50) NULL COMMENT 'Mã danh mục đơn vị chấp nhận thanh toán (chỉ ký tự số)',
    merchantName           VARCHAR(96) NULL COMMENT 'Tên đơn vị chấp nhận thanh toán (96 ký tự theo EMV Book)',
    merchantCity           VARCHAR(96) NULL COMMENT 'Thành phố đơn vị chấp nhận thanh toán (96 ký tự theo EMV Book)',
    -- Các trường tùy chọn
    sellerPhoneNumber      VARCHAR(20) NULL COMMENT 'Số điện thoại người bán',
    sellerFaxNumber        VARCHAR(20) NULL COMMENT 'Số fax người bán',
    sellerEmail            VARCHAR(255) NULL COMMENT 'Email người bán',
    sellerBankName         VARCHAR(255) NULL COMMENT 'Tên ngân hàng',
    sellerBankAccount      VARCHAR(50) NULL COMMENT 'Tài khoản ngân hàng',
    sellerDistrictName     VARCHAR(255) NULL COMMENT 'Tên Quận/Huyện',
    sellerCityName         VARCHAR(255) NULL COMMENT 'Tên Tỉnh/Thành phố',
    sellerCountryCode      VARCHAR(10) DEFAULT 'VN' COMMENT 'Mã quốc gia',
    sellerWebsite          VARCHAR(255) NULL COMMENT 'Website của người bán',
    sellerPostalCode       VARCHAR(20) NULL COMMENT 'Mã bưu điện',
    sellerContactPersonName VARCHAR(255) NULL COMMENT 'Tên người liên hệ',
    sellerSignedPersonName VARCHAR(255) NULL COMMENT 'Tên người ký',
    -- Audit fields
    createdBy              VARCHAR(255) NULL,
    modifiedBy             VARCHAR(255) NULL,
    createdAt              TIMESTAMP DEFAULT CURRENT_TIMESTAMP,
    lastModifiedAt         TIMESTAMP DEFAULT CURRENT_TIMESTAMP ON UPDATE CURRENT_TIMESTAMP,
    -- Constraints
    CONSTRAINT uk_seller_info_event_provider UNIQUE (eventId, providerCode),
    CONSTRAINT fk_seller_info_vat_ticket FOREIGN KEY (eventId) REFERENCES VatInfoTicket(eventId)
);
-- Indexes cho performance
CREATE INDEX idx_seller_info_event ON SellerInfo (eventId);
CREATE INDEX idx_seller_info_provider ON SellerInfo (providerCode);
CREATE INDEX idx_seller_info_tax_code ON SellerInfo (sellerTaxCode);
CREATE INDEX idx_seller_info_event_provider ON SellerInfo (eventId, providerCode);
-- Add comment to table
ALTER TABLE SellerInfo COMMENT = 'Bảng lưu trữ thông tin người bán cho hóa đơn điện tử, liên kết với VatInfoTicket qua eventId và providerCode';</t>
  </si>
  <si>
    <t>[LP][Core] - Insert master data cho chương trình Techcombank Rewards</t>
  </si>
  <si>
    <t>2025-09-26T17:10:06.225+0700</t>
  </si>
  <si>
    <t>2025-09-26T17:13:03.559+0700</t>
  </si>
  <si>
    <t>Dear anh Linh, Nhờ anh chạy các file sql scripts đính kèm trên môi trường PROD của DB loyalty oracle IP: 10.255.23.119 Service name: oneloyaltydb Port: 1521 schema app: OLOYALTY INSERT INTO OLOYALTY.ATTRIBUTE_MASTER_DATA (PROGRAM_ID,ATTRIBUTE_CODE,ATTRIBUTE_TYPE,VALUE,STATUS,DESCRIPTION) VALUES (426,'CST_TARGET_GROUP','2','TCB_LOYALTY_TA_01', 'A','Loyalty target group 01');
INSERT INTO OLOYALTY.ATTRIBUTE_MASTER_DATA (PROGRAM_ID,ATTRIBUTE_CODE,ATTRIBUTE_TYPE,VALUE,STATUS,DESCRIPTION) VALUES (426,'CST_TARGET_GROUP','2','TCB_LOYALTY_TA_02', 'A','Loyalty target group 02');
INSERT INTO OLOYALTY.ATTRIBUTE_MASTER_DATA (PROGRAM_ID,ATTRIBUTE_CODE,ATTRIBUTE_TYPE,VALUE,STATUS,DESCRIPTION) VALUES (426,'CST_TARGET_GROUP','2','TCB_LOYALTY_TA_03', 'A','Loyalty target group 03');
INSERT INTO OLOYALTY.ATTRIBUTE_MASTER_DATA (PROGRAM_ID,ATTRIBUTE_CODE,ATTRIBUTE_TYPE,VALUE,STATUS,DESCRIPTION) VALUES (426,'CST_TARGET_GROUP','2','TCB_LOYALTY_TA_04', 'A','Loyalty target group 04');
INSERT INTO OLOYALTY.ATTRIBUTE_MASTER_DATA (PROGRAM_ID,ATTRIBUTE_CODE,ATTRIBUTE_TYPE,VALUE,STATUS,DESCRIPTION) VALUES (426,'CST_TARGET_GROUP','2','TCB_LOYALTY_TA_05', 'A','Loyalty target group 05');
INSERT INTO OLOYALTY.ATTRIBUTE_MASTER_DATA (PROGRAM_ID,ATTRIBUTE_CODE,ATTRIBUTE_TYPE,VALUE,STATUS,DESCRIPTION) VALUES (426,'CST_TARGET_GROUP','2','TCB_LOYALTY_TA_06', 'A','Loyalty target group 06');
INSERT INTO OLOYALTY.ATTRIBUTE_MASTER_DATA (PROGRAM_ID,ATTRIBUTE_CODE,ATTRIBUTE_TYPE,VALUE,STATUS,DESCRIPTION) VALUES (426,'CST_TARGET_GROUP','2','TCB_LOYALTY_TA_07', 'A','Loyalty target group 07');
INSERT INTO OLOYALTY.ATTRIBUTE_MASTER_DATA (PROGRAM_ID,ATTRIBUTE_CODE,ATTRIBUTE_TYPE,VALUE,STATUS,DESCRIPTION) VALUES (426,'CST_TARGET_GROUP','2','TCB_LOYALTY_TA_08', 'A','Loyalty target group 08');
INSERT INTO OLOYALTY.ATTRIBUTE_MASTER_DATA (PROGRAM_ID,ATTRIBUTE_CODE,ATTRIBUTE_TYPE,VALUE,STATUS,DESCRIPTION) VALUES (426,'CST_TARGET_GROUP','2','TCB_LOYALTY_TA_09', 'A','Loyalty target group 09');
INSERT INTO OLOYALTY.ATTRIBUTE_MASTER_DATA (PROGRAM_ID,ATTRIBUTE_CODE,ATTRIBUTE_TYPE,VALUE,STATUS,DESCRIPTION) VALUES (426,'CST_TARGET_GROUP','2','TCB_LOYALTY_TA_10', 'A','Loyalty target group 10');
INSERT INTO OLOYALTY.ATTRIBUTE_MASTER_DATA (PROGRAM_ID,ATTRIBUTE_CODE,ATTRIBUTE_TYPE,VALUE,STATUS,DESCRIPTION) VALUES (426,'CST_TARGET_GROUP','2','CCB_DROP_202509', 'A','Drop Credit Card Campaign - 202509');
INSERT INTO OLOYALTY.ATTRIBUTE_MASTER_DATA (PROGRAM_ID,ATTRIBUTE_CODE,ATTRIBUTE_TYPE,VALUE,STATUS,DESCRIPTION) VALUES (426,'CST_TARGET_GROUP','2','CCB_DROP_202510', 'A','Drop Credit Card Campaign - 202510');
INSERT INTO OLOYALTY.ATTRIBUTE_MASTER_DATA (PROGRAM_ID,ATTRIBUTE_CODE,ATTRIBUTE_TYPE,VALUE,STATUS,DESCRIPTION) VALUES (426,'CST_TARGET_GROUP','2','CCB_DROP_202511', 'A','Drop Credit Card Campaign - 202511');
INSERT INTO OLOYALTY.ATTRIBUTE_MASTER_DATA (PROGRAM_ID,ATTRIBUTE_CODE,ATTRIBUTE_TYPE,VALUE,STATUS,DESCRIPTION) VALUES (426,'CST_TARGET_GROUP','2','CCB_DROP_202512', 'A','Drop Credit Card Campaign - 202512');
INSERT INTO OLOYALTY.ATTRIBUTE_MASTER_DATA (PROGRAM_ID,ATTRIBUTE_CODE,ATTRIBUTE_TYPE,VALUE,STATUS,DESCRIPTION) VALUES (426,'CST_TARGET_GROUP','2','MTB_WAKEUP_INACTIVEINSPIRE', 'A','MTB wakeup Inactive Inspire'); Cảm ơn anh.</t>
  </si>
  <si>
    <t>[Prod] [SOFTPOS] Thực hiện update dữ liệu trong bảng cho luồng SOFTPOS</t>
  </si>
  <si>
    <t>2025-09-26T14:51:18.091+0700</t>
  </si>
  <si>
    <t>2025-09-26T14:51:23.479+0700</t>
  </si>
  <si>
    <t>Team Ezpay thực hiện cập nhật data phục vụ cho Regression luồng Softpos case thanh toán GD có upload hóa đơn, nhờ team DBA cập nhật dữ liệu bảng trên prod cho DB. Việc cập nhật cho các bảng này không ảnh hưởng đến luồng đang chạy nên DBA team có thể thực hiện việc chạy query luôn ạ Thông tin DB: pay-tidb.int.onemount.com:4000/saas_tpay câu lệnh như sau: update SYSTEM_CONFIGURATION set SYSTEM_PARAM_VALUE = '3000' where SYSTEM_PARAM_CODE = 'AMOUNT_REQUIRE_UPLOAD_FILE_IDENTIFICATION'; Sau khi test xong sẽ update lại về ban đầu, câu lệnh như sau: update SYSTEM_CONFIGURATION set SYSTEM_PARAM_VALUE = '20000000' where SYSTEM_PARAM_CODE = 'AMOUNT_REQUIRE_UPLOAD_FILE_IDENTIFICATION';</t>
  </si>
  <si>
    <t>2025-09-26T14:48:24.892+0700</t>
  </si>
  <si>
    <t>2025-09-26T14:51:16.479+0700</t>
  </si>
  <si>
    <t>Dear team DBA Do luồng migrate DVHC làm hoàng loạt merchant bị tự động active, nhờ mn hỗ trợ em  chạy script sau để update lại ạ. project: vincart-prod instance: main ip: 172.31.1.41 DB: vincart_mm_merchant UPDATE `merchants`
SET status = 'inactive'
WHERE id in
      (63, 80, 212, 329, 383, 405, 738, 811, 973, 1054, 1295, 1933, 1934, 1965, 1988, 1998, 2025,
       2055, 2064, 2103, 2108, 2109, 2162, 2163, 2222, 2223, 2226, 2246, 2247, 2273, 2276, 2280,
       2435, 2436, 2623, 2624, 2625, 2626, 2667, 2668, 2674, 2714, 2715, 2717, 2762, 2814, 2815,
       2816, 2817, 2819, 2820, 2821, 2944, 2945, 2946, 2947, 2948, 3031, 3034, 3035, 3036, 3037,
       3038, 3039, 3040, 3060, 3063, 3066, 3067, 3083, 3095, 3096, 3097, 3098, 3105, 3116, 3165,
       3201, 3247, 3249, 3250, 3283, 3307, 3321, 3324, 3473, 3537, 3557, 3601, 3625, 3626, 3888,
       3889, 4071, 4104, 4143, 4267, 4356, 4365, 4384, 4388, 4389, 4401, 4405, 4419, 4457, 4735,
       4738, 4756, 5031, 5117, 6382, 6659, 7466, 7773, 8580, 8833, 8889, 9265, 9325, 9589, 10073,
       10309, 10336, 10405, 10436, 10492, 10854, 11053, 11127, 11180, 11473, 11611, 11635, 11705,
       11816, 12225, 12621, 12673, 13022, 13458, 13549, 13647, 13673, 13786, 13869, 13870, 13936,
       14051, 14334, 14489, 14685, 15006, 15362, 15363, 15364, 15396, 15631, 15760, 16060, 16230,
       16492, 16974, 17015, 17051, 17185, 17265, 17839, 17840, 18236, 18455, 18642, 18877, 18925,
       18939, 19125, 19266, 19286, 19322, 19353, 19439, 19554, 19594, 19763, 19769, 19780, 19806,
       19819, 19844, 19880, 19909, 19971, 20089, 20118, 20362, 20363, 20364, 20410, 20422, 20468,
       20606, 20626, 20629, 20788, 20801, 20820, 20912, 21782, 22217, 22512, 22616, 22749, 23154,
       23313, 23340, 23395, 23396, 23402, 23430, 23431, 23537, 23588, 23600, 23602, 23708, 35010,
       35014, 35030, 35105, 35125, 35238, 35280, 35323, 35345, 35350, 35473, 35498, 35510, 35555,
       35575, 35657, 35725, 35910, 35912, 35930, 35972, 36031, 36137, 36151, 36247, 36248, 36276,
       36277, 36310, 36408, 36551, 36593, 36594, 36627, 36657, 36756, 36847, 36907, 37172, 37385,
       37552, 37553, 37555, 37562, 37596, 37657, 37697, 37698, 37700, 37780, 37973, 38061, 38150,
       38215, 38251, 38294, 38461, 38636, 39169, 39170, 39172, 39173, 39174, 39175, 39312, 39313,
       39314, 39315, 39316, 39322, 39439, 39689, 39694, 39754, 39755, 39763, 39972, 39973, 39974,
       39995, 40068, 40128, 40232, 40249, 40263, 40686, 40687, 41655, 41658, 41659, 41661, 42715,
       42717, 42900, 42931, 43531, 43572, 43574, 44049, 44332, 45928, 45929, 46216, 46647, 47590,
       49275, 49711, 50112, 50675, 53714, 54196, 59361, 76111, 79123, 84899, 98172, 99258, 101270,
       119399, 121273, 136938, 189310, 202432, 203880, 208331, 217074, 217078, 228528, 234707,
       235778, 259443, 263380, 269733, 284748, 286061, 300440, 300516, 323741, 333908, 360303);</t>
  </si>
  <si>
    <t>[OMC][PS2][Loyalty][PROD] - Tối ưu truy vấn vào bảng OLOYALTY.KAFKA_AUDIT_TRAIL_EARN_TRANSACTION</t>
  </si>
  <si>
    <t>2025-09-26T14:41:16.359+0700</t>
  </si>
  <si>
    <t>2025-11-04T15:09:13.683+0700</t>
  </si>
  <si>
    <t>OMC, Tuning</t>
  </si>
  <si>
    <t>Hiện tại, trên DB LOYALTY đang ghi nhận lệnh SQL chiếm nhiều User I/O (top 1) SELECT  kafkaaudit0_.id                      AS id1_71_                ,
        kafkaaudit0_.arrangement_id          AS arrangement_id2_71_    ,
        kafkaaudit0_.award_point             AS award_point3_71_       ,
        kafkaaudit0_.business_code           AS business_code4_71_     ,
        kafkaaudit0_.card_id                 AS card_id5_71_           ,
        kafkaaudit0_.corporation_code        AS corporation_code6_71_  ,
        kafkaaudit0_.created_at              AS created_at7_71_        ,
        kafkaaudit0_.created_by              AS created_by8_71_        ,
        kafkaaudit0_.currency_code           AS currency_code9_71_     ,
        kafkaaudit0_.ds_partition_date       AS ds_partition_date10_71_,
        kafkaaudit0_.error_code              AS error_code11_71_       ,
        kafkaaudit0_.error_message           AS error_message12_71_    ,
        kafkaaudit0_.file_name               AS file_name13_71_        ,
        kafkaaudit0_.invoice_no              AS invoice_no14_71_       ,
        kafkaaudit0_.kafka_type              AS kafka_type15_71_       ,
        kafkaaudit0_.loyalty_cus_id          AS loyalty_cus_id16_71_   ,
        kafkaaudit0_.message_id              AS message_id17_71_       ,
        kafkaaudit0_.message_type            AS message_type18_71_     ,
        kafkaaudit0_.pos_code                AS pos_code19_71_         ,
        kafkaaudit0_.program_code            AS program_code20_71_     ,
        kafkaaudit0_.retry_count             AS retry_count21_71_      ,
        kafkaaudit0_.service_error_code      AS service_error_cod22_71_,
        kafkaaudit0_.service_error_message   AS service_error_mes23_71_,
        kafkaaudit0_.store_code              AS store_code24_71_       ,
        kafkaaudit0_.tcb_error_code          AS tcb_error_code25_71_   ,
        kafkaaudit0_.tcb_error_message       AS tcb_error_message26_71_,
        kafkaaudit0_.timestamp               AS timestamp27_71_        ,
        kafkaaudit0_.transaction_id          AS transaction_id28_71_   ,
        kafkaaudit0_.transaction_status      AS transaction_statu29_71_,
        kafkaaudit0_.transaction_time        AS transaction_time30_71_ ,
        kafkaaudit0_.txn_adj_reason          AS txn_adj_reason31_71_   ,
        kafkaaudit0_.txn_adj_sign            AS txn_adj_sign32_71_     ,
        kafkaaudit0_.txn_appcode             AS txn_appcode33_71_      ,
        kafkaaudit0_.txn_beneficiary_account AS txn_beneficiary_a34_71_,
        kafkaaudit0_.txn_bin                 AS txn_bin35_71_          ,
        kafkaaudit0_.txn_boundary            AS txn_boundary36_71_     ,
        kafkaaudit0_.txn_brandname           AS txn_brandname37_71_    ,
        kafkaaudit0_.txn_card_combo          AS txn_card_combo38_71_   ,
        kafkaaudit0_.txn_card_indicator      AS txn_card_indicato39_71_,
        kafkaaudit0_.txn_category_group      AS txn_category_grou40_71_,
        kafkaaudit0_.txn_ccy_code            AS txn_ccy_code41_71_     ,
        kafkaaudit0_.txn_channel_lv1         AS txn_channel_lv42_71_   ,
        kafkaaudit0_.txn_channel_lv2         AS txn_channel_lv43_71_   ,
        kafkaaudit0_.txn_channel_lv3         AS txn_channel_lv44_71_   ,
        kafkaaudit0_.txn_channel_lv4         AS txn_channel_lv45_71_   ,
        kafkaaudit0_.txn_code                AS txn_code46_71_         ,
        kafkaaudit0_.txn_date                AS txn_date47_71_         ,
        kafkaaudit0_.txn_foreign_ccy_code    AS txn_foreign_ccy_c48_71_,
        kafkaaudit0_.txn_foreign_exc_rate    AS txn_foreign_exc_r49_71_,
        kafkaaudit0_.txn_foreign_txn_amt     AS txn_foreign_txn_a50_71_,
        kafkaaudit0_.txn_gross_amt           AS txn_gross_amt51_71_    ,
        kafkaaudit0_.txn_in_out              AS txn_in_out52_71_       ,
        kafkaaudit0_.txn_mcc                 AS txn_mcc53_71_          ,
        kafkaaudit0_.txn_merchant_ind        AS txn_merchant_ind54_71_ ,
        kafkaaudit0_.txn_merchant_purpose    AS txn_merchant_purp55_71_,
        kafkaaudit0_.txn_mid                 AS txn_mid56_71_          ,
        kafkaaudit0_.txn_mother_category     AS txn_mother_catego57_71_,
        kafkaaudit0_.txn_net_amt             AS txn_net_amt58_71_      ,
        kafkaaudit0_.txn_original_id         AS txn_original_id59_71_  ,
        kafkaaudit0_.txn_post_date           AS txn_post_date60_71_    ,
        kafkaaudit0_.txn_product_family      AS txn_product_famil61_71_,
        kafkaaudit0_.txn_product_line        AS txn_product_line62_71_ ,
        kafkaaudit0_.txn_purpose             AS txn_purpose63_71_      ,
        kafkaaudit0_.txn_qr_merchant_ind     AS txn_qr_merchant_i64_71_,
        kafkaaudit0_.txn_rank_check          AS txn_rank_check65_71_   ,
        kafkaaudit0_.txn_recurring_ind       AS txn_recurring_ind66_71_,
        kafkaaudit0_.txn_ref_no              AS txn_ref_no67_71_       ,
        kafkaaudit0_.txn_service_lv1         AS txn_service_lv68_71_   ,
        kafkaaudit0_.txn_service_lv2         AS txn_service_lv69_71_   ,
        kafkaaudit0_.txn_service_type        AS txn_service_type70_71_ ,
        kafkaaudit0_.txn_settlement_date     AS txn_settlement_da71_71_,
        kafkaaudit0_.txn_slr_ind             AS txn_slr_ind72_71_      ,
        kafkaaudit0_.txn_status              AS txn_status73_71_       ,
        kafkaaudit0_.txn_sub_type            AS txn_sub_type74_71_     ,
        kafkaaudit0_.txn_supplier            AS txn_supplier75_71_     ,
        kafkaaudit0_.txn_terminalname        AS txn_terminalname76_71_ ,
        kafkaaudit0_.txn_termlocation        AS txn_termlocation77_71_ ,
        kafkaaudit0_.txn_termowner           AS txn_termowner78_71_    ,
        kafkaaudit0_.txn_tid                 AS txn_tid79_71_          ,
        kafkaaudit0_.txn_time                AS txn_time80_71_         ,
        kafkaaudit0_.txn_token               AS txn_token81_71_        ,
        kafkaaudit0_.txn_type                AS txn_type82_71_         ,
        kafkaaudit0_.error_group             AS error_group83_71_
FROM    kafka_audit_trail_earn_transaction kafkaaudit0_
WHERE   kafkaaudit0_.loyalty_cus_id       =:1
        AND kafkaaudit0_.transaction_id   =:2
        AND kafkaaudit0_.file_name        =:3
        AND kafkaaudit0_.ds_partition_date=:4
; @Former user  xem xét giúp anh, đặt 1 cái index kết hợp loyalty_cus_id và transaction_id, thay thế cho cái index loyalty_cus_id được ko nhé. Index đang có:</t>
  </si>
  <si>
    <t>[OMC][PS2][Loyalty][PROD] - Theo dõi size + performance bảng MEMBER_INFO_VERSIONING - CLOB</t>
  </si>
  <si>
    <t>2025-09-26T12:35:38.004+0700</t>
  </si>
  <si>
    <t>2025-10-13T23:41:59.177+0700</t>
  </si>
  <si>
    <t>Hiện tại ghi nhận bảng MEMBER_INFO_VERSIONING mới golive đưa vào sử dụng có dung lượng cột CLOB khá lớn.  -- data mới nửa tháng đã 269 GB select min(created_at) from OLOYALTY.MEMBER_INFO_VERSIONING; -- 10-SEP-25 12.00.21.027000000 AM select max(created_at) from OLOYALTY.MEMBER_INFO_VERSIONING; -- 25-SEP-25 04.06.38.121000000 PM select count(*) from OLOYALTY.MEMBER_INFO_VERSIONING; -- 25Sep: 18.971.487 desc OLOYALTY.MEMBER_INFO_VERSIONING;  -- VERSION_DATA  kiểu CLOB – ví dụ Data LOB {"userProfile":{"id":49818615,"code":"9173637862","masterUserid":"1016951338","pointAccountNo":"9173637862"},"member":{"id":54087416,"code":"442927884006","dob":"19951203","gender":"F","status":"A","partnerCustomerId":"1016951338"},"tier":{"id":47,"code":"MEM","name":"MEMBER"},"attributes":[{"name":"Identify TCB emloyee or not","code":"EMPLOYEE_IND","value":"N","status":"A"},{"name":"Loyalty customer tier","code":"CST_LOYALTY_TIER","value":"MEM","status":"A"},{"name":"Customer asset class","code":"CST_AST_CLSS","value":"0","status":"A"},{"name":"Identify customer merchant validation","code":"CST_MERCHANT_IND","value":"N","status":"A"},{"name":"Customer business line (Retail, BB,…)","code":"BIZ_LINE","value":"RETAIL","status":"A"},{"name":"Previous customer tier","code":"CST_PRE_TIER","value":"MEM","status":"A"},{"name":"Customer gender","code":"CST_GENDER","value":"F","status":"A"},{"name":"First contract date: Ngày KH được ghi danh tại TCB","code":"FRST_CTC_DT","value":"20250821","status":"A"},{"name":"Customer date of birth","code":"CST_BRTH_DT","value":"19951203","status":"A"},{"name":"Customer country residence","code":"CST_RESIDENCE","value":"VN","status":"A"},{"name":"Customer segment in TCB","code":"CST_BANK_SEGMENT","value":"MAS","status":"A"},{"name":"CST_PRD_ACTIVE","code":"CST_PRD_ACTIVE","value":"N","status":"A"},{"name":"CST_AEUPOINT","code":"CST_AEUPOINT","value":"N","status":"A"},{"name":"Customer watchedlist indicator","code":"CST_WTCH_LIST","value":"N","status":"A"},{"name":"Current customer tier","code":"CST_TIER","value":"MEM","status":"A"},{"name":"CST_PRD_HOLDING","code":"CST_PRD_HOLDING","value":"Y","status":"A"},{"name":"Specifies the Branch at which the Customer registers a new Account ","code":"CST_HOME_BRANCH","value":"VN0010028","status":"A"},{"name":"To define customer is identified or not ","code":"CST_EKYC_STATUS","value":"Y","status":"A"},{"name":"Notification channel subcribed by customer","code":"CST_NOTI_CHANNEL","value":"NC_03","status":"A"},{"name":"Customer nationality","code":"CST_NATIONALITY","value":"VN","status":"A"},{"name":"Customer tier start date","code":"TIER_START_DATE","value":"20250821","status":"A"},{"name":"Loyalty onboarding date","code":"LOYALTY_OB_DATE","value":"20250822","status":"A"},{"name":"Customer tier end date","code":"TIER_END_DATE","value":"30000101","status":"A"},{"name":"Identify customer having mobile app","code":"CST_MOBILE_IND","value":"Y","status":"A"},{"name":"Product level 1(as Product master data)","code":"PRODUCT_LV1","value":"10400000000000000","status":"A"},{"name":"Product level 4 (as Product master data)","code":"PRODUCT_LV4","value":"10408015048000000","status":"A"},{"name":"Product level 1(as Product master data)","code":"PRODUCT_LV1","value":"10000000000","status":"A"},{"name":"Product Name","code":"PRODUCT_CODE","value":"10408015048027000","status":"A"},{"name":"Product Status","code":"PRD_STATUS","value":"I","status":"A"},{"name":"Product level 3 (as Product master data)","code":"PRODUCT_LV3","value":"10408015000000000","status":"A"},{"name":"Product level 2 (as Product master data)","code":"PRODUCT_LV2","value":"10408000000000000","status":"A"},{"name":"Product level 3 (as Product master data)","code":"PRODUCT_LV3","value":"10102000000","status":"A"},{"name":"Product level 4 (as Product master data)","code":"PRODUCT_LV4","value":"10102000000","status":"A"},{"name":"Product level 5 (as reserved)","code":"PRODUCT_LV5","value":"10102000000","status":"A"},{"name":"Product level 6","code":"PRODUCT_LV6","value":"10102000000","status":"A"},{"name":"Product level 6","code":"PRODUCT_LV6","value":"10408015048027052","status":"A"},{"name":"Product level 2 (as Product master data)","code":"PRODUCT_LV2","value":"10100000000","status":"A"},{"name":"Product level 5 (as reserved)","code":"PRODUCT_LV5","value":"10408015048027000","status":"A"},{"name":"Product Name","code":"PRODUCT_CODE","value":"10102000000","status":"A"},{"name":"CARD_PAN","code":"CARD_PAN","value":"478097XXXXXX8174","status":"A"},{"name":"Card Status","code":"CARD_STATUS","value":"1","status":"A"},{"name":"CARD_IND","code":"CARD_IND","value":"P","status":"A"}]} @Former user   @Đỗ Viết Sơn  anh em DEV và TO của dự án xem xét các thông tin, và phối hợp với DBA để đánh giá dung lượng bảng này, và các data lưu trữ nhé, để có phương án tối ưu.</t>
  </si>
  <si>
    <t>[GAMI][PS2][Prod] Hỗ trợ xuất data report chi tiết vé tuần W22 phục vụ đối soát TCB</t>
  </si>
  <si>
    <t>2025-09-26T09:40:58.256+0700</t>
  </si>
  <si>
    <t>2025-09-26T12:24:09.782+0700</t>
  </si>
  <si>
    <t>Hỗ trợ xuất data report chi tiết vé tuần W22 phục vụ đối soát TCB Host:  172.31.4.75 Db:  promo_gamezone Query: SELECT customer_id, SUM(claim_amount) FROM `rule_logs` WHERE campaign_id = 59 &amp;&amp; reward_type='TURN' &amp;&amp; status IN('SUCCESS', 'PARTIAL_SUCCESS') GROUP BY customer_id;</t>
  </si>
  <si>
    <t>[UPAY] Tác động database hỗ trợ soundbox</t>
  </si>
  <si>
    <t>2025-09-25T17:52:41.064+0700</t>
  </si>
  <si>
    <t>2025-09-25T17:54:58.150+0700</t>
  </si>
  <si>
    <t>Hi a  @Nguyễn Văn Dũng  nhờ a chạy script theo mô tả  dưới đây ở môi trường PRODUCTION theo thông tin dưới đây ạ: Thời gian chạy script: Khi ticket được approval  Thông tin database saas_tpay:  pay-tidb.int.onemount.com:4000/saas_tpay Export data trước khi update và delete SELECT * FROM SOUNDBOX_DEVICE_MAPPING where DEVICE_ID = 'SB_MF_38_38250523306325' AND STATUS = 'ACTIVE';
SELECT * FROM SOUNDBOX_MERCHANT WHERE MERCHANT_CODE = 'MA_c6b60c5eb2f44d698';
SELECT * FROM SOUNDBOX_TERMINAL where device_serial_number ='38250523306325' AND MERCHANT_CODE = 'MA_c6b60c5eb2f44d698'; Chạy câu lệnh trong tập sau UPDATE TCB_DEVICE SET device_status = 'ASSIGNED' WHERE device_serial_number = '38250523306325';
UPDATE SOUNDBOX_DEVICE_MAPPING
    SET MERCHANT_CODE = NULL,
        TCB_TERMINAL_ID = NULL,
        TCB_MERCHANT_ID = NULL,
        TCB_STORE_ID = NULL,
        MC_VA_ACCOUNT = NULL,
    LINK_DEVICE_AT = NULL
WHERE DEVICE_ID = 'SB_MF_38_38250523306325' AND STATUS = 'ACTIVE';
DELETE FROM SOUNDBOX_MERCHANT WHERE MERCHANT_CODE = 'MA_c6b60c5eb2f44d698';
DELETE FROM SOUNDBOX_TERMINAL where device_serial_number ='38250523306325' AND MERCHANT_CODE = 'MA_c6b60c5eb2f44d698';</t>
  </si>
  <si>
    <t>[VCM] - Hỗ trợ migrate dữ liệu</t>
  </si>
  <si>
    <t>2025-09-25T17:04:29.816+0700</t>
  </si>
  <si>
    <t>2025-09-25T17:25:28.234+0700</t>
  </si>
  <si>
    <t>Onevc</t>
  </si>
  <si>
    <t>Nhờ team DBA support migrate theo hướng dẫn sau ( gồm 2 bước lấy dữ liệu và thực hiện migrate) Lấy dữ liệu: IP:  172.31.4.82 DB:  b2b_voucher_distribution B1: tạo bảng tạm theo câu lệnh sau: CREATE TABLE `migrate_onevc` (
  `id` INT NOT NULL,
  `current_external_ref_id` VARCHAR(128),
  PRIMARY KEY (`id`),
  INDEX `idx_current` (`current_external_ref_id`)
) ENGINE=InnoDB DEFAULT CHARSET=utf8mb4 COLLATE=utf8mb4_unicode_ci; B2: import data vào bảng tạm theo script( sẽ được gửi riêng lúc chạy) B3: export dữ liệu migrate select d.id, d.current_external_ref_id, so.external_ref_id
FROM migrate_onevc d join sale_order so on d.id = so.id; Thực hiện migrate: IP:  172.31.4.126 DB:  onevc_vsm_prod B1: tạo bảng tạm theo câu lệnh sau: CREATE TABLE `migrate_got_it` (
  `id` INT NOT NULL,
  `current_external_ref_id` VARCHAR(128),
  `external_ref_id` VARCHAR(128),
  PRIMARY KEY (`id`),
  INDEX `idx_current` (`current_external_ref_id`),
  INDEX `idx_ref`     (`external_ref_id`)
) ENGINE=InnoDB DEFAULT CHARSET=utf8mb4 COLLATE=utf8mb4_unicode_ci; B2: import data vào bảng tạm theo script ( sẽ được gửi riêng lúc chạy) B3: kiểm tra dữ liệu migrate select t.id, t.vd_external_ref_id, mgi.external_ref_id
from ticket t join migrate_got_it mgi on t.vd_external_ref_id = mgi.current_external_ref_id; B4: chạy câu UPDATE update ticket t join DBASD mgi on t.vd_external_ref_id = mgi.current_external_ref_id 
set t.vd_external_ref_id = mgi.external_ref_id;</t>
  </si>
  <si>
    <t>2025-09-25T17:04:06.320+0700</t>
  </si>
  <si>
    <t>2025-09-25T17:56:27.290+0700</t>
  </si>
  <si>
    <t>[OM][NON-PROD] Import lại data vào database om_website_uat_test cho OM website CMS test theo data ngày 24/09</t>
  </si>
  <si>
    <t>2025-09-25T16:43:58.746+0700</t>
  </si>
  <si>
    <t>2025-09-25T17:29:40.695+0700</t>
  </si>
  <si>
    <t xml:space="preserve">Nhờ a  @Trần Trương Dương  import lại giúp e data vào database om_website_uat_test tại instance  main-postgres Link data:   </t>
  </si>
  <si>
    <t>[Merchant-OM][CMS] Hỗ trợ import dữ liệu articles.</t>
  </si>
  <si>
    <t>2025-09-25T15:11:37.619+0700</t>
  </si>
  <si>
    <t>2025-09-25T18:02:27.661+0700</t>
  </si>
  <si>
    <t xml:space="preserve">Sau khi migrate, team cần hỗ trợ import dữ liệu sau   Target Collection Website  https://beta.oneshop.vn one_shop_web._articles App VinShop one_shop.._articles File import sẽ gửi lại sau. Ref:   </t>
  </si>
  <si>
    <t>[BO] Thay đổi cấu hình bút toán</t>
  </si>
  <si>
    <t>2025-09-25T08:46:15.249+0700</t>
  </si>
  <si>
    <t>2025-09-25T08:46:35.102+0700</t>
  </si>
  <si>
    <t>Hi a  @Nguyễn Văn Dũng , nhờ a chạy giúp e script này với ạ Thông tin database:  172.31.1.133:3306/bo CR:  https://vinid-team.atlassian.net/servicedesk/customer/portal/15/SH-66693?created=true Script: UPDATE TRANS_BUSINESS SET TAX_CODE = 'O6' WHERE ID = '449'; -- O4
INSERT INTO bo.ACCT_MAP_DOCTYPE (ID, SERVICE_ID, TRANSACTION_TYPE, SOURCE_TYPE, DOC_TYPE, ACCT_HEADER_GROUP, VERSION, RECORD_STATUS, INSERT_OPERATOR, UPDATE_OPERATOR, AUTHORISE_OPERATOR, INSERT_DATETIME, UPDATE_DATETIME, AUTHOR_DATETIME)
VALUES  (1152, 'VN0010019', 'C001', 'ORIGIN', 'NF', 'ZH001', 49, null, 0, 0, 0, null, default, default),
        (1153, 'VN0010010', 'R001', 'ORIGIN', 'NF', 'ZH001', 49, null, 0, 0, 0, null, default, default);
-- 737 - Giá vốn Voucher
-- 738 - Chi phí phải trả khác trích trước
UPDATE bo.TRANS_BUSINESS t
SET t.NAME2 = 'Giá vốn voucher phải trả'
WHERE t.ID in ('737', '738');
UPDATE bo.CONFIG_POSTING_FLAG t
SET t.POSTING_FLAG = 0
WHERE t.ID IN (
    '283','281','295','285','289','288',
    '286','287','292','290','280','282',
    '296','299','298','297','294','293','291'
); -- true</t>
  </si>
  <si>
    <t>[GAMI][PS2][Prod] Hỗ trợ xuất data report chi tiết vé tuần W19 phục vụ đối soát TCB</t>
  </si>
  <si>
    <t>2025-09-24T17:34:41.492+0700</t>
  </si>
  <si>
    <t>2025-09-24T18:24:08.734+0700</t>
  </si>
  <si>
    <t xml:space="preserve">Hỗ trợ xuất data report chi tiết vé tuần W19 phục vụ đối soát TCB Host:  172.31.4.75 Db:  promo_gamezone Query: SELECT customer_id, SUM(claim_amount) FROM `rule_logs` WHERE campaign_id = 55 &amp;&amp; reward_type='TURN' &amp;&amp; status IN('SUCCESS', 'PARTIAL_SUCCESS') GROUP BY customer_id; Theo yêu cầu của TCB </t>
  </si>
  <si>
    <t>2025-09-24T17:29:02.761+0700</t>
  </si>
  <si>
    <t>2025-09-24T18:22:14.810+0700</t>
  </si>
  <si>
    <t>Nhờ team DBA support chạy các script migrate data theo hướng dẫn sau: IP:  172.31.4.82 DB:  b2b_voucher_distribution B1: backup data theo câu query: select so.id , so.external_ref_id as current_external_ref_id, vs.serial_number  
from sale_order so  join  sale_order_item soi on so.id = soi.sale_order_id  join voucher_serial vs on vs.so_item_id  = soi.id 
where vs.voucher_id IN (select v.id from voucher v where v.partner_type ='GOT_IT') AND  external_ref_id NOT LIKE '004971%'; B2: tạo bảng tạm :  CREATE TABLE `migrate_got_it` (
  `transaction_ref_id` varchar(128) COLLATE utf8mb4_unicode_ci NOT NULL,
  `raw` varchar(128) COLLATE utf8mb4_unicode_ci DEFAULT NULL,
  `encrypted` varchar(128) COLLATE utf8mb4_unicode_ci NOT NULL,
  PRIMARY KEY (`encrypted`),
  KEY `idx_encrypted` (`encrypted`)
) ENGINE=InnoDB DEFAULT CHARSET=utf8mb4 COLLATE=utf8mb4_unicode_ci; B3: insert data vào bảng tạm bằng cách chạy script trong  link B4: kiểm tra dữ liệu trước khi update: SELECT COUNT(DISTINCT so.id) AS orders_to_update
FROM sale_order AS so
JOIN sale_order_item AS soi ON soi.sale_order_id = so.id
JOIN voucher_serial AS vs   ON vs.so_item_id     = soi.id
JOIN voucher        AS v    ON v.id              = vs.voucher_id
JOIN migrate_got_it AS mgi  ON mgi.encrypted     = vs.serial_number
WHERE v.partner_type = 'GOT_IT' AND so.external_ref_id NOT LIKE '004971%'; B5: chạy câu lệnh update sau: UPDATE sale_order AS so
JOIN sale_order_item AS soi ON soi.sale_order_id = so.id
JOIN voucher_serial AS vs   ON vs.so_item_id     = soi.id
JOIN voucher        AS v    ON v.id              = vs.voucher_id 
JOIN migrate_got_it AS mgi  ON mgi.encrypted     = vs.serial_number
SET so.external_ref_id = mgi.transaction_ref_id
WHERE v.partner_type = 'GOT_IT' AND  so.external_ref_id NOT LIKE '004971%'; Link CR:  https://vinid-team.atlassian.net/browse/SH-66627</t>
  </si>
  <si>
    <t>[Merchant-TCB] Hỗ trợ query dữ liệu 24092025</t>
  </si>
  <si>
    <t>2025-09-24T17:17:31.534+0700</t>
  </si>
  <si>
    <t>2025-10-04T10:57:08.027+0700</t>
  </si>
  <si>
    <t>Dear team, Nhờ team query giúp dữ liệu theo câu lệnh bên dưới ạ Thông tin database https://console.cloud.google.com/sql/instances/merchant-tcb/overview?inv=1&amp;invt=AbsndA&amp;project=vinid-merchant-prod DB_MYSQL_HOST=172.31.4.108
DB_MYSQL_DATABASE=merchant_service_tcb Câu lệnh SELECT * FROM tpay_request_merchant WHERE bank_account_number = '6070168';
SELECT * FROM tpay_request_merchant_bank WHERE account_number = '6070168';</t>
  </si>
  <si>
    <t>V/v Insert dữ liệu vào ODS phục vụ cho push notify voucher</t>
  </si>
  <si>
    <t>2025-09-24T16:24:26.618+0700</t>
  </si>
  <si>
    <t>2025-09-24T16:33:29.779+0700</t>
  </si>
  <si>
    <t>IP: TiDB Database:  omc_oneu_voucher_recommendation_uat Script: INSERT INTO omc_oneu_voucher_recommendation_uat.notification_system_data_output (user_id, user_name, rec_item, template_id, product_type, scheduling_from_hour, scheduling_to_hour,  scheduling_day, created_at, updated_at) VALUES 
('1857485895','Dương Quốc Hoàn','1011086','UP_006','voucher',16,18,'2025-9-24',2025-08-16 09:18:46.642491+07:00,2025-08-16 09:18:46.643529+07:00),
('1857485895','Dương Quốc Hoàn','117453','UP_006','voucher',16,18,'2025-9-24',2025-08-16 09:18:46.642491+07:00,2025-08-16 09:18:46.643529+07:00),
('200027007','Nguyễn Duy Tịnh','1011067','UP_011','voucher',16,18,'2025-9-24',2025-08-16 09:18:46.642491+07:00,2025-08-16 09:18:46.643529+07:00),
('200027007','Nguyễn Duy Tịnh','1011069','UP_011','voucher',16,18,'2025-9-24',2025-08-16 09:18:46.642491+07:00,2025-08-16 09:18:46.643529+07:00),
('200027007','Nguyễn Duy Tịnh','1011076','UP_011','voucher',16,18,'2025-9-24',2025-08-16 09:18:46.642491+07:00,2025-08-16 09:18:46.643529+07:00),
('200027007','Nguyễn Duy Tịnh','1011046','UP_011','voucher',16,18,'2025-9-24',2025-08-16 09:18:46.642491+07:00,2025-08-16 09:18:46.643529+07:00),
('200027007','Nguyễn Duy Tịnh','1011085','UP_011','voucher',16,18,'2025-9-24',2025-08-16 09:18:46.642491+07:01,2025-08-16 09:18:46.643529+07:01),
('200027007','Nguyễn Duy Tịnh','1011031','UP_012','voucher',16,18,'2025-9-24',2025-08-16 09:18:46.642491+07:02,2025-08-16 09:18:46.643529+07:02),
('200027007','Nguyễn Duy Tịnh','1011038','UP_013','voucher',16,18,'2025-9-24',2025-08-16 09:18:46.642491+07:03,2025-08-16 09:18:46.643529+07:03),
('200027007','Nguyễn Duy Tịnh','118015','UP_014','voucher',16,18,'2025-9-24',2025-08-16 09:18:46.642491+07:04,2025-08-16 09:18:46.643529+07:04),
('200027007','Nguyễn Duy Tịnh','1011037','UP_015','voucher',16,18,'2025-9-24',2025-08-16 09:18:46.642491+07:05,2025-08-16 09:18:46.643529+07:05),
('1360117639','Phùng Khánh Minh','1011067','REOR_006','voucher',17,18,'2025-9-24',2025-08-16 09:18:46.642491+07:05,2025-08-16 09:18:46.643529+07:05),
('1360117639','Phùng Khánh Minh','1011067','REOR_006','voucher',17,18,'2025-9-24',2025-08-16 09:18:46.642491+07:05,2025-08-16 09:18:46.643529+07:05),
('1857485910','Duy Kha','1011048','MONE_012','voucher',17,18,'2025-9-24',2025-08-16 09:18:46.642491+07:05,2025-08-16 09:18:46.643529+07:05),
('1857485910','Duy Kha','1011066','MONE_012','voucher',17,18,'2025-9-24',2025-08-16 09:18:46.642491+07:05,2025-08-16 09:18:46.643529+07:05),
('1857485910','Duy Kha','1010257','MONE_012','voucher',17,18,'2025-9-24',2025-08-16 09:18:46.642491+07:05,2025-08-16 09:18:46.643529+07:05),
('1857485910','Duy Kha','1011067','MONE_012','voucher',17,18,'2025-9-24',2025-08-16 09:18:46.642491+07:05,2025-08-16 09:18:46.643529+07:05),
('1360117694','Chảo 1','1011079','REMIND_001','ticket',17,18,'2025-9-24',2025-08-16 09:18:46.642491+07:05,2025-08-16 09:18:46.643529+07:05),
('1360117695','Chảo 2','1011079','REMIND_001','ticket',17,18,'2025-9-24',2025-08-16 09:18:46.642491+07:05,2025-08-16 09:18:46.643529+07:05),
('1360117696','Chảo 3','1011080','REMIND_001','ticket',17,18,'2025-9-24',2025-08-16 09:18:46.642491+07:05,2025-08-16 09:18:46.643529+07:05),
('1360117699','Chảo 4','1011079','REMIND_001','ticket',17,18,'2025-9-24',2025-08-16 09:18:46.642491+07:05,2025-08-16 09:18:46.643529+07:05),
('1360117700','Chảo 5','1011077','REMIND_001','ticket',17,18,'2025-9-24',2025-08-16 09:18:46.642491+07:05,2025-08-16 09:18:46.643529+07:05);</t>
  </si>
  <si>
    <t>2025-09-24T16:18:33.134+0700</t>
  </si>
  <si>
    <t>2025-09-26T12:24:58.166+0700</t>
  </si>
  <si>
    <t>Dear team, team em có nhu cầu cập nhật dữ liệu vào TIDB với các thông tin dưới đây. Nhờ team giúp đỡ ạ. Thời gian : Nhờ team chạy luôn giúp em ạ. DB :  omc-mtp-tidb.int.onemount.com:4000 Schema :  omc_merchant_loyalty Script : UPDATE omc_merchant_loyalty.contract
SET attributes = '{ "address_district_name": { "value": "P. Cửa Nam" }, "address_province_name": { "value": "TP. Hà Nội" }, "address_street": { "value": "42F Lý Thường Kiệt" }, "address_ward_name": { "value": "P. Cửa Nam" }, "bank_account_holder": { "value": "DOAN KIM DUNG" }, "bank_account_number": { "value": "19028087561014" }, "bank_name": { "value": "Ngân hàng TMCP Kỹ Thương Việt Nam" }, "business_license_license_number": { "value": "01C8044789" }, "business_license_tax_code": { "value": "8015559606" }, "contract_ref_no": {}, "district_code": { "value": "00082" }, "effective_date": {}, "hotline": { "value": "0966775588" }, "legal_name": { "value": "HKD THE MATCHA HOUSE" }, "legal_representative_email": { "value": "doandung5588@gmail.com" }, "legal_representative_full_name": { "value": "ĐOÀN KIM DUNG" }, "legal_representative_identity_number": { "value": "001185000002" }, "legal_representative_identity_number_issue_agency": { "value": "CTCCSQLHCVTTXH" }, "legal_representative_identity_number_issue_date": { "value": "2025-02-10" }, "legal_representative_phone": { "value": "0966775588" }, "business_license_issue_date": { "value": "2025-06-16" }, "business_license_issue_agency": { "value": "Phòng Tài Chính - Kế hoạch UBND Quận Hoàn Kiếm" }, "province_code": { "value": "01" }, "short_name": { "value": "DOAN KIM DUNG" }, "trade_name": { "value": "HKD THE MATCHA HOUSE" }, "ward_code": { "value": "00082" } }'
WHERE id = 71; Thanks team.</t>
  </si>
  <si>
    <t>2025-09-24T15:44:52.708+0700</t>
  </si>
  <si>
    <t>2025-09-24T15:44:57.265+0700</t>
  </si>
  <si>
    <t>Dear anh, Nhờ anh chạy giúp em script sau ạ: UPDATE merchant SET om_merchant_subtype = 'MT' where id = 1; Thông tin DB: URL:  omc-mtp-tidb.int.onemount.com:4000 Schema:  omc_merchant_loyalty</t>
  </si>
  <si>
    <t>[VCM] Update tồn campaign cho voucher</t>
  </si>
  <si>
    <t>2025-09-24T14:51:47.451+0700</t>
  </si>
  <si>
    <t>2025-09-24T14:56:03.979+0700</t>
  </si>
  <si>
    <t>IP: 172.31.4.9 Database:  ecom_promotion script:  UPDATE `campaign_variant` SET `quantity` = 200 WHERE campaign_code = 'NJkrPYddD' and variant_id = 1011420;
UPDATE `campaign_variant` SET `quantity` = 200 WHERE campaign_code = 'NJkrPYddD' and variant_id = 1007545;
UPDATE `campaign_variant` SET `quantity` = 100 WHERE campaign_code = 'NJkrPYddD' and variant_id = 1007575;</t>
  </si>
  <si>
    <t>2025-09-24T14:39:04.493+0700</t>
  </si>
  <si>
    <t>2025-09-24T14:39:19.141+0700</t>
  </si>
  <si>
    <t>Dear team, team em có nhu cầu cập nhật dữ liệu vào TIDB với các thông tin dưới đây. Nhờ team giúp đỡ ạ. Thời gian : Nhờ team chạy luôn giúp em ạ. DB :  omc-mtp-tidb.int.onemount.com:4000 Schema :  omc_merchant_loyalty Script : UPDATE omc_merchant_loyalty.contract
SET appendix_template_id = '1068',
    cancel_appendix_template_id = '1069'
WHERE template_id = '884'; Thanks team.</t>
  </si>
  <si>
    <t>[OMD CDP][Prod] Tạo lại bảng DP_RATING và thêm cột mới cho bảng DP_CUSTOMER_GT</t>
  </si>
  <si>
    <t>2025-09-24T14:20:54.240+0700</t>
  </si>
  <si>
    <t>2025-09-24T23:01:31.722+0700</t>
  </si>
  <si>
    <t>Để phục vụ việc phát triển OMD CDP trên môi trường prod (theo ticket  https://vinid-team.atlassian.net/browse/DWHV2-11963  và  https://vinid-team.atlassian.net/browse/DWHV2-11965 ), nhờ team hỗ trợ tạo giúp em trên TiDb  omd-tidb.int.onemount.com:4000 : Database: omd_cdp_data_from_dp Review script và tạo mới bảng dữ liệu  omd_cdp_data_from_dp.DP_RATING : Dự kiến insert trong lần đầu chạy: ~424K bản ghi Cần truncate data cũ và drop table cũ trước khi chạy Script: TRUNCATE TABLE omd_cdp_data_from_dp.DP_RATING;
DROP TABLE omd_cdp_data_from_dp.DP_RATING; CREATE TABLE omd_cdp_data_from_dp.DP_RATING (
    `pk` VARCHAR(104) NOT NULL,
    `rating_source` varchar(20) NOT NULL,
    `rating_id` VARCHAR(72) NOT NULL,
    `rating_type` varchar(30),
    `rating_category` varchar(60),
    `gt_code` varchar(30),
    `deliver_status` VARCHAR(11),
    `rating_point` double,
    `rating_feedback` text,
    `rating_at` timestamp,
    `created_at` timestamp NOT NULL,
    `rating_status` varchar(11),
    `is_deleted` tinyint(1),
    `data_sync_ts` timestamp,
    PRIMARY KEY (`pk`)
)
PARTITION BY RANGE COLUMNS(`created_at`)
INTERVAL (1 MONTH) FIRST PARTITION LESS THAN ('2025-03-01') LAST PARTITION LESS THAN ('2027-12-01') Review script và thêm cột cho bảng  omd_cdp_data_from_dp.DP_CUSTOMER_GT : Dự kiến insert &amp; update ~362k bản ghi Script: ALTER TABLE omd_cdp_data_from_dp.DP_CUSTOMER_GT ADD last_zns_error VARCHAR(8);
ALTER TABLE omd_cdp_data_from_dp.DP_CUSTOMER_GT ADD last_zns_error_at TIMESTAMP; Em cảm ơn team ạ! cc anh  @Bùi Văn Lực  ạ</t>
  </si>
  <si>
    <t>[OMC][MTP][PROD] Hỗ trợ cập nhật dữ liệu</t>
  </si>
  <si>
    <t>2025-09-24T14:20:14.016+0700</t>
  </si>
  <si>
    <t>2025-09-24T14:20:33.959+0700</t>
  </si>
  <si>
    <t>Dear team, team em có nhu cầu insert dữ liệu mới vào TIDB với các thông tin dưới đây. Nhờ team giúp đỡ ạ. Thời gian : Nhờ team chạy luôn giúp em ạ. DB :  omc-mtp-tidb.int.onemount.com:4000 Schema :  omc_merchant_loyalty Script : update omc_merchant_loyalty.contract set appendix_template_id = '1068' and cancel_appendix_template_id = '1069' where template_id = '884';</t>
  </si>
  <si>
    <t>[OMC][MTP] Clear dữ liệu tracking tháng 7/2025</t>
  </si>
  <si>
    <t>2025-09-23T22:05:59.704+0700</t>
  </si>
  <si>
    <t>2025-09-23T23:00:52.447+0700</t>
  </si>
  <si>
    <t>Dear anh  @Trần Trương Dương  , nhờ anh chạy giúp em script sau: DB:  omc-mtp-tidb.int.onemount.com -- OMC
ALTER TABLE omc_mtp_tracking_events.mtp_tracking_events_omc DROP PARTITION p20250701;
ALTER TABLE omc_mtp_tracking_events.mtp_tracking_events_omc DROP PARTITION p20250702;
ALTER TABLE omc_mtp_tracking_events.mtp_tracking_events_context_omc DROP PARTITION p20250701;
ALTER TABLE omc_mtp_tracking_events.mtp_tracking_events_context_omc DROP PARTITION p20250702;
ALTER TABLE omc_mtp_tracking_events.mtp_tracking_event_sessions DROP PARTITION p2025_07;
ALTER TABLE omc_mtp_martech_activation.mtp_ads_events DROP PARTITION p2025_07;
ALTER TABLE omc_mtp_martech_activation.mtp_push_events DROP PARTITION p2025_07;
ALTER TABLE omc_mtp_martech_activation.mtp_tracking_email_events DROP PARTITION p2025_07;
ALTER TABLE omc_mtp_martech_activation.mtp_tracking_email_notifications DROP PARTITION p2025_07;
ALTER TABLE omc_mtp_martech_activation.mtp_tracking_fcm_messages DROP PARTITION p2025_07;
ALTER TABLE omc_mtp_martech_activation.mtp_tracking_push_notifications DROP PARTITION p2025_07;
-- OMRE
ALTER TABLE omre_mtp_tracking_events.mtp_tracking_events_omre drop partition p20250701;
ALTER TABLE omre_mtp_tracking_events.mtp_tracking_events_omre drop partition p20250702;
ALTER TABLE omre_mtp_tracking_events.mtp_tracking_events_context_omre DROP PARTITION p20250701;
ALTER TABLE omre_mtp_tracking_events.mtp_tracking_events_context_omre DROP PARTITION p20250702; Best regards Dinh Quang Nguyen</t>
  </si>
  <si>
    <t>2025-09-23T18:37:57.636+0700</t>
  </si>
  <si>
    <t>2025-09-24T08:58:25.672+0700</t>
  </si>
  <si>
    <t>Dear team,  Team em có nhu cầu cập nhật dữ liệu một số bảng sau, nhờ team chạy script giúp em ạ. CR:   Thời gian chạy:  Nhờ team DBA chạy luôn giúp em ạ. Thông tin DB :  172.31.1.133:3306/bo -- MAPPING_PAYMENT_METHOD_CODE
INSERT INTO bo.MAPPING_PAYMENT_METHOD_CODE (ID, SERVICE_ID, ORDER_PAYMENT_CHANNEL, ORIGIN_PAYMENT_METHOD_CODE,
                                            SHIPPING_METHOD_CODE, WALLET_TYPE, TYPE, PAYMENT_METHOD_CODE, VERSION,
                                            RECORD_STATUS, INSERT_OPERATOR, UPDATE_OPERATOR, AUTHORISE_OPERATOR,
                                            INSERT_DATETIME, UPDATE_DATETIME, AUTHOR_DATETIME)
VALUES (362, 'VN0010010', 'UPOINT', 'UPOINT', default, 'MERCHANT_REF', 'REVENUE', 'REVENUE', 1, default, 'ADMIN',
        'ADMIN', 'ADMIN', default, default, default),
       (363, 'VN0010010', 'VISA', 'VISA', default, 'MERCHANT_REF', 'REVENUE', 'REVENUE', 1, default, 'ADMIN', 'ADMIN',
        'ADMIN', default, default, default),
       (364, 'VN0010010', 'ATM', 'ATM', default, 'MERCHANT_REF', 'REVENUE', 'REVENUE', 1, default, 'ADMIN', 'ADMIN',
        'ADMIN', default, default, default),
       (365, 'VN0010010', 'ATM', 'ATM', 'MANUAL', 'MERCHANT_REF', 'REVENUE', 'REVENUE', 1, default, 'ADMIN', 'ADMIN',
        'ADMIN', default, default, default),
       (366, 'VN0010010', 'VISA', 'VISA', 'MANUAL', 'MERCHANT_REF', 'REVENUE', 'REVENUE', 1, default, 'ADMIN', 'ADMIN',
        'ADMIN', default, default, default),
       (367, 'VN0010010', 'UPOINT', 'UPOINT', 'MANUAL', 'MERCHANT_REF', 'REVENUE', 'REVENUE', 1, default, 'ADMIN',
        'ADMIN', 'ADMIN', default, default, default);
-- ACCT_MAP_ACCOUNTING_LINE
UPDATE bo.ACCT_MAP_ACCOUNTING_LINE SET VALUE_TYPE = 'S' WHERE LINE_ID = 'GL014' AND SAP_FIELD_NAME = 'CUSTOMERID'; Thanks team.</t>
  </si>
  <si>
    <t>Xin quyền truy cập vào  omc_data.notifcation_system trên ODS môi trường product</t>
  </si>
  <si>
    <t>2025-09-23T17:28:05.884+0700</t>
  </si>
  <si>
    <t>2025-09-23T17:31:53.566+0700</t>
  </si>
  <si>
    <t>Hi anh Dương, Để có thể truy vấn được dữ liệu trên ODS phục vụ điều tra issue khi cần thiết nên nhờ anh cập quyền truy cập ODS với thông tin dưới đây: TiDB:  omc_oneu_voucher_recommendation Danh sách tài khoản cấp quyền:  linhnm18@onemount.com  → Read. haovt7@onemount.com  → Read. loint4@onemount.com  → Read. Ref:  https://vinid-team.atlassian.net/browse/ODS-4?focusedCommentId=1784921&amp;atlOrigin=eyJpIjoiZTU2NzUzYmI2NjEyNDBlMjk2MGM1YTIzNDFiZGQ1NjEiLCJwIjoicG9zdE9mZmljZUVtYWlsIn0</t>
  </si>
  <si>
    <t>[OMRE][CBP][NON-PROD] Request access vào read-replica của CBP</t>
  </si>
  <si>
    <t>2025-09-23T17:17:13.598+0700</t>
  </si>
  <si>
    <t>2025-09-24T09:31:30.754+0700</t>
  </si>
  <si>
    <t>AVM</t>
  </si>
  <si>
    <t>Em xin access vào read-replica của CBP để phục vụ AVM ạ, chi tiết trao đổi tại: https://chat.google.com/room/AAQAPEj4G88/vMiEG7oXsX0/rKre-d39eWA?cls=10</t>
  </si>
  <si>
    <t>Preparation MAS/MTR (OS, LIB, DISK) New Primary/Secondary</t>
  </si>
  <si>
    <t>2025-09-23T16:10:50.701+0700</t>
  </si>
  <si>
    <t>2025-09-23T16:10:58.826+0700</t>
  </si>
  <si>
    <t>Kéo dữ liệu về ODS cho dự án warehousing kho 8188</t>
  </si>
  <si>
    <t>2025-09-23T12:32:48.582+0700</t>
  </si>
  <si>
    <t>2025-09-24T12:43:10.375+0700</t>
  </si>
  <si>
    <t>Hỗ trợ PO/BA trong việc xây dựng các báo cáo vận hành trên superset, cần thời gian thực Tạo các alert về mặt sai lệch trong dữ liệu hoặc các alert liên quan đến dữ liệu vận hành Kéo dữ liệu dưới đây về hệ thống ODS và phân quyền trên Dremio cho các tài khoản sau hoang.dau@onemount.com thien.hoang1@onemount.com phuonghd1@onemount.com Thông tin database nguồn như sau WMS Database instance Project vinid-b2b-platform-prod IP 172.31.4.59 Sheet  omd_wms_*  schema omd_wms_8118 List database và table cần sync về ODS Table name TTL (Day) flat_appointment_master 180 flat_appointment_service 180 flat_incident_report 180 flat_staging_assignment 180 order_hdr 180 order_item 180 prod_batch_detail master_data prod_master master_data prod_uom master_data product_category master_data replenishment_header 180 replenishment_inventory_item 180 replenishment_item 180 report_order_header 180 report_order_item 180 report_warehouse_order_header 180 report_warehouse_order_item 180 report_warehouse_stock_item master_data report_wave_header 180 time_slot master_data warehouse_zone master_data wave_order_header 180 wave_order_item 180 whse_location master_data whse_order_hdr 180 whse_order_item 180 whse_stock_detail master_data wms_data_snapshot 180 wms_lookup master_data wms_party master_data</t>
  </si>
  <si>
    <t>[MTP][Prod][TiDB OMC] Request chạy script sql</t>
  </si>
  <si>
    <t>2025-09-23T11:45:33.004+0700</t>
  </si>
  <si>
    <t>2025-09-23T11:45:40.978+0700</t>
  </si>
  <si>
    <t>Dear anh, Nhờ anh chạy giúp em script sau ạ: UPDATE store SET um_id = 26013 where id = 4; Thông tin database: URL:  omc-mtp-tidb.int.onemount.com:4000 Schema:  omc_merchant_loyalty</t>
  </si>
  <si>
    <t>[Merchant-TCB] Tạo account read only cho Dremio</t>
  </si>
  <si>
    <t>2025-09-23T09:44:32.489+0700</t>
  </si>
  <si>
    <t>2025-09-24T11:22:46.664+0700</t>
  </si>
  <si>
    <t>Dear team, Do team dự án tần suất query dữ liệu, debug nhiều, và không có nguồn lực để build trên OPS. Nên có yêu cầu onboard database lên dremio để thuận tiện trong việc debug. Để an toàn, team dự án cần tạo 1 tài khoản read-only để cấu hình truy cập trên Dremio ạ. Thông tin database https://console.cloud.google.com/sql/instances/merchant-tcb/overview?inv=1&amp;invt=AbsndA&amp;project=vinid-merchant-prod DB_MYSQL_HOST=172.31.4.108
DB_MYSQL_DATABASE=merchant_service_tcb Account dremio_read</t>
  </si>
  <si>
    <t>[VinPay][BackOffice][PROD] Hỗ trợ cập nhật bảng, bổ sung dữ liệu BackOffice</t>
  </si>
  <si>
    <t>2025-09-23T08:40:32.598+0700</t>
  </si>
  <si>
    <t>2025-09-23T08:40:40.132+0700</t>
  </si>
  <si>
    <t>Dear team, team em có nhu cầu cập nhật cấu trúc bảng và bổ sung dữ liệu cấu hình cho service BackOffice với các thông tin dưới đây, nhờ team giúp đỡ với ạ. CR:     Thời gian chạy:  Nhờ team DBA chạy xem xét chạy luôn trong giờ giúp em vì các câu lệnh thay đổi cấu trúc bảng có thể tốn nhiều thời gian. Thông tin DB :  172.31.1.133:3306/bo Script : File script được đính kèm ở dưới. (1 file thay đổi cấu trúc bảng, 1 file cập nhật dữ liệu) Thanks team, Thành An.</t>
  </si>
  <si>
    <t>[PROD] [VCM-Product]  Create index varaint price</t>
  </si>
  <si>
    <t>2025-09-22T17:55:40.528+0700</t>
  </si>
  <si>
    <t>2025-09-22T18:07:52.728+0700</t>
  </si>
  <si>
    <t>Nhờ a/e DBA team, Chạy giúp script tạo index sau: Thông tin DB: Database name: vincart_mm_product 
IP: 172.31.1.41 create index variant_prices_product_id_index
    on variant_prices (product_id);</t>
  </si>
  <si>
    <t xml:space="preserve">[OMC][MCL] Truncate dữ liệu để thực hiện migrate lại </t>
  </si>
  <si>
    <t>2025-09-22T17:52:22.927+0700</t>
  </si>
  <si>
    <t>2025-09-22T17:52:28.952+0700</t>
  </si>
  <si>
    <t>Dear anh  @Nguyễn Văn Dũng  , nhờ anh chạy giúp em câu query sau: DB:  omc-mtp-tidb.int.onemount.com:4000 Schema:  omc_mtp_user_profile TRUNCATE TABLE omc_mtp_user_profile.loyalty_cus; Best regards Dinh Quang Nguyen</t>
  </si>
  <si>
    <t>Khởi tạo CloudSQL server, Redis cho project nexa-backoffice-np cài đặt Non-Prod</t>
  </si>
  <si>
    <t>2025-09-22T17:40:53.392+0700</t>
  </si>
  <si>
    <t>2025-09-29T08:48:03.489+0700</t>
  </si>
  <si>
    <t>Hỗ trợ các vấn đề cung cấp tài nguyên Database SQL server, Redis cache cho tem dự án triển khai cài đặt Bravo cho công ty MDPC</t>
  </si>
  <si>
    <t>2025-09-22T16:59:03.852+0700</t>
  </si>
  <si>
    <t>2025-09-22T17:06:07.222+0700</t>
  </si>
  <si>
    <t>Nhờ team chạy các lệnh UPDATE trên MySQL Production như sau ạ: URL:  mysql://omre-onehs-mysql-main.int.onemount.com:3306/onehs_dictionary Query: UPDATE `INVENTORY_PROPERTIES` set status = "REVOKED", available_for_sale_status = "NOT_AVAILABLE", last_modified_date = "2025-09-22 16:00:00", last_modified_by = "master_data_admin" WHERE id = "5ff74ea9-f8df-49ec-a77d-137553308825";
INSERT INTO `eav_attribute_json_values` 
(eav_attribute_id, entity_id, entity_id_v2, data_type, name, value, created_by, created_date, last_modified_by, last_modified_date) VALUES ((SELECT eav_attribute_id FROM `eav_attributes` WHERE field_name = "updating_status_reason"), 0, "5ff74ea9-f8df-49ec-a77d-137553308825", "PICKLIST_MULTI_SELECT", "updating_status_reason", '[ { "id": null, "gid": null, "code": "OTHER", "name": "Hàng lên sai thông tin: https://vinid-team.atlassian.net/browse/OMREPR-3779", "uuid": null, "dname": null, "gcode": null, "gname": null, "order": null, "sector_id": null } ]', "master_data_admin", "2025-09-22 16:00:00", "master_data_admin", "2025-09-22 16:00:00");</t>
  </si>
  <si>
    <t>Kéo dữ liệu về ODS cho các bảng mới của ofs</t>
  </si>
  <si>
    <t>2025-09-22T16:34:31.648+0700</t>
  </si>
  <si>
    <t>2025-09-22T16:47:28.983+0700</t>
  </si>
  <si>
    <t>Hỗ trợ PO/BA trong việc xây dựng các báo cáo vận hành trên superset, cần thời gian thực Tạo các alert về mặt sai lệch trong dữ liệu hoặc các alert liên quan đến dữ liệu vận hành Kéo dữ liệu dưới đây về hệ thống ODS và phân quyền trên Dremio cho các tài khoản sau hoang.dau@onemount.com thien.hoang1@onemount.com phuonghd1@onemount.com Thông tin database nguồn như sau OFS IP : main (read-write):  172.31.1.143 Port : 3306 Database name:  b2b_ofs Table geo_area_district geo_area_provice geo_area_ward Ref ticket kéo về DP:  https://vinid-team.atlassian.net/browse/DWHV2-11923?focusedCommentId=1795828&amp;sourceType=mention</t>
  </si>
  <si>
    <t>2025-09-22T15:55:27.510+0700</t>
  </si>
  <si>
    <t>2025-10-08T10:39:09.567+0700</t>
  </si>
  <si>
    <t>[NonPROD][CDP] Mở rộng quyền account access data QC của dự án CDP(CBP OMRE)</t>
  </si>
  <si>
    <t>2025-09-22T14:28:51.921+0700</t>
  </si>
  <si>
    <t>2025-09-24T10:39:32.858+0700</t>
  </si>
  <si>
    <t>Dear anh Nam và team DBA. Ở dự án CDP em đang cần kéo dữ liệu trên môi trường Non PROD. Nhờ team hỗ trợ mở rộng quyền account database giúp em theo thông tin sau: Host: 172.31.0.67 Port: 3306 Quyền: view Phạm vi truy cập: Toàn bộ schema omre_cbp_agent_core_qc, omre_cbp_collab_qc, omre_cbp_activity_qc Name account: data_ingestion Host: 10.255.134.172 Port: 27017 Phạm vi truy cập: Toàn bộ schema omre_cbp_listing_qc Name account: data_ingestion Em xin cảm ơn.</t>
  </si>
  <si>
    <t>[SAOMOC[RIMS]]Thay đổi unique key cho bảng L03_PHUONGXA trên rimsprod (172.31.4.18)</t>
  </si>
  <si>
    <t>2025-09-22T12:36:57.700+0700</t>
  </si>
  <si>
    <t>2025-09-22T12:48:49.104+0700</t>
  </si>
  <si>
    <t>Dear anh/chị, Hiện tại hệ thống RIMs bên Techcombank vừa go live theo đơn vị hành chính mới, do đó bảng L03_TINHTHANH có phát sinh các thêm data của đường khu (giờ đã bị đẩy lên địa chỉ cấp 3) do đó phát sinh bản ghi duplicate. Nhờ các anh/chị update lại constrain giúp em để đồng bộ với db bên TCB cho tránh bị lỗi job ạ. Thông tin DB: 'Server=172.31.4.18;' 'Database=rimsprod; Script: ALTER TABLE [dbo].[L03_PHUONGXA]  DROP CONSTRAINT [IDX_L03_PHUONGXA_IDQUANHUYEN_TENPHUONGXA1]; ALTER TABLE [dbo].[L03_PHUONGXA]  ADD CONSTRAINT [IDX_L03_PHUONGXA_IDDONVIHANHCHINH_IDQUANHUYEN_TENPHUONGXA1] UNIQUE NONCLUSTERED  (       [IDQUANHUYEN] ASC,     [TENPHUONGXA1] ASC,   [IDDONVIHANHCHINH] ASC ); Em cảm ơn. CC  @Former user   @Vũ Hồng Nhung</t>
  </si>
  <si>
    <t>V/v Testing import database from GCS into CloudSql instance</t>
  </si>
  <si>
    <t>2025-09-22T09:52:37.862+0700</t>
  </si>
  <si>
    <t>2025-09-22T09:54:13.196+0700</t>
  </si>
  <si>
    <t>Testing import database from GCS into CloudSql instance: DBA đã export database schemas trên GCS và tiến hành kiểm thử import để verify data trước khi tiến hành remove instance CloudSQL. Data files trên GCS:  https://console.cloud.google.com/storage/browser/omc-archive-db-prod/DBASD-8556?pageState=("StorageObjectListTable" 😞 "f":"%255B%255D"))&amp;project=om-common-db-prod CloudSQL instance clone: https://console.cloud.google.com/sql/instances/vinmart-test-import/overview?cloudshell=true&amp;project=vincart-prod</t>
  </si>
  <si>
    <t>[Merchant-OM] Hỗ trợ xóa dữ liệu</t>
  </si>
  <si>
    <t>2025-09-22T09:38:26.097+0700</t>
  </si>
  <si>
    <t>2025-09-22T11:01:57.915+0700</t>
  </si>
  <si>
    <t>Dear team, Nhờ team hỗ trợ xóa dữ liệu master data theo câu lệnh bên dưới ạ Thông tin database https://console.cloud.google.com/sql/instances/main/overview?inv=1&amp;invt=Abqw_w&amp;project=vinid-merchant-prod DB_MYSQL_HOST=172.31.1.44
DB_MYSQL_DATABASE=merchant_service Câu lệnh DELETE FROM tcb_business_line WHERE created_at = '2025-07-21 17:00:00';
DELETE FROM tcb_business_type WHERE created_at = '2025-07-21 17:00:00';</t>
  </si>
  <si>
    <t xml:space="preserve">[OMC][NRs]Đánh index cho ecom_transaction </t>
  </si>
  <si>
    <t>2025-09-22T09:30:09.233+0700</t>
  </si>
  <si>
    <t>2025-09-22T21:35:33.205+0700</t>
  </si>
  <si>
    <t>IP: 172.31.4.9 Instance: ecom-medium-mysql Database: ecom_transaction  Tạo index  ALTER TABLE ecom_transaction.transactions ADD INDEX idx_transactions_created_at (created_at);</t>
  </si>
  <si>
    <t xml:space="preserve">[MTP][TiDB OMC][PROD] Request chạy script </t>
  </si>
  <si>
    <t>2025-09-21T01:37:31.433+0700</t>
  </si>
  <si>
    <t>2025-09-21T01:43:29.347+0700</t>
  </si>
  <si>
    <t>Dear anh, Nhờ anh chạy giúp em script sau: ALTER TABLE scheme ADD COLUMN config json;
ALTER TABLE campaign ADD COLUMN enable_min_order_value boolean default false;
ALTER TABLE scheme MODIFY COLUMN value json NULL; Thông tin database: URL:  omc-mtp-tidb.int.onemount.com:4000 Schema:  omc_merchant_loyalty</t>
  </si>
  <si>
    <t>[Merchant-TCB] Request bổ sung tài nguyên</t>
  </si>
  <si>
    <t>2025-09-20T23:56:23.740+0700</t>
  </si>
  <si>
    <t>2025-09-21T01:16:43.525+0700</t>
  </si>
  <si>
    <t>Dear team, Do số lượng data/ query của TCB OPS portal tăng cao và gây cao tải database. Bên cạnh việc tối ưu code/ query. Team dự án request tăng cấu hình database để giảm latency ạ. Thông tin database https://console.cloud.google.com/sql/instances/merchant-tcb/overview?inv=1&amp;invt=AbsndA&amp;project=vinid-merchant-prod DB_MYSQL_HOST=172.31.4.108
DB_MYSQL_DATABASE=merchant_service_tcb Thông tin cấu hình mong muốn vCPUs: 2 → 6 (bốc thuốc con số - và do là service của TCB nên muốn ổn định - sẽ điều chỉnh lại dựa vào thực tế sử dụng) Memory: 6 GB → 16 (bốc thuốc số) Thời gian thực hiện Cùng khoảng thời gian bảo trì Cloud SQL trên môi trường  PRODUCTION :  01:00, ngày 21/09/2025</t>
  </si>
  <si>
    <t>[VCM][Onevc] - Support golive ngày 20/9</t>
  </si>
  <si>
    <t>2025-09-20T22:17:53.616+0700</t>
  </si>
  <si>
    <t>2025-09-20T22:24:50.459+0700</t>
  </si>
  <si>
    <t>Vourcher</t>
  </si>
  <si>
    <t>Team dự án golive ngày 20/09 nhờ team DBA support chạy các script sau: IP:  172.31.4.126 DB:  onevc_vsm_prod ALTER TABLE onevc_vsm_prod.sale ADD (
	`serial_display_type` VARCHAR(20)
), ALGORITHM=INPLACE, LOCK=NONE;
ALTER TABLE onevc_vsm_prod.sale_history
	ADD COLUMN `serial_display_type` VARCHAR(20), ALGORITHM=INPLACE, LOCK=NONE;
INSERT INTO onevc_vsm_prod.flyway_schema_history (installed_rank,version,description,`type`,script,checksum,installed_by,installed_on,execution_time,success) VALUES
	 (125,'0124','alter  tb sale  and   tb sale history','SQL','V0124__alter__tb_sale__and__ tb_sale_history.sql',-1884857124,'onevc_vsm_prod','2025-09-20 22:00:48',8123,1);</t>
  </si>
  <si>
    <t>[2025/09/20] Run scripts for release plan</t>
  </si>
  <si>
    <t>2025-09-20T12:29:19.478+0700</t>
  </si>
  <si>
    <t>2025-09-20T22:16:47.301+0700</t>
  </si>
  <si>
    <t>Nhờ các anh DBA chạy giúp script dưới đây: IP:  172.31.1.41 Database:  vincart_mm_product Scripts: # 20250519000000_create_table_variant_prices_segment.sql
drop table if exists `variant_price_segments`;
create table IF NOT EXISTS `variant_price_segments`
(
    id               bigint auto_increment
        primary key,
    variant_price_id bigint                              not null,
    segment_id       varchar(36)                         not null,
    extra_data       text                                not null,
    created_at       timestamp default CURRENT_TIMESTAMP not null,
    updated_at       timestamp  default CURRENT_TIMESTAMP not null on update CURRENT_TIMESTAMP
);
create index variant_price_segments_segment_id_index
    on variant_price_segments (segment_id);
create index variant_price_segments_variant_price_id_index
    on variant_price_segments (variant_price_id);
# 2025072800000000_insert_serial_display_type_to_attributes.sql
INSERT INTO attributes (name, status)
SELECT 'serial_display_types', 'ACTIVE'
    WHERE NOT EXISTS (
    SELECT 1
    FROM attributes
    WHERE name = 'serial_display_types'
);
# 20250728000000_price_segment.sql
alter table variant_prices
    add column effective_time_from TIMESTAMP,
    add column effective_time_to TIMESTAMP;
# 20250801000000_create_table_variant_price_histories.sql
create table if not exists variant_price_histories
(
    id                      bigint auto_increment primary key,
    variant_price_id        bigint                              not null,
    merchant_code           varchar(100)                        null,
    product_code            varchar(100)                        null,
    variant_code            varchar(100)                        not null,
    price_list_code         varchar(100)                        null,
    price_old               decimal(18, 4)                      null,
    price_new               decimal(18, 4)                      null,
    unit_price_old          decimal(18, 4)                      null,
    unit_price_new          decimal(18, 4)                      null,
    currency_old            varchar(10)                         null,
    currency_new            varchar(10)                         null,
    discount_percent_old    decimal(5, 4)                       null,
    discount_percent_new    decimal(5, 4)                       null,
    effective_time_from_old timestamp                           null,
    effective_time_from_new timestamp                           null,
    effective_time_to_old   timestamp                           null,
    effective_time_to_new   timestamp                           null,
    segment_old             text                                null,
    segment_new             text                                null,
    status_old              varchar(50)                         null,
    status_new              varchar(50)                         null,
    price_type_old          varchar(50)                         null,
    price_type_new          varchar(50)                         null,
    channel_code            varchar(50)                         null,
    note                    text                                null,
    created_at              timestamp default CURRENT_TIMESTAMP not null,
    created_by              varchar(255)                        not null,
    updated_at              timestamp default CURRENT_TIMESTAMP null on update CURRENT_TIMESTAMP,
    updated_by              varchar(255)                        null
);
#2025090800000000_insert_attribute_price_type.sql
INSERT INTO attributes (name, status)
SELECT 'variant_price_type', 'ACTIVE'
WHERE NOT EXISTS (
    SELECT 1
    FROM attributes
    WHERE name = 'variant_price_type'
);
create index variant_price_histories_variant_code_channel_code_index
    on variant_price_histories (variant_code, channel_code); IP:  172.31.4.9 Database:  ecom_promotion Scripts: ALTER TABLE `segments`
    ADD COLUMN `channel` varchar(50) DEFAULT NULL COMMENT 'Channel Segment';
UPDATE segments SET channel = "ONEU" WHERE source = "MTP" and channel is null;
create index segments_source_channel_index
    on segments (source, channel); IP:  172.31.1.41 Database:  vincart_mm_order Scripts alter table order_items
    add column extra_data json null default null comment 'Extra data for the order item';</t>
  </si>
  <si>
    <t>[2025/09/20] Release plan</t>
  </si>
  <si>
    <t>2025-09-20T12:29:13.194+0700</t>
  </si>
  <si>
    <t>2025-09-20T22:15:53.527+0700</t>
  </si>
  <si>
    <t xml:space="preserve">Nhờ DBA chạy giúp script trong checklist dưới đây:  </t>
  </si>
  <si>
    <t>[MTP][TiDB OMC][Prod] Request chạy script db</t>
  </si>
  <si>
    <t>2025-09-20T11:20:28.448+0700</t>
  </si>
  <si>
    <t>2025-09-20T11:20:34.719+0700</t>
  </si>
  <si>
    <t>Dear anh Dũng, Nhờ anh chạy giúp em script sau ạ: -- merchant DOTCB252388RM
update store set ommp_id = 426391, ommp_store_code = 'ICO', ommp_address_id = 397356 where id = 2;
-- merchant MCL0FPJT02A2S
update store set ommp_id = 74165, ommp_store_code = 'qVh', ommp_address_id = 79480 where id = 4;
-- merchant DOTCB25239MZu
update store set ommp_id = 426458, ommp_store_code = 'WE5', ommp_address_id = 397451 where id = 5;
-- merchant MCSALESFORCE02740902
update store set ommp_id = 428198, ommp_store_code = 'AXK', ommp_address_id = 399587 where id = 6; Thông tin db: URL:  omc-mtp-tidb.int.onemount.com:4000 Schema:  omc_merchant_loyalty</t>
  </si>
  <si>
    <t>[UPAY][PROD] Đồng bộ giao dịch loyalty từ TCB về OMG, Trực golive cùng TCLife 20/09/2025</t>
  </si>
  <si>
    <t>2025-09-20T09:54:07.290+0700</t>
  </si>
  <si>
    <t>2025-09-20T09:54:12.601+0700</t>
  </si>
  <si>
    <t>Hi anh Nhờ anh chạy các script sau giúp em trên: Prod  vào  thời điểm phù hợp từ lúc approve đến 23h59 20/09/2025 Thông tin database: Prod :  pay-tidb.int.onemount.com:4000/saas_tpay Em gửi query ạ alter table TRANSACTION_DETAIL
    add is_txn_loyalty tinyint(1) null;
alter table TRANSACTION_DETAIL
    add amount_charge_customer decimal(38, 6) null;
alter table TRANSACTION_DETAIL
    add amount_charge_merchant decimal(38, 6) null;
alter table TRANSACTION_DETAIL
    add amount_charge_tcb decimal(38, 6) null;
create table TRANSACTION_LOYALTY
(
    id                     varchar(255)                        not null
        primary key,
    file_name              varchar(100)                        null,
    date_time              timestamp                           null,
    status_sync            varchar(50)                         null,
    message_log            text                                null,
    ref_no                 varchar(255)                        null,
    amount_total           decimal(38, 6)                      null,
    amount_charge_customer decimal(38, 6)                      null,
    amount_charge_merchant decimal(38, 6)                      null,
    amount_charge_tcb      decimal(38, 6)                      null,
    reference              varchar(255)                        null,
    booking_date           date                                null,
    created_date           timestamp default CURRENT_TIMESTAMP null,
    updated_date           timestamp                           null on update CURRENT_TIMESTAMP
) ENGINE=InnoDB DEFAULT CHARSET=utf8mb4 COLLATE=utf8mb4_unicode_ci;
create index index1
    on TRANSACTION_LOYALTY (status_sync, file_name, ref_no, created_date);
create index index2
    on TRANSACTION_LOYALTY (file_name);
create index index3
    on TRANSACTION_LOYALTY (ref_no);
create index index5
    on TRANSACTION_LOYALTY (status_sync, created_date);</t>
  </si>
  <si>
    <t>[OMC][MTP] Request chạy script golive 20/9</t>
  </si>
  <si>
    <t>2025-09-20T09:51:22.427+0700</t>
  </si>
  <si>
    <t>2025-09-20T09:51:26.108+0700</t>
  </si>
  <si>
    <t>Dear anh Dũng, Bên em có golive  sáng 20/9, nhờ anh chạy script sau vào sáng 20/9  ạ: ALTER TABLE store ADD COLUMN created_by VARCHAR(50) NULL;
ALTER TABLE store ADD COLUMN updated_by VARCHAR(50) NULL;
ALTER TABLE store MODIFY COLUMN status enum('ACTIVE','DRAFT','FAILED_OMMP','FAILED_LOYALTY_STORE','INVALID','SUSPEND') NOT NULL;
ALTER TABLE store ADD COLUMN ommp_store_code varchar(50) NULL;
ALTER TABLE store ADD COLUMN ommp_address_id  int NULL;
ALTER TABLE request ADD COLUMN store_apply json NULL;
INSERT INTO banners (code, description, image_url, cta, deeplink, background_color, status, priority, created_by, updated_by) VALUES
    ('STORE_SUGGEST_ADD_STORE', 'Bạn có %d cửa hàng mới chưa đăng ký tham gia chương trình', 'https://cdn-crm.vinid.net/merchant-loyalty/assets/im_100color_suggest_add_store.svg', 'Thiết lập cửa hàng', '/store', '{"bottom": "#F1C4BA", "top": "#F6E7E4"}', 'ACTIVE', 50, 'system', 'system');
ALTER TABLE contract ADD COLUMN business_line_code varchar(10) NULL;
ALTER TABLE contract ADD COLUMN business_type_code varchar(10) NULL;
ALTER TABLE contract ADD COLUMN sales_agent varchar(255) NULL; Thông tin database: URL:  omc-mtp-tidb.int.onemount.com:4000 Schema:  omc_merchant_loyalty</t>
  </si>
  <si>
    <t>2025-09-19T16:18:55.159+0700</t>
  </si>
  <si>
    <t>2025-09-19T16:19:07.989+0700</t>
  </si>
  <si>
    <t>[PROD] Request chạy script cho TiDB OMC</t>
  </si>
  <si>
    <t>2025-09-19T14:48:03.297+0700</t>
  </si>
  <si>
    <t>2025-09-19T14:55:05.443+0700</t>
  </si>
  <si>
    <t>Dear anh Dũng, Nhờ anh chạy giúp em script sau ạ: UPDATE merchant SET om_merchant_code = 'MCSALESFORCE02740902, om_merchant_subtype = 'MT' where tcb_merchant_code = 'NCCSNPVC'; Thông tin DB: URL:  omc-mtp-tidb.int.onemount.com:4000 Schema:  omc_merchant_loyalty</t>
  </si>
  <si>
    <t>[OMC][MCL] Hỗ trợ golive định kỳ dịch vụ Activation Center</t>
  </si>
  <si>
    <t>2025-09-19T10:23:37.986+0700</t>
  </si>
  <si>
    <t>2025-09-19T10:23:51.079+0700</t>
  </si>
  <si>
    <t>Dear anh  @Nguyễn Văn Dũng  , nhờ anh chạy giúp em script sau: -- DB: omc-mtp-tidb.int.onemount.com:4000
-- Schema: omc_mtp_martech_activation
CREATE TABLE omc_mtp_martech_activation.mtp_activation_applications (
  `id` bigint NOT NULL AUTO_INCREMENT,
  `app_id` varchar(128) COLLATE utf8mb4_unicode_ci NOT NULL,
  `project_id` varchar(128) COLLATE utf8mb4_unicode_ci NOT NULL,
  PRIMARY KEY (`id`) /*T![clustered_index] CLUSTERED */
) ENGINE=InnoDB DEFAULT CHARSET=utf8mb4 COLLATE=utf8mb4_unicode_ci AUTO_ID_CACHE=1;
INSERT INTO omc_mtp_martech_activation.mtp_activation_applications (app_id, project_id)
VALUES ('2d0ff68a-ab4a-45dd-8ec8-8a1ed9846f69', 'vinid-one');
-----------
-- DB: 172.31.4.192:3306
-- Schema: martech_notification_prod
CREATE TABLE martech_notification_prod.mpm_push_notification (
  `id` bigint NOT NULL AUTO_INCREMENT,
  `app_id` varchar(36) CHARACTER SET utf8mb4 COLLATE utf8mb4_general_ci NOT NULL,
  `message_id` varchar(36) CHARACTER SET utf8mb4 COLLATE utf8mb4_general_ci DEFAULT NULL,
  `category_id` bigint DEFAULT NULL,
  `timestamp` bigint NOT NULL,
  `message_data` text CHARACTER SET utf8mb4 COLLATE utf8mb4_general_ci NOT NULL,
  `user_id` varchar(50) CHARACTER SET utf8mb4 COLLATE utf8mb4_general_ci NOT NULL,
  `created_at` timestamp NULL DEFAULT CURRENT_TIMESTAMP,
  `read_at` timestamp NULL DEFAULT NULL,
  `deleted_at` timestamp NULL DEFAULT NULL,
  `updated_at` timestamp NULL DEFAULT CURRENT_TIMESTAMP ON UPDATE CURRENT_TIMESTAMP,
  `request_id` varchar(36) CHARACTER SET utf8mb4 COLLATE utf8mb4_general_ci DEFAULT NULL,
  `template_id` varchar(36) CHARACTER SET utf8mb4 COLLATE utf8mb4_general_ci DEFAULT NULL,
  `campaign_id` varchar(50) CHARACTER SET utf8mb4 COLLATE utf8mb4_general_ci DEFAULT NULL,
  `campaign_name` varchar(256) CHARACTER SET utf8mb4 COLLATE utf8mb4_general_ci DEFAULT NULL,
  `master_code` varchar(256) CHARACTER SET utf8mb4 COLLATE utf8mb4_general_ci DEFAULT NULL,
  `bu` int DEFAULT NULL,
  `data_source_id` int DEFAULT NULL,
  `es` varchar(48) CHARACTER SET utf8mb4 COLLATE utf8mb4_general_ci DEFAULT NULL,
  `template_name` varchar(128) CHARACTER SET utf8mb4 COLLATE utf8mb4_general_ci DEFAULT NULL,
  `client_name` varchar(128) CHARACTER SET utf8mb4 COLLATE utf8mb4_general_ci DEFAULT NULL,
  PRIMARY KEY (`id`),
  KEY `mpm_push_notification_fk1` (`app_id`),
  KEY `mpm_push_notification_fk2` (`category_id`),
  KEY `mpm_push_notification_user_id_idx` (`user_id`),
  CONSTRAINT `mpm_push_notification_fk1` FOREIGN KEY (`app_id`) REFERENCES `app_config` (`id`) ON DELETE RESTRICT ON UPDATE RESTRICT,
  CONSTRAINT `mpm_push_notification_fk2` FOREIGN KEY (`category_id`) REFERENCES `category` (`id`) ON DELETE RESTRICT ON UPDATE RESTRICT
) ENGINE=InnoDB DEFAULT CHARSET=utf8mb4 COLLATE=utf8mb4_general_ci AUTO_ID_CACHE=1; Best regards Dinh Quang Nguyen</t>
  </si>
  <si>
    <t>[OT][OMC][OMD] Danh sách các tasks thực hiện OT</t>
  </si>
  <si>
    <t>2025-09-18T18:04:58.352+0700</t>
  </si>
  <si>
    <t>2025-09-18T18:05:32.346+0700</t>
  </si>
  <si>
    <t>OMC, OMD</t>
  </si>
  <si>
    <t xml:space="preserve">  Update DB LitePOS OMS PROD   Hỗ trợ update script DB   [OMD] [LITE-POS-USER]  Update master data   [TMS] [Prod]  Execute sql migration script for Golive TMS Sprint LOG S92-S93 (17/09/2025)   [OMD] [WMS]  Hỗ trợ cập nhật dữ liệu trạng thái bản ghi Wave cho kho 8116</t>
  </si>
  <si>
    <t>[OMC][PS2][OneVoucher][PROD] update dữ liệu ở bảng ticket trên db voucher</t>
  </si>
  <si>
    <t>2025-09-18T17:47:33.484+0700</t>
  </si>
  <si>
    <t>2025-09-18T18:11:06.883+0700</t>
  </si>
  <si>
    <t>Nhờ Linh chạy hộ câu lệnh update này cho do Kh sử dụng Voucher với nhé update onevc_vsm_prod.ticket   set sale_history_id ='49821' where sale_code ='VD_VC_1757656179148' and claim_channel ='TCB' ;</t>
  </si>
  <si>
    <t>[Vinpay][NON-PROD] Đồng bộ giao dịch loyalty từ TCB về OMG, Trực golive cùng TCLife 20/09/2025</t>
  </si>
  <si>
    <t>2025-09-18T16:57:07.161+0700</t>
  </si>
  <si>
    <t>2025-09-18T16:57:11.239+0700</t>
  </si>
  <si>
    <t>Hi anh Nhờ anh chạy các script sau giúp em trên: Staging  vào  lúc ngay sau approve Thông tin database: Staging :  tidb.int.onemount.dev:4000/vinpay_saas_tpay_staging Em gửi query ạ alter table TRANSACTION_DETAIL
    add is_txn_loyalty tinyint(1) null;
alter table TRANSACTION_DETAIL
    add amount_charge_customer decimal(38, 6) null;
alter table TRANSACTION_DETAIL
    add amount_charge_merchant decimal(38, 6) null;
alter table TRANSACTION_DETAIL
    add amount_charge_tcb decimal(38, 6) null;
create table TRANSACTION_LOYALTY
(
    id                     varchar(255)                        not null
        primary key,
    file_name              varchar(100)                        null,
    date_time              timestamp                           null,
    status_sync            varchar(50)                         null,
    message_log            text                                null,
    ref_no                 varchar(255)                        null,
    amount_total           decimal(38, 6)                      null,
    amount_charge_customer decimal(38, 6)                      null,
    amount_charge_merchant decimal(38, 6)                      null,
    amount_charge_tcb      decimal(38, 6)                      null,
    reference              varchar(255)                        null,
    booking_date           date                                null,
    created_date           timestamp default CURRENT_TIMESTAMP null,
    updated_date           timestamp                           null on update CURRENT_TIMESTAMP
) ENGINE=InnoDB DEFAULT CHARSET=utf8mb4 COLLATE=utf8mb4_unicode_ci;
create index index1
    on TRANSACTION_LOYALTY (status_sync, file_name, ref_no, created_date);
create index index2
    on TRANSACTION_LOYALTY (file_name);
create index index3
    on TRANSACTION_LOYALTY (ref_no);
create index index5
    on TRANSACTION_LOYALTY (status_sync, created_date);</t>
  </si>
  <si>
    <t>[UPay] Hỗ trợ cập nhật cấu hình job đẩy file tự động</t>
  </si>
  <si>
    <t>2025-09-18T16:55:25.702+0700</t>
  </si>
  <si>
    <t>2025-09-18T16:55:37.516+0700</t>
  </si>
  <si>
    <t>Dear team DBA, Nhờ các anh chạy giúp em script bên dưới để update lại cấu hình job gửi file BCĐS tự động cho merchant Thông tin DB:  tidb.int.onemount.com:4000/vinidpay_reconciliation Script: UPDATE JOB_CONFIG SET HEADER = '{"X-Api-Key": "reconcile-report-api-key", "X-Api-Secret": "reconcile-report-api-secret_key"}' where id = '4004'</t>
  </si>
  <si>
    <t>[MCL][Audience &amp; Segmentation] Hỗ trợ golive dịch vụ Audience &amp; Segmentation</t>
  </si>
  <si>
    <t>2025-09-18T15:15:01.065+0700</t>
  </si>
  <si>
    <t>2025-09-18T15:15:20.684+0700</t>
  </si>
  <si>
    <t>Dear anh  @Nguyễn Văn Dũng  , tối nay team thực hiện golive định kỳ dịch vụ Audience &amp; Segmentation. Nhờ anh hỗ trợ team trong quá trình golive ạ. Thời gian dự kiến: 9h - 11h 15/09/2025 Best regards Dinh Quang Nguyen</t>
  </si>
  <si>
    <t xml:space="preserve">Hỗ trợ xuất dữ liệu Geo Area đối danh sách Zones tại TMS Tier1 </t>
  </si>
  <si>
    <t>2025-09-18T14:58:54.678+0700</t>
  </si>
  <si>
    <t>2025-09-18T15:15:25.920+0700</t>
  </si>
  <si>
    <t>TMS_TIer1</t>
  </si>
  <si>
    <t>Do nhu cầu nghiệp vụ cần cập nhật khu vực theo ĐVHC mới, anh hỗ trợ giúp em xuất theo query này để lấy dữ liệu này ạ  https://chat.google.com/room/AAAAv0SFK3E/6m0GQjYWSs0/6m0GQjYWSs0?cls=10 db: bytm_prod nstance:  https://vinid-team.atlassian.net/servicedesk/customer/portal/41/DBASD-8586 host: https://vinid-team.atlassian.net/servicedesk/customer/portal/41/DBASD-8586 db schema:  select z.zn_cd, z.zn_desc, z.ctry_cd, z.sta_cd , geo.city_name
    from bytm_crp.zn_t z 
        join bytm_crp.geo_area_t geo on z.zn_cd = geo.zn_cd 
    where z.ctry_cd = 'VNM'
    order by z.zn_cd asc 
;</t>
  </si>
  <si>
    <t>[OMC][TCB]V/v tuning performance queries trên merchant service TCB</t>
  </si>
  <si>
    <t>2025-09-18T12:30:02.262+0700</t>
  </si>
  <si>
    <t>2025-09-18T17:46:45.324+0700</t>
  </si>
  <si>
    <t>Các queries chậm: SELECT 
    COUNT(DISTINCT tpaytermin0_.id) AS col_0_0_
FROM
    tpay_terminal tpaytermin0_
        INNER JOIN
    tpay_store tpaystore1_ ON tpaytermin0_.store_code = tpaystore1_.code
        INNER JOIN
    tpay_branch tpaybranch2_ ON tpaystore1_.branch_id = tpaybranch2_.id
        INNER JOIN
    tpay_merchant mysqltpaym3_ ON tpaytermin0_.tcb_merchant_code = mysqltpaym3_.tcb_merchant_code
WHERE
    (tpaytermin0_.deleted_at IS NULL)
        AND (tpaystore1_.branch_id IN (298))
        AND mysqltpaym3_.sales_agent_email = 'hanhn@techcombank.com.vn';
SELECT 
    COUNT(DISTINCT tpaytermin0_.id) AS col_0_0_
FROM
    tpay_terminal tpaytermin0_
        INNER JOIN
    tpay_store tpaystore1_ ON tpaytermin0_.store_code = tpaystore1_.code
        INNER JOIN
    tpay_branch tpaybranch2_ ON tpaystore1_.branch_id = tpaybranch2_.id
WHERE
    (tpaytermin0_.deleted_at IS NULL)
        AND (tpaystore1_.branch_id IN (1 ,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t>
  </si>
  <si>
    <t>[OMC][MTP][PROD] Hỗ trợ insert dữ liệu</t>
  </si>
  <si>
    <t>2025-09-18T10:27:00.493+0700</t>
  </si>
  <si>
    <t>2025-09-18T10:35:21.783+0700</t>
  </si>
  <si>
    <t>mtp_noti</t>
  </si>
  <si>
    <t>Dear team, team em có nhu cầu bổ sung một vài record vào bảng category với các thông tin dưới đây. Nhờ team giúp đỡ với ạ. Thời gian chạy:  Nhờ team chạy luôn giúp em ạ. CR :  https://vinid-team.atlassian.net/browse/SH-66659 Database : {{172.31.4.192:3306 }}-  Schema :  martech_notification_prod Script : INSERT INTO martech_notification_prod.category
(name_vn, name_en, description_vn, status, created_at, created_by, updated_by, updated_at, description_en, code,
 icon_url, note)
VALUES ('Khẩn cấp', 'Urgent', null, 'ACTIVE', DEFAULT, null, null, DEFAULT, null, 'URGENT_14',
        'https://cdn-crm.vinid.net/martech/digital-asset/10/20250804/103040179_rsdttJOSFCRMNOckXx1n.png', null),
       ('Công việc', 'Task', null, 'ACTIVE', DEFAULT, null, null, DEFAULT, null, 'TASK_15',
        'https://cdn-crm.vinid.net/martech/digital-asset/10/20250804/103040193_HAKCKidNy2OVgGMt9lx5.png', null),
       ('Thông báo BQL', 'Workspace', null, 'ACTIVE', DEFAULT, null, null, DEFAULT, null, 'WORKSPACE_16',
        'https://cdn-crm.vinid.net/martech/digital-asset/10/20250804/103040165_IEL9aUGLo4WhY4eC0NnB.png', null); Thanks team,  Thành An.</t>
  </si>
  <si>
    <t>[OMD][WES] Hỗ trợ cập nhật dữ liệu trạng thái HO/TG</t>
  </si>
  <si>
    <t>2025-09-17T21:39:08.612+0700</t>
  </si>
  <si>
    <t>2025-09-17T21:49:27.344+0700</t>
  </si>
  <si>
    <t>Hi DBA team, Hiện tại có 1 số bản ghi trong Database bị lỗi không cập nhật trạng thái Yêu cầu soạn hàng (HO) và công việc soạn hàng (TG) tương ứng  Nguyên nhân Hệ thống WMS bị cao tải vào ngày 11/09 nên không thể cập nhật trạng thái WES Nhờ team DBA hỗ trợ cập nhật giá trị theo thông tin ngày 11/09. Project : vinid-b2b-platform-prod Instance/IP : main (read-write): 172.31.1.143 Port : 3306 Các câu query chạy lần lượt, bắt đầu thực hiện vào 21h30 ngày 17/09/2025 1. Kho 8115 Database : wes_8115 SELECT id into @hols_status_completed 
FROM host_order_line_status  
where code = 'COMPLETED' 
and dc_code = '8115';
SELECT id into @ho_status_completed 
FROM host_order_status 
where code = 'COMPLETED' 
and dc_code = '8115';
select UTC_TIMESTAMP into @utc_now;
UPDATE host_order AS h
JOIN host_order_line AS hol ON h.id = hol.host_order_id
JOIN work_task_info AS wti ON wti.host_order_line_id = hol.id
JOIN task AS t ON t.id = wti.task_id
JOIN (
    SELECT DISTINCT ho.id
    FROM host_order ho 
    JOIN host_order_status hos ON hos.id = ho.status_id
    WHERE ho.last_modified_date BETWEEN '2025-09-11 00:00:00' AND '2025-09-12 00:00:00'
      AND hos.code = 'FULFILLING' 
      AND hos.dc_code = '8115'
    UNION
    SELECT DISTINCT ho.id
    FROM host_order ho
    JOIN host_order_status hos ON hos.id = ho.status_id
    JOIN flat_host_order fho ON fho.order_id = ho.id
    WHERE ho.last_modified_date BETWEEN '2025-09-11 00:00:00' AND '2025-09-12 00:00:00'
      AND hos.code = 'COMPLETED'
      AND fho.status_code != 'COMPLETED'
      AND hos.dc_code = '8115'
) AS ids ON ids.id = h.id
SET
    h.status_id         = @ho_status_completed,
    hol.last_modified_date = @utc_now,
    hol.status_id       = @hols_status_completed ,
    hol.quantity_picked = hol.quantity_requested,
    t.last_modified_date = @utc_now; 2. Kho 8185 Database : wes_fm SELECT id into @hols_status_completed 
FROM host_order_line_status  
where code = 'COMPLETED' 
and dc_code = '8185';
SELECT id into @ho_status_completed 
FROM host_order_status 
where code = 'COMPLETED' 
and dc_code = '8185';
select UTC_TIMESTAMP into @utc_now;
UPDATE host_order AS h
JOIN host_order_line AS hol ON h.id = hol.host_order_id
JOIN work_task_info AS wti ON wti.host_order_line_id = hol.id
JOIN task AS t ON t.id = wti.task_id
JOIN (
    SELECT DISTINCT ho.id
    FROM host_order ho 
    JOIN host_order_status hos ON hos.id = ho.status_id
    WHERE ho.last_modified_date BETWEEN '2025-09-11 00:00:00' AND '2025-09-12 00:00:00'
      AND hos.code = 'FULFILLING' 
      AND hos.dc_code = '8185'
    UNION
    SELECT DISTINCT ho.id
    FROM host_order ho
    JOIN host_order_status hos ON hos.id = ho.status_id
    JOIN flat_host_order fho ON fho.order_id = ho.id
    WHERE ho.last_modified_date BETWEEN '2025-09-11 00:00:00' AND '2025-09-12 00:00:00'
      AND hos.code = 'COMPLETED'
      AND fho.status_code != 'COMPLETED'
      AND hos.dc_code = '8185'
) AS ids ON ids.id = h.id
SET
    h.status_id         = @ho_status_completed,
    hol.last_modified_date = @utc_now,
    hol.status_id       = @hols_status_completed ,
    hol.quantity_picked = hol.quantity_requested,
    t.last_modified_date = @utc_now; 3. Kho PHO04 Database : wes_thuanphong2 SELECT id into @hols_status_completed 
FROM host_order_line_status  
where code = 'COMPLETED' 
and dc_code = 'PHO04';
SELECT id into @ho_status_completed 
FROM host_order_status 
where code = 'COMPLETED' 
and dc_code = 'PHO04';
select UTC_TIMESTAMP into @utc_now;
UPDATE host_order AS h
JOIN host_order_line AS hol ON h.id = hol.host_order_id
JOIN work_task_info AS wti ON wti.host_order_line_id = hol.id
JOIN task AS t ON t.id = wti.task_id
JOIN (
    SELECT DISTINCT ho.id
    FROM host_order ho 
    JOIN host_order_status hos ON hos.id = ho.status_id
    WHERE ho.last_modified_date BETWEEN '2025-09-11 00:00:00' AND '2025-09-12 00:00:00'
      AND hos.code = 'FULFILLING' 
      AND hos.dc_code = 'PHO04'
    UNION
    SELECT DISTINCT ho.id
    FROM host_order ho
    JOIN host_order_status hos ON hos.id = ho.status_id
    JOIN flat_host_order fho ON fho.order_id = ho.id
    WHERE ho.last_modified_date BETWEEN '2025-09-11 00:00:00' AND '2025-09-12 00:00:00'
      AND hos.code = 'COMPLETED'
      AND fho.status_code != 'COMPLETED'
      AND hos.dc_code = 'PHO04'
) AS ids ON ids.id = h.id
SET
    h.status_id         = @ho_status_completed,
    hol.last_modified_date = @utc_now,
    hol.status_id       = @hols_status_completed ,
    hol.quantity_picked = hol.quantity_requested,
    t.last_modified_date = @utc_now; Các câu query đánh giá là an toàn nên có thể thực hiện cập nhật bất kỳ lúc nào mà không ảnh hưởng đến vận hành hệ thống.</t>
  </si>
  <si>
    <t>[OMD][WMS] Hỗ trợ cập nhật dữ liệu trạng thái bản ghi Wave cho kho 8116</t>
  </si>
  <si>
    <t>2025-09-17T21:38:07.687+0700</t>
  </si>
  <si>
    <t>2025-09-17T21:43:00.256+0700</t>
  </si>
  <si>
    <t>Hi DBA team, Hiện tại có 1 số bản ghi trong Database bị lỗi không cập nhật trạng thái Wave tương ứng, nhờ team DBA hỗ trợ cập nhật giá trị theo thông tin dưới đây. Project : vinid-b2b-platform-prod Instance/IP : main (read-write): 172.31.4.59 Port : 3306 Database : omd_wms_8116 Query update wave_order_header w 
set w.status = 'SHIPPED'
where w.id = 2086; Câu query đánh giá là an toàn nên có thể thực hiện cập nhật bất kỳ lúc nào mà không ảnh hưởng đến vận hành hệ thống. Các câu query chạy lần lượt, bắt đầu thực hiện vào 21h30 ngày 17/09/2025</t>
  </si>
  <si>
    <t>[OMD][LITE-POS-USER] Update master data</t>
  </si>
  <si>
    <t>2025-09-17T21:36:39.628+0700</t>
  </si>
  <si>
    <t>2025-09-17T22:20:13.005+0700</t>
  </si>
  <si>
    <t>Hi Team, Nhờ team chạy giúp câu lệnh sau để update type của table chứa master data ALTER TABLE `CustomerUnit` 
CHANGE COLUMN `area` `area` VARCHAR(100) NULL DEFAULT NULL ; Thời gian chạy trước khi thực hiện deploy, giờ cụ thể liên hệ  QuangPH@onemount.com Thông tin DB: gcp project: omd-pos-prod instance: omd-pos-commerce (172.31.1.6) DB Name: litepos_user_prod Thank Team!</t>
  </si>
  <si>
    <t>Hỗ trợ update script DB</t>
  </si>
  <si>
    <t>2025-09-17T21:35:50.675+0700</t>
  </si>
  <si>
    <t>2025-09-17T22:31:52.057+0700</t>
  </si>
  <si>
    <t>Hi các anh, bên em có nhu cầu update dữ liệu cho 1 bảng trên PROD phục vụ biz. Nhờ các anh support chạy giúp team lần lượt 3 câu script trên ạ Update Stock set available = 0 where available is null;
Update Stock set negativeStock = true;
Update Stock as s set s.warehouseCode = (select w.code from Warehouse w where w.id = s.warehouse_id),
                      s.merchantCode = (select m.code from Merchant m where m.id = (select w.merchant_id from Warehouse w where w.id = s.warehouse_id)),
                      s.baseStoreCode = (select b.storeKey from BaseStore as b where b.id = s.baseStore_id),
                      s.offerCode = (select o.code from Offer as o where o.id = s.offer_id);</t>
  </si>
  <si>
    <t>Update DB LitePOS OMS PROD</t>
  </si>
  <si>
    <t>2025-09-17T21:34:46.964+0700</t>
  </si>
  <si>
    <t>2025-09-17T22:37:31.302+0700</t>
  </si>
  <si>
    <t>Nhờ anh sau khi deploy hệ thống litepos tối nay 17/9 (khoảng 23h) chạy giúp e câu SQL sau ạ UPDATE `BusinessDeclarationForm`
	SET `borderMarketBusiness` = CASE
		WHEN `borderMarketBusiness` = 'true' THEN '1'
		WHEN `borderMarketBusiness` = 'false' THEN '0'
	END;
	ALTER TABLE `BusinessDeclarationForm` MODIFY COLUMN `borderMarketBusiness` BIT; Thông tin DB: gcp project: omd-pos-prod
instance: omd-pos-commerce (IP: 172.31.1.6)
DB: litepos_oms_prod E cảm ơn</t>
  </si>
  <si>
    <t xml:space="preserve">Hỗ trợ kéo dữ liệu SCC về ODS </t>
  </si>
  <si>
    <t>2025-09-17T15:20:52.145+0700</t>
  </si>
  <si>
    <t>2025-09-25T10:30:30.792+0700</t>
  </si>
  <si>
    <t>SCC</t>
  </si>
  <si>
    <t>Mục đích : Phục vụ cho việc truy vấn dữ liệu của module SCC (Supply Chain Management) và xây dựng báo cáo (nếu có) Chi tiết yêu cầu: Môi trường PROD, Non-PROD Schema Tạo mới schema mới Tables Toàn bộ table của SCC tại link Source data: PROD dbname: sccollab_prod
host: 172.31.1.143 Non-PROD: dbname:sccollab_qc
host: vep-mysql-master.int.vinid.dev Em gửi nhé anh  @Trần Trương Dương</t>
  </si>
  <si>
    <t>[TMS][Prod] Execute sql migration script for Golive TMS Sprint LOG S92-S93 (17/09/2025)</t>
  </si>
  <si>
    <t>2025-09-17T14:40:33.571+0700</t>
  </si>
  <si>
    <t>2025-09-17T22:21:22.015+0700</t>
  </si>
  <si>
    <t>Nhờ team thực hiện migration sql cho các database sau: Thực hiện trước 22h ngày 17/09/2025 Database  bytm_prod  (Oracle instance on GCE oracle-primary (Private IP: 10.255.24.170) (see attachments) (theo thứ tự) tms_S92_oracle.sql Databasse:  omd_tms_planning_prod (SQL instance tms-mysql-01 (Private IP: 172.31.4.129)  https://console.cloud.google.com/sql/instances/tms-mysql-01/overview?project=onedc-tms-prod ): tms_S93_mysql.sql</t>
  </si>
  <si>
    <t>[Saitama] Release 15/09/2025</t>
  </si>
  <si>
    <t>2025-09-17T12:50:28.185+0700</t>
  </si>
  <si>
    <t>2025-09-17T12:50:36.227+0700</t>
  </si>
  <si>
    <t>Hi a  @Nguyễn Văn Dũng  nhờ a chạy script theo mô tả  dưới đây ở môi trường PRODUCTION theo thông tin dưới đây ạ: Thời gian chạy script: Vào lúc  23h00p ngày 15/09/2025   - Khi team thông báo Thông tin database saas_tpay:  pay-tidb.int.onemount.com:4000/saas_tpay CR Ticket:    Script files: Tạo bảng backup data:  20250915_backup.sql Xóa/Cập nhập data:  20250915_other.sql</t>
  </si>
  <si>
    <t>[GAMI][PS2][Prod] Hỗ trợ xuất data report chi tiết vé tuần W20 phục vụ đối soát TCB</t>
  </si>
  <si>
    <t>2025-09-17T09:56:44.377+0700</t>
  </si>
  <si>
    <t>2025-09-22T10:37:19.854+0700</t>
  </si>
  <si>
    <t>Hỗ trợ xuất data report chi tiết vé tuần W20 phục vụ đối soát TCB Host:  172.31.4.75 Db:  promo_gamezone Query: SELECT customer_id, SUM(claim_amount) FROM `rule_logs` WHERE campaign_id = 57 &amp;&amp; reward_type='TURN' &amp;&amp; status IN('SUCCESS', 'PARTIAL_SUCCESS') GROUP BY customer_id;</t>
  </si>
  <si>
    <t>[OMC][MTP][PROD] Hỗ trợ insert dữ liệu - Merchant Loyalty</t>
  </si>
  <si>
    <t>2025-09-16T17:42:05.517+0700</t>
  </si>
  <si>
    <t>2025-09-16T17:46:33.352+0700</t>
  </si>
  <si>
    <t>MCL, MTP</t>
  </si>
  <si>
    <t>Dear team, team em có nhu cầu insert dữ liệu mới vào TIDB với các thông tin dưới đây. Nhờ team giúp đỡ ạ. Thời gian : Nhờ team chạy luôn giúp em ạ. Database :  tidb.int.onemount.com:4000  ( Schema :  omc_merchant_loyalty ) Script : INSERT INTO omc_merchant_loyalty.merchant (merchant_id, merchant_code, merchant_type, merchant_sector, status,
                                               om_merchant_code, tcb_merchant_code, merchant_cif, trade_name,
                                               trade_name_english, legal_name, short_name, logo_url, qr_display_name,
                                               phone_number, address, business_license, legal_representatives,
                                               contact_info, walk_through_staffs,
                                               om_merchant_subtype, banks)
VALUES ('NCCM97V4', 'NCCM97V4', 'INDIVIDUAL', 4030, 'ACTIVE', null, '74900496', '74900496', 'HKD RIZA CÀ PHÊ', 'HKD RIZA CA PHE',
        null, 'RIZA CÀ PHÊ', null, null, null,
        '{
          "area": "MIEN BAC",
          "district_code": "00082",
          "district_name": "Cửa Nam",
          "province_code": "01",
          "province_name": "Hà Nội",
          "street": "21 HẠ HỒI",
          "ward_code": "00082",
          "ward_name": "Cửa Nam"
        }',
        '{
          "license_number": "001203014804"
        }',
        '[
          {
            "email": "minhcon456@gmail.com",
            "full_name": "NGUYEN DUC MINH",
            "id": "3219188986596683664",
            "identity_number": "001203014804",
            "identity_number_issue_agency": "CỤC TRƯỞNG CCS",
            "identity_number_issue_date": 1619827500000,
            "main": true,
            "phone": "0385806260"
          }
        ]',
        '{
          "email": "minhcon456@gmail.com",
          "full_name": "NGUYEN DUC MINH",
          "phone": "0385806260"
        }', '[]',
        null,
        '[
          {
            "account_holder": "NGUYEN DUC MINH",
            "account_number": "19074900496014",
            "branch": "NGAN HANG KY THUONG (TECHCOMBANK)",
            "id": "12878918967516478287",
            "name": "Ngân hàng TMCP Kỹ Thương Việt Nam"
          }
        ]'); Thanks, Thành An.</t>
  </si>
  <si>
    <t>[OMC][GAMI][PS2][Prod] Hỗ trợ xuất data report cho campaign Spin to Win tuần 20</t>
  </si>
  <si>
    <t>2025-09-16T17:41:31.661+0700</t>
  </si>
  <si>
    <t>2025-09-22T10:37:17.865+0700</t>
  </si>
  <si>
    <t>Hỗ trợ xuất data report cho campaign Spin to Win tuần 20 Host:  172.31.4.75 Db:  promo_gamezone Query: SELECT SUM(claim_amount) FROM `rule_logs` WHERE campaign_id = 57 &amp;&amp; reward_type='TURN' &amp;&amp; `status` IN('SUCCESS', 'PARTIAL_SUCCESS');
SELECT COUNT(DISTINCT(user_id)) FROM `rule_logs` WHERE campaign_id = 57 &amp;&amp; reward_type='TURN' &amp;&amp; `status` IN('SUCCESS', 'PARTIAL_SUCCESS');</t>
  </si>
  <si>
    <t>[OM][NON-PROD] Import lại data vào database om_website_uat_test cho OM website CMS test</t>
  </si>
  <si>
    <t>2025-09-16T15:08:26.139+0700</t>
  </si>
  <si>
    <t>2025-09-16T16:34:21.597+0700</t>
  </si>
  <si>
    <t>2025-09-16T12:38:14.561+0700</t>
  </si>
  <si>
    <t>2025-09-16T12:38:20.621+0700</t>
  </si>
  <si>
    <t>Dear anh  @Nguyễn Văn Dũng  , nhờ anh chạy giúp em script sau với ạ. DB:  172.31.3.49:5432 Schema:  mtp_audience_management INSERT INTO mtp_audience_management.segments (type, status, description, hash, level_1, level_2, level_3, level_4, segment_config,
                      data_source_id)
VALUES ('STANDARD', 'ACTIVE', 'Người dùng liên kết tài khoản hôm qua',
        '9d1a4f5e28c0b47fa6d9f1d3b785b27cc2015e0f9a8c63e1d2f5483ea6d977a2',
        'Hành vi liên kết tài khoản OneU &amp; TCB Rewards',
        'Thời gian kể từ khi liên kết tài khoản', 'Liên kết tài khoản hôm qua',
        '', '{
  "AND": [
    {
      "AND": [
        {
          "label_code": "hv_tt_link_acc_days",
          "operator": "&gt;",
          "value_expr": "CURRENT_DATE - INTERVAL 1 DAY"
        }
      ]
    }
  ]
}', 2),
       ('STANDARD', 'ACTIVE', 'Người dùng liên kết tài khoản trong 3 ngày gần đây',
        'b4f90238c9e1f8d02f7b91349ae45a9fd173a2d0988f5a74e631cb15ad2e8c0f',
        'Hành vi liên kết tài khoản OneU &amp; TCB Rewards',
        'Thời gian kể từ khi liên kết tài khoản', 'Liên kết tài khoản trong 3 ngày gần đây',
        '', '{
  "AND": [
    {
      "AND": [
        {
          "label_code": "hv_tt_link_acc_days",
          "operator": "&gt;",
          "value_expr": "CURRENT_DATE - INTERVAL 3 DAY"
        }
      ]
    }
  ]
}', 2),
       ('STANDARD', 'ACTIVE', 'Người dùng liên kết tài khoản trong 5 ngày gần đây',
        'a8f6d439b1c9e45e7a54f7d9a36b0172c54f8e32b9c4e7d0a1d56b789b934f60',
        'Hành vi liên kết tài khoản OneU &amp; TCB Rewards',
        'Thời gian kể từ khi liên kết tài khoản', 'Liên kết tài khoản trong 5 ngày gần đây',
        '', '{
  "AND": [
    {
      "AND": [
        {
          "label_code": "hv_tt_link_acc_days",
          "operator": "&gt;",
          "value_expr": "CURRENT_DATE - INTERVAL 5 DAY"
        }
      ]
    }
  ]
}', 2),
       ('STANDARD', 'ACTIVE', 'Người dùng liên kết tài khoản trong 7 ngày gần đây',
        'e25c9b7fa17d6e50c83d2f91b2b47f8a61c05b93de73f42659a8fbbac5b734d1',
        'Hành vi liên kết tài khoản OneU &amp; TCB Rewards',
        'Thời gian kể từ khi liên kết tài khoản', 'Liên kết tài khoản trong 7 ngày gần đây',
        '', '{
  "AND": [
    {
      "AND": [
        {
          "label_code": "hv_tt_link_acc_days",
          "operator": "&gt;",
          "value_expr": "CURRENT_DATE - INTERVAL 7 DAY"
        }
      ]
    }
  ]
}', 2),
       ('STANDARD', 'ACTIVE', 'Người dùng liên kết tài khoản trong 10 ngày gần đây',
        'c49d7a9f01e284cf82b90e6da6f52948fd07b92cf6c81d74e25fa3b6de88c5e4',
        'Hành vi liên kết tài khoản OneU &amp; TCB Rewards',
        'Thời gian kể từ khi liên kết tài khoản', 'Liên kết tài khoản trong 10 ngày gần đây',
        '', '{
  "AND": [
    {
      "AND": [
        {
          "label_code": "hv_tt_link_acc_days",
          "operator": "&gt;",
          "value_expr": "CURRENT_DATE - INTERVAL 10 DAY"
        }
      ]
    }
  ]
}', 2),
       ('STANDARD', 'ACTIVE', 'Người dùng liên kết tài khoản trong 14 ngày gần đây',
        '7a0d51f2c398e4a1f59c7d0b36e924d6f8a21b0c5f94e72a3d08b5cf28a16e9f',
        'Hành vi liên kết tài khoản OneU &amp; TCB Rewards',
        'Thời gian kể từ khi liên kết tài khoản', 'Liên kết tài khoản trong 14 ngày gần đây',
        '', '{
  "AND": [
    {
      "AND": [
        {
          "label_code": "hv_tt_link_acc_days",
          "operator": "&gt;",
          "value_expr": "CURRENT_DATE - INTERVAL 14 DAY"
        }
      ]
    }
  ]
}', 2),
       ('STANDARD', 'ACTIVE', 'Người dùng liên kết tài khoản trong 30 ngày gần đây',
        'd2f97e64a8c1b4f3c7a5e9d01f28b9c6a1d4f73e8c02b59d14e6a0f7c3b98152',
        'Hành vi liên kết tài khoản OneU &amp; TCB Rewards',
        'Thời gian kể từ khi liên kết tài khoản', 'Liên kết tài khoản trong 30 ngày gần đây',
        '', '{
  "AND": [
    {
      "AND": [
        {
          "label_code": "hv_tt_link_acc_days",
          "operator": "&gt;",
          "value_expr": "CURRENT_DATE - INTERVAL 30 DAY"
        }
      ]
    }
  ]
}', 2)
; Best regards Dinh Quang Nguyen</t>
  </si>
  <si>
    <t>[OMC][GAMI][PS2][Prod] Hỗ trợ xuất data report cho campaign Spin to Win tuần 21</t>
  </si>
  <si>
    <t>2025-09-16T12:35:57.953+0700</t>
  </si>
  <si>
    <t>2025-09-22T10:37:15.564+0700</t>
  </si>
  <si>
    <t>Hỗ trợ xuất data report cho campaign Spin to Win tuần 21 Host:  172.31.4.75 Db:  promo_gamezone Query: SELECT SUM(claim_amount) FROM `rule_logs` WHERE campaign_id = 58 &amp;&amp; reward_type='TURN' &amp;&amp; `status` = 'SUCCESS';
SELECT COUNT(DISTINCT(user_id)) FROM `rule_logs` WHERE campaign_id = 58 &amp;&amp; reward_type='TURN' &amp;&amp; `status` = 'SUCCESS';</t>
  </si>
  <si>
    <t>[OMD CDP][Prod] Tạo mới bảng DP_RTM_SA_TRIP_RECOMMENDATION</t>
  </si>
  <si>
    <t>2025-09-16T10:04:20.257+0700</t>
  </si>
  <si>
    <t>2025-09-16T12:05:56.212+0700</t>
  </si>
  <si>
    <t>Để phục vụ việc phát triển OMD CDP trên môi trường prod (theo ticket  https://vinid-team.atlassian.net/browse/DWHV2-11942 ), nhờ team hỗ trợ tạo giúp em trên TiDb  omd-tidb.int.onemount.com:4000 : Database: omd_cdp_data_from_dp Review script và tạo bảng dữ liệu  omd_cdp_data_from_dp.DP_RTM_SA_TRIP_RECOMMENDATION : Dự kiến insert trong lần đầu chạy: ~111K bản ghi Script: create table if not exists omd_cdp_data_from_dp.DP_RTM_SA_TRIP_RECOMMENDATION (
    `gt_code` varchar(19),
    `recommend_date` timestamp,
    `recommend_month` varchar(10),
    `dp_created_at` timestamp,
    `data_sync_ts` timestamp,
    primary key (`gt_code`, `recommend_date`)
)
PARTITION BY RANGE COLUMNS(`recommend_month`)
INTERVAL (1 MONTH) FIRST PARTITION LESS THAN ('2025-09-01') LAST PARTITION LESS THAN ('2027-01-01'); Em cảm ơn team ạ!</t>
  </si>
  <si>
    <t>Hỗ trợ tạo dữ liệu mở mới kho MAG_05 (TGC)</t>
  </si>
  <si>
    <t>2025-09-16T02:14:41.827+0700</t>
  </si>
  <si>
    <t>2025-09-16T02:25:31.697+0700</t>
  </si>
  <si>
    <t>Hi DBA team,  Hiện tại nghiệp vụ có nhu cầu mở mới kho MES_2D_026 - Bảo Khang,  nhờ team DBA hỗ trợ cập nhật giá trị theo thông tin dưới đây   Cụm WMS Project : vinid-b2b-platform-prod Instance/IP : main (read-write): 172.31.4.59 Port : 3306 Database : omd_wms_core Script : file  omd_wms_core_mag05.sql  trong file đính kèm Cum WES Project : vinid-b2b-platform-prod Instance/IP : main (read-write): 172.31.1.143 Port : 3306 Database : wes_master Script : file  wes_master_mag05.sql  trong file đính kèm Câu query đánh giá là có thể ảnh hưởng đến vận hành hệ thống nên mong muốn chạy vào thời gian vận hành thấp điểm (từ 21h30-22h).</t>
  </si>
  <si>
    <t>Hỗ trợ tạo dữ liệu mở mới kho MAG_06 (TRV)</t>
  </si>
  <si>
    <t>2025-09-16T02:14:32.749+0700</t>
  </si>
  <si>
    <t>2025-09-16T02:22:20.469+0700</t>
  </si>
  <si>
    <t>Hi DBA team,  Hiện tại nghiệp vụ có nhu cầu mở mới kho MAG_06 (TRV),  nhờ team DBA hỗ trợ cập nhật giá trị theo thông tin dưới đây   Cụm WMS Project : vinid-b2b-platform-prod Instance/IP : main (read-write): 172.31.4.59 Port : 3306 Database : omd_wms_core Script : file  omd_wms_core_mag06.sql  trong file đính kèm Cum WES Project : vinid-b2b-platform-prod Instance/IP : main (read-write): 172.31.1.143 Port : 3306 Database : wes_master Script : file  wes_master_mag06.sql  trong file đính kèm Câu query đánh giá là có thể ảnh hưởng đến vận hành hệ thống nên mong muốn chạy vào thời gian vận hành thấp điểm (từ 21h30-22h).</t>
  </si>
  <si>
    <t>2025-09-15T17:24:44.397+0700</t>
  </si>
  <si>
    <t>2025-09-15T17:34:48.687+0700</t>
  </si>
  <si>
    <t>Repo:  https://gitlab.id.vin/1housing/cbp/apply/backend/campaign SAD:    Em chào anh chị, Anh chị tạo giúp em schema cho môi trường non-prod cho service này giúp em với ạ. Tên schema: omre_cbp_campaign_uat omre_cbp_campaign_qc name:  omre-cbp-mysql8  IP: 172.31.0.67 project: omre-cobroker-np DNS:  omre-cobroker-np--omre-cbp-mysql8.cloudsql.int .</t>
  </si>
  <si>
    <t>CLONE - [OMRE][NONPROD] Request tạo schema cho dự án CBP</t>
  </si>
  <si>
    <t>2025-09-15T17:13:40.597+0700</t>
  </si>
  <si>
    <t>2025-09-15T17:35:22.643+0700</t>
  </si>
  <si>
    <t>[Merchant-OM][CMS] Hỗ trợ clone &amp; migrate dữ liệu</t>
  </si>
  <si>
    <t>2025-09-15T16:07:38.490+0700</t>
  </si>
  <si>
    <t>2025-09-16T17:16:11.463+0700</t>
  </si>
  <si>
    <t>cms-service</t>
  </si>
  <si>
    <t xml:space="preserve">Để hoàn thành đầu việc rebranding VinShop thành OneShop. Team cần hỗ trợ clone &amp; migrate dữ liệu một số workspace của module CMS như sau: Source collection Target Collection Website  https://beta.oneshop.vn vinshop-seo one_shop_web App VinShop vinshop one_shop Tracking app VinShop vinshop_events one_shop_events Scripts để thực hiện trao đổi trực tiếp với Dev Các step thực hiện chung tại đây   </t>
  </si>
  <si>
    <t>[Merchant-TCB] Hỗ trợ cải thiện performance bảng tpay_request_merchant</t>
  </si>
  <si>
    <t>2025-09-15T15:47:58.073+0700</t>
  </si>
  <si>
    <t>2025-09-15T17:50:12.548+0700</t>
  </si>
  <si>
    <t>Dear team, Do bảng  tpay_request_merchant  có nhiều dữ liệu. User thực hiện trên OPS nhưng không có filter (listing all) nên gây cao tải database Nhờ team hỗ trợ đánh index phù hợp để cải thiện câu query tương ứng bên dưới ạ. Thông tin database https://console.cloud.google.com/sql/instances/merchant-tcb/overview?inv=1&amp;invt=AbsndA&amp;project=vinid-merchant-prod DB_MYSQL_HOST=172.31.4.108
DB_MYSQL_DATABASE=merchant_service_tcb Câu lệnh SELECT 
    COUNT(tpayreques0_.id) AS col_0_0_
FROM
    tpay_request_merchant tpayreques0_
        LEFT OUTER JOIN
    tpay_branch tpaybranch1_ ON tpayreques0_.branch_id = tpaybranch1_.id
WHERE
    1 = 1 AND 1 = 1
        AND (tpaybranch1_.code IN ('TAK'));
/*# id    select_type    table    partitions    type    possible_keys    key    key_len    ref    rows    filtered    Extra
1    SIMPLE    tpaybranch1_        ref    PRIMARY,idx_tpay_branch_code    idx_tpay_branch_code    1023    const    1    100.00    Using index
1    SIMPLE    tpayreques0_        ALL                    2411175    10.00    Using where; Using join buffer (hash join)
*/</t>
  </si>
  <si>
    <t>[OMRE][CBP] Migrate data mysql, mongo từ hạ tầng k8s lên hạ tầng chung của tập đoàn</t>
  </si>
  <si>
    <t>2025-09-15T11:59:59.225+0700</t>
  </si>
  <si>
    <t>2025-09-16T09:17:42.974+0700</t>
  </si>
  <si>
    <t>Hi team, để đảm bảo: DB quy chuẩn về chung 1 nơi, để đảm bảo độ ổn định của DB, có backup , restore, theo dõi performance... Thuận tiện quá trình tích hợp, cấu hình với các bên liên quan khác. Nhờ team hỗ trợ migrate data từ hạ tầng db trên k8s (bao gồm mysql, mongo) sang sử dụng hạ tầng CloudSQL, Mongo VM Với Mysql , nhờ các anh thực hiện migrate giúp em các schema với thông tin như dưới: source: 10.255.139.89 (user/password đã gửi riêng cho team DBA) dest:  omre-cbp-mysql8  - 172.31.0.67 password tất cả các user  giống nhau  (môi trường qc sẽ  dùng chung  một password) No Service name Schema User 1 activity omre_cbp_activity_qc omre_cbp_activity_qc omre_cbp_activity_read_qc (user read-only) 2 agent-core omre_cbp_agent_core_qc omre_cbp_agent_core_qc 3 audit-log omre_cbp_audit_log_qc omre_cbp_audit_log_qc 4 calendar omre_cbp_calendar_qc omre_cbp_calendar_qc omre_cbp_calendar_read_qc (user read-only) 5 collab omre_cbp_collab_qc omre_cbp_collab_qc omre_cbp_collab_read_qc (user read-only) 6 listing omre_cbp_listing_qc omre_cbp_listing_qc 7 partner-gateway omre_cbp_partner_gateway_qc omre_cbp_partner_gateway_qc 8 raa-service omre_cbp_raa_service_qc omre_cbp_raa_service_qc 9 reference-data omre_cbp_reference_data_qc omre_cbp_reference_data_qc 10 transaction omre_cbp_transaction_qc omre_cbp_transaction_qc 11 cloud-configuration omre_cbp_cloud_configuration_qc omre_cbp_cloud_configuration_qc 12 virtual-tour omre_cbp_virtual_tour_qc omre_cbp_virtual_tour_qc 13 document-service omre_cbp_document_service_qc omre_cbp_document_service_qc Với Mongo source: 10.255.139.103 dest: VM Mongo dùng chung của tập đoàn schema cần migrate: omre_cbp_listing_qc Thời điểm thực hiện em sẽ báo lại với team sau, em cảm ơn!</t>
  </si>
  <si>
    <t>[OMRE][CBP][nonPROD] Migrate mongoDB omre_cbp_listing_qc từ k8s về mongo nonprod dùng chung OM</t>
  </si>
  <si>
    <t>2025-09-15T11:51:53.377+0700</t>
  </si>
  <si>
    <t>2025-09-15T14:31:15.916+0700</t>
  </si>
  <si>
    <t>Team dự án cần thực hiện: Migrate mongoDB omre_cbp_listing_qc từ k8s về mongo nonprod dùng chung OM   source: 10.255.139.103 dest: VM Mongo dùng chung của tập đoàn schema cần migrate: omre_cbp_listing_qc</t>
  </si>
  <si>
    <t>[PROD] Remove instance database vinmart IP  172.31.1.119</t>
  </si>
  <si>
    <t>2025-09-15T10:19:53.614+0700</t>
  </si>
  <si>
    <t>2025-09-23T09:38:00.043+0700</t>
  </si>
  <si>
    <t xml:space="preserve">Off instance database vinmart Dump data của database vincart_napas_gateway và vincart_service instance db vinmart  zip data lại  upload lên gcs ( chỉ truy xuất khi có yêu cầu )  https://console.cloud.google.com/storage/browser/omc-db-backup-prod/DBASD-8556?invt=Abt9cw&amp;project=om-common-db-prod&amp;pageState=("StorageObjectListTable" 😞 "f":"%255B%255D")) CR:   </t>
  </si>
  <si>
    <t>[VINPAY][PROD] Cấu hình bộ thông tin QR247 cho merchant TCS</t>
  </si>
  <si>
    <t>2025-09-15T10:17:04.096+0700</t>
  </si>
  <si>
    <t>2025-09-15T10:17:39.748+0700</t>
  </si>
  <si>
    <t>Dear team DBA, Team dự án có các cấu hình QR247 cho khách hàng TCS, nhờ các anh chạy các script theo thông tin bên dưới giúp em ạ Thông tin DB:  pay-tidb.int.onemount.com:4000/saas_tpay INSERT INTO PARTNER (client_id, name, public_key, enable, merchant_code)
VALUES ('AGJEHnWBkdkltwVFVzMpYCgzPnfNjnfd', 'TCS', '-----BEGIN PUBLIC KEY-----
MIIBIjANBgkqhkiG9w0BAQEFAAOCAQ8AMIIBCgKCAQEArIyRnzXMh5ydlf3hmffC
lYJ4Lci+YyvQAa5rKGGwRpQkRcOlJSaBtnXidfSxHkYJ2XqSOQZnCvcIKQe4EL8s
qp8oB05BsyNRK0n8AfOUQcN/WxHMeV0IRey3wfwQm2gIdfuGXgNZCitCDptqizQq
eoC2iWOo3WVkHvxnmEalvHT07wQ2yOGQHM1UlY9ON46HA6QtNWwiiuhFdWV5UiZl
8Pz5icxJOz5z0o+s8/iTmzjPjUVbh0pcGw6/XUQv1W6F8WjPrhjh3nKogh1Up7kx
PSHayAbTemxTpBXctZCKmxWyXEBrbKaGtyF37k3ueGr5IBOriUPJcsgILSk4Ap/2
jQIDAQAB
-----END PUBLIC KEY-----
', 1, 'TCS');</t>
  </si>
  <si>
    <t>Kết nối data CDP đến Superset analytics.int.vinshop.vn</t>
  </si>
  <si>
    <t>2025-09-15T09:16:31.145+0700</t>
  </si>
  <si>
    <t>2025-09-15T09:17:27.485+0700</t>
  </si>
  <si>
    <t>Dear anh  @Trần Trương Dương   cc anh  @Chu Văn Châu   Nhằm phục vụ dự án CDP, xây dựng query cho các tiêu chí. Nhờ a kết nối các bảng của CDP về Superset INT giúp e query Dữ liệu ở: Ưu tiên 1:  "tidb_omd"."omd_cdp_data_from_dp"   Ưu tiên 2:  "tidb_omd"."omd_cdp_data_from_ingest" Superset này:  https://analytics.int.vinshop.vn/databaseview/list   (Hiện tại chỉ select được vài bảng như ảnh đính kèm thôi) E cảm ơn , NA</t>
  </si>
  <si>
    <t>[OMC][GAMI][PROD] Hỗ trợ clear data toàn bộ trên Redis</t>
  </si>
  <si>
    <t>2025-09-15T09:08:32.988+0700</t>
  </si>
  <si>
    <t>2025-09-15T09:08:40.744+0700</t>
  </si>
  <si>
    <t>Hiện tại anh em dev đang không set TTL vào các key của Redis, làm dung lượng đang phình to lên mức 4.2/5GB Nhờ anh em devops thực hiện xóa toàn bộ data trên Redis giúp team Hiện tại Redis chỉ là data phụ để tăng tốc độ xử lý, không có data thì sẽ thực hiện truy vấn vào DB Thông tin Redis:  https://console.cloud.google.com/memorystore/redis/locations/asia-east1/instances/promotion-main/details/overview?inv=1&amp;invt=Abs46Q&amp;project=vinid-loyalty-prod Anh  @Đỗ Viết Sơn  approve giúp em ticket</t>
  </si>
  <si>
    <t>Nâng cấp cấu hình Database Link Account phục vụ Chương trình campaign chạy hàng ngày cho tập NTB 12/09/2025 -&gt; 31/12/2025</t>
  </si>
  <si>
    <t>2025-09-14T19:49:57.775+0700</t>
  </si>
  <si>
    <t>2025-09-16T09:30:05.650+0700</t>
  </si>
  <si>
    <t>LinkAccount</t>
  </si>
  <si>
    <t>Để phục vụ Chương trình campaign chạy hàng ngày cho tập NTB 12/09/2025 -&gt; 31/12/2025, team có request nâng cấu hình Datatabse Link Account với cấu hình hàng ngày như sau: Project:  vinid-service-platform-prod Database:  Namespace: sp_postgres_link_account -  Project: vinid-service-platform-prod Instance: postgres-01 IP: 172.31.7.11 CPU:  4 CPUs - 8 GB RAM Thông tin Flash Sale:    Thread trao đổi: https://chat.google.com/room/AAAAOqZ92n0/t4zJsOkW0CI/t4zJsOkW0CI?cls=10 Thời gian thực hiện: 01:00 AM ngày 16/09/2025 Nhờ các anh review đánh giá giúp team nhé ạ Em cảm ơn ạ.</t>
  </si>
  <si>
    <t>[Saitama] Release 13/09/2025</t>
  </si>
  <si>
    <t>2025-09-14T13:05:40.971+0700</t>
  </si>
  <si>
    <t>2025-09-14T13:06:02.996+0700</t>
  </si>
  <si>
    <t>Hi a  @Nguyễn Văn Dũng  nhờ a chạy script theo mô tả  dưới đây ở môi trường PRODUCTION theo thông tin dưới đây ạ: Thời gian chạy script: Vào lúc  23h59p ngày 13/09/2025   - Khi team thông báo Thông tin database saas_tpay:  pay-tidb.int.onemount.com:4000/saas_tpay CR Ticket:    Script: -- Insert RLINK model
INSERT INTO TCB_DEVICE_MODEL
    (SERVICE, VENDOR_CODE, DEVICE_MODEL, DEVICE_PROVIDER_CODE, DEVICE_INFO, CREATED_AT, CREATED_BY, UPDATED_AT)
VALUES('SOUNDBOX', 'RLINK', 'Y66W', 'RLINK', null, CURRENT_TIMESTAMP, 'PB-26566', CURRENT_TIMESTAMP);
-- Update TCB_DEVICE_SOUNDBOX_MAPPING_SOURCE_MVP1: '38;ET380' -&gt; '38;ET380;Y66W'
UPDATE SYSTEM_CONFIGURATION
SET SYSTEM_PARAM_VALUE='38;ET380;Y66W'
WHERE SYSTEM_PARAM_CODE='TCB_DEVICE_SOUNDBOX_MAPPING_SOURCE_MVP1';</t>
  </si>
  <si>
    <t>[OMC][New Checkout] [PROD] Xóa cache trên redis</t>
  </si>
  <si>
    <t>2025-09-14T13:04:10.142+0700</t>
  </si>
  <si>
    <t>2025-09-14T13:04:42.741+0700</t>
  </si>
  <si>
    <t xml:space="preserve">Dear team DBA Do vận hành thay đổi cấu hình phương thức thanh toán nhờ team xóa giúp em cache theo thông tin sau ạ key :  ecom:order-orchestrator:get_payment_methods::SimpleKey [SNG,SNG,SNG,ONERETAILS,GSM,NEW_CHECKOUT] host :  vincart-prod--cache.memstore.int port : 6379 database : 0 CR: </t>
  </si>
  <si>
    <t>[Vinpay][PROD] Golive release sprint 13/09/2025</t>
  </si>
  <si>
    <t>2025-09-14T08:33:26.748+0700</t>
  </si>
  <si>
    <t>2025-09-14T08:33:36.993+0700</t>
  </si>
  <si>
    <t>Hi anh Nhờ anh chạy các script sau giúp em trên: Prod  vào lúc  23h59 13/09/2025 Thông tin database: Prod :  pay-tidb.int.onemount.com:4000/saas_tpay Em gửi query ạ -- Xóa thông tin config thừa
delete from INSTALLMENT_CONFIG where merchant_code = 'NCCFSE9B' and email_merchant = 'smartposinstallment.005@gmail.com';
-- Update
update service set STATUS = 'ACTIVE', LOCKED_BY = null where MERCHANT_CODE in ('40134169', 'NCCDMW7C') and SERVICE_CODE = 'SOFTPOS_CARD';
INSERT INTO SYSTEM_CONFIGURATION (SYSTEM_PARAM_CODE, SYSTEM_PARAM_NAME, SYSTEM_PARAM_VALUE,
                                                           IS_ACTIVE, IS_ENCRYPTED, CREATED_BY, UPDATED_BY,
                                                           UPDATED_DATE, CREATED_DATE)
VALUES ('LIMIT_COUNT_RETRY_ACTION_PROCESS', 'LIMIT_COUNT_RETRY_ACTION_PROCESS', '3', 1, null, 'PB-24141', null, null, '2025-08-25 00:00:00');
create table TRANSACTION_CYBERSOURCE
(
    id                            varchar(50)  not null
        primary key,
    transaction_status            varchar(50)  not null,
    transaction_type              varchar(50)  not null,
    reference_id                  varchar(250) null,
    authentication_transaction_id varchar(250) null,
    transaction_id                varchar(250) not null,
    request                       longtext     null,
    response                      longtext     null,
    created_by                    varchar(250) null,
    updated_by                    varchar(250) null,
    updated_date                  datetime     null,
    created_date                  datetime     null
) ENGINE=InnoDB DEFAULT CHARSET=utf8mb4 COLLATE=utf8mb4_unicode_ci;
create index TRANSACTION_CYBERSOURCE_reference_id_index
    on TRANSACTION_CYBERSOURCE (reference_id);
create index TRANSACTION_CYBERSOURCE_transaction_id_index
    on TRANSACTION_CYBERSOURCE (transaction_id);
create index TRANSACTION_CYBERSOURCE_transaction_type_index
    on TRANSACTION_CYBERSOURCE (transaction_type);</t>
  </si>
  <si>
    <t>[OMC][Flash Sale TCB] Nâng cấu hình các instance mysql/postgreSQL phục vụ Flash Sale 14/09/2025</t>
  </si>
  <si>
    <t>2025-09-14T00:41:39.741+0700</t>
  </si>
  <si>
    <t>2025-09-14T19:00:30.985+0700</t>
  </si>
  <si>
    <t xml:space="preserve">Chat trao đổi: https://chat.google.com/room/AAAAOqZ92n0/4ku7GZMDSbM/4ku7GZMDSbM?cls=10  CR:      Thời gian thực hiện:  sau 1h 14/09/2025  Chi tiết như sau:   https://console.cloud.google.com/sql/instances/main/overview?project=vincart-prod 172.31.1.41 Từ: 8 CPUs 24 GB RAM , 20000 connections, innodb_buffer_pool_size  12884901888 Lên: 12 CPUs 32 GB RAM, innodb_buffer_pool_size           18874368000   https://console.cloud.google.com/sql/instances/ecom-medium-mysql/overview?project=vincart-prod 172.31.4.9 Từ: 4 vCPUs 8 GB RAM, 10000 connections , innodb_buffer_pool_size  4294967296  (thực tế giảm về 3221225472, vì số connection từ pod app tăng từ 500 lên 5k) Giữ nguyên cấu hình   https://console.cloud.google.com/sql/instances/oneloyalty/overview?project=vinid-loyalty-prod 172.31.7.6 Từ: 4 CPUs          8 GB RAM , innodb_buffer_pool_size   4294967296 Lên: 8 CPUs        16 GB RAM , innodb_buffer_pool_size   10037418240   https://console.cloud.google.com/sql/instances/onevoucher/overview?project=vinid-loyalty-prod 172.31.4.126 Từ: 4 CPUs          16 GB RAM , innodb_buffer_pool_size                    8589934592 Lên: 8 CPUs        24 GB RAM , innodb_buffer_pool_size  12884901888   https://console.cloud.google.com/sql/instances/voucher-distribution/overview?project=vinid-loyalty-prod 172.31.4.82 Từ: 2 CPUs          8 GB RAM , innodb_buffer_pool_size   4294967283 Lên: 8 CPUs        16 GB RAM , innodb_buffer_pool_size  10037418240   https://console.cloud.google.com/sql/instances/postgres-01/overview?authuser=0&amp;project=vinid-service-platform-prod 172.31.7.11 Từ: 2 CPUs          8 GB RAM Lên: 4 CPUs        16 GB RAM   https://console.cloud.google.com/sql/instances/omc-authentication/overview?project=omc-base-platform-prod 172.31.3.40 Từ: 4 CPUs          8 GB RAM Giữ nguyên cấu hình  </t>
  </si>
  <si>
    <t>[VINIDPAY][TPAY][SOUNDBOX] Thêm côt soundbox_notification</t>
  </si>
  <si>
    <t>2025-09-12T17:35:18.116+0700</t>
  </si>
  <si>
    <t>2025-09-12T17:35:30.760+0700</t>
  </si>
  <si>
    <t>Dear, Hiện tại QC đang test, trên DB staging bên e bi thiết cột nhờ mn chạy giúp. DB :  jdbc:mysql://tidb.int.onemount.dev:4000/vinpay_saas_tpay_staging alter table SOUNDBOX_NOTIFICATION
    add mqtt_received_at timestamp(3) null; Thanks mn,</t>
  </si>
  <si>
    <t>[OM][Non-Prod][UPAY] Upgrade version cloudsql database mysql từ version 8.0.34 &gt; version 8.4.5 vinticket-nonprod</t>
  </si>
  <si>
    <t>2025-09-12T17:30:14.851+0700</t>
  </si>
  <si>
    <t>2025-12-15T23:20:19.702+0700</t>
  </si>
  <si>
    <t>[OM][Non-Prod][UPAY] Upgrade version cloudsql database mysql từ version 8.0.34 &gt; version 8.4.5 vinpay-nonprod</t>
  </si>
  <si>
    <t>2025-09-12T17:29:56.371+0700</t>
  </si>
  <si>
    <t>2025-09-15T19:11:16.213+0700</t>
  </si>
  <si>
    <t>Upgrade version cloudsql database mysql từ version 8.0.34 &gt; version 8.4.5 Project:  vinpay-nonprod instance:  https://console.cloud.google.com/sql/instances/tpay-loadtest/overview?project=vinpay-nonprod version: 8.0.34 lên 8.4.5 Thời gian downtime dự kiến: 20 phút Thời gian thực hiện: 18:00 ngày 2025-09-15</t>
  </si>
  <si>
    <t>[OM][Non-Prod][OMC] Upgrade version cloudsql database mysql từ version 8.0.34 &gt; version 8.4.5 omc-base-platform-np</t>
  </si>
  <si>
    <t>2025-09-12T17:29:31.477+0700</t>
  </si>
  <si>
    <t>2025-11-18T11:24:08.677+0700</t>
  </si>
  <si>
    <t>https://console.cloud.google.com/sql/instances?project=omc-base-platform-np  CHECK DBLIST Không tồn tại database này.</t>
  </si>
  <si>
    <t>[OM][Non-Prod][OM] Upgrade version cloudsql database mysql từ version 8.0.34 &gt; version 8.4.5 onemg-sap-np</t>
  </si>
  <si>
    <t>2025-09-12T17:28:56.943+0700</t>
  </si>
  <si>
    <t>2025-11-28T15:39:49.687+0700</t>
  </si>
  <si>
    <t>Upgrade version cloudsql database mysql từ version 8.0.34 &gt; version 8.4.6 Project: onemg-sap-np instance: main-mysql-8 https://console.cloud.google.com/sql/instances/main-mysql-8/overview?project=onemg-sap-np version: 8.0.18 lên 8.4.7</t>
  </si>
  <si>
    <t>[OM][Non-Prod][OMC] Upgrade version cloudsql database mysql từ version 8.0.34 &gt; version 8.4.5 vincart-nonprod</t>
  </si>
  <si>
    <t>2025-09-12T17:28:11.249+0700</t>
  </si>
  <si>
    <t>2025-12-15T23:20:12.002+0700</t>
  </si>
  <si>
    <t>[OM][Non-Prod][OMC] Upgrade version cloudsql database mysql từ version 8.0.34 &gt; version 8.4.5 vinid-loyalty-nonprod</t>
  </si>
  <si>
    <t>2025-09-12T17:27:45.258+0700</t>
  </si>
  <si>
    <t>2025-11-19T15:18:43.071+0700</t>
  </si>
  <si>
    <t>Upgrade version cloudsql database mysql từ version 8.0.34 &gt; version 8.4.5 Project: vinid-loyalty-nonprod instance: b2b-voucher-loadtest https://console.cloud.google.com/sql/instances/b2b-voucher-loadtest/overview?project=vinid-loyalty-nonprod version: 8.0.26 lên 8.4.7 Thời gian downtime dự kiến: 20 phút	 Thời gian thực hiện: 15 phút instance:  cpm-loadtest https://console.cloud.google.com/sql/instances/cpm-loadtest/overview?project=vinid-loyalty-nonprod version: 8.0.31 lên 8.4.7 Thời gian downtime dự kiến: 30 phút Thời gian thực hiện: 20 phút instance:  loadtest-main https://console.cloud.google.com/sql/instances/loadtest-main/overview?project=vinid-loyalty-nonprod version: 8.0.26 lên 8.4.7 Thời gian downtime dự kiến: 30 phút Thời gian thực hiện: 25 phút</t>
  </si>
  <si>
    <t>[OM][Prod][UPAY] Upgrade version cloudsql database mysql từ version 8.0.34 &gt; version 8.4.5 project vinpay-prod</t>
  </si>
  <si>
    <t>2025-09-12T17:12:41.779+0700</t>
  </si>
  <si>
    <t>2026-01-02T08:53:14.426+0700</t>
  </si>
  <si>
    <t>Upgrade version cloudsql database mysql từ version 8.0.34 &gt; version 8.4.5 Project:  vinpay-prod instance:  high-performance plan:  version: 8.0.34 lên 8.4.5 Thời gian downtime dự kiến: 20 phút Thời gian thực hiện: 18:00 ngày 2025-09-15 instance:  low-performance plan:  version: 8.0.34 lên 8.4.5 Thời gian downtime dự kiến: 20 phút Thời gian thực hiện: 18:00 ngày 2025-09-15 instance:  main plan:  version: 8.0.34 lên 8.4.5 Thời gian downtime dự kiến: 20 phút Thời gian thực hiện: 18:00 ngày 2025-09-15 instance:  onehub plan:  version: 8.0.34 lên 8.4.5 Thời gian downtime dự kiến: 20 phút Thời gian thực hiện: 18:00 ngày 2025-09-15 instance:  upay-main plan:  version: 8.0.34 lên 8.4.5 Thời gian downtime dự kiến: 20 phút Thời gian thực hiện: 18:00 ngày 2025-09-15 instance:  vinpay-saas plan:  version: 8.0.34 lên 8.4.5 Thời gian downtime dự kiến: 20 phút Thời gian thực hiện: 18:00 ngày 2025-09-15 instance:  vinpay-tidb-replica plan:  version: 8.0.34 lên 8.4.5 Thời gian downtime dự kiến: 20 phút Thời gian thực hiện: 18:00 ngày 2025-09-15</t>
  </si>
  <si>
    <t>[OM][Prod][UPAY] Upgrade version cloudsql database mysql từ version 8.0.34 &gt; version 8.4.5 project vinid-risk-fraud-prod</t>
  </si>
  <si>
    <t>2025-09-12T17:12:30.194+0700</t>
  </si>
  <si>
    <t>2026-01-02T08:53:11.993+0700</t>
  </si>
  <si>
    <t>Upgrade version cloudsql database mysql từ version 8.0.34 &gt; version 8.4.5 Project:  vinid-risk-fraud-prod instance:  https://console.cloud.google.com/sql/instances/main-2/overview?project=onemg-finance-platform-np plan:  version: 8.0.34 lên 8.4.5 Thời gian downtime dự kiến: 20 phút Thời gian thực hiện: 18:00 ngày 2025-09-15</t>
  </si>
  <si>
    <t>[OM][Prod][UPAY] Upgrade version cloudsql database mysql từ version 8.0.34 &gt; version 8.4.5 project onemg-identity-services-prod</t>
  </si>
  <si>
    <t>2025-09-12T17:12:04.779+0700</t>
  </si>
  <si>
    <t>2026-01-02T08:53:09.596+0700</t>
  </si>
  <si>
    <t>Upgrade version cloudsql database mysql từ version 8.0.34 &gt; version 8.4.5 Project:  onemg-identity-services-prod instance:  https://console.cloud.google.com/sql/instances/main-2/overview?project=onemg-finance-platform-np plan:  version: 8.0.34 lên 8.4.5 Thời gian downtime dự kiến: 20 phút Thời gian thực hiện: 18:00 ngày 2025-09-15</t>
  </si>
  <si>
    <t>[OM][Prod][UPAY] Upgrade version cloudsql database mysql từ version 8.0.34 &gt; version 8.4.5 project onemg-finance-platform-prod</t>
  </si>
  <si>
    <t>2025-09-12T17:11:52.503+0700</t>
  </si>
  <si>
    <t>2026-01-02T08:53:06.522+0700</t>
  </si>
  <si>
    <t>Upgrade version cloudsql database mysql từ version 8.0.34 &gt; version 8.4.5 Project:  onemg-finance-platform-prod instance:  https://console.cloud.google.com/sql/instances/main-2/overview?project=onemg-finance-platform-np plan:  version: 8.0.34 lên 8.4.5 Thời gian downtime dự kiến: 20 phút Thời gian thực hiện: 18:00 ngày 2025-09-15</t>
  </si>
  <si>
    <t>[OM][Prod][UPAY] Upgrade version cloudsql database mysql từ version 8.0.34 &gt; version 8.4.5 project om-fs-core-prod</t>
  </si>
  <si>
    <t>2025-09-12T17:11:41.592+0700</t>
  </si>
  <si>
    <t>2026-01-02T08:53:03.958+0700</t>
  </si>
  <si>
    <t>Upgrade version cloudsql database mysql từ version 8.0.34 &gt; version 8.4.5 Project:  om-fs-core-prod instance:  https://console.cloud.google.com/sql/instances/main-2/overview?project=onemg-finance-platform-np plan:  version: 8.0.34 lên 8.4.5 Thời gian downtime dự kiến: 20 phút Thời gian thực hiện: 18:00 ngày 2025-09-15</t>
  </si>
  <si>
    <t>[OM][Prod][OMRE] Upgrade version cloudsql database mysql từ version 8.0.34 &gt; version 8.4.5 project onehs-prod</t>
  </si>
  <si>
    <t>2025-09-12T17:11:21.973+0700</t>
  </si>
  <si>
    <t>2026-01-02T08:53:00.779+0700</t>
  </si>
  <si>
    <t>[OM][Prod][OMD] Upgrade version cloudsql database mysql từ version 8.0.34 &gt; version 8.4.5 project vinid-integration-prod</t>
  </si>
  <si>
    <t>2025-09-12T17:11:03.030+0700</t>
  </si>
  <si>
    <t>2026-01-02T08:52:58.143+0700</t>
  </si>
  <si>
    <t>Upgrade version cloudsql database mysql từ version 8.0.34 &gt; version 8.4.5 project vinid-integration-prod</t>
  </si>
  <si>
    <t>[OM][Prod][OMD] Upgrade version cloudsql database mysql từ version 8.0.34 &gt; version 8.4.5 project vinid-b2b-platform-prod</t>
  </si>
  <si>
    <t>2025-09-12T17:10:42.743+0700</t>
  </si>
  <si>
    <t>2026-01-02T08:52:55.280+0700</t>
  </si>
  <si>
    <t>Upgrade version cloudsql database mysql từ version 8.0.34 &gt; version 8.4.5 project vinid-b2b-platform-prod</t>
  </si>
  <si>
    <t>[OM][Prod][OMD] Upgrade version cloudsql database mysql từ version 8.0.34 &gt; version 8.4.5 project oneretails-prod</t>
  </si>
  <si>
    <t>2025-09-12T17:10:31.813+0700</t>
  </si>
  <si>
    <t>2026-01-02T08:52:52.188+0700</t>
  </si>
  <si>
    <t>Upgrade version cloudsql database mysql từ version 8.0.34 &gt; version 8.4.5 project oneretails-prod</t>
  </si>
  <si>
    <t>[OM][Prod][OMD] Upgrade version cloudsql database mysql từ version 8.0.34 &gt; version 8.4.5 project onemg-integration-platform-prd</t>
  </si>
  <si>
    <t>2025-09-12T17:10:20.350+0700</t>
  </si>
  <si>
    <t>2026-01-02T08:52:48.864+0700</t>
  </si>
  <si>
    <t>[OM][Prod][OMD] Upgrade version cloudsql database mysql từ version 8.0.34 &gt; version 8.4.5 project onedc-tms-prod</t>
  </si>
  <si>
    <t>2025-09-12T17:10:03.812+0700</t>
  </si>
  <si>
    <t>2026-01-02T08:52:46.637+0700</t>
  </si>
  <si>
    <t>Upgrade version cloudsql database mysql từ version 8.0.34 &gt; version 8.4.5 project onedc-tms-prod</t>
  </si>
  <si>
    <t>[OM][Prod][OMD] Upgrade version cloudsql database mysql từ version 8.0.34 &gt; version 8.4.5 project omd-pos-prod</t>
  </si>
  <si>
    <t>2025-09-12T17:09:50.322+0700</t>
  </si>
  <si>
    <t>2026-01-02T08:52:44.594+0700</t>
  </si>
  <si>
    <t>Upgrade version cloudsql database mysql từ version 8.0.34 &gt; version 8.4.5 project omd-pos-prod</t>
  </si>
  <si>
    <t>[OM][Prod][OMC] Upgrade version cloudsql database mysql từ version 8.0.34 &gt; version 8.4.5 project vinticket-prod</t>
  </si>
  <si>
    <t>2025-09-12T17:09:27.907+0700</t>
  </si>
  <si>
    <t>2026-01-02T08:52:41.509+0700</t>
  </si>
  <si>
    <t>Upgrade version cloudsql database mysql từ version 8.0.34 &gt; version 8.4.5 project vinticket-prod</t>
  </si>
  <si>
    <t>[OM][Prod][OMC] Upgrade version cloudsql database mysql từ version 8.0.34 &gt; version 8.4.5 project vinid-utility-prod</t>
  </si>
  <si>
    <t>2025-09-12T17:09:11.181+0700</t>
  </si>
  <si>
    <t>2026-01-02T08:52:37.827+0700</t>
  </si>
  <si>
    <t>https://console.cloud.google.com/sql/instances/main/overview?project=vinid-utility-prod 172.31.1.86 main ===&gt; Database version is MySQL 8.0.34 version: 8.0.31 lên 8.4.7 Thời gian downtime dự kiến: Thời gian thực hiện:</t>
  </si>
  <si>
    <t>[OM][Prod][OMC] Upgrade version cloudsql database mysql từ version 8.0.34 &gt; version 8.4.5 project vinid-topup-prod</t>
  </si>
  <si>
    <t>2025-09-12T17:09:00.040+0700</t>
  </si>
  <si>
    <t>2026-01-02T08:52:35.093+0700</t>
  </si>
  <si>
    <t>Upgrade version cloudsql database mysql từ version 8.0.34 &gt; version 8.4.5 project vinid-topup-prod</t>
  </si>
  <si>
    <t>[OM][Prod][OMC] Upgrade version cloudsql database mysql từ version 8.0.34 &gt; version 8.4.5 project vinid-society-prod</t>
  </si>
  <si>
    <t>2025-09-12T17:08:43.503+0700</t>
  </si>
  <si>
    <t>2026-01-02T08:52:32.860+0700</t>
  </si>
  <si>
    <t>https://console.cloud.google.com/sql/instances?project=vinid-society-prod 172.31.1.34 main ==&gt; Database version is MySQL 8.0.34 version: 8.0.31 lên 8.4.7 Thời gian downtime dự kiến: Thời gian thực hiện:</t>
  </si>
  <si>
    <t>[OM][Prod][OMC] Upgrade version cloudsql database mysql từ version 8.0.34 &gt; version 8.4.5 project vinid-service-platform-prod</t>
  </si>
  <si>
    <t>2025-09-12T17:08:12.886+0700</t>
  </si>
  <si>
    <t>2026-01-02T08:52:29.219+0700</t>
  </si>
  <si>
    <t>Upgrade version cloudsql database mysql từ version 8.0.34 &gt; version 8.4.5 project vinid-service-platform-prod</t>
  </si>
  <si>
    <t>[OM][Prod][OMC] Upgrade version cloudsql database mysql từ version 8.0.34 &gt; version 8.4.5 project vinid-promotion-engine-prod</t>
  </si>
  <si>
    <t>2025-09-12T17:07:56.599+0700</t>
  </si>
  <si>
    <t>2026-01-02T08:52:27.523+0700</t>
  </si>
  <si>
    <t xml:space="preserve">Upgrade version cloudsql database mysql từ version 8.0.34 &gt; version 8.4.5 Project: vinid-promotion-engine-prod instance:  main plan:    version: 8.0.34 lên 8.4.5 Thời gian downtime dự kiến: 30 phút Thời gian thực hiện: </t>
  </si>
  <si>
    <t>[OM][Prod][OMC] Upgrade version cloudsql database mysql từ version 8.0.34 &gt; version 8.4.5 project vinid-loyalty-prod</t>
  </si>
  <si>
    <t>2025-09-12T17:07:37.169+0700</t>
  </si>
  <si>
    <t>2026-01-02T08:52:25.390+0700</t>
  </si>
  <si>
    <t>Upgrade version cloudsql database mysql từ version 8.0.34 &gt; version 8.4.5 project vinid-loyalty-prod</t>
  </si>
  <si>
    <t>[OM][Prod][OMC] Upgrade version cloudsql database mysql từ version 8.0.34 &gt; version 8.4.5 project vinid-incubator-prod</t>
  </si>
  <si>
    <t>2025-09-12T17:07:10.637+0700</t>
  </si>
  <si>
    <t>2026-01-02T08:52:22.262+0700</t>
  </si>
  <si>
    <t>Upgrade version cloudsql database mysql từ version 8.0.34 &gt; version 8.4.5 Project:  project vinid-incubator-prod instance:  main plan:  version: 8.0.34 lên 8.4.5 Thời gian downtime dự kiến: 20 phút Thời gian thực hiện: instance:  reconciliation plan:  version: 8.0.34 lên 8.4.5 Thời gian downtime dự kiến: 20 phút Thời gian thực hiện: instance:  website-2 plan:  version: 8.0.34 lên 8.4.5 Thời gian downtime dự kiến: 20 phút Thời gian thực hiện:</t>
  </si>
  <si>
    <t>[OM][Prod][OMC] Upgrade version cloudsql database mysql từ version 8.0.34 &gt; version 8.4.5 project vinid-gamification-prod</t>
  </si>
  <si>
    <t>2025-09-12T17:06:28.859+0700</t>
  </si>
  <si>
    <t>2026-01-02T08:52:19.417+0700</t>
  </si>
  <si>
    <t>Upgrade version cloudsql database mysql từ version 8.0.34 &gt; version 8.4.5 Project:  vinid-gamification-prod instance:  main plan:    version: 8.0.34 lên 8.4.5 Thời gian downtime dự kiến: 30 phút Thời gian thực hiện:</t>
  </si>
  <si>
    <t>[OM][Prod][OMC] Upgrade version cloudsql database mysql từ version 8.0.34 &gt; version 8.4.5 project vinid-crm-salesforce-prod</t>
  </si>
  <si>
    <t>2025-09-12T17:05:49.054+0700</t>
  </si>
  <si>
    <t>2026-01-02T08:52:16.556+0700</t>
  </si>
  <si>
    <t>https://console.cloud.google.com/sql/instances?project=vinid-crm-salesforce-prod https://console.cloud.google.com/sql/instances/main/overview?project=vinid-crm-salesforce-prod https://console.cloud.google.com/sql/instances/notification-hubs/overview?project=vinid-crm-salesforce-prod 172.31.4.192 main 				==&gt; Database version is MySQL 8.0.34 notification-hubs 	==&gt; Database version is MySQL 8.0.34 version: 8.0.31 lên 8.4.7 Thời gian downtime dự kiến: Thời gian thực hiện:</t>
  </si>
  <si>
    <t>[OM][Prod][OMC] Upgrade version cloudsql database mysql từ version 8.0.34 &gt; version 8.4.5 project vinid-billservice-prod</t>
  </si>
  <si>
    <t>2025-09-12T17:05:32.129+0700</t>
  </si>
  <si>
    <t>2026-01-02T08:52:13.924+0700</t>
  </si>
  <si>
    <t>Upgrade version cloudsql database mysql từ version 8.0.34 &gt; version 8.4.5 project vinid-billservice-prod</t>
  </si>
  <si>
    <t>[OM][Prod][OMC] Upgrade version cloudsql database mysql từ version 8.0.34 &gt; version 8.4.5 project vincart-prod</t>
  </si>
  <si>
    <t>2025-09-12T17:05:09.159+0700</t>
  </si>
  <si>
    <t>2026-01-02T08:52:12.310+0700</t>
  </si>
  <si>
    <t>Upgrade version cloudsql database mysql từ version 8.0.34 &gt; version 8.4.5 project vincart-prod</t>
  </si>
  <si>
    <t>[OM][Prod][OMC] Upgrade version cloudsql database mysql từ version 8.0.34 &gt; version 8.4.5 project omc-base-platform-prod</t>
  </si>
  <si>
    <t>2025-09-12T17:04:50.459+0700</t>
  </si>
  <si>
    <t>2026-01-02T08:52:10.066+0700</t>
  </si>
  <si>
    <t>Upgrade version cloudsql database mysql từ version 8.0.34 &gt; version 8.4.5 project omc-base-platform-prod</t>
  </si>
  <si>
    <t>[OM][Prod][OM] Upgrade version cloudsql database mysql từ version 8.0.34 &gt; version 8.4.5 project vinid-app-common-prod</t>
  </si>
  <si>
    <t>2025-09-12T17:02:51.502+0700</t>
  </si>
  <si>
    <t>2026-01-02T08:52:08.021+0700</t>
  </si>
  <si>
    <t xml:space="preserve">Upgrade version cloudsql database mysql từ version 8.0.34 &gt; version 8.4.5 Project:  vinid-app-common-prod instance:  common-main plan:    version: 8.0.34 lên 8.4.6 Thời gian downtime dự kiến: 30 phút Thời gian thực hiện: </t>
  </si>
  <si>
    <t>[OM][Prod][OM] Upgrade version cloudsql database mysql từ version 8.0.34 &gt; version 8.4.5 project onemg-general-prod</t>
  </si>
  <si>
    <t>2025-09-12T17:02:35.575+0700</t>
  </si>
  <si>
    <t>2026-01-02T08:52:05.708+0700</t>
  </si>
  <si>
    <t>Upgrade version cloudsql database mysql từ version 8.0.34 &gt; version 8.4.5 Project:  onemg-general-prod instance:  auth-om plan:    version: 8.0.26 lên 8.4.5 Thời gian downtime dự kiến: 30 phút Thời gian thực hiện:</t>
  </si>
  <si>
    <t>[OM][Prod][OM] Upgrade version cloudsql database mysql từ version 8.0.34 &gt; version 8.4.5 project onemg-dp-prod</t>
  </si>
  <si>
    <t>2025-09-12T17:02:21.438+0700</t>
  </si>
  <si>
    <t>2026-01-02T08:52:03.565+0700</t>
  </si>
  <si>
    <t xml:space="preserve">Upgrade version cloudsql database mysql từ version 8.0.34 &gt; version 8.4.5 Project:  onemg-dp-prod instance:  hr-re-model plan:    version: 8.0.34 lên 8.4.5 Thời gian downtime dự kiến: 30 phút Thời gian thực hiện:  instance:  main plan:    version: 8.0.30 lên 8.4.5 Thời gian downtime dự kiến: 30 phút Thời gian thực hiện:  instance:  mlops plan:    version: 8.0.26 lên 8.4.5 Thời gian downtime dự kiến: 30 phút Thời gian thực hiện: </t>
  </si>
  <si>
    <t>[OM][Non-Prod][UPAY] Upgrade version cloudsql database mysql từ version 8.0.34 &gt; version 8.4.5 onemg-identity-services-np</t>
  </si>
  <si>
    <t>2025-09-12T17:00:45.162+0700</t>
  </si>
  <si>
    <t>2025-09-15T19:09:11.613+0700</t>
  </si>
  <si>
    <t>Upgrade version cloudsql database mysql từ version 8.0.34 &gt; version 8.4.5 Project:  onemg-identity-services-np instance:  https://console.cloud.google.com/sql/instances/main/overview?project=onemg-identity-services-np version: 8.0.34 lên 8.4.5 Thời gian downtime dự kiến: 20 phút Thời gian thực hiện: 18:00 ngày 2025-09-15</t>
  </si>
  <si>
    <t>[OM][Non-Prod][UPAY] Upgrade version cloudsql database mysql từ version 8.0.34 &gt; version 8.4.5 onemg-finance-platform-np</t>
  </si>
  <si>
    <t>2025-09-12T17:00:26.326+0700</t>
  </si>
  <si>
    <t>2025-09-15T19:08:06.105+0700</t>
  </si>
  <si>
    <t>Upgrade version cloudsql database mysql từ version 8.0.34 &gt; version 8.4.5 Project:  onemg-finance-platform-np instance:  https://console.cloud.google.com/sql/instances/main-2/overview?project=onemg-finance-platform-np version: 8.0.34 lên 8.4.5 Thời gian downtime dự kiến: 20 phút Thời gian thực hiện: 18:00 ngày 2025-09-15</t>
  </si>
  <si>
    <t>[OM][Non-Prod][OMRE] Upgrade version cloudsql database mysql từ version 8.0.34 &gt; version 8.4.5 omre-cobroker-np</t>
  </si>
  <si>
    <t>2025-09-12T16:59:49.256+0700</t>
  </si>
  <si>
    <t>2025-11-18T11:44:25.844+0700</t>
  </si>
  <si>
    <t>Project: omre-cobroker-np instance: omre-cbp-mysql8 https://console.cloud.google.com/sql/instances/omre-cbp-mysql8/overview?project=omre-cobroker-np version: 8.4.6</t>
  </si>
  <si>
    <t>[OM][Prod][OMRE] Upgrade version cloudsql database postgresql từ version 13 &gt; version 15 project saomoc-prod</t>
  </si>
  <si>
    <t>2025-09-12T16:58:42.810+0700</t>
  </si>
  <si>
    <t>2026-01-02T08:54:28.396+0700</t>
  </si>
  <si>
    <t>Upgrade version database Postgresql từ v13.22 lên v18 project: saomoc-prod instance: 172.31.3.37  sao-moc plan:     Thời gian downtime dự kiến: 60 phút Thời gian thực hiện: 21:00 ngày 2025-12-15</t>
  </si>
  <si>
    <t>[OM][Prod][OMD] Upgrade version cloudsql database postgresql từ version 13 &gt; version 15 project vinid-b2b-platform-prod</t>
  </si>
  <si>
    <t>2025-09-12T16:58:13.692+0700</t>
  </si>
  <si>
    <t>2025-12-11T11:50:09.169+0700</t>
  </si>
  <si>
    <t>Upgrade version database Postgresql từ v13.22 lên v15 project: vinid-b2b-platform-prod instance: 172.31.3.10  postgre-13-core-services plan:     Thời gian downtime dự kiến: 60 phút Thời gian thực hiện: 23:00 ngày 2025-12-10</t>
  </si>
  <si>
    <t>2025-09-12T16:57:31.937+0700</t>
  </si>
  <si>
    <t>2026-01-02T08:50:18.570+0700</t>
  </si>
  <si>
    <t>migrate data từ cloud về vm  project: vinid-b2b-platform-prod instance: 172.31.1.33  sonarqube</t>
  </si>
  <si>
    <t>[OM][Non-Prod][OM] Upgrade version cloudsql database mysql từ version 8.0.34 &gt; version 8.4.5 project vinid-app-common-dev</t>
  </si>
  <si>
    <t>2025-09-12T16:57:05.085+0700</t>
  </si>
  <si>
    <t>2025-10-03T08:58:55.572+0700</t>
  </si>
  <si>
    <t>Upgrade version cloudsql database mysql từ version 8.0.34 &gt; version 8.4.5 Project:  vinid-app-common-dev instance:  main version: 8.0.34 lên 8.4.5 Thời gian downtime dự kiến: 3h Thời gian thực hiện: 22:00 PM ngày 2025-10-02 instance:  main-mysql-8-2 version: 8.0.34 lên 8.4.5 Thời gian downtime dự kiến: 1h30' Thời gian thực hiện: 22:00 PM ngày 2025-10-02 instance:  main-utc-0 version: 8.0.34 lên 8.4.5 Thời gian downtime dự kiến: 1h Thời gian thực hiện: 22:00 PM ngày 2025-10-02 instance:  vinpay-main version: 8.0.34 lên 8.4.5 Thời gian downtime dự kiến: 30' Thời gian thực hiện: 18:00 PM ngày 2025-09-12</t>
  </si>
  <si>
    <t>[OM][Prod] Upgrade version cloudsql database postgresql từ version 13 &gt; version 15</t>
  </si>
  <si>
    <t>2025-09-12T16:55:35.089+0700</t>
  </si>
  <si>
    <t>2026-01-02T08:53:45.092+0700</t>
  </si>
  <si>
    <t>V/v Google Cloud SQL for PostgreSQL version 13 will transition extended support on Feb 1, 2026, followed by Cloud SQL for MySQL version 8.0 on July 1, 2026.  Đồng thời GCP cũng charge thêm tiền, team Cloud tạm tính thử OM sẽ  tăng thêm 22k$/tháng  nếu không upgrade. Team DBA sẽ thực hiện upgrade version cho MySQL 8.0 lên MySQL 8.4 và PostgreSQL 13 lên PostgreSQL 15 Plan của Team DBA: -February 1, 2026: Extended support will begin for Cloud SQL for PostgreSQL version 13 --&gt;  Chuyển đổi xong trước tháng 12/2025 -July 1, 2026: Extended support will begin for Cloud SQL for MySQL version 8.0 --&gt;  Chuyển đổi xong trước tháng 3/2026</t>
  </si>
  <si>
    <t>[OM][Prod] Upgrade version cloudsql database mysql từ version 8.0.34 &gt; version 8.4.5</t>
  </si>
  <si>
    <t>2025-09-12T16:55:21.574+0700</t>
  </si>
  <si>
    <t>2026-01-02T08:51:57.652+0700</t>
  </si>
  <si>
    <t>[OM][Non-Prod] Upgrade version cloudsql database mysql từ version 8.0.34 &gt; version 8.4.5</t>
  </si>
  <si>
    <t>2025-09-12T16:55:03.685+0700</t>
  </si>
  <si>
    <t>2025-12-24T15:21:41.153+0700</t>
  </si>
  <si>
    <t>[OM][Non-Prod] Upgrade version cloudsql database postgresql từ version 13 &gt; version 15</t>
  </si>
  <si>
    <t>2025-09-12T16:54:39.073+0700</t>
  </si>
  <si>
    <t>2026-01-02T08:50:14.363+0700</t>
  </si>
  <si>
    <t>[VINPAY][PROD] Cấu hình bộ thông tin QR247 cho merchant BAOAN</t>
  </si>
  <si>
    <t>2025-09-12T15:46:01.978+0700</t>
  </si>
  <si>
    <t>2025-09-12T15:46:13.478+0700</t>
  </si>
  <si>
    <t>Dear team DBA, Team dự án có các cấu hình QR247 cho khách hàng BẢO AN EDUCATION, nhờ các anh chạy các script theo thông tin bên dưới giúp em ạ Thông tin DB:  pay-tidb.int.onemount.com:4000/saas_tpay INSERT INTO PARTNER (client_id, name, public_key, enable, merchant_code)
VALUES ('tXdPzwXZGtgAnOOmvWFrRGpNnDqlsnbI', 'BAOAN', '-----BEGIN PUBLIC KEY-----
MIIBIjANBgkqhkiG9w0BAQEFAAOCAQ8AMIIBCgKCAQEAvPjkTqL13e71rExnaiKz
6+1W85IcwMqcm3ap8Xf/eDCVj0n9PUTy1MHqDYULJ5uiwKGse3J877J32P9IKG2N
vuM+HOhopvIepbI38tH3l8hCoqrAXLH29q3U4LofjhgMSHkgrkZ3XvjUoxnDX7rW
mV3CgFOK0fhfUpA2M8Q8RaS2O6J1y57b2fMY114UZh1cmcQa/uwCllEFKwofIgkR
Q9IMXA5RYN2Rb0yry8zc/fnh8Y92OiCJfpyH6VfYax7OiU914dWxgVGFSidSYe4O
T/Ew3U9JLX0Nz+tgWbyk4xjiYePnMJhp3otk8J8u31oVYIe91yTUFu/NhURucMgp
lQIDAQAB
-----END PUBLIC KEY-----', 1, 'BAOAN');
INSERT INTO MERCHANT_RECONCILE (merchant_code, tenant, enable, sftp_folder, pgp_public_key_base64,
                                pgp_partner_id, days_to_subtract, max_records_per_file)
VALUES ('BAOAN', 'OME', 1, '/baoan',
        'LS0tLS1CRUdJTiBQR1AgUFVCTElDIEtFWSBCTE9DSy0tLS0tCgp4c0JOQkdqQTQ4a0JDQURJN1RQZnFuK20vM1FlWGJ6dDhZU2xocmxESGp5ZGFhZ1lDU016SHQzdUpRSTUKS2QwWWRpdXlWR1N5WWlubEVjOXA5ZU9HbWRZSEtuTHVxdVI4YkhuSk0xUXd2ZkhhK09mYUVmZW9KaEVHCkZyT1dZME5RNmh3VkhRNE9ialNMa0dZY1Fwd0h3b3lUMWdrdEZZWFRsZ2FaZXN1eUdaV0VQRi96VStpMgpKQVJqeXJScmhBcWxNVmY5MWdMR3IyMGtSOGw3bU1OK3VNZDYrNlgyU25oMG5uaWNqL2dCZzhYandBMHEKY0h4UjBsL2VxcTBhRnl0SE9LWGhpY2hDcVhXZENoSnBRakJYWGlnR1kzaE5pbXRHZXB1Unh1K2ZJUnF0CkxLbUQ0NitZUDZCQ3FtaUh4a3BGWExUWHg2V3pRckpIZDZzRnRGZXZxaTZ0bDlMR0Urci9pdXliQUJFQgpBQUhORVhScGR5QThhVzVtYjBCMGFYY3VkbTQrd3NDS0JCQUJDQUErQllKb3dPUEpCQXNKQndnSmtGVVcKWVlYbkwyRG9BeFVJQ2dRV0FBSUJBaGtCQXBzREFoNEJGaUVFZTNCSkJXbWtKT1VTbDVVM1ZSWmhoZWN2CllPZ0FBSDZZQi85TGsxSllqUGlSZ25lUTJaQ3RBQm9Eb21PVHpKQlE1dlRDUStJK2xsNkxQM1VCdHc1Vgp3b0I3bVlRNkp4MTNqRjdMTkhNRDNRazBIdFc1RDFEeTN1WFYyQzM3dVhmdFBtaVFpdXZWd0hwYTlaUSsKOU1oaEFaZ0NpZDU2L0x3TytYd1k2OXRwTXgwcnpJbVd3Y2hqSWVrTEx1cHNIaS94RG8zUXVYYkg4bTZOCmwxNUNYejdPcUI2emp4ZmptWHRBbTAwdlc0Zk1PL01BeWx5WE4xQWp1YVEwdUJDUjJnZEVLRlZNVnhBSgo4Nk1Yd1AxR0dxQ01lTS9pdmxLRnJ0TlRFQjg5MmgzbXVETXZHUjhIMWpoUSs5aDZwQ09COTh5NWZLQWEKVCs5Lzl5ZHJsSmFiNUhLR2xRT21PWHY2dmVDOGJpV0VEQVlMd0Yya3ZDTXZJNHY4SGtxeXpzQk5CR2pBCjQ4a0JDQUR5VG1FdkwwQlUyNXVidzZIbXVPeC9ZckxVcUVMQS9kV2ptaXhQMlJ4RmdKN0NEU1EzTlNZSgoxbWQwOG5HNTR4M1J3VXlmMnRkQ0lrbzJibS9YVmVUcjRxaWN1NWFXbzlORXdUWFloODVaZzhneHRiaTUKanRUdHpFUjlRVzJ0K3crMUVXVmlUVXRzMk4rZ29GTWJaaGlPL1dEc2k2RG1va2dzdTV5VzNKZS90aHBOCjRzaGFFRjNqdEw1UGJ6eWZXQ1JtVjg1Y1JVWFF5THNWT1pyMmRac1NNNWdUMWxzT1RGalBVbC9JL2FhYQpYcHlkbVpLckNsSU9wbUNhTUhabjBJbXF3UXVlRm1tTG5tQk8rRk4zQzdJY2JTUTVQMENmV3dUVm1Tb2MKeUpIU0M1elNQQVNTaURDaUx2cS9TdWtlMU9sWEJKa0ROdk9nM3F0RGZxSnVwVnIxQUJFQkFBSEN3SFlFCkdBRUlBQ29GZ21qQTQ4a0prRlVXWVlYbkwyRG9BcHNNRmlFRWUzQkpCV21rSk9VU2w1VTNWUlpoaGVjdgpZT2dBQUFWNENBQ0ZXcURzdHlydVNmRFhNOGdGMW9UWlUyUy9PQXpWYmVyc0VNK093QTNrU3h1RGxIbVgKLzZERXUwemlIc0VmRWdCN0hIaE9MZU9tdU9sSjF2Ty9BM2NXU0kwVU1wMjhlTVQ5MXdUSnhhTXFlTE4rCjQyR2FzQXhyS1orekovQUY2TzRCMUVWRHpUd2VFUkdsWmhyS3lVa0dSem9IUGo4Qzg5cGYrQjFaWkk3MAo0TTc2TmNRWkhYa05QeExGQkNiZDhSYVVWREh4dmdkbWQreXY5MDBUVFNEeGEydHQyRW5qdEJza0diOHQKZzF2YXZTMjZvWm8rSm84QWRJbVAzY2JFZERQUm9pczZXVkYxUHNuMkluVXRHK0hoaXlzbnFSb0ZzUVAwCjRmanZtVC9PZUQyNkRjNVBKNlg4Y3ZoOHFXUVQremYrTlVEKzJCOENoSTV6dkNERkhiNk4KPVBCZHcKLS0tLS1FTkQgUEdQIFBVQkxJQyBLRVkgQkxPQ0stLS0tLQo=',
        'info@tiw.vn', 1, 10000);</t>
  </si>
  <si>
    <t>Update dữ liệu DB LitePOS PROD</t>
  </si>
  <si>
    <t>2025-09-12T15:42:04.275+0700</t>
  </si>
  <si>
    <t>2025-09-12T15:46:15.475+0700</t>
  </si>
  <si>
    <t>Nhờ anh chạy giúp e câu lệnh này trên hệ thống litePOS OMS PROD ạ ALTER TABLE `BusinessDeclarationForm` MODIFY COLUMN `borderMarketBusiness` varchar(255); Thông tin DB: gcp project: omd-pos-prod
instance: omd-pos-commerce (IP: 172.31.1.6)
DB: litepos_oms_prod</t>
  </si>
  <si>
    <t>[Vinpay][STAGING] Golive release sprint 13/09/2025</t>
  </si>
  <si>
    <t>2025-09-12T15:29:09.972+0700</t>
  </si>
  <si>
    <t>2025-09-12T15:29:17.785+0700</t>
  </si>
  <si>
    <t>Hi anh Nhờ anh chạy các script sau giúp em trên: Staging  vào lúc  Sau khi approve Thông tin database: Staging :  tidb.int.onemount.dev:4000/vinpay_saas_tpay_staging CR:    Em gửi query ạ INSERT INTO SYSTEM_CONFIGURATION (SYSTEM_PARAM_CODE, SYSTEM_PARAM_NAME, SYSTEM_PARAM_VALUE,
                                                           IS_ACTIVE, IS_ENCRYPTED, CREATED_BY, UPDATED_BY,
                                                           UPDATED_DATE, CREATED_DATE)
VALUES ('LIMIT_COUNT_RETRY_ACTION_PROCESS', 'LIMIT_COUNT_RETRY_ACTION_PROCESS', '3', 1, null, 'PB-24141', null, null, '2025-08-25 00:00:00');
create table TRANSACTION_CYBERSOURCE
(
    id                            varchar(50)  not null
        primary key,
    transaction_status            varchar(50)  not null,
    transaction_type              varchar(50)  not null,
    reference_id                  varchar(250) null,
    authentication_transaction_id varchar(250) null,
    transaction_id                varchar(250) not null,
    request                       longtext     null,
    response                      longtext     null,
    created_by                    varchar(250) null,
    updated_by                    varchar(250) null,
    updated_date                  datetime     null,
    created_date                  datetime     null
) AUTO_ID_CACHE=1;
create index TRANSACTION_CYBERSOURCE_reference_id_index
    on TRANSACTION_CYBERSOURCE (reference_id);
create index TRANSACTION_CYBERSOURCE_transaction_id_index
    on TRANSACTION_CYBERSOURCE (transaction_id);
create index TRANSACTION_CYBERSOURCE_transaction_type_index
    on TRANSACTION_CYBERSOURCE (transaction_type);</t>
  </si>
  <si>
    <t>[VINIDPAY][TPAY][SOUNDBOX] Update dữ liệu bảng tcb_device</t>
  </si>
  <si>
    <t>2025-09-12T15:25:18.303+0700</t>
  </si>
  <si>
    <t>2025-09-12T15:25:23.822+0700</t>
  </si>
  <si>
    <t>Hi các anh, Hiện tại theo yêu cầu VH cần update lại ngày hết hạn bảo hành, nhờ các anh chạy giúp Thông tin DB :  pay-tidb.int.onemount.com:4000/saas_tpay update TCB_DEVICE td SET warranty_expired_at = '2026-06-11 00:00:00' WHERE td.device_serial_number IN ('38250523312001','38250523312002','38250523312003','38250523312004','38250523312005','38250523312006','38250523312007','38250523312008','38250523312009','38250523312010','38250523312011','38250523312012','38250523312013','38250523312014','38250523312015','38250523312016','38250523312017','38250523312018','38250523312019','38250523312020','38250523312021','38250523312022','38250523312023','38250523312024','38250523312025'); Thanks các anh,</t>
  </si>
  <si>
    <t>2025-09-12T15:20:38.933+0700</t>
  </si>
  <si>
    <t>2025-09-12T15:32:58.603+0700</t>
  </si>
  <si>
    <t>Nhờ anh chạy giúp e câu lệnh này trên hệ thống litePOS OMS PROD ạ ALTER TABLE BusinessDeclarationForm modify businessSector text null;
ALTER TABLE `BusinessDeclarationForm` MODIFY COLUMN `businessArea` varchar(255) NULL;
UPDATE `BusinessDeclarationForm`
SET `borderMarketBusiness` = CASE
	WHEN `borderMarketBusiness` = 'true' THEN '1'
	WHEN `borderMarketBusiness` = 'false' THEN '0'
	ELSE NULL
END;
ALTER TABLE `BusinessDeclarationForm` MODIFY COLUMN `borderMarketBusiness` BIT; Thông tin DB: gcp project: omd-pos-prod
instance: omd-pos-commerce (IP: 172.31.1.6)
DB: litepos_oms_prod</t>
  </si>
  <si>
    <t>[OMD][CDP] xin quyền read database production</t>
  </si>
  <si>
    <t>2025-09-12T11:46:33.313+0700</t>
  </si>
  <si>
    <t>2025-09-12T15:34:43.950+0700</t>
  </si>
  <si>
    <t>Dear  @Trần Trương Dương   Để thuận tiện cho việc trace bug production Xin quyền read database CDP production cho các tài khoản:  chaucv@onemount.com ,  thanhtt25@onemount.com ,  anhtn5@onemount.com</t>
  </si>
  <si>
    <t>V/v Testing Upgrade MySQL Version 8.0 lên 8.4 trên Non PROD</t>
  </si>
  <si>
    <t>2025-09-12T11:23:45.476+0700</t>
  </si>
  <si>
    <t>2025-09-24T09:43:36.041+0700</t>
  </si>
  <si>
    <t>Thử nghiệm testing upgrade MySQL version từ 8.0 lên 8.4 trên môi trường Playground</t>
  </si>
  <si>
    <t>2025-09-12T11:22:35.286+0700</t>
  </si>
  <si>
    <t>2025-09-13T10:24:53.238+0700</t>
  </si>
  <si>
    <t>2025-09-11T18:03:21.182+0700</t>
  </si>
  <si>
    <t>2025-09-12T02:36:18.483+0700</t>
  </si>
  <si>
    <t xml:space="preserve">Dear team DBA Do vận hành thay đổi cấu hình phương thức thanh toán nhờ team xóa giúp em cache theo thông tin sau ạ key :  ecom:order-orchestrator:get_merchant_payment_config::SimpleKey [SNG,SNG,SNG,ONERETAILS,GSM,NEWCHECKOUT] host :  vincart-prod--cache.memstore.int port : 6379 database : 0 CR:   </t>
  </si>
  <si>
    <t>Thay đổi unique key cho bảng L01_TINHTHANH trên rimsprod (172.31.4.18)</t>
  </si>
  <si>
    <t>2025-09-11T17:21:49.818+0700</t>
  </si>
  <si>
    <t>2025-09-11T17:25:17.689+0700</t>
  </si>
  <si>
    <t>Dear anh/chị, Hiện tại hệ thống RIMs bên Techcombank vừa go live theo đơn vị hành chính mới, do đó bảng L01_TINHTHANH có phát sinh các tỉnh thành mới sát nhập, các tỉnh thành này phát sinh bản ghi mới, tuy nhiên vẫn trùng tên với tỉnh thành cũ. Hiện tại bảng L01_TINHTHANH trên database đang đánh unique trên trường TENTINHTHANH1 khiến cho job data daily đổ sang bị lỗi. Bên Techcombank cũng đang bắt đầu tiến hành cập nhật lại luồng data này nên sẽ có plan để align các cột mới, index, unique key qua bên OM sau.  Do đó trong thời gian luồng data bên TCB chưa cập nhật, nhờ anh/chị  xóa giúp em unique key hiện tại của bảng L01_TINHTHANH  để job daily chạy được bình thường ạ. Thông tin DB: 'Server=172.31.4.18;' 'Database=rimsprod;'dung</t>
  </si>
  <si>
    <t xml:space="preserve">[SOFTPOS] Cập nhập thông tin bị thiếu cho luồng đồng bộ merchant </t>
  </si>
  <si>
    <t>2025-09-11T16:12:51.899+0700</t>
  </si>
  <si>
    <t>2025-09-11T16:13:01.147+0700</t>
  </si>
  <si>
    <t>OPS-Service</t>
  </si>
  <si>
    <t>Hi a  @Nguyễn Văn Dũng , nhờ a run giúp e query bên dưới với ạ Thông tin database saas_tpay:  pay-tidb.int.onemount.com:4000/saas_tpay CR:  Script UPDATE MERCHANT SET VA_NAME_OPTION = 'FULL_NAME2' WHERE MERCHANT_CODE IN ('NCC9Q428');
UPDATE MERCHANT
SET VA_NAME_OPTION = 'FULL_NAME1'
WHERE partner_id NOT IN ('OME', 'OMEPL', 'OMEWCM')
  AND VA_NAME_OPTION is null
  AND TPAY_MERCHANT_ID is null
limit 200000;
UPDATE MERCHANT
SET VA_NAME_OPTION = 'FULL_NAME1'
WHERE partner_id NOT IN ('OME', 'OMEPL', 'OMEWCM')
  AND VA_NAME_OPTION is null
  AND TPAY_MERCHANT_ID is null
limit 200000;
UPDATE MERCHANT
SET VA_NAME_OPTION = 'FULL_NAME1'
WHERE partner_id NOT IN ('OME', 'OMEPL', 'OMEWCM')
  AND VA_NAME_OPTION is null
  AND TPAY_MERCHANT_ID is null
limit 200000;
UPDATE ACCOUNT t1
    JOIN service_account sa ON t1.id = sa.ACCOUNT_ID
    JOIN service s ON sa.service_id = s.id
    JOIN (SELECT a.MERCHANT_CODE, a.ACCOUNT_NUMBER, s.SERVICE_CODE
          FROM ACCOUNT a
                   JOIN service_account sa ON a.id = sa.ACCOUNT_ID
                   JOIN service s ON sa.service_id = s.id
          WHERE a.ACCOUNT_BY_PURPOSE = 'COLLECTION'
            and a.CREATED_BY = 'UNIFIED_MERCHANT_SERVICE') t2 ON t1.MERCHANT_CODE = t2.MERCHANT_CODE and
                                                                 t2.SERVICE_CODE = s.SERVICE_CODE
SET t1.ACCOUNT_NUMBER = t2.ACCOUNT_NUMBER
WHERE t1.ACCOUNT_BY_PURPOSE IN ('FEE', 'REFUND')
  and t1.CREATED_BY = 'UNIFIED_MERCHANT_SERVICE'
  and t1.ACCOUNT_NUMBER = ''
  AND s.service_code IN ('TQR', 'MQR')
LIMIT 200000;
UPDATE ACCOUNT t1
    JOIN service_account sa ON t1.id = sa.ACCOUNT_ID
    JOIN service s ON sa.service_id = s.id
    JOIN (SELECT a.MERCHANT_CODE, a.ACCOUNT_NUMBER, s.SERVICE_CODE
          FROM ACCOUNT a
                   JOIN service_account sa ON a.id = sa.ACCOUNT_ID
                   JOIN service s ON sa.service_id = s.id
          WHERE a.ACCOUNT_BY_PURPOSE = 'COLLECTION'
            and a.CREATED_BY = 'UNIFIED_MERCHANT_SERVICE') t2 ON t1.MERCHANT_CODE = t2.MERCHANT_CODE and
                                                                 t2.SERVICE_CODE = s.SERVICE_CODE
SET t1.ACCOUNT_NUMBER = t2.ACCOUNT_NUMBER
WHERE t1.ACCOUNT_BY_PURPOSE IN ('FEE', 'REFUND')
  and t1.CREATED_BY = 'UNIFIED_MERCHANT_SERVICE'
  and t1.ACCOUNT_NUMBER = ''
  AND s.service_code IN ('TQR', 'MQR')
LIMIT 200000;
UPDATE ACCOUNT t1
    JOIN service_account sa ON t1.id = sa.ACCOUNT_ID
    JOIN service s ON sa.service_id = s.id
    JOIN (SELECT a.MERCHANT_CODE, a.ACCOUNT_NUMBER, s.SERVICE_CODE
          FROM ACCOUNT a
                   JOIN service_account sa ON a.id = sa.ACCOUNT_ID
                   JOIN service s ON sa.service_id = s.id
          WHERE a.ACCOUNT_BY_PURPOSE = 'COLLECTION'
            and a.CREATED_BY = 'UNIFIED_MERCHANT_SERVICE') t2 ON t1.MERCHANT_CODE = t2.MERCHANT_CODE and
                                                                 t2.SERVICE_CODE = s.SERVICE_CODE
SET t1.ACCOUNT_NUMBER = t2.ACCOUNT_NUMBER
WHERE t1.ACCOUNT_BY_PURPOSE IN ('FEE', 'REFUND')
  and t1.CREATED_BY = 'UNIFIED_MERCHANT_SERVICE'
  and t1.ACCOUNT_NUMBER = ''
  AND s.service_code IN ('TQR', 'MQR')
LIMIT 200000;
UPDATE ACCOUNT t1
    JOIN service_account sa ON t1.id = sa.ACCOUNT_ID
    JOIN service s ON sa.service_id = s.id
    JOIN (SELECT a.MERCHANT_CODE, a.ACCOUNT_NUMBER, s.SERVICE_CODE
          FROM ACCOUNT a
                   JOIN service_account sa ON a.id = sa.ACCOUNT_ID
                   JOIN service s ON sa.service_id = s.id
          WHERE a.ACCOUNT_BY_PURPOSE = 'COLLECTION'
            and a.CREATED_BY = 'UNIFIED_MERCHANT_SERVICE') t2 ON t1.MERCHANT_CODE = t2.MERCHANT_CODE and
                                                                 t2.SERVICE_CODE = s.SERVICE_CODE
SET t1.ACCOUNT_NUMBER = t2.ACCOUNT_NUMBER
WHERE t1.ACCOUNT_BY_PURPOSE IN ('FEE', 'REFUND')
  and t1.CREATED_BY = 'UNIFIED_MERCHANT_SERVICE'
  and t1.ACCOUNT_NUMBER = ''
  AND s.service_code IN ('TQR', 'MQR')
LIMIT 200000;
UPDATE ACCOUNT t1
    JOIN service_account sa ON t1.id = sa.ACCOUNT_ID
    JOIN service s ON sa.service_id = s.id
    JOIN (SELECT a.MERCHANT_CODE, a.ACCOUNT_NUMBER, s.SERVICE_CODE
          FROM ACCOUNT a
                   JOIN service_account sa ON a.id = sa.ACCOUNT_ID
                   JOIN service s ON sa.service_id = s.id
          WHERE a.ACCOUNT_BY_PURPOSE = 'COLLECTION'
            and a.CREATED_BY = 'UNIFIED_MERCHANT_SERVICE') t2 ON t1.MERCHANT_CODE = t2.MERCHANT_CODE and
                                                                 t2.SERVICE_CODE = s.SERVICE_CODE
SET t1.ACCOUNT_NUMBER = t2.ACCOUNT_NUMBER
WHERE t1.ACCOUNT_BY_PURPOSE IN ('FEE', 'REFUND')
  and t1.CREATED_BY = 'UNIFIED_MERCHANT_SERVICE'
  and t1.ACCOUNT_NUMBER = ''
  AND s.service_code IN ('TQR', 'MQR')
LIMIT 200000;
UPDATE ACCOUNT t1
    JOIN service_account sa ON t1.id = sa.ACCOUNT_ID
    JOIN service s ON sa.service_id = s.id
    JOIN (SELECT a.MERCHANT_CODE, a.ACCOUNT_NUMBER, s.SERVICE_CODE
          FROM ACCOUNT a
                   JOIN service_account sa ON a.id = sa.ACCOUNT_ID
                   JOIN service s ON sa.service_id = s.id
          WHERE a.ACCOUNT_BY_PURPOSE = 'COLLECTION'
            and a.CREATED_BY = 'UNIFIED_MERCHANT_SERVICE') t2 ON t1.MERCHANT_CODE = t2.MERCHANT_CODE and
                                                                 t2.SERVICE_CODE = s.SERVICE_CODE
SET t1.ACCOUNT_NUMBER = t2.ACCOUNT_NUMBER
WHERE t1.ACCOUNT_BY_PURPOSE IN ('FEE', 'REFUND')
  and t1.CREATED_BY = 'UNIFIED_MERCHANT_SERVICE'
  and t1.ACCOUNT_NUMBER = ''
  AND s.service_code IN ('TQR', 'MQR')
LIMIT 200000;
UPDATE ACCOUNT t1
    JOIN service_account sa ON t1.id = sa.ACCOUNT_ID
    JOIN service s ON sa.service_id = s.id
    JOIN (SELECT a.MERCHANT_CODE, a.ACCOUNT_NUMBER, s.SERVICE_CODE
          FROM ACCOUNT a
                   JOIN service_account sa ON a.id = sa.ACCOUNT_ID
                   JOIN service s ON sa.service_id = s.id
          WHERE a.ACCOUNT_BY_PURPOSE = 'COLLECTION'
            and a.CREATED_BY = 'UNIFIED_MERCHANT_SERVICE') t2 ON t1.MERCHANT_CODE = t2.MERCHANT_CODE and
                                                                 t2.SERVICE_CODE = s.SERVICE_CODE
SET t1.ACCOUNT_NUMBER = t2.ACCOUNT_NUMBER
WHERE t1.ACCOUNT_BY_PURPOSE IN ('FEE', 'REFUND')
  and t1.CREATED_BY = 'UNIFIED_MERCHANT_SERVICE'
  and t1.ACCOUNT_NUMBER = ''
  AND s.service_code IN ('TQR', 'MQR')
LIMIT 200000;
UPDATE ACCOUNT t1
    JOIN service_account sa ON t1.id = sa.ACCOUNT_ID
    JOIN service s ON sa.service_id = s.id
    JOIN (SELECT a.MERCHANT_CODE, a.ACCOUNT_NUMBER, s.SERVICE_CODE
          FROM ACCOUNT a
                   JOIN service_account sa ON a.id = sa.ACCOUNT_ID
                   JOIN service s ON sa.service_id = s.id
          WHERE a.ACCOUNT_BY_PURPOSE = 'COLLECTION'
            and a.CREATED_BY = 'UNIFIED_MERCHANT_SERVICE') t2 ON t1.MERCHANT_CODE = t2.MERCHANT_CODE and
                                                                 t2.SERVICE_CODE = s.SERVICE_CODE
SET t1.ACCOUNT_NUMBER = t2.ACCOUNT_NUMBER
WHERE t1.ACCOUNT_BY_PURPOSE IN ('FEE', 'REFUND')
  and t1.CREATED_BY = 'UNIFIED_MERCHANT_SERVICE'
  and t1.ACCOUNT_NUMBER = ''
  AND s.service_code IN ('TQR', 'MQR')
LIMIT 200000;
UPDATE ACCOUNT t1
    JOIN service_account sa ON t1.id = sa.ACCOUNT_ID
    JOIN service s ON sa.service_id = s.id
    JOIN (SELECT a.MERCHANT_CODE, a.ACCOUNT_NUMBER, s.SERVICE_CODE
          FROM ACCOUNT a
                   JOIN service_account sa ON a.id = sa.ACCOUNT_ID
                   JOIN service s ON sa.service_id = s.id
          WHERE a.ACCOUNT_BY_PURPOSE = 'COLLECTION'
            and a.CREATED_BY = 'UNIFIED_MERCHANT_SERVICE') t2 ON t1.MERCHANT_CODE = t2.MERCHANT_CODE and
                                                                 t2.SERVICE_CODE = s.SERVICE_CODE
SET t1.ACCOUNT_NUMBER = t2.ACCOUNT_NUMBER
WHERE t1.ACCOUNT_BY_PURPOSE IN ('FEE', 'REFUND')
  and t1.CREATED_BY = 'UNIFIED_MERCHANT_SERVICE'
  and t1.ACCOUNT_NUMBER = ''
  AND s.service_code IN ('TQR', 'MQR')
LIMIT 200000;
UPDATE ACCOUNT t1
    JOIN service_account sa ON t1.id = sa.ACCOUNT_ID
    JOIN service s ON sa.service_id = s.id
    JOIN (SELECT a.MERCHANT_CODE, a.ACCOUNT_NUMBER, s.SERVICE_CODE
          FROM ACCOUNT a
                   JOIN service_account sa ON a.id = sa.ACCOUNT_ID
                   JOIN service s ON sa.service_id = s.id
          WHERE a.ACCOUNT_BY_PURPOSE = 'COLLECTION'
            and a.CREATED_BY = 'UNIFIED_MERCHANT_SERVICE') t2 ON t1.MERCHANT_CODE = t2.MERCHANT_CODE and
                                                                 t2.SERVICE_CODE = s.SERVICE_CODE
SET t1.ACCOUNT_NUMBER = t2.ACCOUNT_NUMBER
WHERE t1.ACCOUNT_BY_PURPOSE IN ('FEE', 'REFUND')
  and t1.CREATED_BY = 'UNIFIED_MERCHANT_SERVICE'
  and t1.ACCOUNT_NUMBER = ''
  AND s.service_code IN ('TQR', 'MQR')
LIMIT 200000;
UPDATE ACCOUNT t1
    JOIN service_account sa ON t1.id = sa.ACCOUNT_ID
    JOIN service s ON sa.service_id = s.id
    JOIN (SELECT a.MERCHANT_CODE, a.ACCOUNT_NUMBER, s.SERVICE_CODE
          FROM ACCOUNT a
                   JOIN service_account sa ON a.id = sa.ACCOUNT_ID
                   JOIN service s ON sa.service_id = s.id
          WHERE a.ACCOUNT_BY_PURPOSE = 'COLLECTION'
            and a.CREATED_BY = 'UNIFIED_MERCHANT_SERVICE') t2 ON t1.MERCHANT_CODE = t2.MERCHANT_CODE and
                                                                 t2.SERVICE_CODE = s.SERVICE_CODE
SET t1.ACCOUNT_NUMBER = t2.ACCOUNT_NUMBER
WHERE t1.ACCOUNT_BY_PURPOSE IN ('FEE', 'REFUND')
  and t1.CREATED_BY = 'UNIFIED_MERCHANT_SERVICE'
  and t1.ACCOUNT_NUMBER = ''
  AND s.service_code IN ('TQR', 'MQR')
LIMIT 200000;
UPDATE ACCOUNT t1
    JOIN service_account sa ON t1.id = sa.ACCOUNT_ID
    JOIN service s ON sa.service_id = s.id
    JOIN (SELECT a.MERCHANT_CODE, a.ACCOUNT_NUMBER, s.SERVICE_CODE
          FROM ACCOUNT a
                   JOIN service_account sa ON a.id = sa.ACCOUNT_ID
                   JOIN service s ON sa.service_id = s.id
          WHERE a.ACCOUNT_BY_PURPOSE = 'COLLECTION'
            and a.CREATED_BY = 'UNIFIED_MERCHANT_SERVICE') t2 ON t1.MERCHANT_CODE = t2.MERCHANT_CODE and
                                                                 t2.SERVICE_CODE = s.SERVICE_CODE
SET t1.ACCOUNT_NUMBER = t2.ACCOUNT_NUMBER
WHERE t1.ACCOUNT_BY_PURPOSE IN ('FEE', 'REFUND')
  and t1.CREATED_BY = 'UNIFIED_MERCHANT_SERVICE'
  and t1.ACCOUNT_NUMBER = ''
  AND s.service_code IN ('TQR', 'MQR')
LIMIT 200000;</t>
  </si>
  <si>
    <t xml:space="preserve">Hỗ trợ phân quyền select DB omc-mtp-tidb trên Dremio </t>
  </si>
  <si>
    <t>2025-09-11T15:59:02.001+0700</t>
  </si>
  <si>
    <t>2025-09-11T15:59:18.857+0700</t>
  </si>
  <si>
    <t>Dear Anh/Chị team DBA, Team IT247 xin quyền select trên Dremio để hỗ trợ khai thác dữ liệu phục vụ vận hành Thông tin truy cập: URI: omc-mtp-tidb.int.onemount.com:4000
SCHEMA: omc_mtp_martech_activation
TABLE: mtp_tracking_sms_vendor_communications Group Dremio IT247:  dremio.om.vhud-group Các user gồm: nhatntt thanhdv19 dungnt96 huong.le3 tung.hoang2 kien.nguyen12 hoang.phan cuong.nguyen8 hoapd1 Trân trọng.</t>
  </si>
  <si>
    <t>[OMC][PS2][Prod] Hỗ trợ đối soát báo cáo tuần W20 cho campaign Spin to Win</t>
  </si>
  <si>
    <t>2025-09-11T12:36:25.170+0700</t>
  </si>
  <si>
    <t>2025-09-11T14:33:09.114+0700</t>
  </si>
  <si>
    <t>Hỗ trợ đối soát báo cáo W20 cho campaign Spin to Win Host:  172.31.4.75 Db:  promo_gamezone Query: Lấy danh sách tổng hợp lượt từ 2 campaign Spin to Win + challenge SELECT DISTINCT(customer_id) FROM rule_logs WHERE campaign_id = 57;</t>
  </si>
  <si>
    <t>[DBA] nhận bàn giao hỗ trợ OMRE</t>
  </si>
  <si>
    <t>2025-09-11T12:18:23.045+0700</t>
  </si>
  <si>
    <t>2025-11-03T09:58:38.720+0700</t>
  </si>
  <si>
    <t xml:space="preserve"> nhận bàn giao hỗ trợ OMRE</t>
  </si>
  <si>
    <t>[SOFTPOS] Backup, xóa dữ liệu store, terminal, service cho luồng đồng bộ unified merchant</t>
  </si>
  <si>
    <t>2025-09-10T18:48:50.080+0700</t>
  </si>
  <si>
    <t>2025-09-10T18:49:04.743+0700</t>
  </si>
  <si>
    <t>Hi a  @Nguyễn Văn Dũng  , nhờ a chạy giúp e script bên dưới với ạ Thông tin database saas_tpay:  pay-tidb.int.onemount.com:4000/saas_tpay CR:    Script CREATE TABLE IF NOT EXISTS BACKUP_27254_STORE LIKE STORE;
CREATE TABLE IF NOT EXISTS BACKUP_27254_SERVICE LIKE SERVICE;
CREATE TABLE IF NOT EXISTS BACKUP_27254_TERMINAL LIKE TERMINAL;
INSERT INTO BACKUP_27254_TERMINAL SELECT * FROM TERMINAL;
INSERT INTO BACKUP_27254_SERVICE SELECT * FROM SERVICE;
INSERT INTO BACKUP_27254_STORE SELECT * FROM STORE;
DELETE
FROM STORE s
WHERE s.TPAY_STORE_ID IS NULL and CREATED_AT &gt;= '2025-08-25 00:00:00'
  AND s.merchant_code NOT IN (
    SELECT m.merchant_code
    FROM MERCHANT m
    WHERE m.partner_id IN ('OME', 'OMEPL', 'OMEWCM', 'ONEMOUNT')
) LIMIT 150000;
DELETE
FROM STORE s
WHERE s.TPAY_STORE_ID IS NULL and CREATED_AT &gt;= '2025-08-25 00:00:00'
  AND s.merchant_code NOT IN (
    SELECT m.merchant_code
    FROM MERCHANT m
    WHERE m.partner_id IN ('OME', 'OMEPL', 'OMEWCM', 'ONEMOUNT')
) LIMIT 150000;
DELETE
FROM STORE s
WHERE s.TPAY_STORE_ID IS NULL and CREATED_AT &gt;= '2025-08-25 00:00:00'
  AND s.merchant_code NOT IN (
    SELECT m.merchant_code
    FROM MERCHANT m
    WHERE m.partner_id IN ('OME', 'OMEPL', 'OMEWCM', 'ONEMOUNT')
) LIMIT 150000;
DELETE
FROM STORE s
WHERE s.TPAY_STORE_ID IS NULL and CREATED_AT &gt;= '2025-08-25 00:00:00'
  AND s.merchant_code NOT IN (
    SELECT m.merchant_code
    FROM MERCHANT m
    WHERE m.partner_id IN ('OME', 'OMEPL', 'OMEWCM', 'ONEMOUNT')
) LIMIT 200000;
DELETE
FROM SERVICE s
WHERE s.SERVICE_CODE IN ('TQR', 'MQR')
  and s.CREATED_AT &gt;= '2025-08-25 00:00:00'
  and s.CREATED_BY = 'UNIFIED_MERCHANT_SERVICE'
  and s.STORE_CODE IS NOT NULL
  AND s.merchant_code NOT IN (SELECT m.merchant_code
                              FROM MERCHANT m
                              WHERE m.partner_id IN ('OME', 'OMEPL', 'OMEWCM', 'ONEMOUNT'))
LIMIT 200000;
DELETE
FROM SERVICE s
WHERE s.SERVICE_CODE IN ('TQR', 'MQR')
  and s.CREATED_AT &gt;= '2025-08-25 00:00:00'
  and s.CREATED_BY = 'UNIFIED_MERCHANT_SERVICE'
  and s.STORE_CODE IS NOT NULL
  AND s.merchant_code NOT IN (SELECT m.merchant_code
                              FROM MERCHANT m
                              WHERE m.partner_id IN ('OME', 'OMEPL', 'OMEWCM', 'ONEMOUNT'))
LIMIT 200000;
DELETE
FROM SERVICE s
WHERE s.SERVICE_CODE IN ('TQR', 'MQR')
  and s.CREATED_AT &gt;= '2025-08-25 00:00:00'
  and s.CREATED_BY = 'UNIFIED_MERCHANT_SERVICE'
  and s.STORE_CODE IS NOT NULL
  AND s.merchant_code NOT IN (SELECT m.merchant_code
                              FROM MERCHANT m
                              WHERE m.partner_id IN ('OME', 'OMEPL', 'OMEWCM', 'ONEMOUNT'))
LIMIT 200000;
DELETE
FROM SERVICE s
WHERE s.SERVICE_CODE IN ('TQR', 'MQR')
  and s.CREATED_AT &gt;= '2025-08-25 00:00:00'
  and s.CREATED_BY = 'UNIFIED_MERCHANT_SERVICE'
  and s.STORE_CODE IS NOT NULL
  AND s.merchant_code NOT IN (SELECT m.merchant_code
                              FROM MERCHANT m
                              WHERE m.partner_id IN ('OME', 'OMEPL', 'OMEWCM', 'ONEMOUNT'))
LIMIT 200000;
DELETE
FROM SERVICE s
WHERE s.SERVICE_CODE IN ('TQR', 'MQR')
  and s.CREATED_AT &gt;= '2025-08-25 00:00:00'
  and s.CREATED_BY = 'UNIFIED_MERCHANT_SERVICE'
  and s.STORE_CODE IS NOT NULL
  AND s.merchant_code NOT IN (SELECT m.merchant_code
                              FROM MERCHANT m
                              WHERE m.partner_id IN ('OME', 'OMEPL', 'OMEWCM', 'ONEMOUNT'))
LIMIT 200000;
DELETE
FROM SERVICE s
WHERE s.SERVICE_CODE IN ('TQR', 'MQR')
  and s.CREATED_AT &gt;= '2025-08-25 00:00:00'
  and s.CREATED_BY = 'UNIFIED_MERCHANT_SERVICE'
  and s.STORE_CODE IS NOT NULL
  AND s.merchant_code NOT IN (SELECT m.merchant_code
                              FROM MERCHANT m
                              WHERE m.partner_id IN ('OME', 'OMEPL', 'OMEWCM', 'ONEMOUNT'))
LIMIT 200000;
DELETE
FROM SERVICE s
WHERE s.SERVICE_CODE IN ('TQR', 'MQR')
  and s.CREATED_AT &gt;= '2025-08-25 00:00:00'
  and s.CREATED_BY = 'UNIFIED_MERCHANT_SERVICE'
  and s.STORE_CODE IS NOT NULL
  AND s.merchant_code NOT IN (SELECT m.merchant_code
                              FROM MERCHANT m
                              WHERE m.partner_id IN ('OME', 'OMEPL', 'OMEWCM', 'ONEMOUNT'))
LIMIT 200000;
DELETE
FROM SERVICE s
WHERE s.SERVICE_CODE IN ('TQR', 'MQR')
  and s.CREATED_AT &gt;= '2025-08-25 00:00:00'
  and s.CREATED_BY = 'UNIFIED_MERCHANT_SERVICE'
  and s.STORE_CODE IS NOT NULL
  AND s.merchant_code NOT IN (SELECT m.merchant_code
                              FROM MERCHANT m
                              WHERE m.partner_id IN ('OME', 'OMEPL', 'OMEWCM', 'ONEMOUNT'))
LIMIT 200000;
DELETE
FROM TERMINAL t
WHERE t.TPAY_TERMINAL_ID IS NULL
  AND t.CREATED_AT &gt;= '2025-08-25 00:00:00'
  AND t.merchant_code NOT IN (
    SELECT m.merchant_code
    FROM MERCHANT m
    WHERE m.partner_id IN ('OME', 'OMEPL', 'OMEWCM', 'ONEMOUNT')
);</t>
  </si>
  <si>
    <t>[OMC][CDP] Update dữ liệu attribute số dư ví</t>
  </si>
  <si>
    <t>2025-09-10T18:44:35.720+0700</t>
  </si>
  <si>
    <t>2025-09-10T18:44:42.451+0700</t>
  </si>
  <si>
    <t>Dear anh  @Nguyễn Văn Dũng  , nhờ anh chạy giúp em script sau: DB:  tidb.int.onemount.com:4000 Schema:  dp_omc_semantic_omc_bsi_cdp DELETE FROM dp_omc_semantic_omc_bsi_cdp.f_customer_label
WHERE label_code = 'mtp_custom_vinid_balance';   Best regards Dinh Quang Nguyen</t>
  </si>
  <si>
    <t>2025-09-10T17:09:28.068+0700</t>
  </si>
  <si>
    <t>2025-09-10T17:15:08.246+0700</t>
  </si>
  <si>
    <t>Dear Team DAB, Nhờ team chạy các sql sau để delete data cho các bảng sau ạ :   DELETE FROM OLOYALTY.MEMBER_INFO_VERSIONING miv WHERE (miv.VERSION_DATE &gt; 20250901 AND  miv.VERSION_DATE &lt;= 20250909);
DELETE FROM OLOYALTY.CUSTOMER_CARD_INFO_VERSIONING cciv WHERE  (cciv.VERSION_DATE &gt; 20250901 AND  cciv.VERSION_DATE &lt;= 20250909);
DELETE FROM OLOYALTY.CUSTOMER_PROFILE_VERSIONING cpv WHERE  (cpv.VERSION_DATE &gt; 20250901 AND  cpv.VERSION_DATE &lt;= 20250909);
DELETE FROM OLOYALTY.CUSTOMER_PRODUCT_INFO_VERSIONING cpiv WHERE  (cpiv.VERSION_DATE &gt; 20250901 AND  cpiv.VERSION_DATE &lt;= 20250909);</t>
  </si>
  <si>
    <t>[OMD-OFS] [Prod] Tạo kafka topic cho các bảng của OFS</t>
  </si>
  <si>
    <t>2025-09-10T16:06:20.009+0700</t>
  </si>
  <si>
    <t>2025-09-22T10:43:24.130+0700</t>
  </si>
  <si>
    <t>Dear anh Linh và đội DBA, Hiện tại, OMD có nhu cầu kéo dữ liệu các bảng sau từ OFS về Data Platform để xây dựng model, nhờ anh Linh tạo kafka topic ở môi trường PROD giúp team để kéo data về DP ạ! Thông tin tạo Kafka Topic Schema :  b2b_ofs (MySQL) IP : 172.31.1.143:3306 Tables: geo_area_district geo_area_province geo_area_ward Thanks and regards! cong.do1</t>
  </si>
  <si>
    <t>[Merchant-OM][CMS] Hỗ trợ export dữ liệu</t>
  </si>
  <si>
    <t>2025-09-10T15:29:57.338+0700</t>
  </si>
  <si>
    <t>2025-09-10T16:03:13.641+0700</t>
  </si>
  <si>
    <t>Dear team, Để phục vụ rebranding VinShop sang OneShop, team dự án cần rà soát/ thay đổi các nơi lưu data có chứa keyword VinShop. Script test với dữ liệu non-prod đã xong, team dự án cần test với dữ liệu trên prod. Nên nhờ DBA hỗ trợ export dữ liệu ạ. Thông tin database MONGO_DB_HOST: 10.255.24.63:27017,10.255.24.64:27017,10.255.24.65:27017
MONGO_DB_NAME: vinshop-cms Thông tin export Các collection có prefix là: vinshop.* vinshop-seo.* vinshop-events.*</t>
  </si>
  <si>
    <t>[PROD][RIMS][OMRE] Thêm cột cho các bảng RIMS</t>
  </si>
  <si>
    <t>2025-09-10T14:43:04.422+0700</t>
  </si>
  <si>
    <t>2025-09-10T16:21:24.215+0700</t>
  </si>
  <si>
    <t>OMRE, RIMS</t>
  </si>
  <si>
    <t>Dear các anh. DE OMRE đang có nhu cầu kéo data RIMS về dataplatform nên đang cần thêm cột ghi lại thời gian insert vào db. Nên mong các anh hỗ trợ em thêm cột có thông tin: Tên: ‘INSERTDATETIME’ Kiểu dữ liệu: ‘Datetime’ Format: ‘yyyy-mm-dd hh24:mm:ss’ Config: 'Default CURRENT_TIMESTAMP' Các bảng thêm cột bao gồm: + V_MB_CT_RP_01 + V_MB_CT_RP_02 + V_MB_CT_RP_03 + V_MB_CT_RP_04 + V_MB_CT_RP_05 + V_MB_CT_RP_06 + V_MB_CT_RP_07 + V_MB_CT_RP_08 + V_MB_CT_RP_09 + V_MB_TV_RP_01 + V_MB_TV_RP_02 + V_MB_TV_RP_03 + V_MB_TV_RP_08 + V_MB_TV_RP_09 + V_MB_RP_PPCHIPHI_CT01 + V_MB_RP_PPCHIPHI_TV09 + V_MB_RP_PPCHIPHI_TV01 E xin cảm ơn.</t>
  </si>
  <si>
    <t>2025-09-10T12:35:19.450+0700</t>
  </si>
  <si>
    <t>2025-09-10T12:52:54.232+0700</t>
  </si>
  <si>
    <t>Hỗ trợ đối soát báo cáo W20 cho campaign Spin to Win Host:  172.31.4.75 Db:  promo_gamezone Query: Lấy danh sách tổng hợp lượt từ 2 campaign Spin to Win + challenge SELECT customer_id, SUM(claim_amount) FROM rule_logs WHERE campaign_id = 57 GROUP BY customer_id; Lấy danh sách bắn event đối soát lượt sang AE+ của TCB SELECT customer_id, user_id, req_id, ticket_total, `status` FROM `week_tickets` WHERE campaign_id = 57;</t>
  </si>
  <si>
    <t>Hỗ trợ xoá dữ liệu kho 8196 - Long An, 8197 - Tiền Giang, 8110 - Kiên Giang, 8113 - Bạc Liêu, 8114 - Hậu Giang</t>
  </si>
  <si>
    <t>2025-09-10T10:38:47.180+0700</t>
  </si>
  <si>
    <t>2025-09-11T09:51:57.999+0700</t>
  </si>
  <si>
    <t>Hi DBA team,  Hiện tại nghiệp vụ không có nhu cầu sử dụng một số kho như sau:  kho 8196 - Long An, 8197 - Tiền Giang, 8110 - Kiên Giang, 8113 - Bạc Liêu, 8114 - Hậu Giang,  nhờ team DBA hỗ trợ cập nhật giá trị theo thông tin dưới đây           Cụm WMS Project : vinid-b2b-platform-prod Instance/IP : main (read-write): 172.31.4.59 Port : 3306 Database : omd_wms_core Script : file  omd_wms_core.sql  trong file đính kèm Cum WES Project : vinid-b2b-platform-prod Instance/IP : main (read-write): 172.31.1.143 Port : 3306 Database : wes_master Script : file  wes_master.sql  trong file đính kèm Câu query đánh giá là có thể ảnh hưởng đến vận hành hệ thống nên mong muốn chạy vào thời gian vận hành thấp điểm (từ 22h-2h sáng).</t>
  </si>
  <si>
    <t>[OMD][WES] Hỗ trợ cập nhật dữ liệu trạng thái bản ghi HO/TG 15WV00001133 cho kho 8115</t>
  </si>
  <si>
    <t>2025-09-10T09:24:35.386+0700</t>
  </si>
  <si>
    <t>2025-09-10T17:03:01.279+0700</t>
  </si>
  <si>
    <t>Hi DBA team, Hiện tại có 1 số bản ghi trong Database bị lỗi không cập nhật trạng thái Yêu cầu soạn hàng (HO) và công việc soạn hàng (TG) tương ứng, nhờ team DBA hỗ trợ cập nhật giá trị theo thông tin dưới đây. Project : vinid-b2b-platform-prod Instance/IP : main (read-write): 172.31.1.143 Port : 3306 Database : wes_8115 Query SELECT id into @hols_status_completed 
FROM host_order_line_status  
where code = 'COMPLETED' 
and dc_code = '8115';
SELECT id into @ho_status_completed 
FROM host_order_status 
where code = 'COMPLETED' 
and dc_code = '8115';
select UTC_TIMESTAMP into @utc_now;
UPDATE host_order AS h
JOIN host_order_line AS hol ON h.id = hol.host_order_id
JOIN work_task_info AS wti ON wti.host_order_line_id = hol.id
JOIN task AS t ON t.id = wti.task_id
JOIN (
    SELECT DISTINCT ho.id
    FROM host_order ho 
    JOIN host_order_status hos ON hos.id = ho.status_id
    WHERE ho.last_modified_date BETWEEN '2025-01-01 00:00:00' AND '2025-09-08 00:00:00'
      AND hos.code = 'FULFILLING' 
      AND hos.dc_code = '8115'
    UNION
    SELECT DISTINCT ho.id
    FROM host_order ho
    JOIN host_order_status hos ON hos.id = ho.status_id
    JOIN flat_host_order fho ON fho.order_id = ho.id
    WHERE ho.last_modified_date BETWEEN '2025-01-01 00:00:00' AND '2025-09-08 00:00:00'
      AND hos.code = 'COMPLETED'
      AND fho.status_code != 'COMPLETED'
      AND hos.dc_code = '8115'
) AS ids ON ids.id = h.id
SET
    h.status_id         = @ho_status_completed,
    hol.last_modified_date = @utc_now,
    hol.status_id       = @hols_status_completed ,
    hol.quantity_picked = hol.quantity_requested,
    t.last_modified_date = @utc_now; Câu query đánh giá là an toàn nên có thể thực hiện cập nhật bất kỳ lúc nào mà không ảnh hưởng đến vận hành hệ thống.</t>
  </si>
  <si>
    <t>[OMD][WES] Hỗ trợ cập nhật dữ liệu trạng thái bản ghi HO/TG cho kho 8185</t>
  </si>
  <si>
    <t>2025-09-10T09:23:27.614+0700</t>
  </si>
  <si>
    <t>2025-09-10T17:08:51.200+0700</t>
  </si>
  <si>
    <t>Hi DBA team, Hiện tại có 1 số bản ghi trong Database bị lỗi không cập nhật trạng thái Yêu cầu soạn hàng (HO) và công việc soạn hàng (TG) tương ứng, nhờ team DBA hỗ trợ cập nhật giá trị theo thông tin dưới đây. Project : vinid-b2b-platform-prod Instance/IP : main (read-write): 172.31.1.143 Port : 3306 Database : wes_fm Query SELECT id into @hols_status_completed 
FROM host_order_line_status  
where code = 'COMPLETED' 
and dc_code = '8185';
SELECT id into @ho_status_completed 
FROM host_order_status 
where code = 'COMPLETED' 
and dc_code = '8185';
select UTC_TIMESTAMP into @utc_now;
UPDATE host_order AS h
JOIN host_order_line AS hol ON h.id = hol.host_order_id
JOIN work_task_info AS wti ON wti.host_order_line_id = hol.id
JOIN task AS t ON t.id = wti.task_id
JOIN (
    SELECT DISTINCT ho.id
    FROM host_order ho 
    JOIN host_order_status hos ON hos.id = ho.status_id
    WHERE ho.last_modified_date BETWEEN '2025-01-01 00:00:00' AND '2025-09-08 00:00:00'
      AND hos.code = 'FULFILLING' 
      AND hos.dc_code = '8185'
    UNION
    SELECT DISTINCT ho.id
    FROM host_order ho
    JOIN host_order_status hos ON hos.id = ho.status_id
    JOIN flat_host_order fho ON fho.order_id = ho.id
    WHERE ho.last_modified_date BETWEEN '2025-01-01 00:00:00' AND '2025-09-08 00:00:00'
      AND hos.code = 'COMPLETED'
      AND fho.status_code != 'COMPLETED'
      AND hos.dc_code = '8185'
) AS ids ON ids.id = h.id
SET
    h.status_id         = @ho_status_completed,
    hol.last_modified_date = @utc_now,
    hol.status_id       = @hols_status_completed ,
    hol.quantity_picked = hol.quantity_requested,
    t.last_modified_date = @utc_now; Câu query đánh giá là an toàn nên có thể thực hiện cập nhật bất kỳ lúc nào mà không ảnh hưởng đến vận hành hệ thống.</t>
  </si>
  <si>
    <t>[OMD][WES] Hỗ trợ cập nhật dữ liệu trạng thái bản ghi HO/TG cho kho PHO04</t>
  </si>
  <si>
    <t>2025-09-10T09:21:55.645+0700</t>
  </si>
  <si>
    <t>2025-09-10T17:00:49.415+0700</t>
  </si>
  <si>
    <t>Hi DBA team, Hiện tại có 1 số bản ghi trong Database bị lỗi không cập nhật trạng thái Yêu cầu soạn hàng (HO) và công việc soạn hàng (TG) tương ứng, nhờ team DBA hỗ trợ cập nhật giá trị theo thông tin dưới đây. Project : vinid-b2b-platform-prod Instance/IP : main (read-write): 172.31.1.143 Port : 3306 Database : wes_thuanphong2 Query SELECT id into @hols_status_completed 
FROM host_order_line_status  
where code = 'COMPLETED' 
and dc_code = 'PHO04';
SELECT id into @ho_status_completed 
FROM host_order_status 
where code = 'COMPLETED' 
and dc_code = 'PHO04';
select UTC_TIMESTAMP into @utc_now;
UPDATE host_order AS h
JOIN host_order_line AS hol ON h.id = hol.host_order_id
JOIN work_task_info AS wti ON wti.host_order_line_id = hol.id
JOIN task AS t ON t.id = wti.task_id
JOIN (
    SELECT DISTINCT ho.id
    FROM host_order ho 
    JOIN host_order_status hos ON hos.id = ho.status_id
    WHERE ho.last_modified_date BETWEEN '2025-01-01 00:00:00' AND '2025-09-08 00:00:00'
      AND hos.code = 'FULFILLING' 
      AND hos.dc_code = 'PHO04'
    UNION
    SELECT DISTINCT ho.id
    FROM host_order ho
    JOIN host_order_status hos ON hos.id = ho.status_id
    JOIN flat_host_order fho ON fho.order_id = ho.id
    WHERE ho.last_modified_date BETWEEN '2025-01-01 00:00:00' AND '2025-09-08 00:00:00'
      AND hos.code = 'COMPLETED'
      AND fho.status_code != 'COMPLETED'
      AND hos.dc_code = 'PHO04'
) AS ids ON ids.id = h.id
SET
    h.status_id         = @ho_status_completed,
    hol.last_modified_date = @utc_now,
    hol.status_id       = @hols_status_completed ,
    hol.quantity_picked = hol.quantity_requested,
    t.last_modified_date = @utc_now; Câu query đánh giá là an toàn nên có thể thực hiện cập nhật bất kỳ lúc nào mà không ảnh hưởng đến vận hành hệ thống.</t>
  </si>
  <si>
    <t>2025-09-10T09:16:55.524+0700</t>
  </si>
  <si>
    <t>2025-09-10T09:17:37.043+0700</t>
  </si>
  <si>
    <t>Hi DBA team, Hiện tại có 1 số bản ghi trong Database bị lỗi không cập nhật trạng thái Yêu cầu soạn hàng (HO) và công việc soạn hàng (TG) tương ứng, nhờ team DBA hỗ trợ cập nhật giá trị theo thông tin dưới đây. Project : vinid-b2b-platform-prod Instance/IP : main (read-write): 172.31.1.143 Port : 3306 Database : wes_thuanphong2 Query SELECT id into @hols_status_completed 
FROM host_order_line_status  
where code = 'COMPLETED' 
and dc_code = '8186';
SELECT id into @ho_status_completed 
FROM host_order_status 
where code = 'COMPLETED' 
and dc_code = '8186';
select UTC_TIMESTAMP into @utc_now;
UPDATE host_order AS h
JOIN host_order_line AS hol ON h.id = hol.host_order_id
JOIN work_task_info AS wti ON wti.host_order_line_id = hol.id
JOIN task AS t ON t.id = wti.task_id
JOIN (
    SELECT DISTINCT ho.id
    FROM host_order ho 
    JOIN host_order_status hos ON hos.id = ho.status_id
    WHERE ho.last_modified_date BETWEEN '2025-01-01 00:00:00' AND '2025-09-08 00:00:00'
      AND hos.code = 'FULFILLING' 
      AND hos.dc_code = '8186'
    UNION
    SELECT DISTINCT ho.id
    FROM host_order ho
    JOIN host_order_status hos ON hos.id = ho.status_id
    JOIN flat_host_order fho ON fho.order_id = ho.id
    WHERE ho.last_modified_date BETWEEN '2025-01-01 00:00:00' AND '2025-09-08 00:00:00'
      AND hos.code = 'COMPLETED'
      AND fho.status_code != 'COMPLETED'
      AND hos.dc_code = '8186'
) AS ids ON ids.id = h.id
SET
    h.status_id         = @ho_status_completed,
    hol.last_modified_date = @utc_now,
    hol.status_id       = @hols_status_completed ,
    hol.quantity_picked = hol.quantity_requested,
    t.last_modified_date = @utc_now; Câu query đánh giá là an toàn nên có thể thực hiện cập nhật bất kỳ lúc nào mà không ảnh hưởng đến vận hành hệ thống.</t>
  </si>
  <si>
    <t>[Merchant-TCB] Hỗ trợ xóa dữ liệu không hợp lệ</t>
  </si>
  <si>
    <t>2025-09-09T22:07:10.642+0700</t>
  </si>
  <si>
    <t>2025-09-09T23:03:26.064+0700</t>
  </si>
  <si>
    <t>Dear team, Do vụ sync data từ TCB về ngày 25-27/8 bị lỗi, nên tạo ra nhiều bản ghi không hợp lệ. Nhờ team hỗ trợ xóa ạ. Thời gian chạy: 22h Thông tin database https://console.cloud.google.com/sql/instances/merchant-tcb/overview?inv=1&amp;invt=AbsndA&amp;project=vinid-merchant-prod DB_MYSQL_HOST=172.31.4.108
DB_MYSQL_DATABASE=merchant_service_tcb Câu lệnh 1. Backup các bảng trước khi xóa tpay_request_terminal tpay_terminal_service tpay_terminal tpay_request_store tpay_store_service tpay_store 2. Thực hiện xóa lần lượt theo các lệnh -- Terminal
-- 59,946
DELETE FROM tpay_request_terminal WHERE created_at &gt;= '2025-08-25 15:00:00' AND `source`='TCB';
-- 129,203
DELETE FROM tpay_terminal_service WHERE created_at &gt;= '2025-08-25 15:00:00' AND `source`='TCB';
-- 60,245
DELETE FROM tpay_terminal WHERE created_at &gt;= '2025-08-25 15:00:00' AND `source`='TCB';
-- ==============================================
-- Store
-- 675,619
DELETE FROM tpay_request_store WHERE `created_at` &gt;= '2025-08-25 15:00:00' AND `source`='TCB';
-- 1,259,903
DELETE FROM tpay_store_service WHERE created_at &gt;= '2025-08-25 15:00:00' AND `source`='TCB';
-- 630,144
DELETE FROM tpay_store WHERE `created_at` &gt;= '2025-08-25 15:00:00' AND `source`='TCB';</t>
  </si>
  <si>
    <t>Hỗ trợ new member onboarding (DEV user)</t>
  </si>
  <si>
    <t>2025-09-09T15:41:38.912+0700</t>
  </si>
  <si>
    <t>2025-09-13T12:13:16.178+0700</t>
  </si>
  <si>
    <t>Hỗ trợ hệ thống SAP</t>
  </si>
  <si>
    <t>2025-09-09T15:40:50.537+0700</t>
  </si>
  <si>
    <t>2025-09-22T10:37:11.269+0700</t>
  </si>
  <si>
    <t>B1, MAG, MAS, MTR, SAP, SPV, TC</t>
  </si>
  <si>
    <t>Hỗ trợ hệ thống SAP B1 MAS-MTR-SPV-TC</t>
  </si>
  <si>
    <t>Create alert rules for database (MYSQL-POSTGRES)</t>
  </si>
  <si>
    <t>2025-09-09T15:38:15.881+0700</t>
  </si>
  <si>
    <t>2025-09-20T10:38:02.882+0700</t>
  </si>
  <si>
    <t>[OMD][LitePOS] Fix Update dữ liệu bảng SaleOrderEntry DB litePOS OMS PROD</t>
  </si>
  <si>
    <t>2025-09-09T09:31:06.722+0700</t>
  </si>
  <si>
    <t>2025-09-09T09:32:23.480+0700</t>
  </si>
  <si>
    <t>Nhờ anh cập nhật dữ liệu giúp team theo câu lệnh sau ạ: UPDATE SaleOrderEntry SET costPrice = 23750 WHERE id = 24041;
UPDATE SaleOrderEntry SET costPrice = 26400 WHERE id = 24042;
UPDATE SaleOrderEntry SET costPrice = 6600  WHERE id = 24043;
UPDATE SaleOrderEntry SET costPrice = 6250  WHERE id = 24044;
UPDATE SaleOrderEntry SET costPrice = 1833  WHERE id = 24045;
UPDATE SaleOrderEntry SET costPrice = 20000 WHERE id = 24046;
UPDATE SaleOrderEntry SET costPrice = 6900  WHERE id = 24047;
UPDATE SaleOrderEntry SET costPrice = 17675 WHERE id = 24048;
UPDATE SaleOrderEntry SET costPrice = 11167 WHERE id = 24049;
UPDATE SaleOrderEntry SET costPrice = 8500  WHERE id = 24050;
UPDATE SaleOrderEntry SET costPrice = 5500  WHERE id = 24051;
UPDATE SaleOrderEntry SET costPrice = 18542 WHERE id = 24052;
UPDATE SaleOrderEntry SET costPrice = 28854 WHERE id = 24053;
UPDATE SaleOrderEntry SET costPrice = 7000  WHERE id = 24055;
UPDATE SaleOrderEntry SET costPrice = 30278 WHERE id = 24056;
UPDATE SaleOrderEntry SET costPrice = 143750 WHERE id = 24057;
UPDATE SaleOrderEntry SET costPrice = 153750 WHERE id = 24058;
UPDATE SaleOrderEntry SET costPrice = 5236  WHERE id = 24059;
UPDATE SaleOrderEntry SET costPrice = 6111  WHERE id = 24060;
UPDATE SaleOrderEntry SET costPrice = 4717  WHERE id = 24061;
UPDATE SaleOrderEntry SET costPrice = 4717  WHERE id = 24062;
UPDATE SaleOrderEntry SET costPrice = 8125  WHERE id = 24063;
UPDATE SaleOrderEntry SET costPrice = 1500  WHERE id = 24064;
UPDATE SaleOrderEntry SET costPrice = 7950  WHERE id = 24065;
UPDATE SaleOrderEntry SET costPrice = 6917  WHERE id = 24066;
UPDATE SaleOrderEntry SET costPrice = 10958 WHERE id = 24068;
UPDATE SaleOrderEntry SET costPrice = 6917  WHERE id = 24069;
UPDATE SaleOrderEntry SET costPrice = 19467 WHERE id = 24071;
UPDATE SaleOrderEntry SET costPrice = 7893  WHERE id = 24072;
UPDATE SaleOrderEntry SET costPrice = 6111  WHERE id = 24073;
UPDATE SaleOrderEntry SET costPrice = 8500  WHERE id = 24074;
UPDATE SaleOrderEntry SET costPrice = 13056 WHERE id = 24075;
UPDATE SaleOrderEntry SET costPrice = 5333  WHERE id = 24076;
UPDATE SaleOrderEntry SET costPrice = 3613  WHERE id = 24078;
UPDATE SaleOrderEntry SET costPrice = 3990  WHERE id = 24079;
UPDATE SaleOrderEntry SET costPrice = 3171  WHERE id = 24080;
UPDATE SaleOrderEntry SET costPrice = 5500  WHERE id = 24082;
UPDATE SaleOrderEntry SET costPrice = 22500 WHERE id = 24083;
UPDATE SaleOrderEntry SET costPrice = 10958 WHERE id = 24084;
UPDATE SaleOrderEntry SET costPrice = 3990  WHERE id = 24085;
UPDATE SaleOrderEntry SET costPrice = 3990  WHERE id = 24086;
UPDATE SaleOrderEntry SET costPrice = 13566 WHERE id = 24087;
UPDATE SaleOrderEntry SET costPrice = 5950  WHERE id = 24088;
UPDATE SaleOrderEntry SET costPrice = 6364  WHERE id = 24090;
UPDATE SaleOrderEntry SET costPrice = 9028  WHERE id = 24091;
UPDATE SaleOrderEntry SET costPrice = 1500  WHERE id = 24092;
UPDATE SaleOrderEntry SET costPrice = 12858 WHERE id = 24093;
UPDATE SaleOrderEntry SET costPrice = 14260 WHERE id = 24094;
UPDATE SaleOrderEntry SET costPrice = 2300  WHERE id = 24096;
UPDATE SaleOrderEntry SET costPrice = 7533  WHERE id = 24097;
UPDATE SaleOrderEntry SET costPrice = 4625  WHERE id = 24099;
UPDATE SaleOrderEntry SET costPrice = 6042  WHERE id = 24100;
UPDATE SaleOrderEntry SET costPrice = 31575 WHERE id = 24102;
UPDATE SaleOrderEntry SET costPrice = 16356 WHERE id = 24103;
UPDATE SaleOrderEntry SET costPrice = 30000 WHERE id = 24104;
UPDATE SaleOrderEntry SET costPrice = 94250 WHERE id = 24105;
UPDATE SaleOrderEntry SET costPrice = 22500 WHERE id = 24106;
UPDATE SaleOrderEntry SET costPrice = 19500 WHERE id = 24107; Thông tin DB : instance: omd-pos-commerce (IP: 172.31.1.6)
DB: litepos_oms_prod E cảm ơn</t>
  </si>
  <si>
    <t>[OneHS - Agent] Update data trên MySQL PROD</t>
  </si>
  <si>
    <t>2025-09-09T09:10:04.757+0700</t>
  </si>
  <si>
    <t>2025-09-09T09:16:31.651+0700</t>
  </si>
  <si>
    <t>Nhờ team chạy các lệnh UPDATE trên MySQL Production như sau ạ: URL:  mysql://omre-onehs-mysql-main.int.onemount.com:3306/agent-platform Query: UPDATE
    `agent_working_groups`
SET
    end_date = "2025-09-08 18:00:00"
WHERE
    id IN(
        7580,
        9218,
        9648,
        10069,
        10279,
        15161,
        15162,
        15164,
        15166,
        15167,
        15175,
        15184,
        15188,
        15194,
        15202,
        15207,
        15215,
        15216,
        15217,
        15758,
        16665,
        16745,
        17435,
        17685,
        18750,
        19294,
        19391,
        19537,
        21250,
        21728,
        21798,
        22128,
        22134,
        22194,
        22311,
        22345,
        23124,
        23125,
        23405,
        23511,
        23512,
        23513,
        23514,
        23653,
        23904,
        24206,
        24697,
        25235,
        25237,
        25458,
        25470,
        25683,
        25684,
        25696,
        25724,
        25972,
        26038,
        26094,
        26095,
        26170,
        26334,
        26733,
        26756,
        26793,
        27240,
        27325,
        27502,
        27503,
        27504,
        27505,
        27506,
        27507,
        27508,
        27510,
        27522,
        27524,
        27591,
        27645,
        27646,
        27773,
        28030,
        28260,
        28867,
        28974,
        29298,
        29600,
        29783,
        29787,
        29810,
        30189,
        30264
)</t>
  </si>
  <si>
    <t>[VINIDPAY][TPAY][SOUNDBOX]  Modify column bảng tcb_device_state</t>
  </si>
  <si>
    <t>2025-09-09T09:08:59.894+0700</t>
  </si>
  <si>
    <t>2025-09-09T09:09:04.664+0700</t>
  </si>
  <si>
    <t>Hi các anh, Hiện tại e đang hotfix cho soundbox, em cần modify bảng tcb_device_state, nhờ các anh chạy giúp Thông tin DB :  pay-tidb.int.onemount.com:4000/saas_tpay alter table TCB_DEVICE_STATE
    modify from_date timestamp(3) null;
alter table TCB_DEVICE_STATE
    modify to_date timestamp(3) null; Thanks các anh</t>
  </si>
  <si>
    <t>[UPAY][PROD] Chạy câu lệnh SQL phục vụ golive 6/9/2025</t>
  </si>
  <si>
    <t>2025-09-08T23:48:21.912+0700</t>
  </si>
  <si>
    <t>2025-09-08T23:48:28.790+0700</t>
  </si>
  <si>
    <t>Nhờ anh  @Nguyễn Văn Dũng  hỗ trợ em chạy giúp em lệnh sau ạ: Thời gian dự kiến:  00:00 ngày 07.09.2025 Thông tin database: IP:  172.31.4.104 Name: pay_payment_gateway SQL: ALTER TABLE MERCHANT ADD website VARCHAR(100);
ALTER TABLE MERCHANT ADD mcc VARCHAR(4);
UPDATE pay_payment_gateway.MERCHANT
SET website = "oneu.vn" WHERE merchant_code = "VINID";
UPDATE pay_payment_gateway.MERCHANT
SET website = "ggg.com.vn" WHERE merchant_code = "GOLDENGATE";
UPDATE pay_payment_gateway.MERCHANT
SET website = "e-thanglong.vn" WHERE merchant_code = "DLTHANGLONG";
UPDATE pay_payment_gateway.MERCHANT
SET mcc = "4722" WHERE merchant_code = "VINID" AND sub_merchant_code = "VINTICKET";
UPDATE pay_payment_gateway.MERCHANT
SET mcc = "5262" WHERE merchant_code = "VINID" AND sub_merchant_code = "SNG";
UPDATE pay_payment_gateway.MERCHANT
SET mcc = "7278" WHERE merchant_code = "VINID" AND sub_merchant_code = "OMCTOPUPIMEDIA";
UPDATE pay_payment_gateway.MERCHANT
SET mcc = "4900" WHERE merchant_code = "DLTHANGLONG";
UPDATE pay_payment_gateway.MERCHANT
SET mcc = "5812" WHERE merchant_code = "GOLDENGATE"; Release Note:    CR:  https://vinid-team.atlassian.net/servicedesk/customer/portal/15/SH-66520?created=true</t>
  </si>
  <si>
    <t>[LP][Core] - Review các bảng mới</t>
  </si>
  <si>
    <t>2025-09-08T23:42:55.270+0700</t>
  </si>
  <si>
    <t>2025-09-08T23:44:08.090+0700</t>
  </si>
  <si>
    <t>Dear anh Linh, Team Loyalty Core có release ngày 08/09, có thực hiện migration DB Core Loyalty, nhờ anh review các DDL sau ạ. Thanks</t>
  </si>
  <si>
    <t>[LP][Core] - Update index cho bảng kafka_audit_trail_earn_event</t>
  </si>
  <si>
    <t>2025-09-08T23:42:28.148+0700</t>
  </si>
  <si>
    <t>2025-09-09T00:24:29.813+0700</t>
  </si>
  <si>
    <t>Dear Team DAB, Nhờ team chạy các sql sau để drop và tạo mới index cho bảng  KAFKA_AUDIT_TRAIL_EARN_EVENT DROP INDEX KAFKA_AUDIT_TRAIL_EARN_EVENT_MESSAGE_ID_IDX;
CREATE INDEX KAFKA_AUDIT_TRAIL_EARN_EVENT_COB_DATE ON KAFKA_AUDIT_TRAIL_EARN_EVENT(DS_PARTITION_DATE); Thay đổi lệnh (chi tiết ở comment): -- Bảng KAFKA_AUDIT_TRAIL_CUS_INFO không dùng partition
CREATE INDEX KAFKA_AUDIT_TRAIL_CUS_INFO_ERROR_GROUP_IDX ON KAFKA_AUDIT_TRAIL_CUS_INFO (ERROR_GROUP);
CREATE INDEX KAFKA_AUDIT_TRAIL_CUSTOMER_PROFILE_ERROR_GROUP_IDX ON KAFKA_AUDIT_TRAIL_CUSTOMER_PROFILE (ERROR_GROUP) LOCAL;
DROP INDEX KAFKA_AUDIT_TRAIL_EARN_EVENT_MESSAGE_ID_IDX;
CREATE INDEX KAFKA_AUDIT_TRAIL_EARN_EVENT_COB_DATE ON KAFKA_AUDIT_TRAIL_EARN_EVENT(DS_PARTITION_DATE) LOCAL;
CREATE INDEX KAFKA_AUDIT_TRAIL_EARN_EVENT_ERROR_GROUP_IDX ON KAFKA_AUDIT_TRAIL_EARN_EVENT (ERROR_GROUP) LOCAL;
DROP INDEX KAFKA_AUDIT_TRAIL_EARN_TRANSACTION_MESSAGE_ID_IDX;
CREATE INDEX KAFKA_AUDIT_TRAIL_EARN_TRANSACTION_ERROR_GROUP_IDX ON KAFKA_AUDIT_TRAIL_EARN_TRANSACTION (ERROR_GROUP) LOCAL; Thanks!</t>
  </si>
  <si>
    <t>[OMC][PS2][Loyalty][PROD] - archive dữ liệu history cho các bảng cần move data sang COLD</t>
  </si>
  <si>
    <t>2025-09-08T18:00:20.539+0700</t>
  </si>
  <si>
    <t>2025-09-20T23:46:56.999+0700</t>
  </si>
  <si>
    <t>Các bảng cần move data sang COLD, sau đó archive lên GCS: TRANSACTION_HISTORY_ATTRIBUTE TRANSACTION_HISTORY POINT_TRANSACTION COUNTER_TRANSACTION_HISTORY 3 bảng TRANSACTION_HISTORY, POINT_TRANSACTION, COUNTER_TRANSACTION_HISTORY :  Trên môi trường PROD (HOT), Giữ lại data đầy đủ của 6 tháng gần nhất. (tháng n-1, n-2, n-3, n-4, n-5, n-6). Trên môi trường COLD, sẽ có data lịch sử (history 6 tháng tiếp theo) n-7, n-8, n-9, n-10, n-11, n-12. Ví dụ, hiện tại là tháng 9/2025, thì data giữ lại ở db chính PROD là tháng 8/2025, 7/2025, 6/2025, 5/2025, 4/2025, 3/2025. Các tháng lịch sử khác (history 6 tháng tiếp theo) sẽ khai thác trên db COLD: tháng 2/2025, 1/2025, 12/2024, 11/2024, 10/2024, 9/2024. Bảng TRANSACTION_HISTORY_ATTRIBUTE  : Tháng hiện tại là tháng n.  Trên DB chính PROD (HOT), giữ lại data đầy đủ của 3 tháng gần nhất (tháng thứ n-1,n-2,n-3 sau tháng hiện tại). Các data tháng thứ n-4,n-5,n-6 sau tháng n hiện tại thì chuyển sang db COLD.) Ví dụ, hiện tại là tháng 9/2025, thì data giữ lại ở db chính PROD là tháng 8/2025, 7/2025, 6/2025. Các tháng 5/2025, 4/2025, 3/2025 sẽ khai thác trên db COLD.</t>
  </si>
  <si>
    <t>[OMC][PS2][Loyalty][PROD] - archive dữ liệu history cho các bảng PAY_WITH_POINT_TRANSACTION_HISTORY</t>
  </si>
  <si>
    <t>2025-09-08T18:00:05.006+0700</t>
  </si>
  <si>
    <t>2025-09-19T17:26:16.535+0700</t>
  </si>
  <si>
    <t>Giữ nguyên các partition,chỉ DELETE xóa data theo điều kiện where là:  status = 'F'  and transaction_time đủ full  1 tháng  gần nhất Ví dụ, hiện tại tháng 9/2025, thì sẽ thực hiện DELETE Xóa data có: status = 'F' and transaction_time &lt; to_date('01/08/2025','dd/MM/yyyy')</t>
  </si>
  <si>
    <t>[OMC][PS2][Loyalty][PROD] - archive dữ liệu history cho các bảng KAFKA_ , TIER_HISTORY</t>
  </si>
  <si>
    <t>2025-09-08T17:59:40.769+0700</t>
  </si>
  <si>
    <t>2025-09-08T23:50:32.799+0700</t>
  </si>
  <si>
    <t>[OMC][PS2][Loyalty][PROD] - Thực hiện archive dữ liệu history cho DB Loyalty - Tháng 9/2025</t>
  </si>
  <si>
    <t>2025-09-08T17:55:06.452+0700</t>
  </si>
  <si>
    <t>2025-09-20T23:46:49.555+0700</t>
  </si>
  <si>
    <t xml:space="preserve">Team DBA cần thực hiện archive dữ liệu lịch sử của 1 số bảng lớn trong DB LOYALTY, để tối ưu dung lượng lưu trữ data , tránh để data lưu trữ quá lớn trong DB dẫn tới chi phí phần cứng tăng và giảm hiệu suất IO khi truy xuất data lớn. Quy định về thời gian lưu trữ data (dự án đã confirm với TCB qua email): Live data tier: không TTL expired bất kể dữ liệu nào Backup tier: Thực hiện backup full 2 lần/tuần và incremental các ngày còn lại Archiving tier:  Dữ liệu Archive được thực hiện 6 tháng/lần và store với retention là 365 days Kế hoạch thực hiện archive dữ liệu history của DB Loyalty , thực hiện trong  tháng 9 năm 2025 Các bảng cần lưu trữ data và thực hiện xóa data history:   Tables Partition column Life time Note CR / Ticket liên quan KAFKA_AUDIT_TRAIL_PRODUCT_INFO CREATED_AT 1 month     KAFKA_AUDIT_TRAIL_CARD_INFO CREATED_AT 1 month     KAFKA_AUDIT_TRAIL_CUSTOMER_PROFILE CREATED_AT 1 month   08Sep25, Tạo index mới: DBASD-8384 KAFKA_AUDIT_TRAIL_EARN_TRANSACTION CREATED_AT 1 month   08Sep25, Tạo index mới: DBASD-8384 KAFKA_AUDIT_TRAIL_EARN_EVENT CREATED_AT 1 month   08Sep25, Tạo index mới: DBASD-8384 TIER_HISTORY CREATED_AT 6 month     POINT_TRANSACTION_ACCOUNT_BALANCE CREATED_AT 6 month Từ tháng 5/2025,  tạm dừng ko xóa data history bảng này nữa , để CNSP review lại xem có dùng dữ liệu quá 6 tháng ko?   PAY_WITH_POINT_TRANSACTION_HISTORY TRANSACTION_TIME Giữ nguyên các partition,chỉ DELETE xóa data theo điều kiện where là:  status = 'F'  and transaction_time đủ full  1 tháng  gần nhất Ví dụ, hiện tại tháng 9/2025, thì sẽ thực hiện DELETE Xóa data có: status = 'F' and transaction_time &lt; to_date('01/08/2025','dd/MM/yyyy')   TRANSACTION_HISTORY_ATTRIBUTE CREATED_AT 3 month Tháng hiện tại là tháng n. Trên DB chính PROD (HOT), giữ lại data đầy đủ của 3 tháng gần nhất (tháng thứ n-1,n-2,n-3 sau tháng hiện tại). Các data tháng thứ n-4,n-5,n-6 sau tháng n hiện tại thì chuyển sang db COLD.) Ví dụ, hiện tại là tháng 9/2025, thì data giữ lại ở db chính PROD là tháng 8/2025, 7/2025, 6/2025. Các tháng 5/2025, 4/2025, 3/2025 sẽ khai thác trên db COLD.   TRANSACTION_HISTORY TRANSACTION_TIME 6 month Trên môi trường PROD (HOT), Giữ lại data đầy đủ của 6 tháng gần nhất. (tháng n-1, n-2, n-3, n-4, n-5, n-6). Trên môi trường COLD, sẽ có data lịch sử (history 6 tháng tiếp theo) n-7, n-8, n-9, n-10, n-11, n-12. Ví dụ, hiện tại là tháng 9/2025, thì data giữ lại ở db chính PROD là tháng 8/2025, 7/2025, 6/2025, 5/2025, 4/2025, 3/2025. Các tháng lịch sử khác (history 6 tháng tiếp theo) sẽ khai thác trên db COLD: tháng 2/2025, 1/2025, 12/2024, 11/2024, 10/2024, 9/2024 Bắt đầu thực hiện xóa data history của các tháng history trên COLD, để đảm bảo lưu trữ trên COLD chỉ lưu 6 tháng POINT_TRANSACTION TRANSACTION_TIME 6 month Trên môi trường PROD (HOT), Giữ lại data đầy đủ của 6 tháng gần nhất. (tháng n-1, n-2, n-3, n-4, n-5, n-6). Trên môi trường COLD, sẽ có data lịch sử (history 6 tháng tiếp theo) n-7, n-8, n-9, n-10, n-11, n-12. Ví dụ, hiện tại là tháng 9/2025, thì data giữ lại ở db chính PROD là tháng 8/2025, 7/2025, 6/2025, 5/2025, 4/2025, 3/2025. Các tháng lịch sử khác (history 6 tháng tiếp theo) sẽ khai thác trên db COLD: tháng 2/2025, 1/2025, 12/2024, 11/2024, 10/2024, 9/2024 Bắt đầu thực hiện xóa data history của các tháng history trên COLD, để đảm bảo lưu trữ trên COLD chỉ lưu 6 tháng COUNTER_TRANSACTION_HISTORY CREATED_AT 6 month "Trên môi trường PROD (HOT), Giữ lại data đầy đủ của 6 tháng gần nhất. (tháng n-1, n-2, n-3, n-4, n-5, n-6). Trên môi trường COLD, sẽ có data lịch sử (history 6 tháng tiếp theo) n-7, n-8, n-9, n-10, n-11, n-12. Ví dụ, hiện tại là tháng 9/2025, thì data giữ lại ở db chính PROD là tháng 8/2025, 7/2025, 6/2025, 5/2025, 4/2025, 3/2025. Các tháng lịch sử khác (history 6 tháng tiếp theo) sẽ khai thác trên db COLD: tháng 2/2025, 1/2025, 12/2024, 11/2024, 10/2024, 9/2024" select /*+ parallel(8) */ count(*) from OLOYALTY.COUNTER_TRANSACTION_HISTORY; -- Jun25: 1.520.303.133, Jul25: 1.259.376.421 Bắt đầu thực hiện xóa data history của các tháng history trên COLD, để đảm bảo lưu trữ trên COLD chỉ lưu 6 tháng COUNTER_HISTORY CREATED_AT Không xóa data select /*+ parallel(8) */ count(*) from OLOYALTY.COUNTER_HISTORY; -- Jun25: 1.239.192.444, Jul25: 1.241.861.674, Aug25: 1.243.737.744 Chạy Gather statistic + rebuild index bảng COUNTER_HISTORY 01.01: 922 tr 01.02: 1,030 tr 01.03: 1,223 tr 01.04: 1,232 tr 01.05: 1,234 tr                     Các bảng theo dõi thông tin:         MEMBER_ATTRIBUTE Không tạo partition có thể xoá các bảng ghi có status = 'I' Rà soát theo mỗi quý 1 lần. Khi tỉ lệ số rows STATUS = 'I' chiếm khoảng 20% số row của bảng thì thực hiện DELETE bớt data có STATUS = 'I' select /*+ parallel(8) */ count(*) from OLOYALTY.MEMBER_ATTRIBUTE; -- Jun25: 560.105.939, Jul25: 695.144.706, Aug24: 717.918.360 select /*+ parallel(8) */ count(*) from OLOYALTY.MEMBER_ATTRIBUTE where STATUS = 'A'; -- Jun25: 481.554.836, Jul25: 486.579.735, Aug24: 504.987.882 select /*+ parallel(8) */ count(*) from OLOYALTY.MEMBER_ATTRIBUTE where STATUS = 'I'; -- Jun25: 78.551.104, Jul25: 208.564.989, Aug24: 212.930.565   POINT_TRANSACTION_BLOCKING EXPIRED_DATE Xoá các bản ghi trước năm 2024 Đã làm tháng 9/2024. select count(*) from OLOYALTY.POINT_TRANSACTION_BLOCKING; -- Jun25: 11.979.959, Jul25: 12.687.645   Phương án làm archive data cho các bảng này: export các partition vi phạm thời gian lưu trữ data life time ONLINE Lưu trữ các partition đã export lên GCS (thời gian lưu trữ trên GCS là 1 năm). Các dữ liệu nào cần khai thác trên COLD, thì sẽ import sang db COLD. Drop các partition đã export + archived trên DB PROD Chạy lại gather statistic cho bảng vừa drop partition (có thể để DB auto chạy cũng được)   Link CR:   </t>
  </si>
  <si>
    <t>Update dữ liệu bảng SaleOrderEntry DB litePOS OMS PROD</t>
  </si>
  <si>
    <t>2025-09-08T17:45:25.957+0700</t>
  </si>
  <si>
    <t>2025-09-08T17:49:04.764+0700</t>
  </si>
  <si>
    <t>Nhờ anh cập nhật dữ liệu giúp team theo câu lệnh sau ạ: UPDATE SaleOrderEntry SET costPrice = 23.750 WHERE id = 24041;
UPDATE SaleOrderEntry SET costPrice = 26.400 WHERE id = 24042;
UPDATE SaleOrderEntry SET costPrice = 6.600  WHERE id = 24043;
UPDATE SaleOrderEntry SET costPrice = 6.250  WHERE id = 24044;
UPDATE SaleOrderEntry SET costPrice = 1.833  WHERE id = 24045;
UPDATE SaleOrderEntry SET costPrice = 20.000 WHERE id = 24046;
UPDATE SaleOrderEntry SET costPrice = 6.900  WHERE id = 24047;
UPDATE SaleOrderEntry SET costPrice = 17.675 WHERE id = 24048;
UPDATE SaleOrderEntry SET costPrice = 11.167 WHERE id = 24049;
UPDATE SaleOrderEntry SET costPrice = 8.500  WHERE id = 24050;
UPDATE SaleOrderEntry SET costPrice = 5.500  WHERE id = 24051;
UPDATE SaleOrderEntry SET costPrice = 18.542 WHERE id = 24052;
UPDATE SaleOrderEntry SET costPrice = 28.854 WHERE id = 24053;
UPDATE SaleOrderEntry SET costPrice = 7.000  WHERE id = 24055;
UPDATE SaleOrderEntry SET costPrice = 30.278 WHERE id = 24056;
UPDATE SaleOrderEntry SET costPrice = 143.750 WHERE id = 24057;
UPDATE SaleOrderEntry SET costPrice = 153.750 WHERE id = 24058;
UPDATE SaleOrderEntry SET costPrice = 5.236  WHERE id = 24059;
UPDATE SaleOrderEntry SET costPrice = 6.111  WHERE id = 24060;
UPDATE SaleOrderEntry SET costPrice = 4.717  WHERE id = 24061;
UPDATE SaleOrderEntry SET costPrice = 4.717  WHERE id = 24062;
UPDATE SaleOrderEntry SET costPrice = 8.125  WHERE id = 24063;
UPDATE SaleOrderEntry SET costPrice = 1.500  WHERE id = 24064;
UPDATE SaleOrderEntry SET costPrice = 7.950  WHERE id = 24065;
UPDATE SaleOrderEntry SET costPrice = 6.917  WHERE id = 24066;
UPDATE SaleOrderEntry SET costPrice = 10.958 WHERE id = 24068;
UPDATE SaleOrderEntry SET costPrice = 6.917  WHERE id = 24069;
UPDATE SaleOrderEntry SET costPrice = 19.467 WHERE id = 24071;
UPDATE SaleOrderEntry SET costPrice = 7.893  WHERE id = 24072;
UPDATE SaleOrderEntry SET costPrice = 6.111  WHERE id = 24073;
UPDATE SaleOrderEntry SET costPrice = 8.500  WHERE id = 24074;
UPDATE SaleOrderEntry SET costPrice = 13.056 WHERE id = 24075;
UPDATE SaleOrderEntry SET costPrice = 5.333  WHERE id = 24076;
UPDATE SaleOrderEntry SET costPrice = 3.613  WHERE id = 24078;
UPDATE SaleOrderEntry SET costPrice = 3.990  WHERE id = 24079;
UPDATE SaleOrderEntry SET costPrice = 3.171  WHERE id = 24080;
UPDATE SaleOrderEntry SET costPrice = 5.500  WHERE id = 24082;
UPDATE SaleOrderEntry SET costPrice = 22.500 WHERE id = 24083;
UPDATE SaleOrderEntry SET costPrice = 10.958 WHERE id = 24084;
UPDATE SaleOrderEntry SET costPrice = 3.990  WHERE id = 24085;
UPDATE SaleOrderEntry SET costPrice = 3.990  WHERE id = 24086;
UPDATE SaleOrderEntry SET costPrice = 13.566 WHERE id = 24087;
UPDATE SaleOrderEntry SET costPrice = 5.950  WHERE id = 24088;
UPDATE SaleOrderEntry SET costPrice = 6.364  WHERE id = 24090;
UPDATE SaleOrderEntry SET costPrice = 9.028  WHERE id = 24091;
UPDATE SaleOrderEntry SET costPrice = 1.500  WHERE id = 24092;
UPDATE SaleOrderEntry SET costPrice = 12.858 WHERE id = 24093;
UPDATE SaleOrderEntry SET costPrice = 14.260 WHERE id = 24094;
UPDATE SaleOrderEntry SET costPrice = 2.300  WHERE id = 24096;
UPDATE SaleOrderEntry SET costPrice = 7.533  WHERE id = 24097;
UPDATE SaleOrderEntry SET costPrice = 4.625  WHERE id = 24099;
UPDATE SaleOrderEntry SET costPrice = 6.042  WHERE id = 24100;
UPDATE SaleOrderEntry SET costPrice = 31.575 WHERE id = 24102;
UPDATE SaleOrderEntry SET costPrice = 16.356 WHERE id = 24103;
UPDATE SaleOrderEntry SET costPrice = 30.000 WHERE id = 24104;
UPDATE SaleOrderEntry SET costPrice = 94.250 WHERE id = 24105;
UPDATE SaleOrderEntry SET costPrice = 22.500 WHERE id = 24106;
UPDATE SaleOrderEntry SET costPrice = 19.500 WHERE id = 24107; Thông tin DB : instance: omd-pos-commerce (IP: 172.31.1.6)
DB: litepos_oms_prod E cảm ơn</t>
  </si>
  <si>
    <t>[OneHS - Agent] Chạy lệnh SELECT trên MySQL Production</t>
  </si>
  <si>
    <t>2025-09-08T17:44:53.578+0700</t>
  </si>
  <si>
    <t>2025-09-08T17:53:16.973+0700</t>
  </si>
  <si>
    <t>Nhờ team chạy các lệnh UPDATE trên MySQL Production như sau ạ: URL:  mysql://omre-onehs-mysql-main.int.onemount.com:3306/agent-platform Query: SELECT * FROM `agent_working_groups` WHERE status="INACTIVE" AND end_date IS NULL</t>
  </si>
  <si>
    <t>[OMRE] [PROD] Cập nhật thông tin nguyện vọng cho Agent để xử lý sự cố</t>
  </si>
  <si>
    <t>2025-09-08T16:07:34.269+0700</t>
  </si>
  <si>
    <t>2025-09-08T17:56:59.126+0700</t>
  </si>
  <si>
    <t>Dear DBA team, Nhờ team thực hiện cập nhật thông tin Agent cho OMRE để phục vụ việc sửa lỗi. Cảm ơn mọi người INSERT INTO `eav_attribute_json_values` (`eav_attribute_json_value_id`, `eav_attribute_id`, `entity_id`, `entity_id_v2`, `data_type`, `name`, `value`, `created_by`, `created_date`, `last_modified_by`, `last_modified_date`) VALUES (NULL, '4', '0', 'b7db243e-954f-409c-ad83-9c446979f3b9', 'PICKLIST_MULTI_SELECT', 'type_of_real_estate_is_the_strength', '[\"code\":\"PRIMARY_PROJECT\"}]', '', '2023-12-16 10:06:19', '', '2024-06-07 11:45:13') INSERT INTO `eav_attribute_json_values` (`eav_attribute_json_value_id`, `eav_attribute_id`, `entity_id`, `entity_id_v2`, `data_type`, `name`, `value`, `created_by`, `created_date`, `last_modified_by`, `last_modified_date`) VALUES (NULL, '4', '0', 'b7db243e-954f-409c-ad83-9c446979f3b9', 'PICKLIST_MULTI_SELECT', 'specialize_in_serving', '[{\"code\":\"HOME_BUYER\"}]', '', '2023-12-16 10:06:19', '', '2024-06-07 11:45:13') Thông tin DB : HOST = " 172.31.4.83 " PORT = 3306 DATABASE = "agent-platform" Ticket liên quan:  https://vinid-team.atlassian.net/browse/SH-66507?focusedCommentId=1792815&amp;sourceType=mention</t>
  </si>
  <si>
    <t>[NonPROD][OMRE][CDP][Kafka] Tạo topic kafka kéo các bảng UAT CBP về DP Non PROD (phần 2)</t>
  </si>
  <si>
    <t>2025-09-08T15:30:57.288+0700</t>
  </si>
  <si>
    <t>2025-09-08T16:41:36.160+0700</t>
  </si>
  <si>
    <t>Team CDP đang có nhu cầu kéo dữ liệu từ CBP UAT về DP Non PROD phục vụ việc build model. Nhờ team DBA hỗ trợ tạo topic theo danh sách sau: Database:  omre_cbp_transaction_uat Môi trường: Non PROD. Host: 172.31.0.67 Port: 3306 Tables: transaction_templates
fee_templates
fee_type_configs
template_selection_rules
transaction_task_templates
template_selection_rule_criteria
gci_collection_requests
income_fees
income_ledgers
system_dictionaries
eav_attributes
payment_ledger_links
payment_requests
transactions
transaction_cpra_rules
app_configs
transaction_phase_statuses
deal_fee_rules
transaction_participants
transaction_histories
transaction_tasks
deal_cpra_assignments Database:  omre_cbp_calendar_uat Môi trường: Non PROD. Host: 172.31.0.67 Port: 3306 Tables: evt_events
evt_event_attendees
evt_event_relations Database:  omre_cbp_agent_core_uat Môi trường: Non PROD. Host: 172.31.0.67 Port: 3306 Tables: master_agents Database: omre_cbp_collab_uat Môi trường: Non PROD. Host: 172.31.0.67 Port: 3306 Tables:  tag_tags
tag_tag_groups
dlr_agreements
dlr_agreement_participants
dlr_deal_rooms
dlr_deal_room_inquiries
dlr_deal_room_participants
dlr_offers Em xin cảm ơn ạ</t>
  </si>
  <si>
    <t>[OMRE] [PROD] Cập nhật thông tin nguyện vọng bị dư cho Agent</t>
  </si>
  <si>
    <t>2025-09-08T14:42:30.718+0700</t>
  </si>
  <si>
    <t>2025-09-08T15:02:14.648+0700</t>
  </si>
  <si>
    <t>Dear DBA team, Nhờ team thực hiện cập nhật thông tin Agent cho OMRE nhé DELETE FROM `eav_attribute_json_values` WHERE entity_id_v2 = 'b7db243e-954f-409c-ad83-9c446979f3b9' and name = 'specialize_in_serving' DELETE FROM `eav_attribute_json_values` WHERE entity_id_v2 = 'b7db243e-954f-409c-ad83-9c446979f3b9' and name = 'type_of_real_estate_is_the_strength' DELETE FROM `eav_attribute_json_values` WHERE entity_id_v2 = 'b7db243e-954f-409c-ad83-9c446979f3b9' and name = 'district_want_to_be_in_charge' Thông tin DB : HOST = " 172.31.4.83 " PORT = 3306 DATABASE = "agent-platform" Ticket liên quan:  https://vinid-team.atlassian.net/browse/SH-66507?focusedCommentId=1792815&amp;sourceType=mention</t>
  </si>
  <si>
    <t>[OMC][Flash Sale TCB] Hạ cấu hình các instance mysql/postgreSQL phục vụ Flash Sale 2/10/2025</t>
  </si>
  <si>
    <t>2025-09-08T12:29:45.338+0700</t>
  </si>
  <si>
    <t>2025-10-13T23:40:02.420+0700</t>
  </si>
  <si>
    <t>FlashSale, OMC</t>
  </si>
  <si>
    <t>Chat trao đổi: https://chat.google.com/room/AAAAOqZ92n0/4ku7GZMDSbM/4ku7GZMDSbM?cls=10  CR:        Thời gian thực hiện:  sau 1h 01/10/2025  ,  chuyển sang sau 1h 02/10/2025  Update:  thời gian giảm đang chờ phía TCB confirm  Chi tiết như sau:   https://console.cloud.google.com/sql/instances/main/overview?project=vincart-prod 172.31.1.41 Từ: 8 CPUs 24 GB RAM , 20000 connections, innodb_buffer_pool_size  12884901888 Lên: 12 CPUs 32 GB RAM, innodb_buffer_pool_size           16874368000 Về ban đầu 8CPUs 24GB Ram , innodb_buffer_pool_size  12884901888   https://console.cloud.google.com/sql/instances/ecom-medium-mysql/overview?project=vincart-prod 172.31.4.9 Từ: 4 vCPUs 8 GB RAM , innodb_buffer_pool_size   3221225472 Lên: 8 CPUs 16 GB RAM, innodb_buffer_pool_size  10037418240 Về ban đầu 4 vCPUs 8 GB RAM , innodb_buffer_pool_size   3221225472   https://console.cloud.google.com/sql/instances/oneloyalty/overview?project=vinid-loyalty-prod 172.31.7.6 Từ: 4 CPUs          8 GB RAM , innodb_buffer_pool_size   4294967296 Lên: 8 CPUs        16 GB RAM , innodb_buffer_pool_size   10037418240  Về ban đầu 4 CPUs          8 GB RAM , innodb_buffer_pool_size   4294967296 https://console.cloud.google.com/sql/instances/onevoucher/overview?project=vinid-loyalty-prod 172.31.4.126 Từ: 4 CPUs          16 GB RAM , innodb_buffer_pool_size                    8589934592 Lên: 8 CPUs        24 GB RAM , innodb_buffer_pool_size  12884901888 Về ban đầu 4 CPUs          16 GB RAM , innodb_buffer_pool_size                    8589934592   https://console.cloud.google.com/sql/instances/voucher-distribution/overview?project=vinid-loyalty-prod 172.31.4.82 Từ: 2 CPUs          8 GB RAM , innodb_buffer_pool_size   4294967283 Lên: 8 CPUs        16 GB RAM , innodb_buffer_pool_size  10037418240 Về ban đầu 2 CPUs          8 GB RAM , innodb_buffer_pool_size   4294967283   https://console.cloud.google.com/sql/instances/postgres-01/overview?authuser=0&amp;project=vinid-service-platform-prod 172.31.7.11 Từ: 4 CPUs          8 GB RAM Lên: 4 CPUs        16 GB RAM Về ban đầu 4 CPUs          8 GB RAM   https://console.cloud.google.com/sql/instances/omc-authentication/overview?project=omc-base-platform-prod 172.31.3.40 Từ: 4 CPUs          8 GB RAM Giữ nguyên cấu hình</t>
  </si>
  <si>
    <t>[OMC][Flash Sale TCB] Hạ cấu hình các instance mysql/postgreSQL phục vụ Flash Sale 16/09/2025</t>
  </si>
  <si>
    <t>2025-09-08T12:27:38.204+0700</t>
  </si>
  <si>
    <t>2025-09-16T09:27:48.731+0700</t>
  </si>
  <si>
    <t>Chat trao đổi: https://chat.google.com/room/AAAAOqZ92n0/4ku7GZMDSbM/4ku7GZMDSbM?cls=10  CR:        Thời gian thực hiện:  sau 1h 16/09/2025  Chi tiết như sau:   https://console.cloud.google.com/sql/instances/main/overview?project=vincart-prod 172.31.1.41 Từ: 8 CPUs 24 GB RAM , 20000 connections, innodb_buffer_pool_size  12884901888 Lên: 12 CPUs 32 GB RAM, innodb_buffer_pool_size           18874368000 Về ban đầu 8CPUs 24GB Ram 20000 connections, innodb_buffer_pool_size  12884901888   https://console.cloud.google.com/sql/instances/ecom-medium-mysql/overview?project=vincart-prod 172.31.4.9 Từ: 4 vCPUs 8 GB RAM, 10000 connections , innodb_buffer_pool_size  4294967296  (thực tế giảm về 3221225472, vì số connection từ pod app tăng từ 500 lên 5k) Giữ nguyên cấu hình   https://console.cloud.google.com/sql/instances/oneloyalty/overview?project=vinid-loyalty-prod 172.31.7.6 Từ: 4 CPUs          8 GB RAM , innodb_buffer_pool_size   4294967296 Lên: 8 CPUs        16 GB RAM , innodb_buffer_pool_size   10037418240  → 4 CPUs          8 GB RAM , innodb_buffer_pool_size   4294967296 https://console.cloud.google.com/sql/instances/onevoucher/overview?project=vinid-loyalty-prod 172.31.4.126 Từ: 4 CPUs          16 GB RAM , innodb_buffer_pool_size                    8589934592 Lên: 8 CPUs        24 GB RAM , innodb_buffer_pool_size  12884901888 -&gt;4 CPUs          16 GB RAM , innodb_buffer_pool_size                    8589934592   https://console.cloud.google.com/sql/instances/voucher-distribution/overview?project=vinid-loyalty-prod 172.31.4.82 Từ: 2 CPUs          8 GB RAM , innodb_buffer_pool_size   4294967283 Lên: 8 CPUs        16 GB RAM , innodb_buffer_pool_size  10037418240 -&gt;2 CPUs          8 GB RAM , innodb_buffer_pool_size   4294967283   https://console.cloud.google.com/sql/instances/postgres-01/overview?authuser=0&amp;project=vinid-service-platform-prod 172.31.7.11 Từ: 2 CPUs          8 GB RAM Lên: 4 CPUs        16 GB RAM -&gt; 2 CPUs          8 GB RAM   https://console.cloud.google.com/sql/instances/omc-authentication/overview?project=omc-base-platform-prod 172.31.3.40 Từ: 4 CPUs          8 GB RAM Giữ nguyên cấu hình</t>
  </si>
  <si>
    <t>[OMC][Flash Sale TCB] Nâng cấu hình các instance mysql/postgreSQL phục vụ Flash Sale 28/09/2025</t>
  </si>
  <si>
    <t>2025-09-08T12:26:43.747+0700</t>
  </si>
  <si>
    <t>2025-09-28T01:23:27.308+0700</t>
  </si>
  <si>
    <t>Chat trao đổi: https://chat.google.com/room/AAAAOqZ92n0/4ku7GZMDSbM/4ku7GZMDSbM?cls=10  CR:        Thời gian thực hiện:  sau 1h 28/09/2025  Chi tiết như sau:   https://console.cloud.google.com/sql/instances/main/overview?project=vincart-prod 172.31.1.41 Từ: 8 CPUs 24 GB RAM , innodb_buffer_pool_size  12884901888 Lên: 12 CPUs 32 GB RAM, innodb_buffer_pool_size  16874368000   https://console.cloud.google.com/sql/instances/ecom-medium-mysql/overview?project=vincart-prod 172.31.4.9 Từ: 4 vCPUs 8 GB RAM , innodb_buffer_pool_size   3221225472 Lên: 8 CPUs 16 GB RAM, innodb_buffer_pool_size  10037418240   https://console.cloud.google.com/sql/instances/oneloyalty/overview?project=vinid-loyalty-prod 172.31.7.6 Từ: 4 CPUs          8 GB RAM , innodb_buffer_pool_size   4294967296 Lên: 8 CPUs        16 GB RAM , innodb_buffer_pool_size   10037418240   https://console.cloud.google.com/sql/instances/onevoucher/overview?project=vinid-loyalty-prod 172.31.4.126 Từ: 4 CPUs          16 GB RAM , innodb_buffer_pool_size  8589934592 Lên: 8 CPUs        24 GB RAM , innodb_buffer_pool_size  12884901888   https://console.cloud.google.com/sql/instances/voucher-distribution/overview?project=vinid-loyalty-prod 172.31.4.82 Từ: 2 CPUs          8 GB RAM , innodb_buffer_pool_size   4294967283 Lên: 8 CPUs        16 GB RAM , innodb_buffer_pool_size  10037418240   https://console.cloud.google.com/sql/instances/postgres-01/overview?authuser=0&amp;project=vinid-service-platform-prod 172.31.7.11 Từ: 4 CPUs          8 GB RAM (dự án có yêu cầu khi hạ cấu hình thì vẫn giữ 4 CPUs để chạy hàng ngày) Lên: 4 CPUs        16 GB RAM (chỉ tăng RAM)   https://console.cloud.google.com/sql/instances/omc-authentication/overview?project=omc-base-platform-prod 172.31.3.40 Từ: 4 CPUs          8 GB RAM Giữ nguyên cấu hình (ko tăng)</t>
  </si>
  <si>
    <t>2025-09-08T12:24:11.976+0700</t>
  </si>
  <si>
    <t>2025-09-15T09:14:46.048+0700</t>
  </si>
  <si>
    <t>Chat trao đổi: https://chat.google.com/room/AAAAOqZ92n0/4ku7GZMDSbM/4ku7GZMDSbM?cls=10  CR:        Thời gian thực hiện:  sau 1h 14/09/2025  Chi tiết như sau:   https://console.cloud.google.com/sql/instances/main/overview?project=vincart-prod 172.31.1.41 Từ: 8 CPUs 24 GB RAM , 20000 connections, innodb_buffer_pool_size  12884901888 Lên: 12 CPUs 32 GB RAM, innodb_buffer_pool_size           18874368000   https://console.cloud.google.com/sql/instances/ecom-medium-mysql/overview?project=vincart-prod 172.31.4.9 Từ: 4 vCPUs 8 GB RAM, 10000 connections , innodb_buffer_pool_size   3221225472 Giữ nguyên cấu hình, lần sau lên: Lên: 8 CPUs        16 GB RAM , innodb_buffer_pool_size   10037418240   https://console.cloud.google.com/sql/instances/oneloyalty/overview?project=vinid-loyalty-prod 172.31.7.6 Từ: 4 CPUs          8 GB RAM , innodb_buffer_pool_size   4294967296 Lên: 8 CPUs        16 GB RAM , innodb_buffer_pool_size   10037418240   https://console.cloud.google.com/sql/instances/onevoucher/overview?project=vinid-loyalty-prod 172.31.4.126 Từ: 4 CPUs          16 GB RAM , innodb_buffer_pool_size                    8589934592 Lên: 8 CPUs        24 GB RAM , innodb_buffer_pool_size  12884901888   https://console.cloud.google.com/sql/instances/voucher-distribution/overview?project=vinid-loyalty-prod 172.31.4.82 Từ: 2 CPUs          8 GB RAM , innodb_buffer_pool_size   4294967283 Lên: 8 CPUs        16 GB RAM , innodb_buffer_pool_size  10037418240   https://console.cloud.google.com/sql/instances/postgres-01/overview?authuser=0&amp;project=vinid-service-platform-prod 172.31.7.11 Từ: 2 CPUs          8 GB RAM Lên: 4 CPUs        16 GB RAM   https://console.cloud.google.com/sql/instances/omc-authentication/overview?project=omc-base-platform-prod 172.31.3.40 Từ: 4 CPUs          8 GB RAM Giữ nguyên cấu hình</t>
  </si>
  <si>
    <t>Add monitor cho các database postgresql</t>
  </si>
  <si>
    <t>2025-09-08T12:12:36.404+0700</t>
  </si>
  <si>
    <t>2025-09-20T10:38:00.723+0700</t>
  </si>
  <si>
    <t>add pmm monitor cho các database postgresql database status</t>
  </si>
  <si>
    <t>[OMD][WMS] Hỗ trợ cập nhật tên kho cho kho MES_2D_018</t>
  </si>
  <si>
    <t>2025-09-08T12:03:17.870+0700</t>
  </si>
  <si>
    <t>2025-09-08T12:37:17.996+0700</t>
  </si>
  <si>
    <t>Hi DBA team, Hiện tại kho MES_2D_018 cần đổi tên, nhờ team DBA hỗ trợ cập nhật giá trị theo thông tin dưới đây. 1. Cập nhật trên WMS Project : vinid-b2b-platform-prod Instance/IP : main (read-write): 172.31.4.59 Port : 3306 Database : omd_wms_core Query update base_dc bd set bd.dc_name = 'NPP Vi Tuấn Anh' where bd.dc_code = 'MES_2D_018'; 2. Cập nhật trên WES Project : vinid-b2b-platform-prod Instance/IP : main (read-write): 172.31.1.143 Port : 3306 Database : wes_master update warehouse w set w.name = 'NPP Vi Tuấn Anh' where w.code = 'MES_2D_018'; Câu query đánh giá là an toàn nên có thể thực hiện cập nhật bất kỳ lúc nào mà không ảnh hưởng đến vận hành hệ thống.</t>
  </si>
  <si>
    <t xml:space="preserve">Tiến hành create cloudSQL mysql và postgres ở playground để tiến hành test upgrade </t>
  </si>
  <si>
    <t>2025-09-08T02:28:16.189+0700</t>
  </si>
  <si>
    <t>2025-09-22T10:37:04.560+0700</t>
  </si>
  <si>
    <t xml:space="preserve">Tiến hành mô phỏng quy trình upgrade cloudsql mysql và postgres </t>
  </si>
  <si>
    <t xml:space="preserve">Migrate hệ thống SAP b1 </t>
  </si>
  <si>
    <t>2025-09-08T02:23:03.044+0700</t>
  </si>
  <si>
    <t>2025-11-03T10:02:33.012+0700</t>
  </si>
  <si>
    <t>Triển khai convert hệ thống SAP B1 sử dụng AMI AWS để không bị charge phí license suse của AWS từ template. Tiến hành tách môi trường và tái cấu trúc lại hệ thống</t>
  </si>
  <si>
    <t>[OM][NON-PROD] Tạo user và database cho OM website CMS test</t>
  </si>
  <si>
    <t>2025-09-06T09:54:06.417+0700</t>
  </si>
  <si>
    <t>2025-09-06T10:53:39.813+0700</t>
  </si>
  <si>
    <t>nhờ a  @Trần Trương Dương    tạo giúp e user và database trong instance main-postgres ạ user: om_website_uat_user_test DB name: om-website-uat-test</t>
  </si>
  <si>
    <t>[IOM][CTMS] Backup dữ liệu</t>
  </si>
  <si>
    <t>2025-09-06T09:32:06.283+0700</t>
  </si>
  <si>
    <t>2025-09-06T12:03:07.197+0700</t>
  </si>
  <si>
    <t>Hi team DBA Dự án CTMS/IOM bên em có nhu cầu migrate dữ liệu của bảng Contract Template nên cần back up dữ liệu Thông tin bảng như sau: TABLE_SCHEMA : dbo TABLE_CATALOG: outsystems_PROD_Finance IP : 172.31.1.45 physical_name: OSUSR_iex_ContractTemplate Thời gian chạy  12h ngày 06/09/2025 Em cảm ơn ạ.</t>
  </si>
  <si>
    <t>[OMD][WMS] Hỗ trợ cập nhật dữ liệu trạng thái bản ghi DO/SO 60032593030101 cho kho 8185</t>
  </si>
  <si>
    <t>2025-09-05T22:10:05.996+0700</t>
  </si>
  <si>
    <t>2025-09-05T22:15:56.938+0700</t>
  </si>
  <si>
    <t>Hi DBA team, Hiện tại có 1 bản ghi trong Database bị lỗi do hệ thống WMS không cập nhật được Wave và trạng thái/thông tin tương ứng với DO, nhờ team DBA hỗ trợ cập nhật giá trị theo thông tin dưới đây. Project : vinid-b2b-platform-prod Instance/IP : main (read-write): 172.31.4.59 Port : 3306 Database : omd_wms_fm Query UPDATE order_hdr oh
JOIN order_item oi ON oi.order_hdr_id = oh.order_hdr_id
SET 
    oh.order_status = 'NEW',
    oi.item_status = 'NEW',
    oi.planned_qty = 0,
    oi.pending_qty = oi.transaction_qty,
    oi.last_modified_date = utc_timestamp,
    o.last_modified_date = utc_timestamp
WHERE oh.order_hdr_id = 1985558
  AND oh.order_status = 'PLANNED'; Câu query đánh giá là an toàn nên có thể thực hiện cập nhật bất kỳ lúc nào mà không ảnh hưởng đến vận hành hệ thống.</t>
  </si>
  <si>
    <t>[UPay][QR247][PROD] Cấu hình thông tin kết nối cho 02 đơn vị kết nối</t>
  </si>
  <si>
    <t>2025-09-05T16:55:08.063+0700</t>
  </si>
  <si>
    <t>2025-09-05T16:57:20.410+0700</t>
  </si>
  <si>
    <t>Dear team, Nhờ các anh chạy script bên dưới để cấu hình thông tin đăng nhập cho BV Đa Khoa Bình Phú trên môi trường Production ạ Thông tin DB:  pay-tidb.int.onemount.com:4000/saas_tpay Script: INSERT INTO PARTNER (client_id, name, public_key, enable, merchant_code)
VALUES ('TgkbURjVyookRKxZYbnuJkgSvAKuLbDQ', 'BV Đa khoa Bình Phú', '-----BEGIN PUBLIC KEY-----
MIIBIjANBgkqhkiG9w0BAQEFAAOCAQ8AMIIBCgKCAQEAzPaWWfTOXcVaceRKhW7S
xs4Gi8j+xFJ8ecp3eeZmaM7uIPIwHldYREJgFSKKOeYUQjZq/FoK2BetgRphvBrf
Dx68oIf+C+HiE8fOqo2Ni55dUSSdBiLH1I9ZKQwJlSpn2WaA86zSkKPYclar5qOa
pBduqRf7zP1vXKOrYhRBh2FEnm8JwKWtTrVUzMSOIK1klIbQ4tM0ENNlZesIxRFT
K9opv2XKjfAxxme/RH5Y1BEQN4Cvi7J8PJZ0mzL3y3kdrcfB6J3peKjYLCNDBCPm
l5fCUiHR9jttw9+XUy6iS6uF9yRnxLxNHiwewatqPZ5zM4Y5PJ9ETr6B7cKFA++2
iwIDAQAB
-----END PUBLIC KEY-----
', 1, 'BVBINHPHU'); Ngoài ra team bổ sung thêm cấu hình cho 1 đơn vị đã kết nối trước đó theo script bên dưới: INSERT INTO PARTNER (client_id, name, public_key, enable, merchant_code)
VALUES ('BEBVfnVlSWxkMWcHdeBfCAhXOajutobY', 'LEKIEN', '-----BEGIN PUBLIC KEY-----
MIIBIjANBgkqhkiG9w0BAQEFAAOCAQ8AMIIBCgKCAQEAwLzNQN/kIqls7xoIg8ZB
jDEDBiePjfkmRonbplWwchcdItnZqUFDgqcVdSfk21ZyGpLBwzch35rAA2e0tEbi
/zNQRBmhqlped/p4H6VHD1efCJHoVTWuYpXERefqxu0Gk6FI0G3VvoT3P8HkHfI/
f5hYx1fmx8FJ4vsN3WF0q7hsrzsK0hBodrK2+x+0q/CE5OYfFW9FIv+aweRZWAQt
wEy6I1yqjj89VBJiNL9hHXlNPU5eS1bt67vHLQBYsAh5bE1Ct2FYcaziY0eiNogy
MBMEVPy5kgznPe4k7Dj0LxH7eNuxGIp/54QBWqFOzh1P7rG4d0r3PRalfm2YjB8/
KQIDAQAB
-----END PUBLIC KEY-----', 1, 'LEKIEN');
INSERT INTO MERCHANT_RECONCILE
(merchant_code,
 tenant,
 enable,
 sftp_folder,
 pgp_public_key_base64,
 pgp_partner_id,
 days_to_subtract,
 max_records_per_file)
VALUES ('LEKIEN',
        'OME',
        '1',
        '/lekien',
        'LS0tLS1CRUdJTiBQR1AgUFVCTElDIEtFWSBCTE9DSy0tLS0tCgptUUlOQkdjTWxkVUJFQURjdEZ2cGFBT3ZSNEcwbWJYQmZIL3JjVTBjYWFyMlpJOFpRZVRWUGFuODdCVldqZGo2ClVWMmpRMXIvdVdOTWlVNU9sR1luS1djZHBRNklJV0ZOVnpUT2sram5NTU5ac0s4V0RxNHN2TlBQY1cxSWZwaDcKbVNjeldiVEo4RnBJWG5rRXBXYkJjRWszdnJRaXdCMXlwWjRTWG1yZnpBWUM4eWFjTzN4V2lIUGVCaEw5NEdtUQpYUjZqeUZ3L3Z2UjRBalJmRlRpZXZQcjgzRCs5OE1yazY5NmV2M3pvalRUN0FNZ2J1WmlIb21WVUZaazJ3a2g2Cml3Z1ZpaGdUZFpPaUlLTlNyQjA1T2loY2dSRCtCS1hWTEQ3aVdBbDFnN09hVlZ2OGgxTHZORllQNERxZWdtbTcKNHRZTDJTRTIvNXJiYXpoYnNFWTNYUk5YM3gxM2daT1ZnT1VKcnJCZForTzBjazdFdkJ3OUZZMk90K21Hcm5QegpqMGVNTWFDbDF5U2s2aUpWUzY4K0FpYWVWaUJnRUhrM0lLQUVpTHNrVWkyRWU1empBRE51NXpYQjBmOE9YaERmCm4zQnFIa3hQQktKaUR2TTIyOTVGVlR1eUU4aWZNNDNLdUg0RjQ3dGdzaVptWG9PRTBmUFRXT2htZXU5cEhPdUkKYmM0dldZZW4yRTNTVm04K3U3cTROUmowMEU3ZjFqblFwUXkxQmlrMnozbFlhL2lPNVpFbmZYcW80SHlSNWFvYwpRMjZVSXU1ZmptTHN4KytxK2tqM0FiSU9FNXFFcjkrRVoxUThHcG5XR1RHV1o5dFpYdGJUSkk2NFlpcWFWZ0hWCjR0TUVONHJqVm02NjZBM3VyTS8ybERLNktuRjV4N1RnZDQyZUNOdXB4VEgzVTJReFprTlJzdlhuOHdBUkFRQUIKdENoVVJVTklJRkJIVUNCUVVrOUVJRXRGV1NBOGFHOW9hV1YxTVRBNU9VQm5iV0ZwYkM1amIyMCtpUUpPQkJNQgpDQUE0RmlFRU5iTzJKYTdPOE1mVlZyRTJUdDgrRld0cXJ0d0ZBbWNNbGRVQ0d3TUZDd2tJQndJR0ZRb0pDQXNDCkJCWUNBd0VDSGdFQ0Y0QUFDZ2tRVHQ4K0ZXdHFydHh6aUEvL2RaNWczcFF1NTVrczBBejlDeGN0U3N3QlhibHAKYXliZDJFU1J0UWlNRkM2bkVRN1hKdmJYc2JoU3RSMkxPRWRpdEh0UFA2dFFxaGNJWmZDbG92L1ZDcXNmSDFpYwpXNEJjYzRBOTZDWlJ1SkM4K0ZyWjR3eGFURWZoMzZ3ZW5rcktRQXdJRDB6OWdJZ2duYlY2M2VRc2RKOFZiT1phCmRFRDdqbFVFRVMxZ2I4ckp3U3kwZnJhQ0hocTAwTEhJWGs4bFI4NG9OUnNacVpTcEw4ZVozbTBMTXc4UUZGSFUKL1FIRVJ3bmJSbDF0bmQ1cXpESjdBYWRFamxlcTBLVWdveXZZNGRsYTFtdHRCZXF2eXQwa1J1eU0wWlRockpYVwpBQWxBZFZJMDFDR2V5bHJuZlRZZWlTbTBwUnhNbldDdG9oV1hsbDZvc1Z0Wm40VlJJOHMyZk14djZ0cFoxK29wCmJEakhBUnc2dC9MaFlhOTh4bHFzRmFMZ1hHVXJETFlUb1V1WEdDajJXRmgyUHNYMXo5M0lmTHdKeitsdGdtMXcKdjNYV21oak1iaUt3YTMvZVk0T3gyeCtTZ2U4aFUzQ2VzWWdtdU50d2hEakt6a1FsKy9xQnlRWWVGZFVWelRaeQpBMm5UM3dCOU02Mjl5SWxmSk40Q3ltYTJoQ1c0UUVpbjNRMVIvZXF3YXNURjVkS29YbGc1Y3hzZEdzMUhYRGxmCnQvVVRUNWVTZGtEdUVwcHR3NmVYTkRKcngyWkszMnloWWtOOTdwTWFmUndHb08zcXl5b3pENjBWcFlsU1pkOTUKRkRReHRlVmg1dVZGR1JtMmloWjlDQUxWdkZzRXBlMlhRVlIrZ0dFVmdhWkdPamxDVVcxMHcvL2xxUVgwTFErZwpDYzRiZUUwN1ZmbkdEcnk1QWcwRVp3eVYxUUVRQUw5bkhBT3VJK3M0RW9kS0NJTERUTVc0dVgzY1hWTzdUK0R3CmNENjFsU3VxMmhZbEJoRDhCWWk4amN1TDRKN0k2dmJ0T0Q3WHVlYk8vbi9sZjJEL3RYdnBUMHprMW54ZlJaVUYKN1VnSmRHSytDdlROWjlKWW8zODVSOHJDclBFVkZhRUQxTmEyVGhEYTJRbDJwOHQwSCtUV3pkQzk1T2RKcUxHRApWOFZaL0x4ajBhVFdaRWp6SDdwMDVGcmJvcDJjZlpPb1BOR2dzRTd2VHlzRFdsVU9ZTlFtcVRoWk9mT2laS2VsCkN0WTRSNHptdXZOaVdINVFKRFdUeU4zdjdlOWsvOUZBM0Vka1h3bzQvazB4b1Y3Wi9jT1dZZWxsSjhjQnY2QzAKdXo2SVZrL3A4UHpVTFpSV0dPUnRsekJTWWNtcWtyald3cEZzL1hVZHBTdGdzMlJnRlVpVGVsUE9KWXdTQzBkVQpEcHp6RGJBcm1oOWFnZ0xzeHl2dm9qYlVyT1lCSHpVWStUNW1iVDdodkhvTWRmN2lzd3hLcmh2ZFBYWjE1V2g1ClpiN01GVi9CL2hOVzJWenNsSUZYcE1sU21YYXd5ZGFNU0FxeEJaeWozQ2JHbEpkYVY5WWF1bklZUHVpNmJEMDcKdjJXTTk2eDBrUVh0ejNuZUNGRENBaDE1Vk5hTEMrTWVSL2MzcHJEV3hteXFDSlQxR2o0aTIrUDFYWVJuTjdLVgoybW51bXVVSjFDa0RkcmVIL1piSi9tNVY2WDdCVW8vemY4U0hnSmhHSUtYLzZ6L3R2bVFrekhXNWFSTGtvV2pVCnpjTmNjOWJOQllOSkp3UjB2VkJBNWRCV1ZEOWhHNHI2ZGsyOFRiM2VxdWFUYmRzVW13WEw4L244VmdOQVFQWEEKYWFyb01yWlhBQkVCQUFHSkFqWUVHQUVJQUNBV0lRUTFzN1lscnM3d3g5VldzVFpPM3o0VmEycXUzQVVDWnd5VgoxUUliREFBS0NSQk8zejRWYTJxdTNGUWJELzlnbVpQeUg5MGcxMVBiQnZMY0RvTXM4V0lMdmp2ejNkdUlkc1h3CnNqRFp4anFQYlYxa3VGdy9Hb1hoMnBqOVp5dkNqeDlZeXJyNlNDS0xXWFREV1ZrZ2dDZGNtTEVuSWk1a2ZmVzIKY0R0eUYyd1kzWHpHTUg2aHdRQmZuWVBwZmhPdThORU1nZzZBL3BEcEgxRjRRa2drSDZhcE5HdmZDcnhSMW9tVQpycW1uNjh2Tm83d3hpcnhzTFFlbE4ya0hZd2EvSlNZU21WazFIaXV6NXlVWm1qNG1jelIveTNYTjE3K012UTQrCklDSU1CSXNCWHRYcEpWWmxSOTF3R1hJVCt0KzFJMk1vTUlGUTBoRXYwam1DZ29lTy9kaXlReHNuWkc0Qk9FdFIKQXlCS0txYkRDRUtNaGllZ3Zpdkg2Ujg2eERUK1ZDYTRiZlc1ZDdrczJUQUo5cm9ZaTFDTFd3MWhmU3l0S2MxRAp4elpFT0RFK09vSlpxejJ1QmhKcDRGTStJL0IrUlBubzc0ZmZTVjZ6blVBVXZ5cURIMzFqODVNaWdVc0l2U2VVCitMU1RURUVKVE1NVDF4WnV2V0pwMGNieVUweUxyclRsVDlmSlR1QkNHNjBIV3lBNkpRcitXVXJWU3cvS0ppUFcKNUZEZ2lBWXZqR3J3SFVNZEZsOE5SVktCRTBDSE5sdDF2TElWcGt2YUx1a0V1TzZlWHR4cHRVWWpCYXhjNm1PKwovSWkxUllFSVR0ZWhqOHNnZzdkQzRCdEsxSXFIK3UyaWNwQ3JJMlNCUGxiYnRZQk5zK3hKZVJWMWY1V1pwT3I3Ck5wOWJyWDRSZkhiOWk4UVQ2WGVXM0NyNE5qQllmeVZGOUtQdUtrVjQ5VnFQQ1FUbjdyeGIrTDJLc1VLSlF0K1AKZDlMVE9RPT0KPTFvQ1UKLS0tLS1FTkQgUEdQIFBVQkxJQyBLRVkgQkxPQ0stLS0tLQo=',
        'hohieu1099@gmail.com',
        '1',
        '10000');</t>
  </si>
  <si>
    <t>DBA hỗ trợ cập nhật database thiếu Index cho WES</t>
  </si>
  <si>
    <t>2025-09-05T15:56:02.066+0700</t>
  </si>
  <si>
    <t>2025-09-05T16:08:18.144+0700</t>
  </si>
  <si>
    <t>Hi DBA team, Hiện tại Database bị thiếu index nên PROD WES/WMS gặp lỗi không cập nhật  Trạng thái  Yêu cầu (HO/HOL), nhờ team DBA hỗ trợ cập nhật giá trị theo thông tin dưới đây. Project : vinid-b2b-platform-prod Instance/IP : main (read-write): 172.31.1.143 Port : 3306 1. Kho FM Database : wes_fm Query CREATE INDEX idx_time_wf_and_dc on flat_user_performance (time_taken_in_day, dc_code);
CREATE INDEX idx_last_date_and_dc on tracking (last_modified_date, dc_code); 2. Kho 8115 Database :  wes_8115 CREATE INDEX idx_tracking_and_dc on flat_scan_tracking (scan_tracking_id, dc_code); 3. Kho 8193 Database :  wes_8193 CREATE INDEX idx_tracking_and_dc on flat_scan_tracking (scan_tracking_id, dc_code); Các câu query đánh giá là an toàn nên có thể thực hiện cập nhật bất kỳ lúc nào mà không ảnh hưởng đến vận hành hệ thống.</t>
  </si>
  <si>
    <t>[PROD] [OMC] [MTP] Hỗ trợ cập nhật dữ liệu phục vụ test release</t>
  </si>
  <si>
    <t>2025-09-05T15:34:47.807+0700</t>
  </si>
  <si>
    <t>2025-09-05T15:37:26.475+0700</t>
  </si>
  <si>
    <t>Dear a  @Trần Trương Dương Team MTP thực hiện golive định kì theo CR sau   Release Note :  Nhờ anh thực hiện update dữ liệu phục vụ QC test  Thread golive :  https://chat.google.com/room/AAAAjOjMTaI/GFGjIVvv8_Y/GFGjIVvv8_Y?cls=10 TIDB_URI: 'omc-mtp-tidb.int.onemount.com:4000' TIDB_USERNAME: omc_mtp_user_profile Thanks UPDATE identified_profile
SET om_referral_id = 'eco_om' where uid = '7688291' and destination = 'VINID'</t>
  </si>
  <si>
    <t>[UPay][SmartPOS] Update cut off time void transaction</t>
  </si>
  <si>
    <t>2025-09-05T15:13:04.868+0700</t>
  </si>
  <si>
    <t>2025-09-05T15:13:09.810+0700</t>
  </si>
  <si>
    <t>Dear team DBA, Team dự án cần cập nhật lại config cut off time giao dịch void smartpos, nhờ team process Thông tin DB:  pay-tidb.int.onemount.com:4000/saas_tpay Script: UPDATE SYSTEM_CONFIGURATION SET SYSTEM_PARAM_VALUE = '00:00:00' where SYSTEM_PARAM_CODE = 'SMARTPOS_CARD_VOID_INTERNATIONAL_CARD_CUTOFF_TIME'  </t>
  </si>
  <si>
    <t>2025-09-05T14:50:09.887+0700</t>
  </si>
  <si>
    <t>2025-09-05T14:51:06.278+0700</t>
  </si>
  <si>
    <t>Hi a  @Nguyễn Văn Dũng  , nhờ a chạy giúp e script này với ạ. Thông tin database:  pay-tidb.int.onemount.com:4000/saas_tpay UPDATE MERCHANT
SET VA_NAME_OPTION = 'FULL_NAME2'
WHERE MERCHANT_CODE IN (
                        'NCCU9RA9', '41S8026899', '30935093', 'NCCSSYG2', '36336876', '22745081', '36694433', '30150932', '74531289', 'NCCRHN2R', '74907698', '74890018', '38470051'
    );
UPDATE ACCOUNT t1
    JOIN service_account sa
ON t1.id = sa.ACCOUNT_ID
    JOIN service s ON sa.service_id = s.id
    JOIN (SELECT a.MERCHANT_CODE, a.ACCOUNT_NUMBER, s.SERVICE_CODE
    FROM ACCOUNT a
    JOIN service_account sa ON a.id = sa.ACCOUNT_ID
    JOIN service s ON sa.service_id = s.id
    WHERE a.ACCOUNT_BY_PURPOSE = 'COLLECTION'
    and a.CREATED_BY = 'UNIFIED_MERCHANT_SERVICE') t2 ON t1.MERCHANT_CODE = t2.MERCHANT_CODE and
    t2.SERVICE_CODE = s.SERVICE_CODE
    SET t1.ACCOUNT_NUMBER = t2.ACCOUNT_NUMBER
WHERE t1.ACCOUNT_BY_PURPOSE IN ('FEE', 'REFUND')
  and t1.CREATED_BY = 'UNIFIED_MERCHANT_SERVICE'
  and t1.MERCHANT_CODE in ('NCCU9RA9', '41S8026899', '30935093', 'NCCSSYG2', '36336876', '22745081', '36694433', '30150932', '74531289', 'NCCRHN2R', '74907698', '74890018', '38470051')
  AND s.service_code IN ('TQR', 'MQR');</t>
  </si>
  <si>
    <t>Tạo db mysql non-prod cho CBPAI</t>
  </si>
  <si>
    <t>2025-09-05T12:32:55.896+0700</t>
  </si>
  <si>
    <t>2025-09-05T12:34:30.638+0700</t>
  </si>
  <si>
    <t>Dear team, Hiện tại team DS đang có nhu cầu sử dụng dụng mysql để sync dữ liệu từ CBP, vậy nhờ team tạo em giúp 1 db theo cấu hình như sau: Database name: omre_cbp_ai_dev; omre_cbp_ai_qc; omre_cbp_ai_uat
Môi trường: Non-prod
MySQL: 172.31.0.67 Nhờ team tạo trước môi trường non-prod, em cảm ơn nhiều ạ</t>
  </si>
  <si>
    <t>[CDP][NonPROD] Phân quyền view cho account data_ingestion</t>
  </si>
  <si>
    <t>2025-09-05T11:07:09.875+0700</t>
  </si>
  <si>
    <t>2025-09-05T11:11:55.639+0700</t>
  </si>
  <si>
    <t>Dear các anh. Dự án CBP vừa triển khai thêm các database mới. Nên mong a Dương hỗ trợ e phân quyền view theo thông tin sau ạ: Account phân thêm quyền: data_ingestion Host/Port: 172.31.0.67/3306 Các database mới cần view: +  omre_cbp_calendar_uat +  omre_cbp_transaction_uat Em cảm ơn ạ</t>
  </si>
  <si>
    <t>Hỗ trợ cập nhật tên kho cho kho MAG_01 và MAG_02 trên WES</t>
  </si>
  <si>
    <t>2025-09-05T10:31:04.205+0700</t>
  </si>
  <si>
    <t>2025-09-05T10:47:40.295+0700</t>
  </si>
  <si>
    <t>Description Hi DBA team, Hiện tại kho  MAG_01  và  MAG_02  cần đổi tên, nhờ team DBA hỗ trợ cập nhật giá trị theo thông tin dưới đây. 1. Cập nhật trên WES Project : vinid-b2b-platform-prod Instance/IP : main (read-write): 172.31.1.143 Port : 3306 Database : wes_master update warehouse w set w.name = 'TGH' where w.code = 'MAG_01';
update warehouse w set w.name = 'TGH-NTTC' where w.code = 'MAG_02'; Câu query đánh giá là an toàn nên có thể thực hiện cập nhật bất kỳ lúc nào mà không ảnh hưởng đến vận hành hệ thống.</t>
  </si>
  <si>
    <t>[GAMI][PS2][Prod] Hỗ trợ xuất data report vé tuần của NTB theo scheme mới từ 25/8/2025</t>
  </si>
  <si>
    <t>2025-09-05T10:18:52.416+0700</t>
  </si>
  <si>
    <t>2025-09-05T15:30:55.795+0700</t>
  </si>
  <si>
    <t>Hỗ trợ xuất data report vé tuần của NTB theo scheme mới từ 25/8/2025 Host:  172.31.4.75 Db:  promo_gamezone Query: 1: truy xuất danh sách các user được phát vé từ campaign extent từ NTB SELECT customer_id, claim_amount FROM `rule_logs` WHERE campaign_id = 55 AND claim_type = 'REWARD';  2. Tính tổng vé đã nhận của các user được xuất từ phần 1 SELECT customer_id, SUM(claim_amount) FROM `rule_logs` WHERE customer_id IN(SELECT customer_id FROM `rule_logs` WHERE campaign_id = 55 AND claim_type = 'REWARD') GROUP BY customer_id;</t>
  </si>
  <si>
    <t>2025-09-05T10:16:11.427+0700</t>
  </si>
  <si>
    <t>2025-09-05T10:40:43.967+0700</t>
  </si>
  <si>
    <t>Hi các anh, bên em có nhu cầu update dữ liệu cho 1 bảng trên PROD phục vụ biz.   https://vinid-team.atlassian.net/browse/PQ1D-1216 Nhờ các anh support chạy giúp team 2 câu script trên ạ -- 1. Lấy danh sách KH cần upgrade
SELECT merchantCode, quotaLimit, currentUsage
FROM LlmQuotaStats
WHERE quotaLimit &lt; 500;
-- 2. Update quotaLimit lên 500
UPDATE LlmQuotaStats
SET quotaLimit = 500
WHERE quotaLimit &lt; 500;</t>
  </si>
  <si>
    <t>Triển khai việc update version CloudSQL để tránh bị charge extended support</t>
  </si>
  <si>
    <t>2025-09-04T18:03:36.686+0700</t>
  </si>
  <si>
    <t>OM, update_version</t>
  </si>
  <si>
    <t xml:space="preserve">Triển khai các công việc thực hiện việc upgrade version cho Postgres, MySQL trên google cloudSQL  </t>
  </si>
  <si>
    <t>[OMD] [Lite-POS-User] Yêu cầu update master data</t>
  </si>
  <si>
    <t>2025-09-04T15:38:18.808+0700</t>
  </si>
  <si>
    <t>2025-09-04T20:06:41.723+0700</t>
  </si>
  <si>
    <t>Hi Team, Nhờ Team support chạy scripts sau update lại thông tin của các bảng chứa master data DROP INDEX invoiceSeriesIdx ON InvoiceSeries;
ALTER TABLE Feedback DROP COLUMN content; thời gian thực hiện: 20h:00 thông tin DB: gcp project: omd-pos-prod instance: omd-pos-commerce (172.31.1.6) DB Name: litepos_user_prod Thank Team!</t>
  </si>
  <si>
    <t>[MTP][Prod] Request grant permission trên Dremio để query các bảng trên TiDB ODS</t>
  </si>
  <si>
    <t>2025-09-04T15:01:17.725+0700</t>
  </si>
  <si>
    <t>2025-09-04T15:19:18.006+0700</t>
  </si>
  <si>
    <t>Hi anh, Bên em đang có nhu cầu query data ODS từ Dremio. Nhờ anh phân quyền giúp em theo thông tin sau ạ: SA Dremio:  sa.dremio.om.mtp-local Cấp quyền cho những bảng sau: Schema:  omc_merchant_loyalty   request   merchant   campaign Schema:  data_platform mvp_discount_transaction mvp_voucher_issued_serials mvp_voucher_ticket</t>
  </si>
  <si>
    <t>[OMC][MTP][PROD] Hỗ trợ cập nhật DB thực hiện golive</t>
  </si>
  <si>
    <t>2025-09-04T14:50:44.493+0700</t>
  </si>
  <si>
    <t>2025-09-04T23:50:12.123+0700</t>
  </si>
  <si>
    <t>Dear a  @Trần Trương Dương   Tối nay khoảng 22h (04/09)  team MTP thực hiện golive định kì theo CR sau  Release Note :  Nhờ anh thực hiện run script sau  (khi nào bên em báo a run thì a hẵng run nhé) {{TIDB_URI: 'omc-mtp-tidb.int.onemount.com:4000'    }} TIDB_USERNAME: omc_mtp_user_profile create table loyalty_cus
(
    loyalty_cus_id      varchar(50)                        not null
        primary key,
    friend_group_ids    json                               null,
    product_lv2         json                               null,
    cst_target_group    json                               null,
    cst_tier_program    varchar(100)                       null,
    family_group_id     varchar(100)                       null,
    cst_loyalty_tier    varchar(50)                        null,
    cst_brth_dt         date                               null,
    loyalty_ob_date     date                               null,
    target_segment_code varchar(50)                        null,
    created_at          datetime default CURRENT_TIMESTAMP null,
    updated_at          datetime default CURRENT_TIMESTAMP null on update CURRENT_TIMESTAMP
);
alter table identified_profile
    add loyalty_cus_id varchar(50) null;
create index idx_loyalty_cus_id
    on identified_profile (loyalty_cus_id); Và thực hiện run script trong file em gửi đính kém bên dưới. Thanks.</t>
  </si>
  <si>
    <t>V/v check sync data trên ODS</t>
  </si>
  <si>
    <t>2025-09-04T11:16:21.145+0700</t>
  </si>
  <si>
    <t>2025-09-04T12:41:36.169+0700</t>
  </si>
  <si>
    <t>Check sync data trên ODS Job name:  omd_mysql_8_b2b_custom_oms_qc5 Source: 172.31.0.68 use omd_b2b_custom_oms_qc;
select * from Shipment where saleOrderCode in ('6945192638','5819310144') order by createdAt desc;
select * from SaleOrder order by createdAt desc;
select * from SaleOrderEntry order by createdAt desc;
select * from PaymentTransaction order by createdAt desc;
select * from PromotionCampaignBudgetTransaction order by createdAt desc;
select * from PromotionOriginBudget order by createdAt desc;
select * from ContractFee order by createdAt desc;
select * from ContractFeeCondition order by createdAt desc;
select * from ShipmentTracking order by createdAt desc;
select * from ConsignmentEntry order by createdAt desc;
select * from ShipmentPaymentDetail order by createdAt desc;
select * from DistributedConsignmentEntry order by createdAt desc; Target: TiDB ODS use omd_vinid_app_common_dev_main_mysql_8_omd_b2b_custom_oms_qc;
select * from Shipment where saleOrderCode in ('6945192638','5819310144') order by createdAt desc;
select * from SaleOrder order by createdAt desc;
select * from SaleOrderEntry order by createdAt desc;
select * from PaymentTransaction order by createdAt desc;
select * from PromotionCampaignBudgetTransaction order by createdAt desc;
select * from PromotionOriginBudget order by createdAt desc;
select * from ContractFee order by createdAt desc;
select * from ContractFeeCondition order by createdAt desc;
select * from ShipmentTracking order by createdAt desc;
select * from ConsignmentEntry order by createdAt desc;
select * from ShipmentPaymentDetail order by createdAt desc;
select * from DistributedConsignmentEntry order by createdAt desc;</t>
  </si>
  <si>
    <t>2025-09-04T10:40:34.411+0700</t>
  </si>
  <si>
    <t>2025-09-04T11:36:08.702+0700</t>
  </si>
  <si>
    <t>Dear anh Linh, Phục vụ enhance luồng dữ liệu reconcile với TCB nhờ anh tạo kafka topic cho bảng sau ạ. DB:  oloyalty IP:  10.255.23.119 Table:  PS2_EARNING_ERROR_GROUP Em cảm ơn ạ.</t>
  </si>
  <si>
    <t>2025-09-04T10:15:46.464+0700</t>
  </si>
  <si>
    <t>2025-09-04T10:15:53.416+0700</t>
  </si>
  <si>
    <t>Dear anh  @Nguyễn Văn Dũng  , nhờ anh chạy giúp em script sau: DB:  tidb.int.onemount.com:4000 Schema:  dp_omc_semantic_omc_bsi_cdp DELETE FROM f_customer_label
WHERE label_code = 'mtp_custom_vinid_balance'; Best regards Dinh Quang Nguyen</t>
  </si>
  <si>
    <t>[OMC][GAMI][PS2][Prod] Hỗ trợ xuất data report cho campaign Spin to Win</t>
  </si>
  <si>
    <t>2025-09-03T12:00:35.498+0700</t>
  </si>
  <si>
    <t>2025-09-03T12:08:04.260+0700</t>
  </si>
  <si>
    <t>Hỗ trợ xuất data report tuần 19 cho campaign Spin to Win theo yêu cầu của TCB Host:  172.31.4.75 Db:  promo_gamezone Query: SELECT SUM(claim_amount) FROM `rule_logs` WHERE campaign_id = 55 &amp;&amp; reward_type='TURN' &amp;&amp; `status` = 'SUCCESS';
SELECT COUNT(DISTINCT(user_id)) FROM `rule_logs` WHERE campaign_id = 55 &amp;&amp; reward_type='TURN' &amp;&amp; `status` = 'SUCCESS';</t>
  </si>
  <si>
    <t>Hỗ trợ đóng kho 8118 - Sơn Tây</t>
  </si>
  <si>
    <t>2025-09-03T11:55:35.687+0700</t>
  </si>
  <si>
    <t>2025-09-03T16:07:17.929+0700</t>
  </si>
  <si>
    <t>Hi DBA team,  hiện tại nghiệp vụ không còn nhu cầu sử dụng kho 8118 Sơn Tây,  nhờ team DBA hỗ trợ cập nhật giá trị theo thông tin dưới đây   Cụm WMS Project : vinid-b2b-platform-prod Instance/IP : main (read-write): 172.31.4.59 Port : 3306 Database : omd_wms_core Script : file  omd_wms_core_8118.sql  trong file đính kèm Cum WES Project : vinid-b2b-platform-prod Instance/IP : main (read-write): 172.31.1.143 Port : 3306 Database : wes_master Script : file  wes_master_8118.sql  trong file đính kèm Câu query đánh giá là có thể ảnh hưởng đến vận hành hệ thống nên mong muốn chạy vào thời gian vận hành thấp điểm (từ 22h-2h sáng).</t>
  </si>
  <si>
    <t>[Vinpay][PROD][SOFTPOS] Hotfix upload thông tin người dùng cho giao dịch trên 20tr</t>
  </si>
  <si>
    <t>2025-09-03T11:48:47.112+0700</t>
  </si>
  <si>
    <t>2025-09-03T11:48:57.000+0700</t>
  </si>
  <si>
    <t>Hi anh Nhờ anh chạy các script sau giúp em trên: Prod  vào lúc  sau khi approve   ạ Thông tin database: Prod :  pay-tidb.int.onemount.com:4000/saas_tpay Query update service set STATUS = 'ACTIVE', LOCKED_BY = null where MERCHANT_CODE = 'NCC2YB7G' and SERVICE_CODE = 'SOFTPOS_CARD';</t>
  </si>
  <si>
    <t>[OM][Nexa][Non-Prod][TNX][UAT]Tạo account truy cập DB trên PSS và PSP môi trường UAT</t>
  </si>
  <si>
    <t>2025-09-03T09:55:16.397+0700</t>
  </si>
  <si>
    <t>2025-09-03T10:37:14.864+0700</t>
  </si>
  <si>
    <t>AML, MVP0, Track3MVPBuild, Workstream5_A&amp;F_Nexa</t>
  </si>
  <si>
    <t>Dear team, Nhờ team tạo account truy cập DB trên PSS và PSP môi trường UAT Regards, Vĩnh.</t>
  </si>
  <si>
    <t>Xin phân quyền DataPlatform</t>
  </si>
  <si>
    <t>2025-09-03T09:41:37.754+0700</t>
  </si>
  <si>
    <t>2025-09-03T09:53:28.096+0700</t>
  </si>
  <si>
    <t>Dremio</t>
  </si>
  <si>
    <t>Em xin phân quyền vào bảng data sau: "tidb_ods"."omd_pos_prod_omd_pos_commerce_litepos_oms_prod".SaleOrder</t>
  </si>
  <si>
    <t>2025-08-30T22:10:09.381+0700</t>
  </si>
  <si>
    <t>2025-08-30T22:10:28.477+0700</t>
  </si>
  <si>
    <t>Dear team DBA, Team dự án cần cập nhật lại config cut off time giao dịch void smartpos, nhờ team process Thông tin DB:  pay-tidb.int.onemount.com:4000/saas_tpay Script: UPDATE SYSTEM_CONFIGURATION SET SYSTEM_PARAM_VALUE = '00:00:01' where SYSTEM_PARAM_CODE = 'SMARTPOS_CARD_VOID_INTERNATIONAL_CARD_CUTOFF_TIME'</t>
  </si>
  <si>
    <t>[Kafka][CBP][CDP][NonPROD] Tạo topic cho các bảng CBP môi trường QC</t>
  </si>
  <si>
    <t>2025-08-30T14:12:14.706+0700</t>
  </si>
  <si>
    <t>2025-09-19T14:29:57.694+0700</t>
  </si>
  <si>
    <t>CBP, CDP, OMRE</t>
  </si>
  <si>
    <t>Dear các anh. Team CDP có nhu cầu kéo data CBP về Data platform để build model phục vụ test/QC CDP. Các bảng cần tạo topic có thông tin như sau: Database: omre_cbp_activity_qc Host/Port: mysql.qc.svc.cluster.local:3306 Môi trường: Non PROD. Table: task_templates task_types assignments tasks relations Database: omre_cbp_agent_core_qc Host/Port: mysql.qc.svc.cluster.local:3306 Môi trường: Non PROD. Table: address careers regions level_templates eav_attributes level_task_requirements branches agent_level_progress task_templates agent_task_progress bank_accounts eav_attribute_json_values documents ekyc_informations eav_attribute_text_values agents onboarding_processes onboarding_step_data workflow_events ekyc_steps_details upload_images Database: omre_cbp_collab_qc Host/Port: mysql.qc.svc.cluster.local:3306 Môi trường: Non PROD. Table: tag_tag_groups quick_filters tag_tags eav_attributes cont_root_bank_accounts cont_bank_accounts match_bookmark_listings cont_root_id_documents cont_id_documents tag_taggables cont_root_addresses cont_addresses dlr_offers sto_file_links cont_emails cont_root_contact_profiles cont_contact_profiles inq_inquiries cont_root_phone_numbers cont_root_contacts cont_root_emails inq_inquiry_contacts cont_contacts dlr_deal_rooms dlr_agreements dlr_deal_room_inquiries cont_phone_numbers inq_inquiry_demands sto_file_versions sto_files inq_inquiry_participants cont_contact_participants dlr_deal_room_participants dlr_agreement_participants Database: omre_cbp_collab_qc Host/Port: mongo.qc.svc.cluster.local:27017 Môi trường: Non PROD. Table:  approval_requests verification_results listings media Note:   Khi tạo connection Kafka cho database  anh thêm config sau giúp em: key.converter.schemas.enable=false value.converter.schemas.enable=false Em cảm ơn.</t>
  </si>
  <si>
    <t>[PROD] [VCM]  Chạy script  voucher group</t>
  </si>
  <si>
    <t>2025-08-30T13:08:58.239+0700</t>
  </si>
  <si>
    <t>2025-08-30T13:32:27.659+0700</t>
  </si>
  <si>
    <t>Dear DBA Team, Nhờ team hỗ trợ chạy script cập nhật thông tin attribute voucher group  INDIVIDUAL . Thời gian dự kiến chạy trong khoảng là  từ 13h30 đến 23:59:59 30/08/2025   Thông tin database: MySQL
- IP: 172.31.1.41
- Database name: vincart_mm_product Các bước thực hiện bên dưới: create table entity_attributes_values_30082025 like entity_attributes_values;
insert into entity_attributes_values_30082025 select * from entity_attributes_values;
insert into entity_attributes_values(attribute_id, value,name,entity_id,type)
select 41, 'INDIVIDUAL', 'voucher_audience', v.id, 'VARIANT'
from variants v
         inner join products p on v.product_id = p.id
where v.id in (SELECT DISTINCT eav1.entity_id
               FROM entity_attributes_values eav1
               WHERE NOT EXISTS (SELECT 1
                                 FROM entity_attributes_values eav2
                                 WHERE eav1.entity_id = eav2.entity_id
                                   AND eav2.name = 'voucher_audience'
                                   AND eav2.type = 'VARIANT')
                 and eav1.type = 'VARIANT')
  AND p.base_uom = 'VOUCHER'
  AND EXISTS (SELECT 1
              FROM entity_attributes_values eav
              WHERE eav.entity_id = v.id
                AND eav.name = 'effective_time_to'
                AND eav.type = 'VARIANT'
                AND FROM_UNIXTIME(CAST(eav.value AS UNSIGNED)) &gt; NOW());
update entity_attributes_values x set value ='INDIVIDUAL'
                                  where x.name = 'voucher_audience'
AND (x.value = 'NULL' or x.value is null or x.value = '');</t>
  </si>
  <si>
    <t>[PROD][OMC][MTP] Hỗ trợ cập nhật DB</t>
  </si>
  <si>
    <t>2025-08-29T16:18:40.040+0700</t>
  </si>
  <si>
    <t>2025-08-29T16:20:13.423+0700</t>
  </si>
  <si>
    <t>Dear a  @Nguyễn Văn Dũng  , nhờ a thực hiện update dữ liệu theo thông tin dưới đây giúp em ạ. DB :  POSTGRES_HOST: 172.31.3.49
POSTGRES_PORT: "5432" Script: -- January
UPDATE public.segments
SET segment_config = e'{
  "AND": [
    {
      "AND": [
        {
          "label_code": "ttcn_dob",
          "operator": "IN",
          "data_type": "STRING",
          "value": [
            "01-01","02-01","03-01","04-01","05-01","06-01","07-01","08-01","09-01","10-01",
            "11-01","12-01","13-01","14-01","15-01","16-01","17-01","18-01","19-01","20-01",
            "21-01","22-01","23-01","24-01","25-01","26-01","27-01","28-01","29-01","30-01","31-01"
          ]
        }
      ]
    }
  ]
}'
WHERE id = 4;
-- February
UPDATE public.segments
SET segment_config = e'{
  "AND": [
    {
      "AND": [
        {
          "label_code": "ttcn_dob",
          "operator": "IN",
          "data_type": "STRING",
          "value": [
            "01-02","02-02","03-02","04-02","05-02","06-02","07-02","08-02","09-02","10-02",
            "11-02","12-02","13-02","14-02","15-02","16-02","17-02","18-02","19-02","20-02",
            "21-02","22-02","23-02","24-02","25-02","26-02","27-02","28-02","29-02"
          ]
        }
      ]
    }
  ]
}'
WHERE id = 5;
-- March
UPDATE public.segments
SET segment_config = e'{
  "AND": [
    {
      "AND": [
        {
          "label_code": "ttcn_dob",
          "operator": "IN",
          "data_type": "STRING",
          "value": [
            "01-03","02-03","03-03","04-03","05-03","06-03","07-03","08-03","09-03","10-03",
            "11-03","12-03","13-03","14-03","15-03","16-03","17-03","18-03","19-03","20-03",
            "21-03","22-03","23-03","24-03","25-03","26-03","27-03","28-03","29-03","30-03","31-03"
          ]
        }
      ]
    }
  ]
}'
WHERE id = 6;
-- April
UPDATE public.segments
SET segment_config = e'{
  "AND": [
    {
      "AND": [
        {
          "label_code": "ttcn_dob",
          "operator": "IN",
          "data_type": "STRING",
          "value": [
            "01-04","02-04","03-04","04-04","05-04","06-04","07-04","08-04","09-04","10-04",
            "11-04","12-04","13-04","14-04","15-04","16-04","17-04","18-04","19-04","20-04",
            "21-04","22-04","23-04","24-04","25-04","26-04","27-04","28-04","29-04","30-04"
          ]
        }
      ]
    }
  ]
}'
WHERE id = 7;
-- May
UPDATE public.segments
SET segment_config = e'{
  "AND": [
    {
      "AND": [
        {
          "label_code": "ttcn_dob",
          "operator": "IN",
          "data_type": "STRING",
          "value": [
            "01-05","02-05","03-05","04-05","05-05","06-05","07-05","08-05","09-05","10-05",
            "11-05","12-05","13-05","14-05","15-05","16-05","17-05","18-05","19-05","20-05",
            "21-05","22-05","23-05","24-05","25-05","26-05","27-05","28-05","29-05","30-05","31-05"
          ]
        }
      ]
    }
  ]
}'
WHERE id = 8;
-- June
UPDATE public.segments
SET segment_config = e'{
  "AND": [
    {
      "AND": [
        {
          "label_code": "ttcn_dob",
          "operator": "IN",
          "data_type": "STRING",
          "value": [
            "01-06","02-06","03-06","04-06","05-06","06-06","07-06","08-06","09-06","10-06",
            "11-06","12-06","13-06","14-06","15-06","16-06","17-06","18-06","19-06","20-06",
            "21-06","22-06","23-06","24-06","25-06","26-06","27-06","28-06","29-06","30-06"
          ]
        }
      ]
    }
  ]
}'
WHERE id = 9;
-- July
UPDATE public.segments
SET segment_config = e'{
  "AND": [
    {
      "AND": [
        {
          "label_code": "ttcn_dob",
          "operator": "IN",
          "data_type": "STRING",
          "value": [
            "01-07","02-07","03-07","04-07","05-07","06-07","07-07","08-07","09-07","10-07",
            "11-07","12-07","13-07","14-07","15-07","16-07","17-07","18-07","19-07","20-07",
            "21-07","22-07","23-07","24-07","25-07","26-07","27-07","28-07","29-07","30-07","31-07"
          ]
        }
      ]
    }
  ]
}'
WHERE id = 10;
-- August
UPDATE public.segments
SET segment_config = e'{
  "AND": [
    {
      "AND": [
        {
          "label_code": "ttcn_dob",
          "operator": "IN",
          "data_type": "STRING",
          "value": [
            "01-08","02-08","03-08","04-08","05-08","06-08","07-08","08-08","09-08","10-08",
            "11-08","12-08","13-08","14-08","15-08","16-08","17-08","18-08","19-08","20-08",
            "21-08","22-08","23-08","24-08","25-08","26-08","27-08","28-08","29-08","30-08","31-08"
          ]
        }
      ]
    }
  ]
}'
WHERE id = 11;
-- September
UPDATE public.segments
SET segment_config = e'{
  "AND": [
    {
      "AND": [
        {
          "label_code": "ttcn_dob",
          "operator": "IN",
          "data_type": "STRING",
          "value": [
            "01-09","02-09","03-09","04-09","05-09","06-09","07-09","08-09","09-09","10-09",
            "11-09","12-09","13-09","14-09","15-09","16-09","17-09","18-09","19-09","20-09",
            "21-09","22-09","23-09","24-09","25-09","26-09","27-09","28-09","29-09","30-09"
          ]
        }
      ]
    }
  ]
}'
WHERE id = 12;
-- October
UPDATE public.segments
SET segment_config = e'{
  "AND": [
    {
      "AND": [
        {
          "label_code": "ttcn_dob",
          "operator": "IN",
          "data_type": "STRING",
          "value": [
            "01-10","02-10","03-10","04-10","05-10","06-10","07-10","08-10","09-10","10-10",
            "11-10","12-10","13-10","14-10","15-10","16-10","17-10","18-10","19-10","20-10",
            "21-10","22-10","23-10","24-10","25-10","26-10","27-10","28-10","29-10","30-10","31-10"
          ]
        }
      ]
    }
  ]
}'
WHERE id = 13;
-- November
UPDATE public.segments
SET segment_config = e'{
  "AND": [
    {
      "AND": [
        {
          "label_code": "ttcn_dob",
          "operator": "IN",
          "data_type": "STRING",
          "value": [
            "01-11","02-11","03-11","04-11","05-11","06-11","07-11","08-11","09-11","10-11",
            "11-11","12-11","13-11","14-11","15-11","16-11","17-11","18-11","19-11","20-11",
            "21-11","22-11","23-11","24-11","25-11","26-11","27-11","28-11","29-11","30-11"
          ]
        }
      ]
    }
  ]
}'
WHERE id = 14;
-- December
UPDATE public.segments
SET segment_config = e'{
  "AND": [
    {
      "AND": [
        {
          "label_code": "ttcn_dob",
          "operator": "IN",
          "data_type": "STRING",
          "value": [
            "01-12","02-12","03-12","04-12","05-12","06-12","07-12","08-12","09-12","10-12",
            "11-12","12-12","13-12","14-12","15-12","16-12","17-12","18-12","19-12","20-12",
            "21-12","22-12","23-12","24-12","25-12","26-12","27-12","28-12","29-12","30-12","31-12"
          ]
        }
      ]
    }
  ]
}'
WHERE id = 15; Thanks</t>
  </si>
  <si>
    <t>[OM][PROD][Health Hub] chạy lệnh SQL</t>
  </si>
  <si>
    <t>2025-08-29T14:51:31.871+0700</t>
  </si>
  <si>
    <t>2025-08-29T14:51:36.844+0700</t>
  </si>
  <si>
    <t>V/v kéo data tcb recommendation về ODS UAT</t>
  </si>
  <si>
    <t>2025-08-29T10:58:55.213+0700</t>
  </si>
  <si>
    <t>2025-08-30T09:58:10.029+0700</t>
  </si>
  <si>
    <t>Objective Đẩy dữ liệu lên ODS để recommend voucher trên TCBR Requirements one-off dữ liệu lên mt non-product : theo file excel gửi lên Conditions And fields Index: user_id Dữ liệu: Table name:  tcb_voucher_recommendation</t>
  </si>
  <si>
    <t>V/v kéo data tcb recommendation về ODS product</t>
  </si>
  <si>
    <t>2025-08-29T10:08:27.286+0700</t>
  </si>
  <si>
    <t>2025-08-30T10:39:51.806+0700</t>
  </si>
  <si>
    <t>Objective Đẩy dữ liệu lên ODS để team oneu product tạo noti bắn cho người dùng Requirements one-off dữ liệu lên mt non-product : theo file excel gửi lên kéo dữ liệu lên mt product theo frequency Conditions And fields Frequency: 2h sáng hàng ngày Index: user_id Dữ liệu: Table name:  tcb_voucher_recommendation Target folder: Domaind của dev @Nguyễn Tá Lợi   gửi giúp e DB của product và non product để team ODS kéo nhé ạ Product:  GCS om-dremio-ctas-prod/omc_warehouse/omc_data/tcb_voucher_recommendation/data/ranking_outputquery SELECT * 
FROM select * from "onemg-dp-prod-gcs"."om-dremio-ctas-prod".omc_warehouse.omc_data.tcb_voucher_recommendation.data.ranking_output Cơ chế: overwrite: dữ liệu được theo cơ chế thay thế hàng ngày. Mỗi ngày 1 user với 1 list voucher khác nhau.</t>
  </si>
  <si>
    <t>[UPAY] Sql update data</t>
  </si>
  <si>
    <t>2025-08-28T16:23:14.800+0700</t>
  </si>
  <si>
    <t>2025-08-28T16:23:22.512+0700</t>
  </si>
  <si>
    <t xml:space="preserve">Hi a  @Nguyễn Văn Dũng  nhờ a chạy script theo mô tả  dưới đây ở môi trường PRODUCTION theo thông tin dưới đây ạ: Thời gian chạy script: Khi team thông báo Thông tin database saas_tpay:  pay-tidb.int.onemount.com:4000/saas_tpay Trước khi chạy nhờ a export giúp em theo điều kiện sau:  TERMINAL SELECT * FROM TERMINAL WHERE ID IN (
    6180, 6337, 6176, 6566, 6505, 6973, 8046, 6179, 6181, 8056,
    8248, 8991, 8992, 8993, 8994, 8995, 8996, 8997, 8998, 8999,
    9000, 9001, 9002, 9003, 9004, 9005, 9006, 9007, 9008, 9009,
    9010, 9011, 9012, 9013, 9014, 9015, 9016, 9017, 9018, 9019,
    9020, 9021, 9022, 9023, 9024, 9025, 9026, 9027, 9028, 9029,
    9030, 9031, 9032, 9033, 9034, 9035, 9036, 9037, 9038, 9039,
    9040, 9041, 9042, 9043, 9044, 9045, 9046, 9047, 9048, 9049,
    9050, 9051, 9052, 9053, 9054, 9055, 9056, 9057, 9058, 9059,
    9060, 9061, 9062, 9063, 9064, 9065, 9066, 9067, 9068, 9069,
    9070, 9071, 9072, 9073, 9074, 9075, 9076, 9077, 9078, 9079,
    9080, 9081, 9082, 9083, 9084, 9085, 9086, 9087, 9088, 9089,
    9090, 9091, 9092, 9093, 9094, 9095, 9096, 9097, 9098, 9099,
    9100, 9101, 9102, 9103, 9104, 9105, 9106, 9107, 9108, 9109,
    9110, 9111, 9112, 9113, 9114, 9115, 9116, 9117, 9118, 9119,
    9120, 9121, 9122, 9123, 9124, 9125, 9126, 9127, 9128, 9129,
    9130, 9131, 9132, 9133, 9134, 9135, 9136, 9137, 9138, 9139,
    9140, 9141, 9142, 9143, 9144, 9145, 9146, 9147, 9148, 9149,
    9150, 9151
); Update theo link sql dưới:  update_terminal.sql  </t>
  </si>
  <si>
    <t xml:space="preserve">[UPAY] Tác động database Tpay </t>
  </si>
  <si>
    <t>2025-08-28T16:16:25.341+0700</t>
  </si>
  <si>
    <t>2025-08-28T16:16:42.555+0700</t>
  </si>
  <si>
    <t>Hi a  @Nguyễn Văn Dũng  nhờ a chạy script theo mô tả  dưới đây ở môi trường PRODUCTION theo thông tin dưới đây ạ: Thời gian chạy script: Khi team thông báo Thông tin database saas_tpay:  pay-tidb.int.onemount.com:4000/saas_tpay   UNIFIED_MERCHANT_SERVICE UPDATE UNIFIED_MERCHANT_SERVICE SET partner_id = 'OMSMARTPOS' where merchant_code = '20666262' and SERVICE_CODE = 'SMARTPOS_QR';</t>
  </si>
  <si>
    <t>[Kafka][NonProd] Tạo kafka topic cho các bảng vat_invoice_info</t>
  </si>
  <si>
    <t>2025-08-28T15:45:47.380+0700</t>
  </si>
  <si>
    <t>2025-08-28T15:54:04.567+0700</t>
  </si>
  <si>
    <t>Dear các anh DBA, Hiện tại OMD đang có nhu cầu kéo thêm bảng register_service_config thuộc merchant_service để đồng bộ thông tin trên nonprod phục vụ nhu cầu test, nhờ anh Linh tạo kafka topic ở môi trường NONPROD giúp team để kéo data về DP ạ! NONPROD: Project: vinid-b2b-platform-prod IP host: 172.31.0.16:3306 (mysql) Schema: merchant_service_qc Table list: vat_invoice_info Thanks and regards! cong.do1</t>
  </si>
  <si>
    <t xml:space="preserve">[Prod] Kéo dữ liệu về ODS cho dự án OMD OFS </t>
  </si>
  <si>
    <t>2025-08-28T15:17:39.720+0700</t>
  </si>
  <si>
    <t>2025-08-28T16:41:56.187+0700</t>
  </si>
  <si>
    <t>Nhờ team DBA hỗ trợ kéo thêm một số bảng ở leadtime lên ODS, cụ thể: Database instance nguồn project: vinid-b2b-platform-prod Master IP:  172.31.1.143 Database: b2b_ofs Schema đích:  omd_vinid_b2b_platform_prod_main_integration_b2b_ofs Phân quyền: 2 tài khoản   omd_superset_internal_01  và  omd_superset_external_01 List table: Table Time TTL Master Data Transaction geo_area_province   x   geo_area_district x geo_area_ward x</t>
  </si>
  <si>
    <t>[MTP][Prod] Request chạy query trên ODS</t>
  </si>
  <si>
    <t>2025-08-28T11:58:20.807+0700</t>
  </si>
  <si>
    <t>2025-08-29T10:48:10.391+0700</t>
  </si>
  <si>
    <t>Dear anh, Nhờ anh chạy giúp em 2 câu query sau theo thông tin DB sau ạ: URI:  tidb.int.onemount.com:4000 DB:  omc_merchant_loyalty 1. Home dashboard WITH 
`ml_merchant_voucher` AS (
	SELECT DISTINCT req.merchant_voucher_code,
                   req.voucher_code,
                   m.om_merchant_code
   FROM omc_merchant_loyalty.request AS req
   INNER JOIN omc_merchant_loyalty.merchant m ON req.merchant_code = m.merchant_code
   WHERE req.merchant_code = 'NCC1TJW3'
     AND req.process_status = 'SUCCEED'
),
`discount_transactions` AS (
	SELECT dm.id,
          dm.voucher_code,
          dm.campaign_merchant_code,
          dm.campaign_discount_amount,
          dm.campaign_participant_type,
          dm.order_amount
   FROM data_platform.mvp_discount_transaction dm
   INNER JOIN ml_merchant_voucher ml ON ml.voucher_code = dm.voucher_code
   AND (dm.campaign_merchant_code = 'OMC' OR dm.campaign_merchant_code = ml.om_merchant_code)
   WHERE dm.status = 'SUCCESS' AND (dm.created_date BETWEEN '2025-08-20' AND '2025-08-28')
),
`total_voucher_issued` AS (
	SELECT COUNT(vd.voucher_code) AS total_voucher_issued
   	FROM data_platform.mvp_voucher_issued_serials AS vd
   	INNER JOIN ml_merchant_voucher ml ON ml.merchant_voucher_code = vd.voucher_code
   	WHERE vd.created_date BETWEEN '2025-08-20' AND '2025-08-28'
),
`total_voucher_claimed` AS (
	SELECT COUNT(ovc.merchant_voucher_code) AS total_voucher_claimed
   	FROM data_platform.mvp_voucher_ticket AS ovc
   	INNER JOIN ml_merchant_voucher ml ON ovc.merchant_voucher_code = ml.merchant_voucher_code
   	WHERE (ovc.created_date BETWEEN '2025-08-20' AND '2025-08-28')
     AND ovc.ticket_status IN ('USED','CLAIMED','DISTRIBUTED')
),
`dm_metrics` AS (
	SELECT COUNT(DISTINCT dm.voucher_code, dm.id) AS total_voucher_redeemed,
          SUM(CASE
                  WHEN dm.campaign_participant_type != 'OMC' THEN dm.campaign_discount_amount
                  ELSE 0
              END) AS total_self_fund_spent,
          SUM(CASE
                  WHEN dm.campaign_merchant_code = 'OMC' THEN dm.campaign_discount_amount
                  ELSE 0
              END) AS total_budget_spent,
          SUM(CASE
                  WHEN dm.campaign_participant_type != 'OMC' THEN dm.order_amount
                  ELSE 0
              END) AS total_revenue
   FROM discount_transactions AS dm
)
SELECT CAST(tvi.total_voucher_issued AS SIGNED) AS total_voucher_issued,
       CAST(tvc.total_voucher_claimed AS SIGNED) AS total_voucher_claimed,
       CAST(dm.total_voucher_redeemed AS SIGNED) AS total_voucher_redeemed,
       CAST(dm.total_self_fund_spent AS SIGNED) AS total_self_fund_spent,
       CAST(dm.total_budget_spent AS SIGNED) AS total_budget_spent,
       CAST(dm.total_revenue AS SIGNED) AS total_revenue
FROM total_voucher_issued tvi
JOIN total_voucher_claimed tvc
JOIN dm_metrics dm
LIMIT 1 2. Campaign dashboard WITH 
ml_merchant_voucher_campaign AS (
    SELECT DISTINCT 
    	m.om_merchant_code,
        req.merchant_voucher_code,
        req.voucher_code,
        req.campaign_id,
        req.merchant_budget
    FROM omc_merchant_loyalty.request req
    LEFT JOIN omc_merchant_loyalty.merchant m ON req.merchant_code = m.merchant_code
    LEFT JOIN omc_merchant_loyalty.campaign c ON req.campaign_id = c.id
    WHERE req.merchant_code = 'NCC1TJW3' AND req.process_status = 'SUCCEED'
),
discount_transactions AS (
   	SELECT 
        dm.id,
        dm.voucher_code,
        dm.campaign_merchant_code,
        dm.campaign_discount_amount,
        dm.campaign_participant_type,
        dm.order_amount
    FROM data_platform.mvp_discount_transaction dm
    INNER JOIN ml_merchant_voucher_campaign ml ON ml.voucher_code = dm.voucher_code AND (dm.campaign_merchant_code = 'OMC' OR dm.campaign_merchant_code = ml.om_merchant_code)
    WHERE dm.status = 'SUCCESS' AND dm.created_date BETWEEN '2025-08-27' AND '2025-10-31'
),
total_voucher_issued AS (
    SELECT
    	vd.voucher_code,
        COUNT(vd.voucher_code) as total_voucher_issued
    FROM data_platform.mvp_voucher_issued_serials vd
    INNER JOIN ml_merchant_voucher_campaign ml ON ml.merchant_voucher_code = vd.voucher_code
    WHERE vd.created_date BETWEEN '2025-08-27' AND '2025-10-31'
    GROUP BY 1
),
total_voucher_claimed AS (
    SELECT
    	ovc.merchant_voucher_code,
        COUNT(ovc.merchant_voucher_code) as total_voucher_claimed
    FROM data_platform.mvp_voucher_ticket ovc 
    INNER JOIN ml_merchant_voucher_campaign ml ON ovc.merchant_voucher_code = ml.merchant_voucher_code
    WHERE ovc.created_date BETWEEN '2025-08-27' AND '2025-10-31'
    AND ovc.ticket_status IN ('USED', 'CLAIMED', 'DISTRIBUTED')
    GROUP BY 1
),
dm_metrics AS (
    SELECT
    	dm.voucher_code,
    	COUNT(DISTINCT dm.id) as total_voucher_redeemed,
        SUM(CASE WHEN dm.campaign_participant_type != 'OMC' THEN dm.campaign_discount_amount ELSE 0 END) as total_self_fund_spent,
        SUM(CASE WHEN dm.campaign_merchant_code = 'OMC' THEN dm.campaign_discount_amount ELSE 0 END) as total_budget_spent
    FROM discount_transactions dm
    GROUP BY 1
)
SELECT 
	ml.campaign_id,
    SUM(CAST(tvi.total_voucher_issued AS SIGNED)) as total_voucher_issued, 
    SUM(CAST(tvc.total_voucher_claimed AS SIGNED)) as total_voucher_claimed, 
    SUM(CAST(dm.total_voucher_redeemed AS SIGNED)) as total_voucher_redeemed, 
    SUM(CAST(ml.merchant_budget AS SIGNED)) as total_self_fund_budget,
    SUM(CAST(dm.total_self_fund_spent AS SIGNED)) as total_self_fund_spent, 
    SUM(CAST(dm.total_budget_spent AS SIGNED)) as total_budget_spent
FROM ml_merchant_voucher_campaign ml
LEFT JOIN total_voucher_issued tvi ON ml.merchant_voucher_code = tvi.voucher_code
LEFT JOIN total_voucher_claimed tvc ON ml.merchant_voucher_code = tvc.merchant_voucher_code
LEFT JOIN dm_metrics dm ON ml.voucher_code = dm.voucher_code
GROUP BY 1</t>
  </si>
  <si>
    <t>[TPAY][NON-PROD] Tạo tài khoản SFTP cho merchant TCS lấy file báo cáo đối soát</t>
  </si>
  <si>
    <t>2025-08-28T11:53:09.144+0700</t>
  </si>
  <si>
    <t>2025-08-28T11:53:23.588+0700</t>
  </si>
  <si>
    <t>Dự án Tpay cần cấp tài khoản và 1 thư mục con trong thư mục trong thư mục tpay dành cho đối tác TCS để đọc file từ sFTP server. Thông tin sFTP server cần kết nối đến: Non-prod:  35.229.130.107:2022 Nhờ team support tạo server và cấp account cho dự án. Em tên thư mục và folder ạ. Account: tcsuat Folder: tcsuat</t>
  </si>
  <si>
    <t>Lên kế hoạch migrate and restructure toàn bộ hệ sap B1 MAS và MTR</t>
  </si>
  <si>
    <t>2025-08-28T11:03:02.478+0700</t>
  </si>
  <si>
    <t>2025-09-09T15:37:27.455+0700</t>
  </si>
  <si>
    <t>B1, MAG, MAS, MTR, SAP</t>
  </si>
  <si>
    <t xml:space="preserve">Tạo mới DB Merchant Rating </t>
  </si>
  <si>
    <t>2025-08-28T10:24:55.037+0700</t>
  </si>
  <si>
    <t>2025-08-28T11:55:57.253+0700</t>
  </si>
  <si>
    <t>Dear anh Dương,  Nhờ anh hỗ trợ team tạo mới DB với các thông tin dưới đây ạ Project: vinid-app-common-dev 
IP: 172.31.0.61
DB name: oneu_merchant_rating_uat/qc
User name: oneu_merchant_rating_uat/qc SAD:    Anh cần thêm thông tin nào thì comment giúp em ạ Em cảm ơn anh</t>
  </si>
  <si>
    <t>[TPAY][NON-PROD] Tạo tài khoản SFTP cho merchant BV Bình Phú lấy file báo cáo đối soát</t>
  </si>
  <si>
    <t>2025-08-28T10:18:40.802+0700</t>
  </si>
  <si>
    <t>2025-08-28T10:19:01.523+0700</t>
  </si>
  <si>
    <t>Dự án Tpay cần cấp tài khoản và 1 thư mục con trong thư mục trong thư mục tpay dành cho đối tác  BV Bình Phú  để đọc file từ sFTP server. Thông tin sFTP server cần kết nối đến: Non-prod:  35.229.130.107:2022 Nhờ team support tạo server và cấp account cho dự án. Em tên thư mục và folder ạ. Account: bvbinhphu Folder: bvbinhphu</t>
  </si>
  <si>
    <t>[OMRE][UAT][CBP] Tạo schema co service partner-gateway</t>
  </si>
  <si>
    <t>2025-08-28T10:04:35.961+0700</t>
  </si>
  <si>
    <t>2025-08-28T11:14:33.528+0700</t>
  </si>
  <si>
    <t>Database: omre_cbp_partner_gateway_uat USER: omre_cbp_partner_gateway_uat</t>
  </si>
  <si>
    <t>[TMS][Prod] Execute sql migration script for Hotfix TMS (27/08/2025)</t>
  </si>
  <si>
    <t>2025-08-27T18:11:13.897+0700</t>
  </si>
  <si>
    <t>2025-08-27T22:39:47.107+0700</t>
  </si>
  <si>
    <t>Do TMS phải hotfix đồng bộ địa chỉ cũ nên nhờ ae chạy sql bên dưới giúp team: DROP INDEX SHIPMENT_LEG_EXTEND_DROPPED_ADDRESS_STREET_OLD_IDX;
ALTER TABLE "T1_LD_LEG_DETL_EXT" MODIFY "DROPPED_ADDRESS_STREET_OLD" VARCHAR2(500 BYTE);
CREATE INDEX SHIPMENT_LEG_EXTEND_DROPPED_ADDRESS_STREET_OLD_IDX ON T1_LD_LEG_DETL_EXT (DROPPED_ADDRESS_STREET_OLD, 1);
DROP INDEX SHIPMENT_LEG_SEARCH_INDEX_DROPPED_ADDRESS_STREET;
ALTER TABLE "T1_LD_LEG_DETL_EXT" MODIFY "DROPPED_ADDRESS_STREET" VARCHAR2(500 BYTE);
CREATE INDEX SHIPMENT_LEG_SEARCH_INDEX_DROPPED_ADDRESS_STREET ON T1_LD_LEG_DETL_EXT (DROPPED_ADDRESS_STREET, 1);
DROP INDEX SHIPMENT_LEG_SEARCH_INDEX_CUSTOMER_ADDRESS;
ALTER TABLE "T1_LD_LEG_DETL_EXT" MODIFY "CUSTOMER_ADDRESS" VARCHAR2(500 BYTE);
CREATE INDEX SHIPMENT_LEG_SEARCH_INDEX_CUSTOMER_ADDRESS ON T1_LD_LEG_DETL_EXT (CUSTOMER_ADDRESS, 1);
ALTER TABLE "AUDT_SHPM_T" MODIFY "SHPM_TO_ST_NAME" VARCHAR2(500 BYTE); Thời gian chạy: 22h ngày 27/08/2025.</t>
  </si>
  <si>
    <t>[QR247] [PROD] Cập nhật INACTIVE Terminal trùng</t>
  </si>
  <si>
    <t>2025-08-27T18:08:28.450+0700</t>
  </si>
  <si>
    <t>2025-08-28T16:25:55.976+0700</t>
  </si>
  <si>
    <t>Nhờ các anh DBA hỗ trợ chạy giúp em câu query dưới luôn  ạ thông tin database:  jdbc:mysql://pay-tidb.int.onemount.com:4000/saas_tpay UPDATE TERMINAL
SET STATUS = 'ACTIVE_'
WHERE TCB_TERMINAL_ID IN (
    'T09819777590463', 'T08116412798127', 'T07517336776158', 'P00000000393630', 'P07546585805578',
    'P00000000784598', 'T07373566569871', 'T04176422317496', 'P06550107971348', 'P00000001084636',
    'P00000000596181', 'P00000000477766', 'P00000000069628', 'P00000000873872', 'T07500316276838',
    'P00000000698185', 'T01682493875579', 'T08875048485935', 'T01904339252511', 'T01536856939218',
    'P07770602278542', 'P00000000395626', 'P00000000169646', 'P00000000341088', 'P00000000975422',
    'T05194345105772', 'P00000000333922', 'P00000000190050', 'P00000000960676', 'T07989603213853',
    'T01943257800749', 'T01776878550713', 'P00000000961064', 'T07260364638061', 'T01018402677392',
    'T04820996993123', 'P00000000637822', 'T05308653742691', 'P00000000306703', 'P00000000159294',
    'T08771047955553', 'T09380926754438', 'T02883300503708', 'P00000000886465', 'P00000000397019',
    'P00000000615161', 'T08826956082862', 'P03864949320774', 'P00000000049758', 'T02082215500710',
    'T01351552109144', 'T02124120808688', 'P00000000128430', 'P00000000793663', 'P00000000486160',
    'P07403603736026', 'P00000000826779', 'T07573326518299', 'P00000000753185', 'P00000001088225',
    'T01441203216461', 'P00000000906411', 'P00000000399437', 'P00000000113652', 'T07363130291587',
    'P00000000717121', 'P00000000128391', 'P00000000077030', 'T04170199956647', 'T04515617522384',
    'P00000001088140', 'T08600048833163', 'P00000000755807', 'P01219005748990', 'P00000000383192',
    'P00000000951464', 'T07077811536290', 'T01440882465321', 'P00000000142503', 'T06725305768256',
    'P00000000665869', 'T02717984024013', 'T02202370961512', 'T05369777646045', 'T03888684278283',
    'P06139874336161', 'T05137492782502', 'P00000000845443', 'T06483173983394', 'T08246396884557',
    'P01986622390279', 'P00000000222754', 'P00000000280611', 'T08738938809558', 'T08212248444885',
    'P00000000318685', 'P00000000660209', 'P00000000283689', 'P06405157019785', 'T06905318501933',
    'P00000000737004', 'P00000000210842', 'P00000000545606', 'P00000000615704', 'P02143408360286',
    'T08607527884205', 'T04094825785664', 'T08179194200644', 'P00000000309507', 'P00000000442843',
    'P00000000242022', 'P03727752146937', 'P00000000515399', 'P00000000050195', 'P00000000959569',
    'P01445566504829', 'P00000000469235', 'P00000000534367', 'P00000000128537', 'P00000000853817',
    'T02794055842814', 'P08479905744983', 'P00000000296064', 'T05672118689264', 'T05267839649283',
    'P00000000501983', 'P00000000368034', 'T02906922680087', 'P00000000805161', 'P04966222051283',
    'T09212696753017', 'T07967443733667', 'P00000000161001', 'T05444441440444', 'P06567310551592',
    'T03219632725098', 'P00000000251752', 'P00000000578484', 'P04128673197100', 'P00000000979263',
    'P00000000590361', 'P00000000706557', 'T06003903596589', 'P03414367773940', 'T09638888082632',
    'T07139038152185', 'T07809159896228', 'T01606871217225', 'T07305654116256', 'P00000000957424',
    'P00000000640302', 'P00000000382443', 'P00000000203572', 'P00000000161741', 'P00000000194499',
    'T08562652313829', 'T02938701741849', 'T01952062014591', 'P00000000884332', 'P00000000097236',
    'P00000000368035', 'P00000000243409', 'P00000000989648', 'P00000000084170', 'T02607540719820',
    'T07601280861753', 'T06308326334054', 'T02226524385843', 'T03635885367653', 'P00000000961325',
    'P00000000874708', 'P00000000634050', 'P00000000448737', 'P00000000467055', 'P00000000455737',
    'T02375099207202', 'T05228037472619', 'P00000000422983', 'P00000000372923', 'P00000000951942',
    'T09492451713579', 'T03041460397914', 'P00000000748507', 'P00000000123276', 'T03258441627328',
    'T05145404429318', 'P00000000284325', 'P00000000176310', 'P00000000970826', 'P00000000661409',
    'P06335923391505', 'P00000000545351', 'P00000000253494', 'T03849293492079', 'P00000000119277',
    'P00000000472068', 'P00000000492977', 'P00000000365974', 'T04115453484394', 'T08444356946742',
    'P00000000276646', 'P00000000129434', 'T09149694130549', 'T07879738845229', 'P00000000292141',
    'P00000000175844', 'P00000000026266', 'P00000000290368', 'T04747301182500', 'P00000000374398',
    'P00000000746835', 'P07632255254496', 'T02002563998776', 'P00000000060971', 'P00000000367374',
    'P00000000747778', 'P00000000788108', 'P00000000607974', 'T09955149353172', 'P00000000448849',
    'P00000000197122', 'P00000000638011', 'P00000000446177', 'P00000000525485', 'T05036583358824',
    'P00000000893877', 'P00000000408737', 'P00000000310809', 'P00000000136004', 'T02173082113317',
    'P02922742581541', 'T03869683624716', 'T03926872012960', 'P00000000379621', 'P00000000101216',
    'P06397898760669', 'P00000000058795', 'T01976596591621', 'P00000000598351', 'P00000000967969',
    'P00000000165259', 'P00000000215411', 'P00000001188955', 'P00000000142989', 'P00000000285101',
    'P00000000342289', 'T05061554264229', 'P00000000293007', 'T07528291153489', 'P00000000274743',
    'P00000000544207', 'T07609473891051', 'P00000000737550', 'P00000000369196', 'P00000000766473',
    'T09411607969781', 'T04989754940693', 'P00000000917831', 'P05063274816975', 'T03264106099125',
    'P00000000363440', 'P00000000619190', 'P00000000662066', 'P03540274939927', 'T09378233632892',
    'P00000000594051', 'T09940896970054', 'P00000000145650', 'P00000000384895', 'P00000000197646',
    'P00000000401660', 'P00000000428279', 'P00000000643171', 'P00000000802353', 'T03745141534243',
    'P00000000057443', 'P06076926067263', 'P00000000072305', 'T04225623188083', 'P00000000502262',
    'P00000000229712', 'P00000000072110', 'P00000000241460', 'P00000000366401', 'P00000000941587',
    'P00000000042545', 'P00000000513109', 'T04780545581513', 'T05250326361059', 'T04815028519974',
    'P00000000550866', 'T07951258267274', 'P00000001043922', 'T02173361617620', 'P00000000499512',
    'P00000000155018', 'P00000000372252', 'T05100386752958', 'T05764019406447', 'P00000000468683',
    'P00000000120540', 'P00000000941639', 'P03485013773918', 'P00000000227942', 'T04476731443317',
    'P00000000844916', 'P00000000079316', 'P00000000646857', 'P00000000206372', 'T01749017195932',
    'P00000000320774', 'P00000000877802', 'P00000000831619', 'P00000000306136', 'P01272159683271',
    'P00000000221016', 'T05500802604615', 'P00000000552251', 'P00000000553295', 'P00000000295465',
    'P00000000343118', 'P00000000620555', 'P00000000826215', 'P05077983335646', 'P00000000312889',
    'P00000000516846', 'P00000000248581', 'T07343267261821', 'P00000000289578', 'P03253161928764',
    'P00000000456980', 'P00000000726802', 'P00000000448995', 'P00000000188223', 'P00000000057921',
    'P00000000142010', 'P00000000175224', 'P00000000851827', 'P00000000511081', 'P00000000244872',
    'P00000000219909', 'P00000000026864', 'P00000001149741', 'P00000000275332', 'P00000000105175',
    'P00000000744229', 'T08753806888384', 'T06623065641447', 'P00000000072643', 'P00000000408468',
    'P07213018627812', 'T08078462356336', 'T09152954299313', 'P01050364796583', 'P05599831262234',
    'P00000000075350', 'T07244346546929', 'P00000000177084', 'P00000000408507', 'T08111917448857',
    'P00000000414829', 'P00000000825073', 'P03543644975900', 'P00000000381289', 'P00000000108447',
    'P00000000360815', 'P00000000125190', 'T03853945241131', 'P00000000923595', 'T06414845213816',
    'T04932164542736', 'T05028176984269', 'T06955972133939', 'T05986534561592', 'T03869499695532',
    'P00000000899714', 'P00000000203516', 'P00000000232765', 'T03179383082710', 'P00000000178150',
    'P00000000379552', 'T01203139646018', 'T09236869107062', 'T04344233431493', 'T07348458944652',
    'T06351456596742', 'P00000000177642', 'P06280081944981', 'T09909407359849', 'P02487004474576',
    'P00000000407655', 'P06931152864037', 'P00000000102215', 'T04708145562835', 'T03619161108863',
    'P00000000407624', 'T08759020475073', 'P01255886614202', 'P00000000811105', 'P00000000899930',
    'T03760922857687', 'T04944115116054', 'T02959236188841', 'P00000000194026', 'T08402943521629',
    'P00000001074730', 'P00000000421567', 'T09357623180529', 'P08558645571956', 'T09264512725620',
    'P05732364115728', 'P00000000650453', 'P00000000529715', 'P00000000499150', 'T06979944228375',
    'T07267935947723', 'T04142051733991', 'T06826918547636', 'P00000000395313', 'P00000000715006',
    'P02556137294102', 'P00000000050104', 'P00000000597944', 'P00000000044541', 'P00000000857153',
    'P00000000601301', 'P00000000656561', 'P00000000540240', 'T06681298662026', 'T01287594347708',
    'T05516558836018', 'P00000000411031', 'T04287493874582', 'P00000000469695', 'T08311000531632',
    'T03443765714514', 'P00000000277735', 'P00000000104494', 'P00000000909588', 'P00000000322638',
    'P00000000233542', 'P03613141469266', 'P06548443425793', 'P00000000094294', 'P00000000094920',
    'P00000000936413', 'P00000000212917', 'T01682402460808', 'P00000000602439', 'T04978073130224',
    'T03772451935470', 'P00000000360059', 'P00000001095305', 'P04932129501769', 'P05354509115018',
    'T01391749845466', 'P00000000215588', 'P00000000067975', 'T07623001296792', 'P00000001108558',
    'T06004337416332', 'T03897414758979', 'T02552307727206', 'T03285460877641', 'P04826950219627',
    'P00000000338095', 'P00000000550984', 'P00000000457542', 'T06604101603724', 'T06099316819323',
    'P00000000103897', 'P00000000812398', 'T07005578399650', 'P00000000157240', 'P02660015607756',
    'P00000000706690', 'T08717761448887', 'T08940961291551', 'P00000000726945', 'P00000000429480',
    'T09207741412904', 'P07041630671239', 'P00000000777884', 'P00000000822629', 'T06405338986005',
    'T06486801322167', 'T03420843045116', 'T07977090253509', 'P00000000817658', 'P07302284103384',
    'P04685359760412', 'P00000000753761', 'T08081155944218', 'T03824205686366', 'P05203670036135',
    'P00000000535135', 'T04861854303012', 'P00000000818370', 'T05033434414682', 'T08184323235678',
    'T01104746243884', 'T09189648733614', 'P00000000622179', 'P00000000835246', 'P03725780897448',
    'P00000000068682', 'P00000000245942', 'P00000000735181', 'P00000000521940', 'T09188482420642',
    'T09307811401778', 'P00000000240023', 'P00000000313242', 'P00000000672025', 'T01930880708546',
    'P08335973198007', 'T04894938655548', 'P00000000964784', 'P00000000765158', 'P00000000864276',
    'P00000000155667', 'T03964719599577', 'P00000000440260', 'T09538278364835', 'T07198066574423',
    'P00000000906738', 'T07524099832126', 'P04345347028364', 'T04229327636058', 'P00000000625180',
    'T09444538443372', 'T04099676551865', 'P00000001088884', 'P00000000499717', 'P00000000695219',
    'P00000000275165', 'P00000000248006', 'P00000000079966', 'T01497529312026', 'P00000000414245',
    'P00000000799932', 'P00000000049694', 'P00000000632825', 'P00000000304887', 'P00000000843771',
    'P00000000272366', 'T01811138088790', 'T09428910439343', 'T03241600062038', 'T04036707999067',
    'P00000000909064', 'P00000000507721', 'T02769792841362', 'T01925965761504', 'T09739338124341',
    'T03101849197264', 'T01044230173184', 'P00000000936296', 'P00000000453169', 'P00000000418839',
    'P00000000662425', 'T02496108502781', 'T06145212295432', 'P00000000695189', 'P00000000983305',
    'P00000000286658', 'P00000000419821', 'T02144622733109', 'P00000000172025', 'P00000000047864',
    'T03150014821750', 'P00000000127112', 'P00000000206690', 'P00000000598772', 'T02644635375653',
    'T08616741016238', 'T06875094502367', 'T05128160464113', 'P00000000367406', 'T04823696877573',
    'P00000000285656', 'P00000000898476', 'P00000000764380', 'P04121107751794', 'P00000000319743',
    'P00000000195396', 'T05471223790702', 'P01524262858969', 'P00000000555958', 'T01907455900703',
    'T05189874984002', 'P05302032684484', 'P00000000476617', 'P00000000443537', 'T02586506184942',
    'T01325432071870', 'P00000000115051', 'T04164688479920', 'T08159312206175', 'P00000000601992',
    'T06402406731732', 'P00000000968798', 'T06575060822948', 'T03147584165108', 'P00000000142077',
    'P00000000761997', 'P05723739133806', 'T05394434481876', 'P00000000959246', 'T04944192715171',
    'T04972497773989', 'P00000000598933', 'P00000000457354', 'T08122110054049', 'T01153017988743',
    'P00000000595612', 'P01788646808768', 'P00000000275793', 'P00000000766455', 'T02918880278881',
    'P00000000422777', 'P00000000661367', 'P00000000479166', 'P00000000985530', 'T03483015566518',
    'P00000000599353', 'T05812516811547', 'T01913487263538', 'P00000000366374', 'P04811744214751',
    'T06343411905183', 'T03571885907666', 'T01680685795584', 'T01407015911612', 'T08947430691680',
    'P00000000758721', 'P00000000545773', 'P00000000123410', 'P00000000477977', 'T06033777750856',
    'T03425266576038', 'T05590241195904', 'T06394442324364', 'T06224310742269', 'P00000000732442',
    'T03938817496831', 'P00000000398246', 'P07640611383501', 'T09634452807440', 'P00000000976132',
    'T02164868529750', 'P00000000024438', 'P00000000329721', 'P00000000445393', 'P00000000628911',
    'T03355196592914', 'P00000000340511', 'T02071693909567', 'T09480271902850', 'P00000000471244',
    'P00000000296180', 'P00000000068670', 'P00000000708018', 'P00000000637258', 'T04342815155395',
    'P00000000353801', 'P00000000137954', 'P00000000300702', 'P00000000996503', 'P00000001013327',
    'T05764037084884', 'T06028812759793', 'P00000000605852', 'T03370923425156', 'P01047123641310',
    'T05646054949720', 'T01091485822755', 'T09754251650122', 'P00000001090014', 'T03946148552852',
    'P02494507031417', 'T05332377987896', 'P00000000442210', 'P00000000719030', 'P00000000176045',
    'P00000000811223', 'P00000000554698', 'P00000000873271', 'P00000000408214', 'P05256350262592',
    'P05892799944763', 'P02027274518733', 'T08882104331198', 'P00000000513709', 'P00000000279561',
    'P00000000072051', 'T06458161433922', 'P02173100756632', 'P00000000499738', 'P00000000786299',
    'P00000000532053', 'T07288516377230', 'T07577984974263', 'P00000000090778', 'T05490662342297',
    'P00000000661701', 'P00000000062957', 'P00000000063812'
);</t>
  </si>
  <si>
    <t>2025-08-27T17:51:01.364+0700</t>
  </si>
  <si>
    <t>2025-08-27T17:51:06.401+0700</t>
  </si>
  <si>
    <t xml:space="preserve">Em chào anh chị, Anh chị chạy giúp em lệnh SQL update DB với ạ. project: om-charity-prod Instance name: om-charity-fund-core IP: 172.31.4.7 DB name: fund-core user name: ? password: ? SQL:    infrastructure resource: </t>
  </si>
  <si>
    <t>[OMC][Loyalty MFT] VCM - Hỗ trợ đội dự án chạy migration cho golive 27/08/2025</t>
  </si>
  <si>
    <t>2025-08-27T17:04:27.137+0700</t>
  </si>
  <si>
    <t>2025-08-27T17:04:49.449+0700</t>
  </si>
  <si>
    <t>Theo kế hoạch release của dự án ( release plan ,   CR ), nhờ team DBA hỗ trợ chạy các lệnh DDL giúp team theo thông tin bên dưới ạ. Thời gian chạy:  22h ngày 27/08/2025 Thông tin database GCP project : vinid-loyalty-prod Instance name : voucher-distribution Instance IP : 172.31.4.82 Database : b2b_voucher_distribution Query ALTER TABLE `synced_voucher` ADD (
	`category_code` VARCHAR(255),
	`category_name` VARCHAR(255)
), ALGORITHM=INPLACE, LOCK=NONE;
INSERT INTO flyway_schema_history
(installed_rank, version, description, `type`, script, checksum, installed_by, installed_on, execution_time, success)
VALUES(105, '0104', 'alter tb synced voucher', 'SQL', 'V0104__alter_tb_synced_voucher.sql', 1660841042, 'b2b_voucher_distribution', '2025-08-27 22:00:00', 303, 1); Thanks ạ.</t>
  </si>
  <si>
    <t>[Kafka][Prod] Tạo kafka topic cho bảng của WES_MAG</t>
  </si>
  <si>
    <t>2025-08-27T17:00:59.250+0700</t>
  </si>
  <si>
    <t>2025-08-27T17:01:47.334+0700</t>
  </si>
  <si>
    <t>Dear các anh DBA, Hiện tại OMD đang có nhu cầu sử dụng dữ liệu WES những bảng sau để phục vụ nhu cầu đẩy dữ liệu sang DW của MH, nhờ anh Linh tạo kafka topic ở môi trường PROD giúp team để kéo data về DP nhé ạ! PROD: Project: vinid-b2b-platform-prod IP host: 172.31.1.143:3306 (mysql) Schema: wes_mag Table list: reason_mapping Thanks and regards! cong.do1</t>
  </si>
  <si>
    <t>2025-08-27T15:10:25.422+0700</t>
  </si>
  <si>
    <t>2025-08-27T21:23:23.289+0700</t>
  </si>
  <si>
    <t>Dear anh Dương, Anh chạy giúp em sql script bên dưới ạ. Mục đích là để insert thông tin về authentication của  B2C_OMS  , dữ liệu được dùng để validate token khi client call vào ESB  Thông tb db : schema: b2b_esb project: onemg-integration-platform-prd instance: main Master IP: 172.31.1.118 Thời gian cập nhật  27/08/2025 21:00:00 Thanks anh ạ!!!! Script : INSERT INTO `auth0_info` (`client_id`,`sign_certificate`, `resource`, `create_by`, `create_date`)
 VALUES ('077e3fceabe4a61dc512b48a9e400d83', 'YjJjX29tczpNYUF0bE5GJDk3OT0=', 'B2C_OMS', 'daibq', '2024-05-30 10:13:55')</t>
  </si>
  <si>
    <t>Hỗ trợ tạo dữ liệu mở mới kho MAG_03 (GMS) và  MAG_04 (GMS-NTTC)</t>
  </si>
  <si>
    <t>2025-08-27T15:08:21.063+0700</t>
  </si>
  <si>
    <t>2025-08-27T22:41:57.925+0700</t>
  </si>
  <si>
    <t>Hi DBA team,  Hiện tại nghiệp vụ có nhu cầu mở mới kho MAG_03 (GMS) và kho MAG_04 (GMS-NTTC),  nhờ team DBA hỗ trợ cập nhật giá trị theo thông tin dưới đây     Cụm WMS Project : vinid-b2b-platform-prod Instance/IP : main (read-write): 172.31.4.59 Port : 3306 Database : omd_wms_core Script : file  omd_wms_core_mag_03_04.sql  trong file đính kèm Cum WES Project : vinid-b2b-platform-prod Instance/IP : main (read-write): 172.31.1.143 Port : 3306 Database : wes_master Script : file  wes_master_mag_03_04.sql  trong file đính kèm Câu query đánh giá là có thể ảnh hưởng đến vận hành hệ thống nên mong muốn chạy vào thời gian vận hành thấp điểm (từ 22h-2h sáng).</t>
  </si>
  <si>
    <t>[UPAY][2708] Tác động database hỗ trợ update chi nhánh soundbox cho vận hành</t>
  </si>
  <si>
    <t>2025-08-27T14:43:53.525+0700</t>
  </si>
  <si>
    <t>2025-08-27T14:44:00.118+0700</t>
  </si>
  <si>
    <t>Nhờ các anh chạy giúp team script dưới phục vụ cho vận hành update data thiết bị  https://chat.google.com/room/AAAAnhMbwjc/bQed-LRUSjM/PVeF2BFu58w?cls=10 Thông tin db tpay :  pay-tidb.int.onemount.com :4000/saas_tpay Thời gian thực hiện:  Ngay sau khi ticket được update Câu SQL 1: UPDATE TCB_DEVICE t SET t.device_hub_code='HPG',t.device_hub='Hải Phòng' WHERE t.device_serial_number 
IN (
'38250602326603',
'38250602326604',
'38250602326605',
'38250602326608',
'38250602326609',
'38250602326610',
'38250602326613',
'38250602326614',
'38250602326615',
'38250602326618',
'38250602326619',
'38250602326620',
'38250602326623',
'38250602326624',
'38250602326625',
'38250602326601',
'38250602326602',
'38250602326606',
'38250602326607',
'38250602326611',
'38250602326612',
'38250602326616',
'38250602326617',
'38250602326621',
'38250602326622',
'38250602310728',
'38250602310729',
'38250602310730',
'38250602310733',
'38250602310734',
'38250602310735',
'38250602310738',
'38250602310739',
'38250602310740',
'38250602310743',
'38250602310744',
'38250602310745',
'38250602310748',
'38250602310749',
'38250602310750',
'38250602310726',
'38250602310727',
'38250602310731',
'38250602310732',
'38250602310736',
'38250602310737',
'38250602310741',
'38250602310742',
'38250602310746',
'38250602310747',
'38250602300843',
'38250602300829',
'38250602300833',
'38250602300837',
'38250602302051',
'38250602302072',
'38250602300842',
'38250602300844',
'38250602313753',
'38250523327580',
'38250602302055',
'38250602300845',
'38250602300830',
'38250602300836',
'38250523327576',
'38250523327582',
'38250602300849',
'38250602313758',
'38250523318843',
'38250602313751',
'38250602300835',
'38250602313757',
'38250602300848',
'38250602313756',
'38250523320883',
'38250602300841',
'38250523318826',
'38250602300831',
'38250602302062',
'38250602300847',
'38250523318840',
'38250523320897',
'38250523327579',
'38250523327586',
'38250523318849',
'38250523318839',
'38250523318848',
'38250523327581',
'38250523318850',
'38250523327592',
'38250523320880',
'38250523327584',
'38250523318827',
'38250523327577',
'38250523327587',
'38250523327583',
'38250523320891',
'38250523327600',
'38250523327595',
'38250523318845',
'38250602326603',
'38250602326604',
'38250602326605',
'38250602326608',
'38250602326609',
'38250602326610',
'38250602326613',
'38250602326614',
'38250602326615',
'38250602326618',
'38250602326619',
'38250602326620',
'38250602326623',
'38250602326624',
'38250602326625',
'38250602326601',
'38250602326602',
'38250602326606',
'38250602326607',
'38250602326611',
'38250602326612',
'38250602326616',
'38250602326617',
'38250602326621',
'38250602326622',
'38250602310728',
'38250602310729',
'38250602310730',
'38250602310733',
'38250602310734',
'38250602310735',
'38250602310738',
'38250602310739',
'38250602310740',
'38250602310743',
'38250602310744',
'38250602310745',
'38250602310748',
'38250602310749',
'38250602310750',
'38250602310726',
'38250602310727',
'38250602310731',
'38250602310732',
'38250602310736',
'38250602310737',
'38250602310741',
'38250602310742',
'38250602310746',
'38250602310747'
); Câu SQL 2: UPDATE TCB_DEVICE t SET t.device_hub_code='WLN',t.device_hub='Trung tâm kinh doanh trực tiếp MN' WHERE t.device_serial_number 
IN (
'38250602330101',
'38250602330102',
'38250602330103',
'38250602330104',
'38250602330105',
'38250602330106',
'38250602330107',
'38250602330108',
'38250602330109',
'38250602330110',
'38250602330111',
'38250602330112',
'38250602330113',
'38250602330114',
'38250602330115',
'38250602330116',
'38250602330117',
'38250602330118',
'38250602330119',
'38250602330120',
'38250602330121',
'38250602330122',
'38250602330123',
'38250602330124',
'38250602330125',
'38250602329976',
'38250602329977',
'38250602329978',
'38250602329979',
'38250602329980',
'38250602329981',
'38250602329982',
'38250602329983',
'38250602329984',
'38250602329985',
'38250602329986',
'38250602329987',
'38250602329988',
'38250602329989',
'38250602329990',
'38250602329991',
'38250602329992',
'38250602329993',
'38250602329994',
'38250602329995',
'38250602329996',
'38250602329997',
'38250602329998',
'38250602329999',
'38250602330000',
'38250602321976',
'38250602321977',
'38250602321978',
'38250602321979',
'38250602321980',
'38250602321981',
'38250602321982',
'38250602321983',
'38250602321984',
'38250602321985',
'38250602321986',
'38250602321987',
'38250602321988',
'38250602321989',
'38250602321990',
'38250602321991',
'38250602321992',
'38250602321993',
'38250602321994',
'38250602321995',
'38250602321996',
'38250602321997',
'38250602321998',
'38250602321999',
'38250602322000',
'38250602329176',
'38250602329177',
'38250602329178',
'38250602329179',
'38250602329180',
'38250602329181',
'38250602329182',
'38250602329183',
'38250602329184',
'38250602329185',
'38250602329186',
'38250602329187',
'38250602329188',
'38250602329189',
'38250602329190',
'38250602329191',
'38250602329192',
'38250602329193',
'38250602329194',
'38250602329195',
'38250602329196',
'38250602329197',
'38250602329198',
'38250602329199',
'38250602329200',
'38250602330551',
'38250602330552',
'38250602330553',
'38250602330554',
'38250602330555',
'38250602330556',
'38250602330557',
'38250602330558',
'38250602330559',
'38250602330560',
'38250602330561',
'38250602330562',
'38250602330563',
'38250602330564',
'38250602330565',
'38250602330566',
'38250602330567',
'38250602330568',
'38250602330569',
'38250602330570',
'38250602330571',
'38250602330572',
'38250602330573',
'38250602330574',
'38250602330575',
'38250602324026',
'38250602324027',
'38250602324028',
'38250602324029',
'38250602324030',
'38250602324031',
'38250602324032',
'38250602324033',
'38250602324034',
'38250602324035',
'38250602324036',
'38250602324037',
'38250602324038',
'38250602324039',
'38250602324040',
'38250602324041',
'38250602324042',
'38250602324043',
'38250602324044',
'38250602324045',
'38250602324046',
'38250602324047',
'38250602324048',
'38250602324049',
'38250602324050',
'38250602330126',
'38250602330127',
'38250602330128',
'38250602330129',
'38250602330130',
'38250602330131',
'38250602330132',
'38250602330133',
'38250602330134',
'38250602330135',
'38250602330136',
'38250602330137',
'38250602330138',
'38250602330139',
'38250602330140',
'38250602330141',
'38250602330142',
'38250602330143',
'38250602330144',
'38250602330145',
'38250602330146',
'38250602330147',
'38250602330148',
'38250602330149',
'38250602330150',
'38250602323226',
'38250602323227',
'38250602323228',
'38250602323229',
'38250602323230',
'38250602323231',
'38250602323232',
'38250602323233',
'38250602323234',
'38250602323235',
'38250602323236',
'38250602323237',
'38250602323238',
'38250602323239',
'38250602323240',
'38250602323241',
'38250602323242',
'38250602323243',
'38250602323244',
'38250602323245',
'38250602323246',
'38250602323247',
'38250602323248',
'38250602323249',
'38250602323250',
'38250523316551',
'38250523316552',
'38250523316553',
'38250523316554',
'38250523316555',
'38250523316556',
'38250523316557',
'38250523316558',
'38250523316559',
'38250523316560',
'38250523316561',
'38250523316562',
'38250523316563',
'38250523316564',
'38250523316565',
'38250523316566',
'38250523316567',
'38250523316568',
'38250523316569',
'38250523316570',
'38250523316571',
'38250523316572',
'38250523316573',
'38250523316574',
'38250523316575',
'38250523325801',
'38250523325802',
'38250523325803',
'38250523325804',
'38250523325805',
'38250523325806',
'38250523325807',
'38250523325808',
'38250523325809',
'38250523325810',
'38250523325811',
'38250523325812',
'38250523325813',
'38250523325814',
'38250523325815',
'38250523325816',
'38250523325817',
'38250523325818',
'38250523325819',
'38250523325820',
'38250523325821',
'38250523325822',
'38250523325823',
'38250523325824',
'38250523325825',
'38250523326151',
'38250523326152',
'38250523326153',
'38250523326154',
'38250523326155',
'38250523326156',
'38250523326157',
'38250523326158',
'38250523326159',
'38250523326160',
'38250523326161',
'38250523326162',
'38250523326163',
'38250523326164',
'38250523326165',
'38250523326166',
'38250523326167',
'38250523326168',
'38250523326169',
'38250523326170',
'38250523326171',
'38250523326172',
'38250523326173',
'38250523326174',
'38250523326175',
'38250523327126',
'38250523327127',
'38250523327128',
'38250523327129',
'38250523327130',
'38250523327131',
'38250523327132',
'38250523327133',
'38250523327134',
'38250523327135',
'38250523327136',
'38250523327137',
'38250523327138',
'38250523327139',
'38250523327140',
'38250523327141',
'38250523327142',
'38250523327143',
'38250523327144',
'38250523327145',
'38250523327146',
'38250523327147',
'38250523327148',
'38250523327149',
'38250523327150'); Câu SQL 3: UPDATE TCB_DEVICE t SET t.device_hub_code='DAI',t.device_hub='Đồng Nai' WHERE t.device_serial_number 
IN (
'38250602315592',
'38250602315591',
'38250602315588',
'38250602315587',
'38250602315586',
'38250602315584',
'38250602315583',
'38250602315581',
'38250602315580',
'38250602315579',
'38250602315578',
'38250602315576'
); Câu SQL 4 UPDATE TCB_DEVICE t SET t.device_hub_code='NSN',t.device_hub='Nguyễn Sơn' WHERE t.device_serial_number 
IN (
    '38250523316660',
'38250523316661',
'38250523316662',
'38250523316663',
'38250523316664',
'38250523316665',
'38250523316666',
'38250523316667',
'38250523316668',
'38250523316669',
'38250523316670',
'38250523316671',
'38250523316672',
'38250523316673',
'38250523316674',
'38250523316675'
); Câu SQL 5: DELETE FROM SOUNDBOX_NOTIFICATION WHERE device_serial_number ='382408268899001';</t>
  </si>
  <si>
    <t>2025-08-27T12:28:58.981+0700</t>
  </si>
  <si>
    <t>2025-08-27T12:29:35.389+0700</t>
  </si>
  <si>
    <t>Dear team DBA, Hiện tại OMD có nhu cầu kéo dữ liệu của litePos về Data Platform để xây dựng báo cáo ạ, nhờ anh Linh và team giúp em tạo kafka_topic cho bảng theo thông tin dưới đây ạ PROD: IP host: 172.31.1.6:3306 (mysql) Schema:  litepos_pcm_prod Tables: BaseStore
Stock
StockAdjustment
StockAdjustmentDetail Thanks and regards! cong.do1</t>
  </si>
  <si>
    <t>[CDP][Nonprod] Setup Môi trường QC cho Backoffice - Customer Data Platform</t>
  </si>
  <si>
    <t>2025-08-27T10:52:24.039+0700</t>
  </si>
  <si>
    <t>2025-08-27T10:52:57.357+0700</t>
  </si>
  <si>
    <t>Nhờ team SRE triển khai deploy CDP-backoffice lên môi trường QC  branch, cấu trúc thư mục, Dockerfile các thứ  giống agent-web Trang này là cho vận hành nội bộ cty dùng</t>
  </si>
  <si>
    <t>[Merchant-TCB] Support tunning database</t>
  </si>
  <si>
    <t>2025-08-27T10:46:14.478+0700</t>
  </si>
  <si>
    <t>2025-08-27T17:13:47.493+0700</t>
  </si>
  <si>
    <t>Dear team, Ngày 24/8, phía dự án có thực hiện đồng bộ dữ liệu từ TCB về. Nên có nhiều bản ghi xuất hiện ở các bảng tpay_merchant tpay_request_merchant  (1.6M bản ghi) tpay_store tpay_store_service ( 1.3M) tpay_request_store Người dùng trên OPS đang gặp khó khăn khi thực hiện query trên các bảng bên trên. (Database CPU load 99%) Nên nhờ team DBA hỗ trợ cải thiện query, index trên database hoặc resource để người dùng dùng bình thường với ạ. Thông tin database https://console.cloud.google.com/sql/instances/merchant-tcb/overview?inv=1&amp;invt=AbsndA&amp;project=vinid-merchant-prod DB_MYSQL_HOST=172.31.4.108
DB_MYSQL_DATABASE=merchant_service_tcb Câu lệnh SELECT
    tpayreques0_.id AS id1_31_
FROM
    tpay_request_merchant tpayreques0_
    LEFT OUTER JOIN tpay_branch tpaybranch1_ ON tpayreques0_.branch_id = tpaybranch1_.id
WHERE
    1 = 1 AND 1 = 1 AND 1 = 1
    and(tpaybranch1_.code in('HUBS', 'WLN'))
    AND tpayreques0_.sales_agent_email = 'thuyoht@techcombank.com.vn'
ORDER BY
    tpayreques0_.id DESC
LIMIT 10; SELECT COUNT ( tpayreques0_ . id ) AS col_0_0_ FROM tpay_request_merchant tpayreques0_ LEFT OUTER JOIN tpay_branch tpaybranch1_ ON tpayreques0_ . branch_id = tpaybranch1_ . id WHERE ? = ? AND ? = ? AND ? = ? AND ( tpaybranch1_ . code IN (...) ) AND tpayreques0_ . sales_agent_email = ? SELECT * FROM `tpay_terminal` WHERE tcb_terminal_code = 'QTTPQPCQO' AND store_code = 'CH5SYEYC' AND `tpay_terminal`.`deleted_at` IS NULL ORDER BY `tpay_terminal`.`id` LIMIT 1
 [6180.162ms] [rows:0] SELECT * FROM `tpay_terminal` WHERE tcb_terminal_code = 'QTTFJ8FHB' AND store_code = 'CHKHQ53M' AND `tpay_terminal`.`deleted_at` IS NULL ORDER BY `tpay_terminal`.`id` LIMIT 1
 [6859.783ms] [rows:0] SELECT * FROM `tpay_terminal` WHERE tcb_terminal_code = 'QTTBNME9W' AND store_code = 'CH3Z7ZW2' AND `tpay_terminal`.`deleted_at` IS NULL ORDER BY `tpay_terminal`.`id` LIMIT 1
 [7772.140ms] [rows:0] SELECT * FROM `tpay_terminal` WHERE tcb_terminal_code = 'QTT29KNMV' AND store_code = 'CHIPH0I6' AND `tpay_terminal`.`deleted_at` IS NULL ORDER BY `tpay_terminal`.`id` LIMIT 1
 [5872.529ms] [rows:0] SELECT * FROM `tpay_terminal` WHERE tcb_terminal_code = 'QTTR2XXFB' AND store_code = 'CHKJM5ZS' AND `tpay_terminal`.`deleted_at` IS NULL ORDER BY `tpay_terminal`.`id` LIMIT 1
 [5611.572ms] [rows:0] SELECT * FROM `tpay_terminal` WHERE tcb_terminal_code = 'QTTBJ1B28' AND store_code = 'CHZPJAQZ' AND `tpay_terminal`.`deleted_at` IS NULL ORDER BY `tpay_terminal`.`id` LIMIT 1
 [6826.224ms] [rows:0] SELECT * FROM `tpay_terminal` WHERE tcb_terminal_code = 'QTT1OIIHV' AND store_code = 'CHVRYGJU' AND `tpay_terminal`.`deleted_at` IS NULL ORDER BY `tpay_terminal`.`id` LIMIT 1
 [7012.129ms] [rows:0] SELECT * FROM `tpay_terminal` WHERE tcb_terminal_code = 'QTTF3CXJ3' AND store_code = 'CH1MZBXI' AND `tpay_terminal`.`deleted_at` IS NULL ORDER BY `tpay_terminal`.`id` LIMIT 1
 [6691.596ms] [rows:0] SELECT * FROM `tpay_terminal` WHERE tcb_terminal_code = 'QTTU5L6TO' AND store_code = 'CHD1HC4F' AND `tpay_terminal`.`deleted_at` IS NULL ORDER BY `tpay_terminal`.`id` LIMIT 1
 [7300.705ms] [rows:0] SELECT * FROM `tpay_terminal` WHERE tcb_terminal_code = 'QTTSNFHU9' AND store_code = 'CH9VX75W' AND `tpay_terminal`.`deleted_at` IS NULL ORDER BY `tpay_terminal`.`id` LIMIT 1
 [10553.505ms] [rows:0] SELECT * FROM `tpay_terminal` WHERE tcb_terminal_code = 'QTTM0MHI7' AND store_code = 'CHR62W50' AND `tpay_terminal`.`deleted_at` IS NULL ORDER BY `tpay_terminal`.`id` LIMIT 1
 [6045.274ms] [rows:0] SELECT * FROM `tpay_terminal` WHERE tcb_terminal_code = 'QTTSCE44I' AND store_code = 'CHD8YU8T' AND `tpay_terminal`.`deleted_at` IS NULL ORDER BY `tpay_terminal`.`id` LIMIT 1
 [12358.021ms] [rows:0] SELECT * FROM `tpay_terminal` WHERE tcb_terminal_code = 'QTTRU5RR8' AND store_code = 'CH9WXZPR' AND `tpay_terminal`.`deleted_at` IS NULL ORDER BY `tpay_terminal`.`id` LIMIT 1</t>
  </si>
  <si>
    <t>[OM][Nexa][TNX][UAT] Build hạ tầng database Nexa-TXN-Monitoring</t>
  </si>
  <si>
    <t>2025-08-27T10:10:19.916+0700</t>
  </si>
  <si>
    <t>2025-09-03T10:37:17.629+0700</t>
  </si>
  <si>
    <t>Build hạ tầng database cho hệ thống Nexa-TXN-Monitoring</t>
  </si>
  <si>
    <t>[UPAY][PROD] Tạo bảng backup để kiểm tra data sau khi đồng bộ (TERMINAL, UNIFIED_TERMINAL, SOFTPOS_TERMINAL, SOFTPOS_QR_TERMINAL)</t>
  </si>
  <si>
    <t>2025-08-27T09:06:38.736+0700</t>
  </si>
  <si>
    <t>2025-08-27T09:06:52.585+0700</t>
  </si>
  <si>
    <t>Hi a  @Nguyễn Văn Dũng , nhờ a chạy script bên dưới giúp e với ạ Thông tin database saas_tpay:  pay-tidb.int.onemount.com:4000/saas_tpay CR Ticket:    Scripts CREATE TABLE IF NOT EXISTS BACKUP_25102_TERMINAL LIKE TERMINAL;
CREATE TABLE IF NOT EXISTS BACKUP_25102_UNIFIED_TERMINAL LIKE UNIFIED_TERMINAL;
CREATE TABLE IF NOT EXISTS BACKUP_25102_SOFTPOS_TERMINAL LIKE SOFTPOS_TERMINAL;
CREATE TABLE IF NOT EXISTS BACKUP_25102_SOFTPOS_QR_TERMINAL LIKE SOFTPOS_QR_TERMINAL;
INSERT INTO BACKUP_25102_TERMINAL
SELECT *
FROM TERMINAL;
INSERT INTO BACKUP_25102_UNIFIED_TERMINAL
SELECT *
FROM UNIFIED_TERMINAL;
INSERT INTO BACKUP_25102_SOFTPOS_TERMINAL
SELECT *
FROM SOFTPOS_TERMINAL;
INSERT INTO BACKUP_25102_SOFTPOS_QR_TERMINAL
SELECT *
FROM SOFTPOS_QR_TERMINAL;</t>
  </si>
  <si>
    <t>[UPay][TPAY] [PROD] Script onboard merchant CIRCLEK</t>
  </si>
  <si>
    <t>2025-08-27T09:06:09.274+0700</t>
  </si>
  <si>
    <t>2025-08-27T09:39:34.790+0700</t>
  </si>
  <si>
    <t>Hi anh Nhờ anh chạy các script để cấu hình merchant CIRCLEK TPAY ạ. Thông tin database saas_tpay: mysql://pay-tidb.int.onemount.com:4000/saas_tpay INSERT INTO PARTNER (client_id, name, public_key, enable, merchant_code)
VALUES ('sleWIaeZQyvTtAfTBnTkKIgTPYgrVsvf', 'CIRCLEK', '-----BEGIN PUBLIC KEY-----
MIIBIjANBgkqhkiG9w0BAQEFAAOCAQ8AMIIBCgKCAQEAhF8dk3fOTOFEuhiIjIfN
6fkhkcukgxVpMmK2CGzwK0qxG1CWruIkWdNY7Hr3jaxvsV/bDSKxZOa77a7WDpPn
Kj2fnF5ylXKNEI2BjeG2AwPzA4unrGuA12D3FlbzcDM/Znt9P/R+cByd77LX3THb
8bJzrAsT2wJNzqDsm9j/G38eZzNIP+b7llz/xRt4KLJiCcK8V6bxWEXCLhHt8Hb3
JtsjEsgiO2yn90nwfjwJCPYFi2drgKiBdbEXoYYZJBmPkV3NxbQySGCUDR7f/8JG
Jcw7Hse5NVhJreRD/RklYS5nh2DdOebvopkX/maTQ6Rd2YBEVtnikdC//MzMrLuP
dQIDAQAB
-----END PUBLIC KEY-----', 1, 'CIRCLEK');
INSERT INTO MERCHANT_RECONCILE (merchant_code, tenant, enable, sftp_folder, pgp_public_key_base64,
                                pgp_partner_id, days_to_subtract, max_records_per_file)
VALUES ('CIRCLEK', 'OME', 1, '/circlek',
        'LS0tLS1CRUdJTiBQR1AgUFVCTElDIEtFWSBCTE9DSy0tLS0tCgp4c0JOQkdpbWQ1NEJDQURSSWFJME13dFNKelAxRHlJOEhRdjg2akwyelZQTk9PWVJZTGhxUDAxTFlUREcKMmhkc0JzMGVodEZGSHBJeTJEbjVBQzhPcUxFQ0hjRjBOMXpHWUczbnM4bFRJVUJpTEtMR3Z5Nk45ckY5CkYwQlFNRzRjb0tQWk9VaW1pei9hZE5mNVc5eTJHaXY4b04yWG1MTkpnaEJkZDZVYUNxSG9HTzlGT0RyTwpjVVMwNVhvM1Y4YmlwQWdvSTdOL2xiYXJNaE9ZeEE0c1lrU2g0R1BWa0k4cnlCYWZzeFZuVUlJS1RkN3gKRWdMMlB0MmJWcTdsNWdBNDJmbnY2VVYzZHdIRUpNbG5aVE1VbzFyUWdYUytHcitrODJHaFNxTG5DU2dtCkdHSXhiZ2IxTWQ4VzBKTGg1c2dGQ3VWOU9GNFQ0TmcvL0lzeFBJZ3I3MEF4cGxBQTNtUHVKWW14QUJFQgpBQUhOSFR4cmFHOWhMbU5oYjNoMVlXNUFZMmx5WTJ4bGF5NWpiMjB1ZG00K3dzQ0tCQkFCQ0FBK0JZSm8KcG5lZUJBc0pCd2dKa00vVG9rTnZKKzI1QXhVSUNnUVdBQUlCQWhrQkFwc0RBaDRCRmlFRWxjU25hRkpICml4QUhBTitRejlPaVEyOG43YmtBQUVGbkNBQy84ZFJTcHJVZVg3ZUVjRy90K1hQNkR0bnFVb05qbHR5WQpsOTJCVk9CWTlHSWZzcXVaV1RyOHRlZEdDYWZ4M2xmQU5ra0ZlUWRTYVZIT1ZKZDF3bzMvR2JDUXVVT2IKMFplNlhpTFIwYk0rb0JBTHkvd0hvVlJqWHZwYXYxRDVFL0Exb3Mvb3BTYlhMM21MRm4yc0IySGI2YlhQClFvNkltM0hwSkxHbTU4QkRuTTNNS1BpeFBycDdtYTJSNk5SblZDVkpMWjMwNWtjV2JRbXJpeUZJNWYxNApCdWkzMmVoY21UaytKdUg1RlVDcUQydm9TK3Y3U0RYQzhBYVE3Q0NMWnJMb0E0Qnp1NkhQN1RLanN6a2QKNFRKeFlteUdhbTR5bElTc2w3ZkcyQTRJd0NWSVlvb0xoV2s2Z3E2VkpDUTBKQ1dJR3VJOVJyNkhWd3BZCmp5L01xVXpEenNCTkJHaW1kNTRCQ0FDMjlxRlAzVVRZNjFvemlOOElsckpBSG12THZIc2VsdE15eE5BQgpuc2JabGxaZ0Z5dmI5ZGRva2ZRRlNHNHM0ZTlNclhEOHdVVWhudVRYSFlwTC8vT1FtYmVhYW9DRm5VMlAKV0RsNnBvNVpnR0dYVFhGS1FxMlV4ZWQwZkRDWjhIV29lQnlTVnFFMzVOK2tRQjBmNkR5bEpjWnZFWnk1CkhYOEFwUHNFUUJJN1AwOVV1bWJYTHUwZUQrcjdCS3E0NlE4MmZjb0ZpeG91SlpRWE9GaUJrYkZHOFV1WAprbWIrcHVjN09BN1VaZFNhMnd2Y1k3WUdzSTZEdENjeFR4U0UyQUdkNyt6SXRidmtEY3ZrUXd3eVVqcGIKWFpManJWcnRYaGpqSG55RzdOL01tZHhHTTVrQ3drUkdyWWVzUGZlZUdTN1pRVkFQOHR2aFlOTFpNR2oxCjQwYnZBQkVCQUFIQ3dIWUVHQUVJQUNvRmdtaW1kNTRKa00vVG9rTnZKKzI1QXBzTUZpRUVsY1NuYUZKSAppeEFIQU4rUXo5T2lRMjhuN2JrQUFEVHBDQUMyTzF6YXNXVWhmZDVqUW11YU1jalhzV1Q3VU12WmRyUUcKVjVVWGdCSW9reGpraHhqSTZreGEvemZaR0dHMEZ6QjlPRUJOK1lmbit2QXgwcUMweUZqUzgyNHRLRGxLCnVoTy9udXFycEl4K0IrelRTUlYrQ1N0NHVmcUJmR1dmb3NRMlU1dHk0YTl2V1l5anQrYkp6VkFVWnppLwppMGZCV2xtQ0wzZnFvd2tUbXZHTWJIaHZsYnM3MDZTck90REJMRGtDMXdVUFh5QmUwTy9GN1VSaTMyVTEKb1pGckZJU2dTYUJQMmdCNGlBYm9YclE4MlZWRW1JL2hXRmdCcFU1Y0gzYXg3eWxMZkd2YzM4SEIzV3JzCmhvQzAwdEliU2YvSGpFT2FYejc4aVFsN2RReXNlSjlqTXB1MkpSeEhIUU0vbWRqUHVzZm9nRURLbC9ucApNYkw5d3JmUQo9YVV3QgotLS0tLUVORCBQR1AgUFVCTElDIEtFWSBCTE9DSy0tLS0tCg==',
        'khoa.caoxuan@circlek.com.vn', 1, 10000);</t>
  </si>
  <si>
    <t xml:space="preserve">[UPAY] Tác động database hỗ trợ update soundbox cho vận hành trình </t>
  </si>
  <si>
    <t>2025-08-27T09:05:38.821+0700</t>
  </si>
  <si>
    <t>2025-08-27T09:39:32.419+0700</t>
  </si>
  <si>
    <t>Nhờ các anh chạy giúp team script dưới phục vụ cho vận hành update data thiết bị Thông tin db tpay :  pay-tidb.int.onemount.com :4000/saas_tpay Thời gian thực hiện:  Ngay sau khi ticket được update  Câu sql:  UPDATE TCB_DEVICE t SET t.device_hub_code='WLB',t.device_hub='Trung tâm kinh doanh trực tiếp MB' WHERE t.device_serial_number 
IN ('38250602316651',
'38250602316652',
'38250602316653',
'38250602316654',
'38250602316655',
'38250602316656',
'38250602316657',
'38250602316658',
'38250602316659',
'38250602316660',
'38250602316661',
'38250602316662',
'38250602316663',
'38250602316664',
'38250602316665',
'38250602316666',
'38250602316667',
'38250602316668',
'38250602316669',
'38250602316670',
'38250602316671',
'38250602316672',
'38250602316673',
'38250602316674',
'38250602316675',
'38250602303126',
'38250602303127',
'38250602303128',
'38250602303129',
'38250602303130',
'38250602303131',
'38250602303132',
'38250602303133',
'38250602303134',
'38250602303135',
'38250602303136',
'38250602303137',
'38250602303138',
'38250602303139',
'38250602303140',
'38250602303141',
'38250602303142',
'38250602303143',
'38250602303144',
'38250602303145',
'38250602303146',
'38250602303147',
'38250602303148',
'38250602303149',
'38250602303150',
'38250602309951',
'38250602309952',
'38250602309953',
'38250602309954',
'38250602309955',
'38250602309956',
'38250602309957',
'38250602309958',
'38250602309959',
'38250602309960',
'38250602309961',
'38250602309962',
'38250602309963',
'38250602309964',
'38250602309965',
'38250602309966',
'38250602309967',
'38250602309968',
'38250602309969',
'38250602309970',
'38250602309971',
'38250602309972',
'38250602309973',
'38250602309974',
'38250602309975',
'38250602316126',
'38250602316127',
'38250602316128',
'38250602316129',
'38250602316130',
'38250602316131',
'38250602316132',
'38250602316133',
'38250602316134',
'38250602316135',
'38250602316136',
'38250602316137',
'38250602316138',
'38250602316139',
'38250602316140',
'38250602316141',
'38250602316142',
'38250602316143',
'38250602316144',
'38250602316145',
'38250602316146',
'38250602316147',
'38250602316148',
'38250602316149',
'38250602316150',
'38250602304426',
'38250602304427',
'38250602304428',
'38250602304429',
'38250602304430',
'38250602304431',
'38250602304432',
'38250602304433',
'38250602304434',
'38250602304435',
'38250602304436',
'38250602304437',
'38250602304438',
'38250602304439',
'38250602304440',
'38250602304441',
'38250602304442',
'38250602304443',
'38250602304444',
'38250602304445',
'38250602304446',
'38250602304447',
'38250602304448',
'38250602304449',
'38250602304450',
'38250602319551',
'38250602319552',
'38250602319553',
'38250602319554',
'38250602319555',
'38250602319556',
'38250602319557',
'38250602319558',
'38250602319559',
'38250602319560',
'38250602319561',
'38250602319562',
'38250602319563',
'38250602319564',
'38250602319565',
'38250602319566',
'38250602319567',
'38250602319568',
'38250602319569',
'38250602319570',
'38250602319571',
'38250602319572',
'38250602319573',
'38250602319574',
'38250602319575');</t>
  </si>
  <si>
    <t>[Kafka][Prod] Tạo kafka topic cho các bảng của WMS cho các MiniDC MAG</t>
  </si>
  <si>
    <t>2025-08-26T17:41:23.036+0700</t>
  </si>
  <si>
    <t>2025-08-26T18:43:21.857+0700</t>
  </si>
  <si>
    <t>OMD, WMS</t>
  </si>
  <si>
    <t>Hiện tại OMD đang có nhu cầu phát triển thêm kho mới, nhờ anh Linh tạo kafka topic ở môi trường PROD giúp team để kéo data về DP nhé ạ! PROD: Project: vinid-b2b-platform-prod IP host: 172.31.4.59:3306 (mysql) Schema: omd_wms_mag Table list: appointment_service_status
appointment_service_type
appointment_status
appointment_type
whse_location
prod_master
stock_status
prod_uom
appointment_master
appointment_service
order_hdr
order_item
whse_stock_detail
prod_batch_detail
report_order_header
report_order_item
report_warehouse_order_header
report_warehouse_order_item
report_warehouse_stock_item
report_wave_header
wave_order_header
wave_order_item
whse_order_hdr
whse_order_item Thanks and regards! cong.do1</t>
  </si>
  <si>
    <t>[OMD][DP][Kafka][PROD] Tạo kafka topic cho các bảng của WES-MAG</t>
  </si>
  <si>
    <t>2025-08-26T17:41:17.621+0700</t>
  </si>
  <si>
    <t>2025-08-26T18:04:12.217+0700</t>
  </si>
  <si>
    <t>Description Dear các anh DBA, Hiện tại OMD đang có nhu cầu sử dụng dữ liệu WES những bảng sau để phục vụ tích hợp vào model của WES ở DP, nhờ anh Linh tạo kafka topic ở môi trường PROD giúp team để kéo data về DP nhé ạ! PROD: Project: vinid-b2b-platform-prod IP host: 172.31.1.143:3306 (mysql) Schema: wes_mag Table list: task
work_task_info
task_group
pick_task
task_group_status
task_status
task_type
work_function
reason_message
work_order_line
host_order_line
host_order
host_wave
work_order
host_order_status
work_order_line_status
host_order_line_status
host_wave_status
wave_type
user
user_warehouse
warehouse
item
uom
uom_level
barcode
item_status
item_type
flat_host_order
data_tracking
flat_task_group
container_session
container_content
container
container_session_status
container_content_status
flat_attendance_tracking Thanks and regards! cong.do1</t>
  </si>
  <si>
    <t>[OMC][Flash Sale TCB] Nâng cấu hình các instance mysql/postgreSQL phục vụ Flash Sale ATVNCG 26/08/2025</t>
  </si>
  <si>
    <t>2025-08-26T15:29:24.593+0700</t>
  </si>
  <si>
    <t>2025-08-26T16:59:43.906+0700</t>
  </si>
  <si>
    <t>Lên cấu hình cho FS ATVNCG 26/08/2025 CR:    https://chat.google.com/room/AAAAOqZ92n0/uCqZVdT2awA/uCqZVdT2awA?cls=10 [OMC][Flash Sale TCB] Nâng cấu hình các instance mysql/postgreSQL phục vụ Flash Sale ATVNCG 26/08/2025 Thời gian thực hiện: sau 1h 26/08/2025 Chi tiết như sau: https://console.cloud.google.com/sql/instances/main/overview?project=vincart-prod 172.31.1.41 Từ: 8 CPUs 24 GB RAM , innodb_buffer_pool_size  12884901888 Lên: 12 CPUs 32 GB RAM, innodb_buffer_pool_size	18874368000 https://console.cloud.google.com/sql/instances/ecom-medium-mysql/overview?project=vincart-prod 172.31.4.9 Từ: 4 vCPUs 8 GB RAM, innodb_buffer_pool_size  4294967296 Lên: 8 CPUs 16 GB RAM, innodb_buffer_pool_size	10037418240 https://console.cloud.google.com/sql/instances/oneloyalty/overview?project=vinid-loyalty-prod 172.31.7.6 Từ: 4 CPUs	8 GB RAM , innodb_buffer_pool_size   4294967296 Lên: 8 CPUs	16 GB RAM , innodb_buffer_pool_size   10037418240 https://console.cloud.google.com/sql/instances/onevoucher/overview?project=vinid-loyalty-prod 172.31.4.126 Từ: 4 CPUs	16 GB RAM , innodb_buffer_pool_size		85899344592 Lên: 8 CPUs	24 GB RAM , innodb_buffer_pool_size  12884901888 https://console.cloud.google.com/sql/instances/voucher-distribution/overview?project=vinid-loyalty-prod 172.31.4.82 Từ: 2 CPUs	8 GB RAM , innodb_buffer_pool_size   4294967283 Lên: 8 CPUs	16 GB RAM , innodb_buffer_pool_size  10037418240 https://console.cloud.google.com/sql/instances/postgres-01/overview?authuser=0&amp;project=vinid-service-platform-prod 172.31.7.11 Từ: 2 CPUs	8 GB RAM Lên: 4 CPUs	16 GB RAM https://console.cloud.google.com/sql/instances/omc-authentication/overview?project=omc-base-platform-prod 172.31.3.40 Từ: 4 CPUs	8 GB RAM Giữ nguyên cấu hình</t>
  </si>
  <si>
    <t>2025-08-26T15:10:11.340+0700</t>
  </si>
  <si>
    <t>2025-09-08T23:43:57.219+0700</t>
  </si>
  <si>
    <t>[OMD][WMS] Hỗ trợ cập nhật tên kho cho kho MAG_01 và  MAG_02</t>
  </si>
  <si>
    <t>2025-08-26T15:00:23.169+0700</t>
  </si>
  <si>
    <t>2025-08-26T15:04:33.057+0700</t>
  </si>
  <si>
    <t>Description Hi DBA team, Hiện tại kho MAG_01 và MAG_02 cần đổi tên, nhờ team DBA hỗ trợ cập nhật giá trị theo thông tin dưới đây. 1. Cập nhật tên cho kho MAG_01 Project : vinid-b2b-platform-prod Instance/IP : main (read-write): 172.31.4.59 Port : 3306 Database : omd_wms_core Query update base_dc bd set bd.dc_name = 'TGH' where bd.dc_code = 'MAG_01'; 2. Cập nhật tên cho kho MAG_02 Project : vinid-b2b-platform-prod Instance/IP : main (read-write): 172.31.4.59 Port : 3306 Database : omd_wms_core Query update base_dc bd set bd.dc_name = 'TGH-NTTC' where bd.dc_code = 'MAG_02'; Câu query đánh giá là an toàn nên có thể thực hiện cập nhật bất kỳ lúc nào mà không ảnh hưởng đến vận hành hệ thống.</t>
  </si>
  <si>
    <t>2025-08-26T14:22:47.252+0700</t>
  </si>
  <si>
    <t>2025-08-26T14:22:56.133+0700</t>
  </si>
  <si>
    <t>Hỗ trợ xuất data report cho campaign Spin to Win theo yêu cầu của TCB Host:  172.31.4.75 Db:  promo_gamezone Query: Tuần 17 SELECT SUM(claim_amount) FROM `rule_logs` WHERE campaign_id = 53 &amp;&amp; reward_type='TURN' &amp;&amp; `status` = 'SUCCESS';
SELECT COUNT(DISTINCT(user_id)) FROM `rule_logs` WHERE campaign_id = 53 &amp;&amp; reward_type='TURN' &amp;&amp; `status` = 'SUCCESS'; Tuần 18 SELECT SUM(claim_amount) FROM `rule_logs` WHERE campaign_id = 54 &amp;&amp; reward_type='TURN' &amp;&amp; `status` = 'SUCCESS';
SELECT COUNT(DISTINCT(user_id)) FROM `rule_logs` WHERE campaign_id = 54 &amp;&amp; reward_type='TURN' &amp;&amp; `status` = 'SUCCESS';</t>
  </si>
  <si>
    <t>[Vinpay][PROD] Update min amount cho phép thực hiện giao dịch trả góp Smartpos</t>
  </si>
  <si>
    <t>2025-08-26T13:34:15.499+0700</t>
  </si>
  <si>
    <t>2025-08-26T13:34:21.001+0700</t>
  </si>
  <si>
    <t>Hi anh Nhờ anh chạy các script sau giúp em trên: Prod  vào lúc  sau khi approve Thông tin database: Prod :  pay-tidb.int.onemount.com:4000/saas_tpay</t>
  </si>
  <si>
    <t>[OM][PROD] Request tạo schema cho dự án Health Hub</t>
  </si>
  <si>
    <t>2025-08-26T11:21:33.547+0700</t>
  </si>
  <si>
    <t>2025-08-26T11:22:55.407+0700</t>
  </si>
  <si>
    <t xml:space="preserve">Em chào anh chị, Anh chị tạo giúp em schema cho môi trường non-prod cho service này giúp em với ạ. project: om-charity-prod Instance name: om-charity-fund-core IP: 172.31.4.7 DB name: fund-core user name: ? password: ? schema:    infrastructure resource: </t>
  </si>
  <si>
    <t>[OMC] ONEU xóa cart redis</t>
  </si>
  <si>
    <t>2025-08-26T10:21:37.688+0700</t>
  </si>
  <si>
    <t>2025-08-26T10:21:42.981+0700</t>
  </si>
  <si>
    <t>Dear team Do lỗi đồng bộ dữ liệu lên redis, hờ các anh xóa key redis  theo pattern sau ạ  vincart:vmm:cart:344615 * host:  vincart-prod--vmm.memstore.int port:  6379 database: 4 CR:  https://vinid-team.atlassian.net/browse/SH-66412</t>
  </si>
  <si>
    <t>Nhờ hỗ trợ export dữ liệu merchant/ store trên hệ thống voucher</t>
  </si>
  <si>
    <t>2025-08-26T09:56:12.742+0700</t>
  </si>
  <si>
    <t>2025-08-26T10:32:39.306+0700</t>
  </si>
  <si>
    <t>Dear anh Dương. Hiện em đang cần validate lại dữ liệu sau khi migrate data theo cấu trúc đơn vị hành chính mới. Nhờ anh hỗ trợ export các dữ liệu merchant/store trên VMM như sau: IP:  172.31.1.41 Database:  vincart_mm_merchant Scripts:  Lấy danh sách merchant: SELECT id as `ID`, code as `Merchant Code`, status as `Merchant Status`, city_code as `Province Code`, city_name as `Province Name`, ward_code as `Ward code`, ward_name as `Ward name`, district_code as `District code`, district_name as `District name`, created_at as `Created at`, updated_at as `Updated at`, null as `Updated by` FROM vincart_mm_merchant.merchants; Lấy danh sách store: SELECT DISTINCT s.id as `ID`, s.code as `Store code`, s.status as `Store status`, m.code as `Merchant code`, s.city_code as `Province code`, s.city_name as `Province name`, s.ward_code as `Ward code`, s.ward_name as `Ward name`, s.district_code as `District code`, s.district_name as `District name`, s.address as `Address`, s.created_at as `Created at`, s.updated_at as `Updated at`, Null as `Updated by` FROM vincart_mm_merchant.stores as s left join vincart_mm_merchant.merchants m on m.id = s.merchant_id;</t>
  </si>
  <si>
    <t>[Merchant-TCB] Hỗ trợ improve database</t>
  </si>
  <si>
    <t>2025-08-26T09:37:55.375+0700</t>
  </si>
  <si>
    <t>2025-08-26T16:09:14.888+0700</t>
  </si>
  <si>
    <t>Dear team, Ngày 24/8, phía dự án có thực hiện đồng bộ dữ liệu từ TCB về. Nên có nhiều bản ghi xuất hiện ở các bảng tpay_merchant tpay_request_merchant  (1.6M bản ghi) tpay_store tpay_store_service ( 1.3M) tpay_request_store Người dùng trên OPS đang gặp khó khăn khi thực hiện query trên các bảng bên trên. (Database CPU load 99%) Nên nhờ team DBA hỗ trợ cải thiện query, index trên database hoặc resource để người dùng dùng bình thường với ạ. Thông tin database https://console.cloud.google.com/sql/instances/merchant-tcb/overview?inv=1&amp;invt=AbsndA&amp;project=vinid-merchant-prod DB_MYSQL_HOST=172.31.4.108
DB_MYSQL_DATABASE=merchant_service_tcb Câu lệnh Một số query ghi nhận được select tpayreques0_.id as id1_31_, tpayreques0_.approved_at as approved2_31_, tpayreques0_.approved_by as approved3_31_, tpayreques0_.approved_reason as approved4_31_, tpayreques0_.bank_account_number as bank_acc5_31_, tpayreques0_.branch_id as branch_i6_31_, tpayreques0_.business_license_number as business7_31_, tpayreques0_.code as code8_31_, tpayreques0_.created_at as created_9_31_, tpayreques0_.created_by as created10_31_, tpayreques0_.merchant_code as merchan11_31_, tpayreques0_.metadata as metadat12_31_, tpayreques0_.reason as reason13_31_, tpayreques0_.sales_agent_email as sales_a14_31_, tpayreques0_.source as source15_31_, tpayreques0_.status as status16_31_, tpayreques0_.tcb_customer_t24 as tcb_cus17_31_, tpayreques0_.tcb_merchant_code as tcb_mer18_31_, tpayreques0_.trade_name as trade_n19_31_, tpayreques0_.type as type20_31_, tpayreques0_.updated_at as updated21_31_, tpayreques0_.updated_by as updated22_31_ from tpay_request_merchant tpayreques0_ left outer join tpay_branch tpaybranch1_ on tpayreques0_.branch_id=tpaybranch1_.id where 1=1 and 1=1 and 1=1 and (tpaybranch1_.code in ('VPC')) and (tpayreques0_.merchant_code like '%NCCWATGQ%') and (tpayreques0_.status in ('APPROVED')) and tpayreques0_.sales_agent_email='toannt16@techcombank.com.vn' order by tpayreques0_.id desc limit 10;</t>
  </si>
  <si>
    <t>[OMC][Ticketing]Scale down hạ tầng bán vé VFF ngày 25/08/2025</t>
  </si>
  <si>
    <t>2025-08-26T01:19:39.155+0700</t>
  </si>
  <si>
    <t>2025-08-26T01:20:24.932+0700</t>
  </si>
  <si>
    <t>Dear team DBA Sau ngày đầu tiên bán vé VFF team OneU có request giảm cấu hình DB với các thông tin dưới đây: Team nâng giúp em cấu hình:  4CPU - 8GB  Ram ạ GCP:  https://console.cloud.google.com/sql/instances/main-2/overview?hl=vi&amp;project=vinticket-prod Thời gian thực hiện 01h00p ngày 26/08/2025 Em cảm ơn các anh ạ</t>
  </si>
  <si>
    <t>export data GT cho dự án kiểm tra cập nhật đơn vị hành chính mới 2025</t>
  </si>
  <si>
    <t>2025-08-25T18:16:28.208+0700</t>
  </si>
  <si>
    <t>2025-08-25T18:17:33.905+0700</t>
  </si>
  <si>
    <t xml:space="preserve">Dear  @Nguyễn Văn Dũng   nhờ em export data như query này giúp anh SELECT c.code
      ,c.phone
      ,ai.fullAddress
      ,ai.oldfullAddress, ai.mappingId addressMappingId, ai.storeCode, a.isoCodeProvince, a.isoCodeDistrict, a.isoCodeWard
FROM omd_vinid_b2b_platform_prod_b2b_commerce_b2b_user_prod.`CustomerUnit` c
JOIN omd_vinid_b2b_platform_prod_b2b_commerce_b2b_user_prod.CustomerUnit2AddressInfo cuai on c.id =cuai.customerUnit_id 
JOIN omd_vinid_b2b_platform_prod_b2b_commerce_b2b_user_prod.AddressInfo ai on cuai.addressInfo_id = ai.id 
JOIN omd_vinid_b2b_platform_prod_b2b_commerce_b2b_user_prod.Address a on ai.address_id =a.id
where ai.verificationStatus = 'VERIFIED' cc  @Võ Thúy Hồng Ngọc  </t>
  </si>
  <si>
    <t>Kéo dữ liệu về ODS cho dự án warehousing sau khi mở thêm kho MAG</t>
  </si>
  <si>
    <t>2025-08-25T16:41:05.785+0700</t>
  </si>
  <si>
    <t>2025-08-26T17:39:10.281+0700</t>
  </si>
  <si>
    <t>Hỗ trợ PO/BA trong việc xây dựng các báo cáo vận hành trên superset, cần thời gian thực Tạo các alert về mặt sai lệch trong dữ liệu hoặc các alert liên quan đến dữ liệu vận hành Thông tin database nguồn như sau 1. WMS Database instance Project vinid-b2b-platform-prod IP 172.31.4.59 Sheet  omd_wms_*  schema omd_wms_mag List database và table cần sync về ODS Table name TTL (Day) prod_master master_data prod_uom master_data product_category master_data report_order_header 180 report_order_item 180 report_warehouse_order_header 180 report_warehouse_order_item 180 report_warehouse_stock_item master_data report_wave_header 180 warehouse_zone master_data wave_order_header 180 wave_order_item 180 whse_location master_data whse_order_hdr 180 whse_order_item 180 whse_stock_detail master_data 2. WES Database instance vinid-b2b-platform-prod IP 172.31.1.251 Database name: wes_mag List database và table cần sync về ODS Table name TTL (Day) flat_task_group 180 flat_task 180 flat_host_order 180 flat_host_order_line 180</t>
  </si>
  <si>
    <t>[OM][Charity][Prod] - Tạo memstore instance</t>
  </si>
  <si>
    <t>2025-08-25T15:52:16.933+0700</t>
  </si>
  <si>
    <t>2025-08-25T15:52:59.501+0700</t>
  </si>
  <si>
    <t>[Charity][Prod] - Tạo memstore instance Dự án yêu cầu enable HA cho redis và Database  https://chat.google.com/room/AAQA9AmpNKo/wgK0b7mqBzI/wgK0b7mqBzI?cls=10 Instance name: redis-om-charity-fund-core Instance IP: 172.31.0.20:6379</t>
  </si>
  <si>
    <t>[OM][Charity][Prod] - Tạo CloudSQL postgress instance</t>
  </si>
  <si>
    <t>2025-08-25T15:51:35.936+0700</t>
  </si>
  <si>
    <t>2025-08-25T15:53:41.666+0700</t>
  </si>
  <si>
    <t>[Charity][Prod] - Tạo CloudSQL postgress instance Dự án yêu cầu enable HA cho redis và Database  https://chat.google.com/room/AAQA9AmpNKo/wgK0b7mqBzI/wgK0b7mqBzI?cls=10 instance name: om-charity-fund-core instance IP: 172.31.4.7</t>
  </si>
  <si>
    <t>[OM][Health Hub][Prod] Cấu hình HA cho Redis và Database của fund core services</t>
  </si>
  <si>
    <t>2025-08-25T15:50:31.603+0700</t>
  </si>
  <si>
    <t>2026-01-02T08:43:53.579+0700</t>
  </si>
  <si>
    <t>Dear các anh, Nhờ các anh hỗ trợ cấu hình HA (high availability) cho Redis và Database môi trường production của fund core services SAD:  Chi phí tính cho OM. Cần thêm thông tin gì nhờ các anh comment giúp.</t>
  </si>
  <si>
    <t>[Saitama] Cấu hình, cập nhập database phục vụ cho release 24/08/2025</t>
  </si>
  <si>
    <t>2025-08-25T15:47:38.694+0700</t>
  </si>
  <si>
    <t>2025-08-25T15:47:44.696+0700</t>
  </si>
  <si>
    <t>Hi a  @Nguyễn Văn Dũng  nhờ a chạy script theo mô tả  dưới đây ở môi trường PRODUCTION theo thông tin dưới đây ạ: Thời gian chạy script: Vào lúc  23h59p ngày 24/08/2025 (0h00p ngày 25/08/2025)  - Khi team thông báo Thông tin database saas_tpay:  pay-tidb.int.onemount.com:4000/saas_tpay CR Ticket:    Script: INSERT INTO SYSTEM_CONFIGURATION (SYSTEM_PARAM_CODE, SYSTEM_PARAM_NAME, SYSTEM_PARAM_VALUE, IS_ACTIVE, CREATED_DATE)
VALUES ('SOFTPOS_ONLY_QR_TERMS_AND_CONDITIONS_TNC_CODE', 'SOFTPOS_ONLY_QR_TERMS_AND_CONDITIONS_TNC_CODE', 'TC-26062024-033098', 1, CURRENT_TIMESTAMP);
INSERT INTO SYSTEM_CONFIGURATION (SYSTEM_PARAM_CODE, SYSTEM_PARAM_NAME, SYSTEM_PARAM_VALUE, IS_ACTIVE, CREATED_DATE)
VALUES ('EMAIL_TEMPLATE_REJECT_ONLY_QR', 'EMAIL_TEMPLATE_REJECT_ONLY_QR', '68918dddbc504c5d22bc6dac', 1, CURRENT_TIMESTAMP);
ALTER TABLE SESSION ADD COLUMN onboarding_flow VARCHAR(20) NULL;
ALTER TABLE SESSION_HISTORY ADD COLUMN onboarding_flow VARCHAR(20) NULL;
ALTER TABLE GROUP_STEP_CONFIG ADD COLUMN onboarding_flow VARCHAR(20) NULL;
ALTER TABLE STEP_CONFIG ADD COLUMN onboarding_flow VARCHAR(20) NULL;
ALTER TABLE SESSION MODIFY master_account_name VARCHAR(255) ;
ALTER TABLE SESSION_HISTORY MODIFY master_account_name VARCHAR(255);
UPDATE GROUP_STEP_CONFIG SET onboarding_flow = 'SOFTPOS_QR_CARD';
UPDATE STEP_CONFIG SET onboarding_flow = 'SOFTPOS_QR_CARD';
UPDATE SESSION SET onboarding_flow = 'SOFTPOS_QR_CARD';
UPDATE SESSION_HISTORY SET onboarding_flow = 'SOFTPOS_QR_CARD';
INSERT INTO GROUP_STEP_CONFIG (code, name, description, status, is_display, `order`, domain, created_at, updated_at, onboarding_flow) VALUES ('SOFTPOS_ONLY_QR_ANONYMOUS_LOGIN', 'SOFTPOS_ONLY_QR_ANONYMOUS_LOGIN', 'Người dùng thao tác login vào hệ thống cho luồng ONLY QR', 'ACTIVE', 1, 1, 'SOFT_POS_ONBOARD', CURRENT_TIMESTAMP, null, 'SOFTPOS_ONLY_QR');
INSERT INTO GROUP_STEP_CONFIG (code, name, description, status, is_display, `order`, domain, created_at, updated_at, onboarding_flow) VALUES ('SOFTPOS_ONLY_QR_VERIFY_ONBOARD', 'SOFTPOS_ONLY_QR_VERIFY_ONBOARD', 'Kiểm tra thông tin người dùng đã có trên hệ thống hay chưa', 'ACTIVE', 1, 2, 'SOFT_POS_ONBOARD', CURRENT_TIMESTAMP, null, 'SOFTPOS_ONLY_QR');
INSERT INTO GROUP_STEP_CONFIG (code, name, description, status, is_display, `order`, domain, created_at, updated_at, onboarding_flow) VALUES ('SOFTPOS_ONLY_QR_STORE_INFORMATION', 'SOFTPOS_ONLY_QR_STORE_INFORMATION', 'Cung cấp các thông tin cơ bản về cửa hàng', 'ACTIVE', 1, 3, 'SOFT_POS_ONBOARD', CURRENT_TIMESTAMP, null, 'SOFTPOS_ONLY_QR');
INSERT INTO STEP_CONFIG (code, step_group, name, status, is_display, `order`, created_at, updated_at, onboarding_flow) VALUES ('SOFTPOS_ONLY_QR_REGISTRATION_INFO', 'SOFTPOS_ONLY_QR_ANONYMOUS_LOGIN', 'SOFTPOS_ONLY_QR_REGISTRATION_INFO', 'ACTIVE', 1, 1, CURRENT_TIMESTAMP, null, 'SOFTPOS_ONLY_QR');
INSERT INTO STEP_CONFIG (code, step_group, name, status, is_display, `order`, created_at, updated_at, onboarding_flow) VALUES ('SOFTPOS_ONLY_QR_OTP_AUTHENTICATION', 'SOFTPOS_ONLY_QR_ANONYMOUS_LOGIN', 'SOFTPOS_ONLY_QR_OTP_AUTHENTICATION', 'ACTIVE', 1, 2, CURRENT_TIMESTAMP, null, 'SOFTPOS_ONLY_QR');
INSERT INTO STEP_CONFIG (code, step_group, name, status, is_display, `order`, created_at, updated_at, onboarding_flow) VALUES ('SOFTPOS_ONLY_QR_VERIFY_ONBOARD', 'SOFTPOS_ONLY_QR_VERIFY_ONBOARD', 'SOFTPOS_ONLY_QR_VERIFY_ONBOARD', 'ACTIVE', 1, 1, CURRENT_TIMESTAMP, null, 'SOFTPOS_ONLY_QR');
INSERT INTO STEP_CONFIG (code, step_group, name, status, is_display, `order`, created_at, updated_at, onboarding_flow) VALUES ('SOFTPOS_ONLY_QR_REGISTER_STAFF_EMAIL', 'SOFTPOS_ONLY_QR_VERIFY_ONBOARD', 'SOFTPOS_ONLY_QR_REGISTER_STAFF_EMAIL', 'ACTIVE', 1, 2, CURRENT_TIMESTAMP, null, 'SOFTPOS_ONLY_QR');
INSERT INTO STEP_CONFIG (code, step_group, name, status, is_display, `order`, created_at, updated_at, onboarding_flow) VALUES ('SOFTPOS_ONLY_QR_STORE_INFORMATION_PART1', 'SOFTPOS_ONLY_QR_STORE_INFORMATION', 'SOFTPOS_ONLY_QR_STORE_INFORMATION_PART1', 'ACTIVE', 1, 1, CURRENT_TIMESTAMP, null, 'SOFTPOS_ONLY_QR');
INSERT INTO STEP_CONFIG (code, step_group, name, status, is_display, `order`, created_at, updated_at, onboarding_flow) VALUES ('SOFTPOS_ONLY_QR_STORE_INFORMATION_PART2', 'SOFTPOS_ONLY_QR_STORE_INFORMATION', 'SOFTPOS_ONLY_QR_STORE_INFORMATION_PART2', 'ACTIVE', 1, 2, CURRENT_TIMESTAMP, null, 'SOFTPOS_ONLY_QR');
INSERT INTO STEP_CONFIG (code, step_group, name, status, is_display, `order`, created_at, updated_at, onboarding_flow) VALUES ('SOFTPOS_ONLY_QR_REVIEW_INFORMATION', 'SOFTPOS_ONLY_QR_STORE_INFORMATION', 'SOFTPOS_ONLY_QR_REVIEW_INFORMATION', 'ACTIVE', 1, 3, CURRENT_TIMESTAMP, null, 'SOFTPOS_ONLY_QR');
create table THIRDPARTY_INTEGRATION_HISTORY
(
    id         bigint auto_increment primary key,
    module     varchar(128)                        null,
    request    varchar(2000)                       null,
    response   varchar(2000)                       null,
    error      varchar(2000)                       null,
    status     varchar(50)                         null,
    created_at timestamp default CURRENT_TIMESTAMP null,
    updated_at timestamp default CURRENT_TIMESTAMP null
) AUTO_ID_CACHE=1;
UPDATE SYSTEM_CONFIGURATION
SET SYSTEM_CONFIGURATION.SYSTEM_PARAM_VALUE = 'MQR,TQR,SOFTPOS_QR,SOFTPOS_CARD,SMARTPOS_QR,SMARTPOS_CARD,ECOM_DOMESTIC_CARD,ECOM_INTERNATIONAL_CARD,TCB_POS_QR'
WHERE SYSTEM_CONFIGURATION.SYSTEM_PARAM_CODE = 'MERCHANT_UNIFIED_SERVICE_CODE_VALID';
ALTER TABLE SYNC_UNIFIED_STORE
    ADD COLUMN QR_SERVICE_TYPE varchar(64) null;
ALTER TABLE SYNC_UNIFIED_TERMINAL
    ADD COLUMN QR_SERVICE_TYPE varchar(64) null;
UPDATE UNIFIED_TERMINAL UT
    JOIN UNIFIED_STORE US ON UT.TCB_STORE_ID = US.TCB_STORE_ID AND UT.STORE_CODE = US.STORE_CODE
SET UT.MERCHANT_CODE = US.MERCHANT_CODE
WHERE UT.MERCHANT_CODE IS NULL;
INSERT INTO SYSTEM_CONFIGURATION
    (SYSTEM_PARAM_CODE, SYSTEM_PARAM_NAME, SYSTEM_PARAM_VALUE, IS_ACTIVE, CREATED_BY, CREATED_DATE)
VALUES
    ('TRANSACTION_RANGE_DAYS', 'TRANSACTION_RANGE_DAYS', '60', 1, 'bach.cao', CURRENT_TIMESTAMP);</t>
  </si>
  <si>
    <t xml:space="preserve"> [NONPROD] Monitor Critical tnx-oracle-primary-np (10.254.138.3) - DB TNXNP</t>
  </si>
  <si>
    <t>2025-08-25T15:42:13.951+0700</t>
  </si>
  <si>
    <t>2025-10-02T10:21:21.627+0700</t>
  </si>
  <si>
    <t>healthcheck</t>
  </si>
  <si>
    <t>Thực hiện monitor toàn bộ hệ thống database đáp ứng đủ các tiêu chí sau để notification tránh gặp sự cố. Push webhooks : DBA-CHECK-CRITICAL-NONPROD Monitor trạng thái bất thường không phải open hoặc open readonly Kiểm tra session &gt; 50 Kiểm tra FRA vượt quá &gt; 80% Kiểm tra disk os vượt quá &gt; 80% Kiểm tra tablespace vượt quá &gt; 80% Kiểm tra CHECK GRID INFRASTRUCTURE TRACE FILES các lỗi này CRS-|ORA-|ERROR|FATAL|FAIL ( Cho môi truong single node - RAC) Kiểm tra alert log có lỗi đặc biệt như (ORA-(00600|07445|00700)|Deadlock) Kiểm tra diskgroup &gt; 80%</t>
  </si>
  <si>
    <t>[NONPROD] Monitor Critical pss-oracle-primary-np (10.254.163.27) - DB PSSNP</t>
  </si>
  <si>
    <t>2025-08-25T15:08:58.717+0700</t>
  </si>
  <si>
    <t>2025-10-01T15:07:19.173+0700</t>
  </si>
  <si>
    <t xml:space="preserve">Tóm tắt các mục kịch bản giám sát Kiểm tra Active Session: Nội dung: Đếm số lượng phiên (session) đang ở trạng thái ACTIVE trong database. Phương thức: Truy vấn vào view v$session. Cảnh báo nếu số lượng vượt ngưỡng (mặc định &gt; 50). Kiểm tra Database Alert Log: Nội dung: Tìm kiếm các lỗi nghiêm trọng như ORA-600, ORA-7445, ORA-700 và Deadlock. Phương thức: Tự động tìm và quét file alert_*.log của database. Cảnh báo nếu phát hiện lỗi trong 10 phút gần nhất. Kiểm tra Grid/Clusterware Trace Log: Nội dung: Tìm kiếm các lỗi cấp thấp của hệ thống Clusterware như CRS-, ORA-, ERROR, FATAL, FAIL. Phương thức: Quét các file trace (crsd.trc, ohasd.trc...) trong thư mục của Grid Infrastructure. Cảnh báo nếu phát hiện lỗi trong 10 phút gần nhất. Kiểm tra trạng thái ASM Diskgroup: Nội dung: Đảm bảo các diskgroup của ASM đang hoạt động bình thường. Phương thức: Truy vấn vào view v$asm_diskgroup. Cảnh báo nếu có diskgroup nào không ở trạng thái MOUNTED hoặc CONNECTED. Kiểm tra ASM Alert Log: Nội dung: Tìm kiếm các lỗi hoặc cảnh báo (ORA-, ERROR, WARNING, FATAL). Phương thức: Quét file alert_*.log của ASM tại đường dẫn cố định đã khai báo. Cảnh báo nếu phát hiện lỗi trong 10 phút gần nhất. Kiểm tra dung lượng FRA: Nội dung: Kiểm tra mức độ sử dụng của vùng Fast Recovery Area. Phương thức: Truy vấn vào view V$RECOVERY_FILE_DEST. Cảnh báo nếu dung lượng sử dụng vượt ngưỡng (mặc định &gt; 80%). Kiểm tra dung lượng Tablespace: Nội dung: Kiểm tra phần trăm dung lượng đã sử dụng của các tablespace, dựa trên kích thước tối đa mà chúng có thể tự động mở rộng (autoextend). Phương thức: Truy vấn các view DBA_DATA_FILES và DBA_FREE_SPACE để tính toán tỷ lệ USE_OF_MAX(%). Cảnh báo nếu có tablespace nào vượt ngưỡng (mặc định &gt; 80%). Kiểm tra dung lượng ổ đĩa: Nội dung: Kiểm tra dung lượng sử dụng của tất cả các ổ đĩa vật lý trên server.  Phương thức: Dùng lệnh df của Linux. Cảnh báo nếu có bất kỳ phân vùng (mount point) nào sử dụng vượt ngưỡng (mặc định &gt; 80%). </t>
  </si>
  <si>
    <t>[NONPROD] Monitor Critical paygw-oracle-primary (10.254.162.2) - DB PGWNP</t>
  </si>
  <si>
    <t>2025-08-25T15:07:33.508+0700</t>
  </si>
  <si>
    <t>2025-10-01T16:17:51.108+0700</t>
  </si>
  <si>
    <t>[OM] [NONPROD] MONITOR DATABASE ORACLE - NOTIFICATION CRITICAL</t>
  </si>
  <si>
    <t>2025-08-25T15:02:34.256+0700</t>
  </si>
  <si>
    <t>2025-11-24T17:18:32.687+0700</t>
  </si>
  <si>
    <t>[UPay] [PROD] [Ops Admin] Script support thêm quyền</t>
  </si>
  <si>
    <t>2025-08-25T14:23:27.105+0700</t>
  </si>
  <si>
    <t>2025-08-25T15:10:43.192+0700</t>
  </si>
  <si>
    <t>Hi anh Nhờ anh chạy các script sau giúp em  Prod : project: vinid-service-platform-prod
instance: common
Master IP: 172.31.1.102
slave IP: 172.31.1.181
db: admin_service CR:   https://vinid-team.atlassian.net/browse/OPSP-785 Thêm quyền service type Budget SELECT @service_id := id FROM service WHERE code = 'Voucher_Calendar';
INSERT INTO module (name, code, service_id) VALUES('Budget Management', 'merchant_loyalty_budget', @service_id);
SET @module_id = LAST_INSERT_ID();
INSERT INTO permission (module, name, code, new_code, new_name, module_id) VALUES ('merchant_loyalty_budget', 'View', 1000, 1000, 'View', @module_id);
INSERT INTO permission (module, name, code, new_code, new_name, module_id) VALUES ('merchant_loyalty_budget', 'Create', 1001, 1001, 'Create', @module_id);
INSERT INTO permission (module, name, code, new_code, new_name, module_id) VALUES ('merchant_loyalty_budget', 'Edit', 1002, 1002, 'Edit', @module_id);
INSERT INTO permission (module, name, code, new_code, new_name, module_id) VALUES ('merchant_loyalty_budget', 'Delete', 1003, 1003, 'Delete', @module_id);</t>
  </si>
  <si>
    <t>mở firewall từ dba-ops đến các database</t>
  </si>
  <si>
    <t>2025-08-25T12:36:08.908+0700</t>
  </si>
  <si>
    <t>2025-09-20T10:37:56.775+0700</t>
  </si>
  <si>
    <t>mở firewall từ dba-ops đến các server database: source dest dba-ops ip database vm port 22 dba-ops ip database  port database</t>
  </si>
  <si>
    <t>tạo instance dba-ops dùng để quản trị cli</t>
  </si>
  <si>
    <t>2025-08-25T12:35:21.688+0700</t>
  </si>
  <si>
    <t>2025-09-08T02:26:27.527+0700</t>
  </si>
  <si>
    <t>Tạo 1 instance dba-ops dùng để quản trị cli cài đặt các tool database client để quản trị</t>
  </si>
  <si>
    <t>mở firewall cho pmm monitor đến các database và ngược lại</t>
  </si>
  <si>
    <t>2025-08-25T12:33:10.970+0700</t>
  </si>
  <si>
    <t>2025-08-28T11:01:11.119+0700</t>
  </si>
  <si>
    <t>mở firewall cho pmm monitor: source dest port ip database vm ip pmm server 443:80 ip pmm server ip database port database</t>
  </si>
  <si>
    <t>mở firewall từ jump host đến ip của database</t>
  </si>
  <si>
    <t>2025-08-25T12:32:03.395+0700</t>
  </si>
  <si>
    <t>2025-09-20T10:37:52.211+0700</t>
  </si>
  <si>
    <t>Add monitor cho các database mariadb</t>
  </si>
  <si>
    <t>2025-08-25T12:29:23.823+0700</t>
  </si>
  <si>
    <t>2025-09-08T02:20:06.787+0700</t>
  </si>
  <si>
    <t>add pmm monitor cho các database mariadb database status</t>
  </si>
  <si>
    <t>mở firewall từ jump host tới các database</t>
  </si>
  <si>
    <t>2025-08-25T12:29:06.449+0700</t>
  </si>
  <si>
    <t>2025-09-08T12:10:41.194+0700</t>
  </si>
  <si>
    <t>Mở firewall từ Jump host đến các database: source dest port jumphost các database vm  tcp/ 22 jumphost ip của các database port database</t>
  </si>
  <si>
    <t>Tạo dns cho PMM monitor</t>
  </si>
  <si>
    <t>2025-08-25T12:28:44.090+0700</t>
  </si>
  <si>
    <t>2025-08-25T12:36:25.900+0700</t>
  </si>
  <si>
    <t>[VINSHOP] Revoke sessions trên môi trường PROD sau update DVHC</t>
  </si>
  <si>
    <t>2025-08-25T12:10:38.183+0700</t>
  </si>
  <si>
    <t>2025-08-25T12:16:29.830+0700</t>
  </si>
  <si>
    <t>VinShop cần logout all devices trên môi trường  PROD  để user đăng nhập lại xly lỗi cache DVHC: TRUNCATE TABLE user_authenticate; Thông tin Database DB_MYSQL_HOST=172.31.1.44
DB_MYSQL_DATABASE=merchant_service  CC anh  @Phan Anh Sơn   @Võ Thúy Hồng Ngọc  ạ</t>
  </si>
  <si>
    <t>[Link Account] [Prod] Đánh index để tối ưu hóa hiệu suất truy vấn database</t>
  </si>
  <si>
    <t>2025-08-25T11:35:11.633+0700</t>
  </si>
  <si>
    <t>2025-08-25T11:44:54.901+0700</t>
  </si>
  <si>
    <t>Dear team DBA, team dự án Link Account cần đánh index để tối ưu hóa hiệu suất truy vấn database ở database tương ứng trên môi trường prod, thông tin cụ thể như sau: Instance ID:  https://console.cloud.google.com/sql/instances/postgres-01/overview?authuser=1&amp;project=vinid-service-platform-prod Database name:  sp_postgres_link_account Câu lệnh SQL: -- Index for the WHERE condition on linkages
CREATE INDEX idx_linkages_partner_customer_id ON linkages (partner_customer_id); Issues link:  https://chat.google.com/room/AAAA_N8FVBA/NBwgJE0nLbk/NBwgJE0nLbk?cls=10</t>
  </si>
  <si>
    <t>2025-08-25T10:21:41.469+0700</t>
  </si>
  <si>
    <t>2025-08-25T12:16:41.678+0700</t>
  </si>
  <si>
    <t>OMD, UNKNOWN</t>
  </si>
  <si>
    <t>[PS2][GAMI][PROD] Support đánh index bảng</t>
  </si>
  <si>
    <t>2025-08-25T00:11:20.929+0700</t>
  </si>
  <si>
    <t>2025-08-25T00:11:24.843+0700</t>
  </si>
  <si>
    <t>Support đánh index bảng sau: Host:  172.31.4.75 DB: promo_mysterybox Tạo index sau CREATE INDEX idx_turn_histories_campaign_user ON turn_histories (campaign_id, user_id);</t>
  </si>
  <si>
    <t>[OMC][Ticketing]Nâng hạ tầng bán vé VFF ngày 25/08/2025</t>
  </si>
  <si>
    <t>2025-08-25T00:02:38.057+0700</t>
  </si>
  <si>
    <t>2025-08-25T00:13:23.390+0700</t>
  </si>
  <si>
    <t>Dear team DBA Để phục vụ bán vé VFF ngày 25/08/2025 team OneU có request nâng cấu hình DB với các thông tin dưới đây: Team nâng giúp em cấu hình:  8CPU - 16GB  Ram ạ Thời gian thực hiện 23h59p ngày 24/08/2025 Project: vinticket-prod
Link GCP: https://console.cloud.google.com/sql/instances/main-2/overview?hl=vi&amp;project=vinticket-prod&amp;rapt=AEjHL4OqJ4kL308utw4af6JfFKeHPqFKiLPJk9WoeBh56HaFl67IT6ZqJkV23_TaV9qnf_d2BtguFPPcDCIm_XNze5m-7qqH2JSXjKhaM4xNyTzIj2czjUw Em cảm ơn các anh ạ</t>
  </si>
  <si>
    <t>Truy vấn dữ liệu prod B2B OMS và export ra file google sheet</t>
  </si>
  <si>
    <t>2025-08-24T18:57:24.191+0700</t>
  </si>
  <si>
    <t>2025-08-24T19:12:52.912+0700</t>
  </si>
  <si>
    <t>Nhờ anh truy vấn và export dữ liệu ra file goolge sheet để bọn e xử lý data cho vụ DVHC ạ thông tin DB instance_name: b2b-commerce
instanceIP: 172.31.4.113
dbname: b2b_oms_prod 1 lấy order id cần thiết SELECT o.id FROM SaleOrder as o WHERE oldShippingAddress IS NULL AND o.createdAt &gt;= '2025-07-01 00:00:00'; Lấy shipment và shippingAddress theo orderId trên SELECT vs.code, o.id as orderId, o.unitCode as unitCode, sa.mappingId FROM Shipment as vs JOIN SaleOrder as o ON vs.saleOrder_id = o.id JOIN ShippingAddress as sa ON o.id = sa.saleOrderId WHERE o.id IN (lấy từ 1) Dùng   sa.mappingId   trong query 2 để call vào DB User lấy địa chỉ cũ thông tin DB instance_name: b2b-commerce
instanceIP: 172.31.4.113
dbname: b2b_oms_prod Select af.mappingId, af.oldFullAddress FROM AddressInfo WHERE mappingId IN ( đám sa.mappingId đã lấy được, a nhớ remove duplicate) thank a.</t>
  </si>
  <si>
    <t>[OT][OMD][OMC]V/v support golive Cập nhật thông tin Đơn vị hành chính 3 bảng Province/ District/ Ward cho hệ thống WMS</t>
  </si>
  <si>
    <t>2025-08-24T18:36:06.891+0700</t>
  </si>
  <si>
    <t>2025-08-24T18:36:35.346+0700</t>
  </si>
  <si>
    <t>21h   Done   Done   Done   Done 22h   Done   Done   Done 23h   Done   Done   Done   Done   Done   Done   Done   Done 5h   Done   Done</t>
  </si>
  <si>
    <t>V/v Thiếu length field BYTM_PROD.ADDR_T.ST_NAME</t>
  </si>
  <si>
    <t>2025-08-24T12:23:44.956+0700</t>
  </si>
  <si>
    <t>2025-08-24T14:45:16.673+0700</t>
  </si>
  <si>
    <t>Khi tạo shipping location đang xuất hiện lỗi  Oracle Error: ORA-12899: value too large for column \"BYTM_PROD\".\"ADDR_T\".\"ST_NAME\" Nhờ ae kiểm tra và tăng max size field  ST_NAME  của table  ADDR_T  Database  bytm_prod  (Oracle instance on GCE oracle-primary (Private IP: 10.255.24.170) giúp team nhé.</t>
  </si>
  <si>
    <t>2025-08-24T10:10:21.552+0700</t>
  </si>
  <si>
    <t>2025-08-24T10:10:28.402+0700</t>
  </si>
  <si>
    <t>Dear team DBA, Nhờ các anh chạy script bên dưới để off nguồn tiền TCB Direct Thông tin DB:  vinpay-sql-onehub-master.int.vinid.net:3306/pay_payment_gateway UPDATE pay_payment_gateway.PROVIDER SET IS_ACTIVE=0 WHERE provider_id='41';</t>
  </si>
  <si>
    <t>[PROD][LinkAccount] Support golive ngày 23/08/2025</t>
  </si>
  <si>
    <t>2025-08-24T10:08:32.919+0700</t>
  </si>
  <si>
    <t>2025-08-24T10:08:38.458+0700</t>
  </si>
  <si>
    <t>Vào 10h ngày 23/08/2025, team OneU sẽ golive tính năng:  Release plan:    CR:    Nhờ team support tạo giúp table. Thông tin:  Instance ID:  https://console.cloud.google.com/sql/instances/postgres-01/overview?authuser=1&amp;project=vinid-service-platform-prod Database name:  sp_postgres_link_account Câu lệnh SQL: CREATE TABLE sync_attribute_logs
(
    id          serial primary key,
    user_id     integer not null,
    status      text    not null,
    fail_reason text,
    retry_times integer   default 0,
    created_at  TIMESTAMP default now(),
    updated_at  TIMESTAMP default now()
);
CREATE INDEX idx_sync_attribute_user_id ON sync_attribute_logs (user_id); E cảm ơn!</t>
  </si>
  <si>
    <t>[OMD][After-Sale] Thực hiện backup, insert lại master data</t>
  </si>
  <si>
    <t>2025-08-24T01:50:33.990+0700</t>
  </si>
  <si>
    <t>2025-08-24T02:06:55.068+0700</t>
  </si>
  <si>
    <t>After-sale</t>
  </si>
  <si>
    <t>Hi Team, Nhờ Team thực hiện các bước sau trên DB after-sale # 1.Backup:
#     PromotionRegion
#     PromotionArea
#     PromotionRegion2PromotionArea
#2. xoá FK trong bảng PromotionRegion2PromotionArea
#3. truncate PromotionRegion
#4. chạy script insert Region - tham chiếu checklist - line 13 - step 3. checklist  - line 13 - after-sale Thời gian thực hiện tham chiếu vào checklist golive  thông tin và thời điểm cụ thể liên hệ  quangph1@onemount.com Thank Team!</t>
  </si>
  <si>
    <t>[OMD][After-Sale] Thực hiện export data đơn vị hành chính sau update</t>
  </si>
  <si>
    <t>2025-08-24T00:50:34.134+0700</t>
  </si>
  <si>
    <t>2025-08-24T02:08:39.959+0700</t>
  </si>
  <si>
    <t>Hi Team, Nhờ Team run và export data theo câu lệnh sau SELECT NOW()                                                          as createAt,
       'manual-migration'                                             as createdBy,
       false                                                          as deleted,
       NOW()                                                          as lastModifiedAt,
       'manual-migration'                                             as lastModifiedBy,
       0                                                              as version,
       pr.code                                                        AS code,
       pr.seller                                                      as seller,
       JSON_ARRAYAGG(CONCAT_WS('_', p.isoCode, d.isoCode, w.isoCode)) AS areaCodes,
       null                                                           as areas
FROM PromotionRegionAreaRel prar
         JOIN PromotionRegion pr
              ON prar.promotionRegion_id = pr.id
         JOIN PromotionArea pa
              ON prar.promotionArea_id = pa.id
         LEFT JOIN Province p
                   ON pa.province_id = p.id
         LEFT JOIN District d
                   ON pa.district_id = d.id
         LEFT JOIN Ward w
                   ON pa.ward_id = w.id
GROUP BY pr.code; thời điểm chạy  sau khi deploy xong  B2b-Promotion  nhờ team chạy lấy data và trả lại thông tin cho  ThhinhPH1@onemount.com  để thực hiên gen script insert data ĐVHC mới cho after-sale trên DB của B2b-Promotion, thời gian và thông tin DB liên hệ  QuangPH1@onemount.com Thank Team</t>
  </si>
  <si>
    <t>[OMD][Promotion] [Đợn vị hành chính] Yêu cầu bổ sung FK cho master data</t>
  </si>
  <si>
    <t>2025-08-24T00:24:53.259+0700</t>
  </si>
  <si>
    <t>2025-08-24T02:41:46.191+0700</t>
  </si>
  <si>
    <t>Hi Team, Nhờ Team thực hiện chạy lệnh sau để gán lại FK #7.gán lại FK mới cho Area
ALTER TABLE PromotionArea
    ADD CONSTRAINT FKPromotionAreaProvince FOREIGN KEY (province_id) REFERENCES Province (id),
    ADD CONSTRAINT FKPromotionAreaDistrict FOREIGN KEY (district_id) REFERENCES District (id),
    ADD CONSTRAINT FKPromotionAreaWard FOREIGN KEY (ward_id) REFERENCES Ward (id)
; Thời gian thực hiện step 3 - update FK:  checklist  Line 12 - cột C - mục 3.Bổ sung FK (sau khi chạy migration update ddl) Thời gian cụ thể, thông tin DB vui lòng liên hệ  quangph@onemount.com Thank Team!</t>
  </si>
  <si>
    <t xml:space="preserve">[OMD][Promotion] [Đợn vị hành chính] Yêu cầu update FK, truncate master data  </t>
  </si>
  <si>
    <t>2025-08-23T23:47:53.235+0700</t>
  </si>
  <si>
    <t>2025-08-24T02:39:51.210+0700</t>
  </si>
  <si>
    <t>HI Team, Nhờ Team thực hiện các bước sau trong script đính kèm, mục đích là xoá bỏ FK và truncate master data cũ về đơn vị hành chính Thời điểm thực hiện script này là  trước khi deploy  B2B-Promotion  Thời gian cụ thể, thông tin DB vui lòng liên hệ  quangph@onemount.com   Thank Team!</t>
  </si>
  <si>
    <t>[PROD][ServicePlatform] Support golive ngày 23/08/2025</t>
  </si>
  <si>
    <t>2025-08-23T23:46:14.772+0700</t>
  </si>
  <si>
    <t>2025-08-23T23:46:23.070+0700</t>
  </si>
  <si>
    <t>Nhờ team update thông tin phục vụ golive:  Release plan:     CR :  https://vinid-team.atlassian.net/servicedesk/customer/portal/15/SH-66375?created=true Thông tin:  Instance ID:  https://console.cloud.google.com/sql/instances/main/databases?project=vinid-service-platform-prod Database name: account_profile_service Câu lệnh SQL: alter table user_address
add column is_out_of_date bool DEFAULT true</t>
  </si>
  <si>
    <t>[Merchant-OM] Cập nhật dữ liệu đơn vị hành chính 2025-08-23</t>
  </si>
  <si>
    <t>2025-08-23T12:44:41.842+0700</t>
  </si>
  <si>
    <t>2025-08-24T02:38:41.046+0700</t>
  </si>
  <si>
    <t>Dear team, Để phục vụ migrate dữ liệu Đơn vị hành chính từ 3 cấp về 2 cấp.   Team sản phẩm cần chạy script để cập nhật dữ liệu, nhờ team hỗ trợ ạ. Thông tin database https://console.cloud.google.com/sql/instances/main/overview?inv=1&amp;invt=Abqw_w&amp;project=vinid-merchant-prod DB_MYSQL_HOST=172.31.1.44
DB_MYSQL_DATABASE=merchant_service Thời gian chạy: 22h 23/08/2025 Chi tiết yêu cầu: 0. Thực hiện sao lưu bảng dữ liệu address_master address merchant_trade_address 1. Sao lưu địa chỉ 3 cấp cho từng bản ghi UPDATE
	address addr
SET
	addr.metadata = JSON_MERGE_PATCH(COALESCE(a.metadata, JSON_OBJECT()), JSON_OBJECT('old_address', JSON_OBJECT('province_id', addr.province_id, 'province_name', addr.province_name, 'district_id', addr.district_id, 'district_name', addr.district_name, 'ward_id', addr.ward_id, 'ward_name', addr.ward_name, 'street', addr.street, 'backup_timestamp', NOW()))); 2. Thay thế dữ liệu bảng address_master Truncate bảng  address_master Import dữ liệu từ file  address_master_20250701.sql 3. Thay thế dữ liệu bảng address Chạy script các file  address_xx.sql  lần lượt 01 → 02 → 03 → 04 → 05 4. Thay thế dữ liệu bảng merchant_trade_address Chạy script các file  merchant_address_xx.sql  lần lượt 01 → 02 → 03 → 04</t>
  </si>
  <si>
    <t>Yêu cầu update dữ liệu B2B OMS Database PROD phục vụ DVHC</t>
  </si>
  <si>
    <t>2025-08-23T12:39:32.513+0700</t>
  </si>
  <si>
    <t>2025-08-24T01:43:19.139+0700</t>
  </si>
  <si>
    <t>Dear các anh DBA Nhờ các anh update dữ liệu giúp team B2B OMS phục vụ cho việc chuyển đổi DVHC 2025 ạ. Thời gian thực hiện:  Trước khi deploy B2B OMS ,  dự kiến 10h tối 23/8/2025. Sau khi đã xong ticket   Yêu cầu Backup dữ liệu phục vụ deploy DVHC 2025 B2B OMS - Database Service Desk - Jira Service Management  ạ. Thông tin DB: instanceIP: 172.31.4.113
dbname: b2b_oms_prod Câu lệnh: ( Truncate  là tốt nhất ạ) DELETE FROM Area2District;
DELETE FROM Area2Province;
DELETE FROM Area2Ward;
DELETE FROM MOVOQRuleMapping;
DELETE FROM MOVOQRule2Area;
DELETE FROM PODConfig2Area;
DELETE FROM PartialDelivery2Area;
DELETE FROM Area; E cảm ơn !</t>
  </si>
  <si>
    <t>Yêu cầu Backup dữ liệu phục vụ deploy DVHC 2025 B2B OMS</t>
  </si>
  <si>
    <t>2025-08-23T12:38:03.944+0700</t>
  </si>
  <si>
    <t>2025-08-24T01:44:36.614+0700</t>
  </si>
  <si>
    <t>Dear các anh DBA Nhờ các anh query và export các bảng sau trên DB PROD của B2B OMS để backup phòng trường hợp chuyển đổi DVHC có vấn đề cần xử lý giúp em ạ.  Thời gian thực hiện: Trước khi deploy B2B OMS,  dự kiến 10h tối 23/8/2025  để lấy dữ liệu mới nhất Thông tin DB: instanceIP: 172.31.4.113
dbname: b2b_oms_prod Thông tin backup: Bảng  Area SELECT
    a.id,
    a.code,
    a.name,
    a.areaType,
    NULLIF(GROUP_CONCAT(
        DISTINCT
        CASE
            WHEN c2l.DTYPE = 'Province' AND (c2l.isoCode IS NOT NULL OR c2l.name IS NOT NULL)
            THEN CONCAT(IFNULL(c2l.isoCode, ''), '-', IFNULL(c2l.name, ''))
            ELSE NULL
        END
        SEPARATOR ', '
    ), '') as province,
    NULLIF(GROUP_CONCAT(
        DISTINCT
        CASE
            WHEN c2l.DTYPE = 'District' AND (c2l.isoCode IS NOT NULL OR c2l.name IS NOT NULL)
            THEN CONCAT(IFNULL(c2l.isoCode, ''), '-', IFNULL(c2l.name, ''))
            ELSE NULL
        END
        SEPARATOR ', '
    ), '') as district,
    NULLIF(GROUP_CONCAT(
        DISTINCT
        CASE
            WHEN c2l.DTYPE = 'Ward' AND (c2l.isoCode IS NOT NULL OR c2l.name IS NOT NULL)
            THEN CONCAT(IFNULL(c2l.isoCode, ''), '-', IFNULL(c2l.name, ''))
            ELSE NULL
        END
        SEPARATOR ', '
    ), '') as ward,
    NULLIF(GROUP_CONCAT(
        DISTINCT
        CASE
            WHEN mov.id IS NOT NULL OR mov.name IS NOT NULL
            THEN CONCAT(IFNULL(mov.id, ''), '-', IFNULL(mov.name, ''))
            ELSE NULL
        END
        SEPARATOR ', '
    ), '') as mov,
    NULLIF(GROUP_CONCAT(
        DISTINCT
        CASE
            WHEN pod.id IS NOT NULL OR pod.name IS NOT NULL
            THEN CONCAT(IFNULL(pod.id, ''), '-', IFNULL(pod.name, ''))
            ELSE NULL
        END
        SEPARATOR ', '
    ), '') as pod,
    NULLIF(GROUP_CONCAT(
        DISTINCT
        CASE
            WHEN pdc.id IS NOT NULL OR pdc.name IS NOT NULL
            THEN CONCAT(IFNULL(pdc.id, ''), '-', IFNULL(pdc.name, ''))
            ELSE NULL
        END
        SEPARATOR ', '
    ), '') as pdc
FROM Area a
LEFT JOIN (
    SELECT area_id, province_id as item_id, 'Province' as item_type
    FROM Area2Province
    UNION ALL
    SELECT area_id, district_id as item_id, 'District' as item_type
    FROM Area2District
    UNION ALL
    SELECT area_id, ward_id as item_id, 'Ward' as item_type
    FROM Area2Ward
) area_relations ON area_relations.area_id = a.id
LEFT JOIN C2LItem c2l ON c2l.id = area_relations.item_id
LEFT JOIN MOVOQRule2Area mov2a ON mov2a.area_id = a.id
LEFT JOIN MOVOQRule mov ON mov.id = mov2a.mOVOQRule_id
LEFT JOIN PODConfig2Area pod2a ON pod2a.area_id = a.id
LEFT JOIN PODConfig pod ON pod.id = pod2a.pODConfig_id
LEFT JOIN PartialDelivery2Area pdc2a ON pdc2a.area_id = a.id
LEFT JOIN PartialDeliveryConfig pdc ON pdc.id = pdc2a.partialDeliveryConfig_id
GROUP BY a.id, a.code, a.name, a.areaType; Bảng  MOVOQRuleMapping SELECT
    movm.id,
    CASE
        WHEN movm.movoqRule_id IS NULL AND mov.name IS NULL THEN NULL
        ELSE CONCAT(IFNULL(movm.movoqRule_id, ''), '-', IFNULL(mov.name, ''))
    END as mov,
    CASE
        WHEN movm.seller_id IS NULL AND s.name IS NULL THEN NULL
        ELSE CONCAT(IFNULL(movm.seller_id, ''), '-', IFNULL(s.name, ''))
    END as seller,
    CASE
        WHEN movm.sellerGroup_id IS NULL AND sg.name IS NULL THEN NULL
        ELSE CONCAT(IFNULL(movm.sellerGroup_id, ''), '-', IFNULL(sg.name, ''))
    END as sellerGroup,
    CASE
        WHEN movm.brand_id IS NULL AND b.name IS NULL THEN NULL
        ELSE CONCAT(IFNULL(movm.brand_id, ''), '-', IFNULL(b.name, ''))
    END as brand,
    CASE
        WHEN movm.displayCategory_id IS NULL AND dc.name IS NULL THEN NULL
        ELSE CONCAT(IFNULL(movm.displayCategory_id, ''), '-', IFNULL(dc.name, ''))
    END as displayCategory,
    CASE
        WHEN a.code IS NULL AND a.name IS NULL THEN NULL
        ELSE CONCAT(IFNULL(a.code, ''), '-', IFNULL(a.name, ''))
    END as area,
    CASE
        WHEN movm.includeCustomerGroup_id IS NULL AND icg.name IS NULL THEN NULL
        ELSE CONCAT(IFNULL(movm.includeCustomerGroup_id, ''), '-', IFNULL(icg.name, ''))
    END as includeCustomerGroup,
    CASE
        WHEN movm.excludeCustomerGroup_id IS NULL AND ecg.name IS NULL THEN NULL
        ELSE CONCAT(IFNULL(movm.excludeCustomerGroup_id, ''), '-', IFNULL(ecg.name, ''))
    END as excludeCustomerGroup
FROM
    MOVOQRuleMapping movm
    LEFT JOIN MOVOQRule mov ON mov.id = movm.mOVOQRule_id
    LEFT JOIN Seller s ON s.id = movm.seller_id
    LEFT JOIN SellerGroup sg ON sg.id = movm.sellerGroup_id
    LEFT JOIN Brand b ON b.id = movm.brand_id
    LEFT JOIN DisplayCategory dc ON dc.id = movm.displayCategory_id
    LEFT JOIN Area a ON a.id = movm.area_id
    LEFT JOIN IncludeCustomerGroup icg ON icg.id = movm.includeCustomerGroup_id
    LEFT JOIN ExcludeCustomerGroup ecg ON ecg.id = movm.excludeCustomerGroup_id Bảng  ShippingAddress  (không có query đặc biệt, cứ select * ra thôi ạ) Em cảm ơn!</t>
  </si>
  <si>
    <t>Update dữ liệu bảng ShippingAddress B2B OMS</t>
  </si>
  <si>
    <t>2025-08-23T12:35:47.982+0700</t>
  </si>
  <si>
    <t>2025-08-24T04:45:46.709+0700</t>
  </si>
  <si>
    <t>Dear các anh DBA Nhờ các anh update dữ liệu giúp team B2B OMS phục vụ cho việc chuyển đổi DVHC 2025 ạ. Thời gian thực hiện:  Sau khi deploy B2B OMS ,  dự kiến 10h tối 23/8/2025. Sau khi đã xong ticket   Yêu cầu Backup dữ liệu phục vụ deploy DVHC 2025 B2B OMS - Database Service Desk - Jira Service Management   VÀ DEPLOY DONE. Thông tin DB: instanceIP: 172.31.4.113
dbname: b2b_oms_prod Update theo thứ tự giúp em ạ Chạy file sql từ 01 đến 04 Select và backup theo SQL sau: SELECT * FROM ShippingAddress WHERE prmISOCodeDistrict IS NULL Chạy file sql 05</t>
  </si>
  <si>
    <t>2025-08-23T12:33:09.070+0700</t>
  </si>
  <si>
    <t>2025-08-24T01:46:10.588+0700</t>
  </si>
  <si>
    <t>Dear anh Dương, Nhờ anh hỗ trợ team chạy câu lệnh SQL với các thông tin dưới đây ạ Thời gian thực hiên: 23h ngày 23/08/2025 Project: vincart-prod
IP: 172.31.1.41
DB: booking_transportation Backup bảng:  saved_places Chạy SQL: DELETE FROM `saved_places` where type = 'SAVED_BY_USER'; Em cảm ơn anh ạ</t>
  </si>
  <si>
    <t>[OMC][MTP] Clear dữ liệu tracking tháng 06/2025</t>
  </si>
  <si>
    <t>2025-08-23T12:32:05.804+0700</t>
  </si>
  <si>
    <t>2025-08-24T01:39:57.724+0700</t>
  </si>
  <si>
    <t>Dear anh  @Trần Trương Dương  , nhờ anh thực hiện giúp em script sau: -- OMC
ALTER TABLE omc_mtp_tracking_events.mtp_tracking_events_omc DROP PARTITION p20250601;
ALTER TABLE omc_mtp_tracking_events.mtp_tracking_events_omc DROP PARTITION p20250602;
ALTER TABLE omc_mtp_tracking_events.mtp_tracking_events_context_omc DROP PARTITION p20250601;
ALTER TABLE omc_mtp_tracking_events.mtp_tracking_events_context_omc DROP PARTITION p20250602;
ALTER TABLE omc_mtp_tracking_events.mtp_tracking_event_sessions DROP PARTITION p2025_06;
ALTER TABLE omc_mtp_martech_activation.mtp_ads_events DROP PARTITION p2025_06;
ALTER TABLE omc_mtp_martech_activation.mtp_push_events DROP PARTITION p2025_06;
ALTER TABLE omc_mtp_martech_activation.mtp_tracking_email_events DROP PARTITION p2025_06;
ALTER TABLE omc_mtp_martech_activation.mtp_tracking_email_notifications DROP PARTITION p2025_06;
ALTER TABLE omc_mtp_martech_activation.mtp_tracking_fcm_messages DROP PARTITION p2025_06;
ALTER TABLE omc_mtp_martech_activation.mtp_tracking_push_notifications DROP PARTITION p2025_06;
-- OMRE
ALTER TABLE omre_mtp_tracking_events.mtp_tracking_events_omre drop partition p20250601;
ALTER TABLE omre_mtp_tracking_events.mtp_tracking_events_omre drop partition p20250602;
ALTER TABLE omre_mtp_tracking_events.mtp_tracking_events_context_omre DROP PARTITION p20250601;
ALTER TABLE omre_mtp_tracking_events.mtp_tracking_events_context_omre DROP PARTITION p20250602; Best regards Dinh Quang Nguyen</t>
  </si>
  <si>
    <t>[PROD] Kéo dữ liệu về ODS cho dự án OMD Aftersale Campaign</t>
  </si>
  <si>
    <t>2025-08-23T12:29:38.245+0700</t>
  </si>
  <si>
    <t>2025-08-24T02:36:46.968+0700</t>
  </si>
  <si>
    <t>Nhờ team kéo dữ liệu về ODS cho dự án OMD Aftersale Campaign để xây dựng service tính toán cho hệ thống : User cần phân quyền :  omd_metrics_platform Thời gian chạy :  Sau khi lên vụ Tối 23/08 B2B core deploy Release 157 và thay đổi ĐVHC mới Database :   omd_vinid_b2b_platform_prod_b2b_commerce_b2b_oms_prod Tạo index :  CREATE INDEX idx_shipping_saleorder_prov_dist
    ON ShippingAddress (saleOrderId, prmISOCodeProvince, prmISOCodeDistrict); Database :  omd_vinid_b2b_platform_prod_b2b_commerce_b2b_promotion_prod Table :  kéo dữ liệu cho các bảng :  Province District Ward Tạo index :  CREATE INDEX idx_province_code
    ON Province (isoCode);
CREATE INDEX idx_district_code
    ON District (isoCode);
CREATE INDEX idx_ward_code
    ON Ward (isoCode);</t>
  </si>
  <si>
    <t>Cập nhật thông tin Đơn vị hành chính 3 bảng Province/ District/ Ward cho hệ thống WMS</t>
  </si>
  <si>
    <t>2025-08-23T12:27:33.680+0700</t>
  </si>
  <si>
    <t>2025-08-24T01:37:42.953+0700</t>
  </si>
  <si>
    <t>Để cập nhật thông tin ĐVHC mới cho 3 bảng Province/ District/ Ward cho hệ thống WMS , nhờ team DBA hỗ trợ cập nhật giá trị theo thông tin dưới đây. Project : vinid-b2b-platform-prod Instance/IP : main (read-write): 172.31.4.59 Port : 3306 Database : omd_wms_core Cập nhật theo thứ tự sau : Province &gt; District &gt; Ward Thời gian mong muốn tối ngày 23/8/2025</t>
  </si>
  <si>
    <t>[MTP][Prod] Request support MTP golive 23/08</t>
  </si>
  <si>
    <t>2025-08-23T12:24:20.469+0700</t>
  </si>
  <si>
    <t>2025-08-24T01:47:35.678+0700</t>
  </si>
  <si>
    <t>Dear anh, Team MTP có golive lúc 21h ngày 23/08/2025. Nhờ DBA support golive cùng team, và thực hiện chạy các script sau: Migrate data MySQL sang Postgres (chạy ban ngày) MySQL IP:  172.31.1.21:3306 . MySQL DB:  martech_campaign_prod Postgres IP:  172.31.1.21:3306 . Postgres DB:  mtp_campaign_management Backup các bảng sau ở db Postgres: mtp_campaign_campaign mtp_campaign_campaign_content Export result của 4 script sau từ MySQL ra định dạng CSV và gửi cho dev. Format csv: header: true escape character: true quote character: “ select * from campaign where channel = 'INAPP'; select cc.campaign_id, cc.content_id, 'vi' as language, cc.created_at, cc.updated_at
FROM campaign_content cc 
LEFT JOIN campaign c ON cc.campaign_id = c.id
WHERE c.channel = 'INAPP' select * from campaign_rule; select * from campaign_rule_event; Dev sẽ gửi lại DBA script migration. Nhờ DBA chạy script cho Postgres</t>
  </si>
  <si>
    <t>Truy vấn dữ liệu prod để check trước khi thực hiện reindex elastic</t>
  </si>
  <si>
    <t>2025-08-23T11:47:26.593+0700</t>
  </si>
  <si>
    <t>2025-08-23T11:56:01.576+0700</t>
  </si>
  <si>
    <t>Nhờ a query và export data giúp e nếu có ạ. E cảm ơn Thông tin DB: instanceIP: 172.31.4.113
dbname: b2b_oms_prod SELECT so.id , so.code, COUNT(sa.id) AS shipping_count
FROM SaleOrder so
LEFT JOIN ShippingAddress sa ON sa.saleOrderId = so.id
WHERE so.status NOT IN ('WAITING_CHECKOUT', 'CANCEL_CHECKOUT') 
GROUP BY so.id, so.code
HAVING shipping_count &gt; 1;</t>
  </si>
  <si>
    <t>Hỗ trợ tạo dữ liệu mở mới kho MES_2D_029 - NPP Yến Thùy</t>
  </si>
  <si>
    <t>2025-08-23T11:29:54.702+0700</t>
  </si>
  <si>
    <t>2025-08-24T02:45:00.544+0700</t>
  </si>
  <si>
    <t>Hi DBA team,  Hiện tại nghiệp vụ có nhu cầu mở mới kho MES_2D_029 - NPP Yến Thùy,  nhờ team DBA hỗ trợ cập nhật giá trị theo thông tin dưới đây   Cụm WMS Project : vinid-b2b-platform-prod Instance/IP : main (read-write): 172.31.4.59 Port : 3306 Database : omd_wms_core Script : file  omd_wms_core_2d_029.sql  trong file đính kèm Cum WES Project : vinid-b2b-platform-prod Instance/IP : main (read-write): 172.31.1.143 Port : 3306 Database : wes_master Script : file  wes_master_2d_029.sql  trong file đính kèm Câu query đánh giá là có thể ảnh hưởng đến vận hành hệ thống nên mong muốn chạy vào thời gian vận hành thấp điểm (từ 22h-2h sáng).</t>
  </si>
  <si>
    <t>[ML][Prod] Request support golive Merchant Loyalty ngày 23/08</t>
  </si>
  <si>
    <t>2025-08-23T11:00:57.843+0700</t>
  </si>
  <si>
    <t>2025-08-23T11:01:03.018+0700</t>
  </si>
  <si>
    <t>Dear anh, Bên em có CR golive Merchant Loyalty, dự kiến golive lúc 10h sáng ngày 23/08. Nhờ anh chạy script, và support team lúc golive ạ: DB:  omc-mtp-tidb.int.onemount.com:4000 Schema:  omc_merchant_loyalty CREATE TABLE master_data (
  id BIGINT PRIMARY KEY AUTO_INCREMENT,
  code varchar(50) NOT NULL,
  `value` json DEFAULT NULL,
  created_at timestamp NOT NULL DEFAULT CURRENT_TIMESTAMP,
  updated_at timestamp NULL DEFAULT NULL ON UPDATE CURRENT_TIMESTAMP,
  UNIQUE KEY `idx_unique_code` (code)
);
CREATE TABLE top_up_transaction (
    id BIGINT PRIMARY KEY AUTO_INCREMENT,
    amount BIGINT NOT NULL,
    transaction_id VARCHAR(50) NOT NULL,
    note TEXT,
    updated_by VARCHAR(50),
    created_at TIMESTAMP DEFAULT CURRENT_TIMESTAMP,
    updated_at TIMESTAMP DEFAULT CURRENT_TIMESTAMP ON UPDATE CURRENT_TIMESTAMP
);
CREATE TABLE history_log (
    id BIGINT PRIMARY KEY AUTO_INCREMENT,
    action_type VARCHAR(50) NOT NULL,
    actor VARCHAR(50) NOT NULL,
    action_time TIMESTAMP NOT NULL DEFAULT CURRENT_TIMESTAMP,
    before_state JSON NULL,
    after_state JSON NULL
);</t>
  </si>
  <si>
    <t>[TMS][Prod] Execute sql migration script for Golive TMS Sprint LOG S91 (23/08/2025)</t>
  </si>
  <si>
    <t>2025-08-23T10:41:22.647+0700</t>
  </si>
  <si>
    <t>2025-08-24T04:47:10.831+0700</t>
  </si>
  <si>
    <t>Nhờ team thực hiện migration sql cho các database sau: Thực hiện trước 22h ngày 23/08/2025 Database  bytm_prod  (Oracle instance on GCE oracle-primary (Private IP: 10.255.24.170) (see attachments) (theo thứ tự) tms_S91_oracle.sql</t>
  </si>
  <si>
    <t>[Non-Prod] Tạo mới bảng view trên ODS cho dự án OMD Aftersale Campaign</t>
  </si>
  <si>
    <t>2025-08-23T09:55:58.496+0700</t>
  </si>
  <si>
    <t>2025-08-23T10:11:48.330+0700</t>
  </si>
  <si>
    <t>Hi aanh, Anh tạo giúp em bảng view lấy giá trị POD theo shipment với ạ : Database :  omd_vinid_app_common_dev_main_mysql_8_omd_b2b_custom_oms_qc User cần phân quyền :  omd_metrics_platform 1 : Bảng  shipment_pod_custom Query : CREATE OR REPLACE VIEW shipment_pod_custom (shipment_id, amount) AS
SELECT spd.shipment_id AS shipment_id, pt.amount AS amount
FROM ShipmentPaymentDetail AS spd
JOIN PaymentTransaction AS pt 
  ON spd.paymentTransaction_id = pt.id
WHERE pt.isPOD = TRUE
  AND pt.transactionStatus = 'COMPLETED'; 2 Bảng  saleorder_custom Query : CREATE OR REPLACE VIEW saleorder_custom (code, totalPOD) AS
SELECT so.code AS code, SUM(pt.amount) AS totalPOD
FROM SaleOrder AS so
JOIN PaymentTransaction AS pt
  ON pt.saleOrder_id = so.id
WHERE so.status = 'CLOSED'
  AND pt.transactionStatus = 'COMPLETED'
  AND pt.isPOD = TRUE
GROUP BY so.code;</t>
  </si>
  <si>
    <t>[OMC][Loyalty MFT] VCM - Bổ sung index cho bảng ticket</t>
  </si>
  <si>
    <t>2025-08-23T09:24:33.247+0700</t>
  </si>
  <si>
    <t>2025-08-23T22:52:53.053+0700</t>
  </si>
  <si>
    <t>Hi Team, Theo kế hoạch release dự án   , cần bổ sung thêm index cho bảng ticket của hệ thống One Voucher, nhờ team hỗ trợ giúp ạ. Thông tin như bên dươis Thông tin database - GCP project  vinid-loyalty-prod
- Instance name : onevoucher
- Instance IP : 172.31.4.126
- Database : onevc_vsm_prod Script ALTER TABLE onevc_vsm_prod.ticket ADD INDEX idx_ticket_business_sale_stt(deleted, business_code, sale_code, ticket_status), ALGORITHM=INPLACE, LOCK=NONE; Thanks</t>
  </si>
  <si>
    <t>[ODS][MTP] Request user mới để query report Merchant Loyalty</t>
  </si>
  <si>
    <t>2025-08-22T18:20:27.175+0700</t>
  </si>
  <si>
    <t>2025-08-23T10:29:00.935+0700</t>
  </si>
  <si>
    <t>Hi anh, 1. Nhờ anh tạo giúp em user trên ODS theo thông tin sau : DB:  tidb.int.onemount.com:4000 User:  omc_merchant_loyalty  (request mới) Cấp quyền  READ  cho user vào những bảng sau: Schema:  omc_merchant_loyalty request merchant campaign Schema:  data_platform mvp_discount_transaction mvp_voucher_issued_serials mvp_voucher_ticket 2. Tạo thêm các index sau: CREATE INDEX IF NOT EXISTS idx_ticket_created_status_code ON data_platform.mvp_voucher_ticket 
(merchant_voucher_code, ticket_status);
CREATE INDEX IF NOT EXISTS idx_voucher_issues_vcode_created_scode ON data_platform.mvp_voucher_issued_serials
(voucher_code);
CREATE INDEX IF NOT EXISTS idx_dm_voucher_code_merchant_status ON data_platform.mvp_discount_transaction 
(voucher_code, campaign_merchant_code, status);</t>
  </si>
  <si>
    <t>[PS2][Gami] Xử lý issue campaign STICKY_AUG  cho TCB</t>
  </si>
  <si>
    <t>2025-08-22T17:19:00.323+0700</t>
  </si>
  <si>
    <t>2025-08-23T09:14:59.703+0700</t>
  </si>
  <si>
    <t>Khắc phục issue theo các step sau: Lấy thông tin campaign hiện có trên production Host:  172.31.4.75 Db:  promo_gamezone Query: SELECT * FROM `campaigns` WHERE `code` = 'STICKY_AUG'; Thực hiện đổi rule mới ở extra config bằng rule mới đúng Host:  172.31.4.75 Db:  promo_gamezone Query: UPDATE `campaigns` SET `config`='xxxxx' WHERE `code` = 'STICKY_AUG'; Thực hiện đổi tất cả tiến trình của challenge từ rule cũ sang rule mới Host:  172.31.4.75 Db:  promo_quest Query: UPDATE `campaign_values` SET `rule_id`=248 WHERE campaign_id = 56 AND mission_id = 'Mission_STICKY_QRTRANSFER_AUG_4@13c957c4-a96f-43e2-850f-95ae3ad183d1'; 
UPDATE `campaign_values` SET `rule_id`=248 WHERE campaign_id = 56 AND mission_id = 'Mission_STICKY_QRTRANSFER_AUG_4@66f0f227-b4ec-482d-b4da-2aa2f4400305'; Thực hiện xóa cache redis phục vụ logic challenge Theo yêu cầu mail vận hành đính kèm Nhờ anh  @Lê Mạnh Quân   @Đỗ Viết Sơn  approve giúp em ticket</t>
  </si>
  <si>
    <t>[OM][NON-PROD] Tạo user và database cho OM website CMS</t>
  </si>
  <si>
    <t>2025-08-22T16:56:37.766+0700</t>
  </si>
  <si>
    <t>2025-08-22T17:17:00.799+0700</t>
  </si>
  <si>
    <t>nhờ a  @Trần Trương Dương   tạo giúp e user và database trong instance  main-postgres  ạ user:  om_website_uat_user DB name:  om-website-uat</t>
  </si>
  <si>
    <t>Cài đặt và cấu hình event sender cho đội dev về tracking b1 client</t>
  </si>
  <si>
    <t>2025-08-22T15:16:44.960+0700</t>
  </si>
  <si>
    <t>2025-09-03T08:48:15.493+0700</t>
  </si>
  <si>
    <t>Create vm jumb to connect database non-sap</t>
  </si>
  <si>
    <t>2025-08-22T15:15:24.413+0700</t>
  </si>
  <si>
    <t>2025-09-08T02:20:15.784+0700</t>
  </si>
  <si>
    <t>Tạo 1 database jump host cho team dba sẽ kết nối qua PAM</t>
  </si>
  <si>
    <t>Create ticket mở rule connection PMM with database non-sap</t>
  </si>
  <si>
    <t>2025-08-22T15:14:51.662+0700</t>
  </si>
  <si>
    <t>2025-08-22T15:15:28.575+0700</t>
  </si>
  <si>
    <t>Reset password user SYSTEM of MAS</t>
  </si>
  <si>
    <t>2025-08-22T15:12:50.820+0700</t>
  </si>
  <si>
    <t>2025-09-03T08:48:17.856+0700</t>
  </si>
  <si>
    <t>[DBA] hỗ trợ hệ thống sap b1 MAS</t>
  </si>
  <si>
    <t>2025-08-22T15:12:16.241+0700</t>
  </si>
  <si>
    <t>2025-09-03T08:48:19.908+0700</t>
  </si>
  <si>
    <t>B1, Database, MAG, SAP</t>
  </si>
  <si>
    <t>Task hỗ trợ dự án SAP</t>
  </si>
  <si>
    <t xml:space="preserve">Create index database CALLCENTER </t>
  </si>
  <si>
    <t>2025-08-22T15:11:13.003+0700</t>
  </si>
  <si>
    <t>2025-08-22T15:13:39.201+0700</t>
  </si>
  <si>
    <t>Hỗ trợ migrate data email của biostar system từ masterisehomes.com sang masteriseproperty.com</t>
  </si>
  <si>
    <t>2025-08-22T15:07:54.554+0700</t>
  </si>
  <si>
    <t>2025-08-22T15:10:09.346+0700</t>
  </si>
  <si>
    <t>Hỗ trợ migrate data email của biostar system từ  masterisehomes.com  sang  masteriseproperty.com</t>
  </si>
  <si>
    <t>Hỗ trợ migrate data email của biostar system từ masterisehomes.com sang masterisegroup.com</t>
  </si>
  <si>
    <t>2025-08-22T15:06:53.546+0700</t>
  </si>
  <si>
    <t>2025-08-22T15:10:05.182+0700</t>
  </si>
  <si>
    <t>Hỗ trợ migrate data email của biostar system từ  masterisehomes.com  sang  masterisegroup.com</t>
  </si>
  <si>
    <t>[Merchant-OM] Hỗ trợ tạo dữ liệu merchant anonymous</t>
  </si>
  <si>
    <t>2025-08-22T14:34:33.264+0700</t>
  </si>
  <si>
    <t>2025-08-23T10:25:00.336+0700</t>
  </si>
  <si>
    <t>Dear team, Nhờ team chạy giúp lệnh để tạo 3,321 merchant anonymous ạ. Thông tin database https://console.cloud.google.com/sql/instances/main/overview?inv=1&amp;invt=Abqw_w&amp;project=vinid-merchant-prod DB_MYSQL_HOST=172.31.1.44
DB_MYSQL_DATABASE=merchant_service Câu lệnh File đính kèm</t>
  </si>
  <si>
    <t>Clear dữ liệu</t>
  </si>
  <si>
    <t>2025-08-21T17:31:38.531+0700</t>
  </si>
  <si>
    <t>2025-08-21T17:48:20.191+0700</t>
  </si>
  <si>
    <t>Nhờ DBA support clear data của bảng  OSSYS_BPM_EVENT_QUEUE  theo điều kiện sau OSSYS_BPM_EVENT_QUEUE.Espace_Id = 2484</t>
  </si>
  <si>
    <t>2025-08-21T15:09:05.417+0700</t>
  </si>
  <si>
    <t>2025-08-21T15:09:10.979+0700</t>
  </si>
  <si>
    <t>Hi các anh DBA,  Hiện tại có 2 device đang lệch trạng thái với bên tcb device. Em tạo ticket để update lại trạng thái, nhờ các anh process giúp em với ạ. Thanks các anh, Thông tin DB :  database saas_tpay:  pay-tidb.int.onemount.com:4000/saas_tpay UPDATE TCB_DEVICE SET device_status = 'ASSIGNED' WHERE device_serial_number IN ('38250321901820', 'OM380000000062');
UPDATE SOUNDBOX_DEVICE_MAPPING
SET MERCHANT_CODE = NULL,
    TCB_TERMINAL_ID = NULL,
    TCB_MERCHANT_ID = NULL,
    TCB_STORE_ID = NULL,
    MC_VA_ACCOUNT = NULL,
    LINK_DEVICE_AT = NULL
WHERE ID IN ('93329', '92848');
UPDATE SOUNDBOX_MERCHANT SET `STATUS` = 'DISCONNECTED' WHERE MERCHANT_CODE = 'MA_0a23f6c90b0b419fa'; Thanks mn,</t>
  </si>
  <si>
    <t>Hỗ trợ add index cho DB</t>
  </si>
  <si>
    <t>2025-08-21T14:34:27.314+0700</t>
  </si>
  <si>
    <t>2025-08-21T14:58:32.696+0700</t>
  </si>
  <si>
    <t>Nhờ DBA team support add các index sau cho DB  onemg-outsystems-np:asia-east1:ms-sql-dev-main – Create_Statement CREATE INDEX [IX_ossys_Espace_IS_ACTIVE_Is_Locked] ON [outsystems_DEV].[dbo].[ossys_Espace] ([IS_ACTIVE], [Is_Locked]) INCLUDE ([SS_KEY]) CREATE INDEX [IX_OSUSR_CZT_PROJECTPHASE_PROJECTID_ISACTIVE_PROJECTPHASETYPEID] ON [outsystems_DEV].[dbo].[OSUSR_CZT_PROJECTPHASE] ([PROJECTID], [ISACTIVE], [PROJECTPHASETYPEID]) INCLUDE ([NAME], [DESCRIPTION], [STARTDATE], [ENDDATE], [CREATEDBY], [CREATEDON], [UPDATEDBY], [UPDATEDON], [PHASETYPEID], [PROJECTPHASEPARENT], [PROJECTPHASEORIGIN], [PROJECTEDIT], [DEPRECATED_INTERNALORDER], [DEPRECATED_INTERNALORDERCODE], [EPICID], [DEPRECATED_PRODUCTID]) CREATE INDEX [IX_OSUSR_RQI_SPRINTMEMBERRESOURCE_PROJECTID_ISACTIVE_ACTUALRESOURCE] ON [outsystems_DEV].[dbo].[OSUSR_RQI_SPRINTMEMBERRESOURCE] ([PROJECTID], [ISACTIVE],[ACTUALRESOURCE]) INCLUDE ([SPRINTRESOURCEID]) CREATE INDEX [IX_OSSYS_APP_MOBILE_BUILD_APP_MOBILE_CONFIG_VERSIONNUMBER] ON [outsystems_DEV].[dbo].[OSSYS_APP_MOBILE_BUILD] ([APP_MOBILE_CONFIG], [VERSIONNUMBER]) INCLUDE ([STARTED_ON]) CREATE INDEX [IX_OSUSR_01O_EMPLOYEEDEPARTMENT_EMPLOYEEID] ON [outsystems_DEV].[dbo].[OSUSR_01O_EMPLOYEEDEPARTMENT] ([EMPLOYEEID]) CREATE INDEX [IX_ossys_User_TENANT_ID] ON [outsystems_DEV].[dbo].[ossys_User] ([TENANT_ID]) INCLUDE ([IS_ACTIVE], [CREATION_DATE], [LAST_LOGIN], [NAME], [MobilePhone], [EMAIL], [USERNAME], [PASSWORD], [EXTERNAL_ID])</t>
  </si>
  <si>
    <t>2025-08-21T10:07:23.343+0700</t>
  </si>
  <si>
    <t>2025-08-22T18:04:46.406+0700</t>
  </si>
  <si>
    <t>Hi anh, Nhờ anh CDC các bảng sau từ TiDB OMC sang ODS giúp em ạ: TiDB OMC: DB:  omc-mtp-tidb.int.onemount.com:4000 Schema:  omc_merchant_loyalty ODS:  DB:  tidb.int.onemount.com:4000 Schema:  omc_merchant_loyalty  (tạo mới) 1. Danh sách bảng cần CDC: request (PK:  id ) merchant (PK:  id ) campaign (PK:  id ) 3. Thêm index cho các bảng mới ở ODS: CREATE INDEX IF NOT EXISTS idx_req_mcode_process_vcodes_status ON omc_mtp_merchant_loyalty.request 
(merchant_code, process_status, voucher_code, merchant_voucher_code);</t>
  </si>
  <si>
    <t>2025-08-21T09:54:19.939+0700</t>
  </si>
  <si>
    <t>2025-08-21T11:16:47.933+0700</t>
  </si>
  <si>
    <t>Nhờ team chạy các lệnh UPDATE trên MySQL Production như sau ạ: URL:  mysql://omre-onehs-mysql-main.int.onemount.com:3306/onehs_dictionary Query: UPDATE PROPERTY_ADDRESSES
SET
    ward_code = '00190',
    ward_name = 'P. Ô Chợ Dừa',
    segment_code = 'D000013693',
    segment_name = 'Từ Hoàng Cầu đến Vũ Thạnh',
    district_code = '006',
    district_name = 'Q. Đống Đa',
    province_code = '01',
    province_name = 'TP. Hà Nội',
    address_number = '41',
    main_street_code = 'C000037608',
    main_street_name = 'Phố Hào Nam (thay thế phố Hào Nam cũ và phố Hào Nam mới)',
    street_level1_name = '',
    street_level2_name = '',
    street_level3_name = '',
    street_level4_name = '',
    street_level5_name = '',
    street_level6_name = '',
    street_level7_name = '',
    street_level8_name = '',
    street_level9_name = '',
    street_level10_name = '',
    full_address_with_dot = '41 Phố Hào Nam (thay thế phố Hào Nam cũ và phố Hào Nam mới)',
    full_address_no_accent_with_dot = '41 Pho Hao Nam (thay the pho Hao Nam cu va pho Hao Nam moi)'
WHERE
    id = 1736493;</t>
  </si>
  <si>
    <t>[OMD][Promotion][Non-PROD] Yều cầu kéo data lên ODS</t>
  </si>
  <si>
    <t>2025-08-20T17:26:41.306+0700</t>
  </si>
  <si>
    <t>2025-08-20T17:49:09.592+0700</t>
  </si>
  <si>
    <t>Hi Team, Nhờ team kéo các tables sau:  Campaign Country District Promotion PromotionArea PromotionRegion PromotionRegionAreaRel Province Ward Source: mysql://vinid-app-common-dev--main-mysql-8.cloudsql.int:3306/omd_b2b_custom_promotion_qc Target:  tidb.int.onemount.dev omd_vinid_app_common_dev_mm8_omd_b2b_custom_promotion_qc Thank Team!</t>
  </si>
  <si>
    <t>2025-08-20T16:38:24.836+0700</t>
  </si>
  <si>
    <t>2025-08-20T16:38:32.764+0700</t>
  </si>
  <si>
    <t>Dear a  @Nguyễn Văn Dũng  , nhờ a thực hiện update dữ liệu theo script sau giúp em ạ. CR :  Thông tin DB: TIDB_AUDIENCE_CONNECTION_URI: 'tidb.int.onemount.com:4000' TIDB_AUDIENCE_DATABASE: dp_omc_semantic_omc_bsi_cdp Script : DELETE FROM f_customer_label
WHERE label_code = 'mtp_custom_vinid_balance'; Và file script được đính kèm dưới comment. Thanks a.</t>
  </si>
  <si>
    <t>[PROD]-[SOUNDBOX] Tạo tài khoản cho đối tác RinLink cấu hình Device Management</t>
  </si>
  <si>
    <t>2025-08-20T16:14:53.966+0700</t>
  </si>
  <si>
    <t>2025-08-20T16:15:14.451+0700</t>
  </si>
  <si>
    <t>Dear các anh, Nhờ các anh chạy giúp em câu  query bên dưới trong hôm nay  để tạo user hỗ trợ đối tác kết nối MQTT trên production thông database: jdbc:mysql://pay-tidb.int.onemount.com:4000/vinpay_soundbox_mqtt_user thông tin SQL chạy INSERT INTO vinpay_soundbox_mqtt_user.mqtt_acl
(ipaddress, username, clientid, `action`, permission, topic)
VALUES('', '2506060002', '', 'all', 'allow', 'ota/LLZN/2506060002');
INSERT INTO vinpay_soundbox_mqtt_user.mqtt_acl
(ipaddress, username, clientid, `action`, permission, topic)
VALUES('', '2506060002', '', 'all', 'allow', 'ota/LLZN/2506060002/pubmsg');
INSERT INTO vinpay_soundbox_mqtt_user.mqtt_user
(username, password_hash, salt, is_superuser, created)
VALUES('2506060002', '$2a$10$HzhWMzU5MHSVaOorTwEFt.KWeTJj9IeM8Y5QVHWsh9m2EfQox.IdO', NULL, 0, '2025-08-20 15:34:41');
INSERT INTO vinpay_soundbox_mqtt_user.mqtt_user
(username, password_hash, salt, is_superuser, created)
VALUES('2506160007', '$2a$10$i6uMXwaEXL/Z6lbL6Dz37eXm6G3O19FXb0bIiPYdVuRWEGBXVm1k6', NULL, 0, '2025-08-20 15:34:41');
INSERT INTO vinpay_soundbox_mqtt_user.mqtt_acl
(ipaddress, username, clientid, `action`, permission, topic)
VALUES('', '2506160007', '', 'all', 'allow', 'ota/LLZN/2506160007');
INSERT INTO vinpay_soundbox_mqtt_user.mqtt_acl
(ipaddress, username, clientid, `action`, permission, topic)
VALUES('', '2506160007', '', 'all', 'allow', 'ota/LLZN/2506160007/pubmsg');</t>
  </si>
  <si>
    <t>[TiDB][Non PROD][CDP] Kéo dữ liệu từ bảng mtp_tracking_events_context_omre và mtp_tracking_events_omre</t>
  </si>
  <si>
    <t>2025-08-20T11:01:33.456+0700</t>
  </si>
  <si>
    <t>2025-08-20T11:02:23.194+0700</t>
  </si>
  <si>
    <t>Dear các anh. Dự án CDP em đang có nhu cầu kéo bảng từ TiDB Non PROD phục vụ build model profile CDP. Thông tin các bảng bao gồm: Host+Port: tidb.int.onemount.dev:4000 Tên bảng:  + mtp_tracking_events_omre + mtp_tracking_events_context_omre Mong các anh approve và hỗ trợ xử lý ạ. Em cảm ơn.</t>
  </si>
  <si>
    <t>[PRD] Phân quyền truy cập database soundbox từ Dremio</t>
  </si>
  <si>
    <t>2025-08-20T10:26:44.061+0700</t>
  </si>
  <si>
    <t>2025-08-20T10:26:51.658+0700</t>
  </si>
  <si>
    <t>Dear anh  @Nguyễn Văn Dũng , Phục vụ xây dựng pipeline export dữ liệu soundbox hằng ngày.  Nhờ anh phân quyền giúp account  khoa.vi@onemount.com  truy cập vào database:  http://tidb.int.onemount.com:4000/saas_tpay  .  Bảng:  SOUNDBOX_NOTIFICATION . Thời gian: 15 ngày Em cảm ơn ạ. cc chị  @Lê Vũ Kim Khánh</t>
  </si>
  <si>
    <t>2025-08-20T09:03:38.747+0700</t>
  </si>
  <si>
    <t>2025-08-20T09:03:49.002+0700</t>
  </si>
  <si>
    <t>Nhờ các anh chạy giúp em script sau ngay sau khi được approval  Thông tin DB:  ods :  http://tidb.int.onemount.com:4000/saas_tpay Export  bản .xlsx thời gian có ms  gửi mail cho PO  @Lê Vũ Kim Khánh  và  @Nguyễn Minh Ngọc   Export ngày 16 - 17 WITH latest AS (
    SELECT transaction_id,
           device_serial_number,
           MAX(updated_at) AS max_updated_at
    FROM SOUNDBOX_NOTIFICATION
    WHERE connector_received_at &gt;= '2025-08-16 00:00:00'
      AND connector_received_at &lt;  '2025-08-18 00:00:00'
      AND transaction_id NOT LIKE 'TEST%'
    GROUP BY transaction_id, device_serial_number
)
SELECT s.transaction_id          AS `Số FT`,
       s.device_serial_number    AS `Mã số thiết bị`,
       s.transaction_date_ts     AS `Ngày giao dịch`,
       s.qr_store                AS `Mã QR cửa hàng`,
       s.status                  AS `Trạng thái thông báo`,
       s.error_message           AS `Lý do noti thất bại`,
       s.connector_received_at   AS `Thời gian OM nhận thông báo`,
       s.sent_at                 AS `Thời gian OM gửi thông báo tới MQTT`,
       s.received_at             AS `Thời gian thiết bị phản hồi thông báo`
FROM SOUNDBOX_NOTIFICATION s
JOIN latest l
  ON s.transaction_id = l.transaction_id
 AND s.device_serial_number = l.device_serial_number
 AND s.updated_at = l.max_updated_at
ORDER BY s.created_at DESC; Export ngày 18 WITH latest AS (
    SELECT transaction_id,
           device_serial_number,
           MAX(updated_at) AS max_updated_at
    FROM SOUNDBOX_NOTIFICATION
    WHERE connector_received_at &gt;= '2025-08-18 00:00:00'
      AND connector_received_at &lt;  '2025-08-19 00:00:00'
      AND transaction_id NOT LIKE 'TEST%'
    GROUP BY transaction_id, device_serial_number
)
SELECT s.transaction_id          AS `Số FT`,
       s.device_serial_number    AS `Mã số thiết bị`,
       s.transaction_date_ts     AS `Ngày giao dịch`,
       s.qr_store                AS `Mã QR cửa hàng`,
       s.status                  AS `Trạng thái thông báo`,
       s.error_message           AS `Lý do noti thất bại`,
       s.connector_received_at   AS `Thời gian OM nhận thông báo`,
       s.sent_at                 AS `Thời gian OM gửi thông báo tới MQTT`,
       s.received_at             AS `Thời gian thiết bị phản hồi thông báo`
FROM SOUNDBOX_NOTIFICATION s
JOIN latest l
  ON s.transaction_id = l.transaction_id
 AND s.device_serial_number = l.device_serial_number
 AND s.updated_at = l.max_updated_at
ORDER BY s.created_at DESC;</t>
  </si>
  <si>
    <t>2025-08-19T16:10:55.000+0700</t>
  </si>
  <si>
    <t>2025-08-19T16:11:36.215+0700</t>
  </si>
  <si>
    <t>Dear các anh, Nhờ các anh chạy giúp em câu  query bên dưới trong hôm nay  để tạo user hỗ trợ đối tác kết nối MQTT trên production thông database: jdbc:mysql://pay-tidb.int.onemount.com:4000/vinpay_soundbox_mqtt_user thông tin SQL chạy INSERT INTO vinpay_soundbox_mqtt_user.mqtt_acl
(ipaddress, username, clientid, `action`, permission, topic)
VALUES('', 'Y66W08082500001', '', 'all', 'allow', 'ota/LLZN/Y66W08082500001');
INSERT INTO vinpay_soundbox_mqtt_user.mqtt_acl
(ipaddress, username, clientid, `action`, permission, topic)
VALUES('', 'Y66W08082500001', '', 'all', 'allow', 'ota/LLZN/Y66W08082500001/pubmsg');
INSERT INTO vinpay_soundbox_mqtt_user.mqtt_user
(username, password_hash, salt, is_superuser, created)
VALUES('Y66W08082500001', '$2a$10$V1OG6UEs756ySxgV5bfOCucvh5VRUEfVDrN7MDcfPE25yfJxU.Sly', NULL, 0, '2025-08-19 14:53:09');
INSERT INTO vinpay_soundbox_mqtt_user.mqtt_acl
(ipaddress, username, clientid, `action`, permission, topic)
VALUES('', 'Y66W_DM_CONN', '', 'all', 'allow', '/ota/#');
INSERT INTO vinpay_soundbox_mqtt_user.mqtt_acl
(ipaddress, username, clientid, `action`, permission, topic)
VALUES('', 'Y66W_DM_CONN', '', 'all', 'allow', 'ota/#');
INSERT INTO vinpay_soundbox_mqtt_user.mqtt_user
(username, password_hash, salt, is_superuser, created)
VALUES('Y66W_DM_CONN', '$2a$10$N9yKWJTSbHh1nWxGd3H6Quy4EYm/x.DbLwUIZb2a7r4UdNs1.4y6S', NULL, 0, '2025-08-19 14:59:56');</t>
  </si>
  <si>
    <t xml:space="preserve">V/v kéo omc_data.notifcation_system lên ODS môi trường non product </t>
  </si>
  <si>
    <t>2025-08-19T14:15:36.006+0700</t>
  </si>
  <si>
    <t>2025-08-21T11:29:04.235+0700</t>
  </si>
  <si>
    <t>Objective Đẩy dữ liệu lên ODS để team oneu product tạo noti bắn cho người dùng Requirements one-off dữ liệu lên mt non-product : theo file excel gửi lên kéo dữ liệu lên mt product theo frequency Conditions And fields Frequency: 3h sáng hàng ngày Index: user_id, scheduling_day, scheduling_from_hour, scheduling_to_hour Định dạng theo file:  Kéo dữ liệu từ GCS về ODS: nhờ  @Lê Minh Tú  hỗ trợ Dữ liệu: Table name: notification_system_data_output Non product: file excel đi kèm link :  https://vinid-team.atlassian.net/browse/ODS-4?focusedCommentId=1784921&amp;atlOrigin=eyJpIjoiZTU2NzUzYmI2NjEyNDBlMjk2MGM1YTIzNDFiZGQ1NjEiLCJwIjoicG9zdE9mZmljZUVtYWlsIn0</t>
  </si>
  <si>
    <t>[OMD] V/v support maintenance CloudSQL tháng 8/2025</t>
  </si>
  <si>
    <t>2025-08-19T12:43:36.277+0700</t>
  </si>
  <si>
    <t>2025-08-22T14:10:30.395+0700</t>
  </si>
  <si>
    <t xml:space="preserve">Hiện tại GCP có thông báo về lịch maintenance hạ tầng CloudSQL, kết hợp với lịch golive của team CNSP team SRE sẽ thực hiện maintenance cho các CloudSQL thuộc ES  OMD Nội dung thực hiện: Maintain CloudSQL instance của ES  OMD  định kỳ theo lịch của Google Danh sách instance OMD: Project Instance IP TO Time omd-pos-prod main-pos-integration 172.31.3.63 @Lê Huy Hùng 00:01 14/08/2025 oneretails-prod main 172.31.1.78 @Lê Huy Hùng 00:01 14/08/2025 omd-pos-prod omd-pos-commerce 172.31.1.6 @Lê Huy Hùng 00:01 14/08/2025 omd-pos-prod main-pos-integration 172.31.3.63 @Lê Huy Hùng 00:01 14/08/2025 vinid-merchant-prod merchant-tcb 172.31.4.108 @Đỗ Huy Hùng 00:01 19/08/2025 vinid-merchant-prod main 172.31.1.44 @Đỗ Huy Hùng 00:01 19/08/2025 vinid-b2b-platform-prod omd-cdp 172.31.3.11 @Chu Văn Châu 00:01 19/08/2025 onedc-tms-prod tms-mysql-01 172.31.4.129 @Hoàng Tấn Quân   @Nguyễn Hoàng Hiệp 00:01 19/08/2025 vinid-integration-prod main 172.31.1.126 @Former user 00:01 21/08/2025 vinid-b2b-platform-prod main-integration 172.31.1.143 @Lê Huy Hùng 00:01 21/08/2025 onemg-integration-platform-prd main 172.31.1.118 @Lê Huy Hùng 00:01 21/08/2025 vinid-b2b-platform-prod control-tower 172.31.4.48 @Lê Huy Hùng 00:01 21/08/2025 vinid-b2b-platform-prod main 172.31.4.59 @Lê Huy Hùng 00:01 21/08/2025 vinid-b2b-platform-prod b2b-commerce 172.31.4.113 @Lê Huy Hùng 00:01 21/08/2025 Impact: Đối với maintain CloudSQL khi thực hiện sẽ có downtime, mỗi instance dự kiến sẽ down tầm 5-7 phút. Các steps thực hiện: Insert danh sách instances vào  maintenance  tool của SRE Trigger maintenance Thông báo sau khi hoàn thành và cập nhật status vào file danh sách instances ở trên Báo dự án regression test. Ref: </t>
  </si>
  <si>
    <t>[OMRE][DP][Kafka][NonPROD][CDP] Hỗ trợ tạo kafka topic cho các bảng OMRE TiDB NonPROD</t>
  </si>
  <si>
    <t>2025-08-19T11:14:37.599+0700</t>
  </si>
  <si>
    <t>2025-08-20T11:45:43.797+0700</t>
  </si>
  <si>
    <t>Dear anh  @Trần Trương Dương  , Dự án CDP em đang có nhu cầu kéo bảng từ TiDB Non PROD phục vụ build model profile CDP.Nhờ anh tạo kafka topic cho các bảng sau Host DB Name Tables tidb.int.onemount.dev:4000 mtp_tracking_events mtp_tracking_events_omre mtp_tracking_events_context_omre Em cảm ơn ạ.</t>
  </si>
  <si>
    <t>[OMRE] V/v support maintenance CloudSQL tháng 8/2025</t>
  </si>
  <si>
    <t>2025-08-19T09:12:36.671+0700</t>
  </si>
  <si>
    <t>2025-08-19T09:13:07.622+0700</t>
  </si>
  <si>
    <t>onehs</t>
  </si>
  <si>
    <t>Hiện tại GCP có thông báo về lịch maintenance hạ tầng CloudSQL, team SRE sẽ thực hiện maintenance vào lúc  23h59 tối thứ 2 ngày 18 tháng 8 Nội dung thực hiện: Release plan chi tiết:  Danh sách instance OMRE: Project Instance IP onehs-prod secrets 172.31.4.25 onehs-prod migrate-camunda-from-main 172.31.4.146 onehs-prod main-1 172.31.4.83  </t>
  </si>
  <si>
    <t>[OMD][WMS] Hỗ trợ cập nhật dữ liệu trạng thái bản ghi Wave 16WV00001945 cho kho 8116</t>
  </si>
  <si>
    <t>2025-08-18T16:28:39.130+0700</t>
  </si>
  <si>
    <t>2025-08-18T17:08:02.379+0700</t>
  </si>
  <si>
    <t>Hi DBA team, Hiện tại có 1 bản ghi trong Database bị lỗi do hệ thống WMS không cập nhật được Wave và trạng thái/thông tin tương ứng, nhờ team DBA hỗ trợ cập nhật giá trị theo thông tin dưới đây. Project : vinid-b2b-platform-prod Instance/IP : main (read-write): 172.31.4.59 Port : 3306 Database : omd_wms_8116 Query update wave_order_header woh 
set woh.status = 'SHIPPED', rwh.report_wave_status = 'SHIPPED'
join report_wave_header rwh on rwh.original_id = woh.id
where woh.id = 1945; Câu query đánh giá là an toàn nên có thể thực hiện cập nhật bất kỳ lúc nào mà không ảnh hưởng đến vận hành hệ thống.</t>
  </si>
  <si>
    <t>2025-08-18T15:56:57.253+0700</t>
  </si>
  <si>
    <t>2025-08-18T15:57:05.179+0700</t>
  </si>
  <si>
    <t>Nhờ các anh chạy giúp em script sau ngay sau khi được approval  Thông tin DB:  ods :  http://tidb.int.onemount.com:4000/saas_tpay Export  bản .xlsx thời gian có ms  gửi mail cho PO  @Lê Vũ Kim Khánh  và  @Nguyễn Minh Ngọc   Export ngày 14 - 15   WITH st AS (SELECT *,
                   ROW_NUMBER() OVER (
                       PARTITION BY transaction_id, device_serial_number
                       ORDER BY updated_at DESC
                       ) AS rn
            FROM SOUNDBOX_NOTIFICATION
            WHERE transaction_id NOT LIKE 'TEST%'
              AND transaction_date_ts BETWEEN '2025-08-14 00:00:00' AND '2025-08-15 23:59:59')
SELECT st.transaction_id             as `Số FT`,
       st.device_serial_number       as  `Mã số thiết bị`,
       st.transaction_date_ts        as  `Ngày giao dịch`,
       st.qr_store                   AS `Mã QR cửa hàng`,
       st.status AS `Trạng thái thông báo`,
       st.error_message AS `Lý do noti thất bại`,
       st.connector_received_at      AS `Thời gian OM nhận thông báo`,
       st.sent_at                    AS `Thời gian OM gửi thông báo tới MQTT`,
       st.received_at                AS `Thời gian thiết bị phản hồi thông báo`
FROM st
WHERE rn = 1
  AND connector_received_at &gt;= '2025-08-14 00:00:00'
  and connector_received_at &lt; '2025-08-16 00:00:00'
ORDER BY created_at DESC; Export ngày 16 - 17 WITH st AS (SELECT *,
                   ROW_NUMBER() OVER (
                       PARTITION BY transaction_id, device_serial_number
                       ORDER BY updated_at DESC
                       ) AS rn
            FROM SOUNDBOX_NOTIFICATION
            WHERE transaction_id NOT LIKE 'TEST%'
              AND transaction_date_ts BETWEEN '2025-08-16 00:00:00' AND '2025-08-17 23:59:59')
SELECT st.transaction_id             as `Số FT`,
       st.device_serial_number       as  `Mã số thiết bị`,
       st.transaction_date_ts        as  `Ngày giao dịch`,
       st.qr_store                   AS `Mã QR cửa hàng`,
       st.status AS `Trạng thái thông báo`,
       st.error_message AS `Lý do noti thất bại`,
       st.connector_received_at      AS `Thời gian OM nhận thông báo`,
       st.sent_at                    AS `Thời gian OM gửi thông báo tới MQTT`,
       st.received_at                AS `Thời gian thiết bị phản hồi thông báo`
FROM st
WHERE rn = 1
  AND connector_received_at &gt;= '2025-08-16 00:00:00'
  and connector_received_at &lt; '2025-08-18 00:00:00'
ORDER BY created_at DESC;</t>
  </si>
  <si>
    <t>V/v kéo omc_data.notifcation_system lên ODS môi trường product</t>
  </si>
  <si>
    <t>2025-08-18T14:38:09.117+0700</t>
  </si>
  <si>
    <t>2025-08-21T11:37:31.089+0700</t>
  </si>
  <si>
    <t>Objective Đẩy dữ liệu lên ODS để team oneu product tạo noti bắn cho người dùng Requirements one-off dữ liệu lên mt non-product : theo file excel gửi lên kéo dữ liệu lên mt product theo frequency Conditions And fields Frequency: 3h sáng hàng ngày Index: user_id, scheduling_day, scheduling_from_hour, scheduling_to_hour Định dạng theo file:  Kéo dữ liệu từ GCS về ODS: nhờ  @Lê Minh Tú  hỗ trợ Dữ liệu: Table name: notification_system_data_output Target folder: Domaind của dev @Nguyễn Tá Lợi   gửi giúp e DB của product và non product để team ODS kéo nhé ạ Product: om-dremio-ctas-prod/omc_warehouse/omc_data/notification_system/data/output query SELECT * 
FROM "onemg-dp-prod-gcs"."om-dremio-ctas-prod"."omc_warehouse"."omc_data"."notification_system"."data"."output"</t>
  </si>
  <si>
    <t>2025-08-18T12:32:26.057+0700</t>
  </si>
  <si>
    <t>2025-08-18T12:32:35.726+0700</t>
  </si>
  <si>
    <t>Hỗ trợ xuất data report cho campaign Spin to Win theo yêu cầu của TCB Host:  172.31.4.75 Db:  promo_gamezone Query: SELECT DISTINCT(customer_id) FROM `transactions` WHERE campaign_id IN(30,34,35,36,37,39,40,41,42,44,45,48,49,50,51,52) AND `status` = 'SUCCESS';</t>
  </si>
  <si>
    <t>[DBA] hỗ trợ về cấu hình và cài đặt PMM cho hệ thống MH</t>
  </si>
  <si>
    <t>2025-08-18T09:49:51.394+0700</t>
  </si>
  <si>
    <t>2025-09-20T10:38:06.571+0700</t>
  </si>
  <si>
    <t>Hỗ trợ cấu hình và cài đặt hệ thống PMM cho MH để tiến hành monitor các hệ thống database non-sap</t>
  </si>
  <si>
    <t>[DBA] hỗ trợ database MAS</t>
  </si>
  <si>
    <t>2025-08-18T09:46:39.131+0700</t>
  </si>
  <si>
    <t>2025-08-25T12:38:02.403+0700</t>
  </si>
  <si>
    <t>B1, Database, MAG, MAS, MSSQL, MTR, SAP</t>
  </si>
  <si>
    <t>Tiến hành health chẹck hệ thống MAS và MTR thông qua hana cockpit, review MSSQL của FPT.</t>
  </si>
  <si>
    <t>[Saitama] Cấu hình, cập nhập database phục vụ cho release 17/08/2025</t>
  </si>
  <si>
    <t>2025-08-18T09:39:02.148+0700</t>
  </si>
  <si>
    <t>2025-08-18T09:39:10.640+0700</t>
  </si>
  <si>
    <t>Hi a  @Nguyễn Văn Dũng  nhờ a chạy script theo mô tả  dưới đây ở môi trường PRODUCTION theo thông tin dưới đây ạ: Thời gian chạy script: Vào lúc  23h59p ngày 17/08/2025 (0h00p ngày 18/08/2025)  - Khi team thông báo Thông tin database saas_tpay:  pay-tidb.int.onemount.com:4000/saas_tpay CR Ticket:    Script: create table TCB_DEVICE_STATE
(
    id                   bigint auto_increment primary key,
    service              varchar(32)                         null,
    vendor_code          varchar(32)                         null,
    device_model         varchar(32)                         null,
    device_serial_number varchar(64)                         not null,
    from_date            timestamp                           null,
    to_date              timestamp                           null,
    ip                   varchar(32)                         null,
    area                 varchar(256)                        null,
    device_state         varchar(8)                          null,
    created_at           timestamp default CURRENT_TIMESTAMP null,
    updated_at           timestamp default CURRENT_TIMESTAMP null
) AUTO_ID_CACHE=1;
create index TCB_DEVICE_STATE_DEVICE_SERIAL_NUMBER_INDEX on TCB_DEVICE_STATE (device_serial_number);
create index TCB_DEVICE_STATE_VENDOR_CODE_INDEX on TCB_DEVICE_STATE (vendor_code);
create index TCB_DEVICE_STATE_DEVICE_STATE_INDEX on TCB_DEVICE_STATE (device_state);
ALTER TABLE TCB_DEVICE
    ADD COLUMN LOCKED BOOLEAN DEFAULT FALSE,
    ADD COLUMN LOCKED_REASON_CODE CHAR(5),
    ADD COLUMN LOCKED_CAUSE_CODE VARCHAR(50);
ALTER TABLE TCB_DEVICE ADD INDEX (LOCKED),
    ADD INDEX (LOCKED_REASON_CODE),
    ADD INDEX (LOCKED_CAUSE_CODE)
;
ALTER TABLE TCB_DEVICE_HISTORY
    ADD COLUMN LOCKED BOOLEAN DEFAULT FALSE,
    ADD COLUMN LOCKED_REASON_CODE CHAR(5),
    ADD COLUMN LOCKED_CAUSE_CODE VARCHAR(50);
ALTER TABLE TCB_DEVICE_HISTORY ADD INDEX (LOCKED),
                       ADD INDEX (LOCKED_REASON_CODE),
                       ADD INDEX (LOCKED_CAUSE_CODE)
;
INSERT INTO SYSTEM_CONFIGURATION (SYSTEM_PARAM_CODE, SYSTEM_PARAM_NAME, SYSTEM_PARAM_VALUE, IS_ACTIVE)
VALUES ('SOUNDBOX_MQTT_CONFIG_TIME_RECEIVER_AT', 'SOUNDBOX_MQTT_CONFIG_TIME_RECEIVER_AT', '10', 1);
INSERT INTO SYSTEM_CONFIGURATION
    (SYSTEM_PARAM_CODE, SYSTEM_PARAM_NAME, SYSTEM_PARAM_VALUE, IS_ACTIVE, CREATED_BY, CREATED_DATE)
VALUES
    ('LOST_DEVICE_REASONS', 'LOST_DEVICE_REASONS', '[{"code":"L","name":"Thiết bị thất lạc","children":[{"code":"STOLEN","name":"Kẻ gian lấy cắp"},{"code":"LOST_BY_MERCHANT","name":"Merchant không nhớ để đâu"},{"code":"FOUND_MISSING_IN_INVENTORY","name":"Đơn vị phát hiện máy thất lạc trong lúc kiểm kê kho định kỳ"},{"code":"LOST_TO_THEFT_BY_UNIT","name":"Đơn vị làm thất lạc do bị kẻ gian lấy cắp"},{"code":"LOST_BY_SALES_PERSONNEL","name":"Nhân sự bán làm mất trong quá trình nhận bàn giao máy"},{"code":"OTHER","name":"Khác"}]},{"code":"O","name":"Khác"}]', 1, 'PB-26044', CURRENT_TIMESTAMP),
    ('UNLOCK_DEVICE_REASONS', 'UNLOCK_DEVICE_REASONS', '[{"code":"EF","name":"Nhân sự đã tìm lại thiết bị thất lạc"},{"code":"MF","name":"Merchant đã tìm lại thiết bị thất lạc"},{"code":"O","name":"Khác"}]', 1, 'PB-26044', CURRENT_TIMESTAMP),
    ('RECEIVING_CHANNELS', 'RECEIVING_CHANNELS', '[{"code":"CUSTOMER_REQUEST_AT_BRANCH","name":"KH yêu cầu tại CN"},{"code":"CUSTOMER_CALLED_RCC","name":"KH gọi lên RCC"},{"code":"OTHER","name":"Khác"}]', 1, 'PB-26044', CURRENT_TIMESTAMP)
;
INSERT INTO SYSTEM_CONFIGURATION (SYSTEM_PARAM_CODE, SYSTEM_PARAM_NAME, SYSTEM_PARAM_VALUE, IS_ACTIVE, CREATED_BY, CREATED_DATE)
    VALUE ('SOUNDBOX_NOTIFICATION_TIME_LIMIT', 'SOUNDBOX_NOTIFICATION_TIME_LIMIT', 600, 1, 'system', CURRENT_TIMESTAMP);</t>
  </si>
  <si>
    <t>[EzPay] [ALL_CHANNEL] - Lưu bổ sung thêm thông tin giao dịch, tối ưu performance api search 16/08/2025</t>
  </si>
  <si>
    <t>2025-08-18T09:37:49.893+0700</t>
  </si>
  <si>
    <t>2025-08-18T09:37:59.874+0700</t>
  </si>
  <si>
    <t>payment</t>
  </si>
  <si>
    <t xml:space="preserve">Hi anh Nhờ anh chạy các script sau giúp em trên: Prod  vào lúc  23h59 16/08/2025   ạ Thông tin database: Prod :  pay-tidb.int.onemount.com:4000/saas_tpay CR :   </t>
  </si>
  <si>
    <t>[VinIDPay] [PROD] [EZPAY] Script support mirage data branchCode ngày 13/08/2025</t>
  </si>
  <si>
    <t>2025-08-17T21:21:09.448+0700</t>
  </si>
  <si>
    <t>2025-08-17T23:58:15.667+0700</t>
  </si>
  <si>
    <t>Hi anh Nhờ anh chạy các script sau giúp em trên: PROD  vào lúc  ngay sau khi approve ạ Thông tin database: Prod :  pay-tidb.int.onemount.com:4000/saas_tpay</t>
  </si>
  <si>
    <t xml:space="preserve">[PROD][Booking] Update lại status của trip </t>
  </si>
  <si>
    <t>2025-08-16T13:28:49.361+0700</t>
  </si>
  <si>
    <t>2025-08-16T13:29:28.611+0700</t>
  </si>
  <si>
    <t>Dear team,  Hiện tại đang có issue khách hàng báo chuyến đi đã kết thúc thành công nhưng app vẫn báo đang trong chuyến nên không đặt được chuyến mới. https://chat.google.com/room/AAAARoj0WGQ/NQal7LN3B_c/NQal7LN3B_c?cls=10 Nguyên nhân là do bên GSM bắn thiếu event FINISHED chuyến nên không hoàn thành chuyến được. Nhờ team update giúp thông tin chuyến đi của users. Thông tin update: Instants:  https://console.cloud.google.com/sql/instances/main/overview?hl=en&amp;inv=1&amp;invt=Ab2uZw&amp;project=vincart-prod Database name: booking_transportation Query: update trips set status = "FINISHED"
where vinid_user_id = 20430854 and status = "JOURNEY" Em cảm ơn!</t>
  </si>
  <si>
    <t>2025-08-16T12:07:59.026+0700</t>
  </si>
  <si>
    <t>2025-08-19T09:11:11.615+0700</t>
  </si>
  <si>
    <t>Nhờ sếp chạy sql update giúp team bảng ShippingAddress để phục vụ test 1 phần đơn vị hành chính sắp tới deploy ạ jdbc:mysql://vinid-app-common-dev--main-mysql-8.cloudsql.int:3306/omd_b2b_custom_oms_qc File sql e gửi trong đính kèm. E cảm ơn</t>
  </si>
  <si>
    <t>Sao Mộc - Hỗ trợ revoke các user truy cập db RIMs</t>
  </si>
  <si>
    <t>2025-08-16T12:02:59.039+0700</t>
  </si>
  <si>
    <t>2025-08-16T13:08:57.842+0700</t>
  </si>
  <si>
    <t>Dear các ac, Hiện tại db RIMs đang có các user đã được cấp quyền từ trước nhưng giờ không còn phạm vi grant quyền nữa hoặc đã nghỉ việc. Nhờ team DBA hỗ trợ revoke các user đã cấp, chỉ giữ lại 3 user sau: giang.le3, linh.do3, kien.tran6 Tks team</t>
  </si>
  <si>
    <t xml:space="preserve">Export data bảng customer_tenant trong database ofs </t>
  </si>
  <si>
    <t>2025-08-16T11:59:59.501+0700</t>
  </si>
  <si>
    <t>2025-08-16T13:15:49.576+0700</t>
  </si>
  <si>
    <t>Hi a Dương, Hiện tại team OFS đang làm update đơn vị hành chính . bảng  customer_tenant chứa thông tin quản lú địa chỉ và số điện thoại của các nhà bán hàng tương ứng đang làm việc vói OMD. Vậy team nhờ anh export giúp em data trong bảng này dạng CSV để bên phía vận hành phối hợp update lại thông tin đìa chỉ tương ứng của các nhà bán hàng sang địa chỉ mới  nếu có thay đổi. project: vinid-b2b-platform-prod instance: main-integration Master IP:  172.31.1.143 Database: b2b_ofs</t>
  </si>
  <si>
    <t>[OMC][Flash Sale TCB] Hạ cấu hình các instance DB mysql/postgreSQL sau Flash Sale 16/08/2025</t>
  </si>
  <si>
    <t>2025-08-16T02:00:43.145+0700</t>
  </si>
  <si>
    <t>2025-08-16T02:02:55.644+0700</t>
  </si>
  <si>
    <t xml:space="preserve">Team DBA thực hiện hạ cấu hình các instance DB mysql/postgreSQL sau sự kiện Flash Sale 16/08/2025 Thời gian thực hiện: sau 1h 16/08/2025 Chi tiết như sau: https://console.cloud.google.com/sql/instances/main/overview?project=vincart-prod 172.31.1.41 Từ: 12 CPUs 32 GB RAM, innodb_buffer_pool_size	18874368000 Xuống: 8 vCPUs 24 GB RAM , innodb_buffer_pool_size  12884901888 https://console.cloud.google.com/sql/instances/ecom-medium-mysql/overview?project=vincart-prod 172.31.4.9 Giữ nguyên cấu hình: 4 vCPU 8GB RAM https://console.cloud.google.com/sql/instances/oneloyalty/overview?project=vinid-loyalty-prod 172.31.7.6 Từ: 8 CPUs	16 GB RAM , innodb_buffer_pool_size   10037418240 Xuống: 4 vCPU 8GB RAM , innodb_buffer_pool_size= 4294967296 https://console.cloud.google.com/sql/instances/onevoucher/overview?project=vinid-loyalty-prod 172.31.4.126 Từ: 8 CPUs	24 GB RAM , innodb_buffer_pool_size  12884901888 Xuống: 4 CPUs	16 GB RAM, innodb_buffer_pool_size		8589934592 https://console.cloud.google.com/sql/instances/voucher-distribution/overview?project=vinid-loyalty-prod 172.31.4.82 Từ: 8 CPUs	16 GB RAM , innodb_buffer_pool_size  10037418240 Xuống: 2 vCPU 8GB RAM , innodb_buffer_pool_size= 4294967283 https://console.cloud.google.com/sql/instances/postgres-01/overview?authuser=0&amp;project=vinid-service-platform-prod 172.31.7.11 Từ: 4 CPUs	16 GB RAM Xuống: 2 CPUs	8 GB RAM https://console.cloud.google.com/sql/instances/omc-authentication/overview?project=omc-base-platform-prod 172.31.3.40 Giữ nguyên cấu hình: 4 CPUs	8 GB RAM CR:     </t>
  </si>
  <si>
    <t>[Non-Prod] [EzPay] [ALL_CHANNEL] - Lưu bổ sung thêm thông tin giao dịch, tối ưu performance api search 16/08/2025</t>
  </si>
  <si>
    <t>2025-08-15T16:38:41.819+0700</t>
  </si>
  <si>
    <t>2025-08-18T10:29:14.180+0700</t>
  </si>
  <si>
    <t xml:space="preserve">Hi anh Nhờ anh chạy các script sau giúp em trên: Staging  vào lúc  sau khi được approve Thông tin database: Staging : mysql://tidb.int.onemount.dev:4000/vinpay_saas_tpay_staging CR : </t>
  </si>
  <si>
    <t>[VCM] Cập nhật lại trạng thái đơn hàng 15/08/2025</t>
  </si>
  <si>
    <t>2025-08-15T14:51:21.078+0700</t>
  </si>
  <si>
    <t>2025-08-15T15:03:52.147+0700</t>
  </si>
  <si>
    <t>Nhờ các anh DBA hỗ trợ chạy các script dưới đây: Database  vincart_mm_order IP:  172.31.1.41 Script migrate update thông tin đơn hàng trên bảng  orders : UPDATE vincart_mm_order.orders o, vincart_mm_order.serial_fulfillment_items sfi
SET  o.payment_status = 'PAID'
WHERE o.merchant_id = 331872 and o.status in ('FINISHED', 'FINALIZED') and o.fulfillment_status  = 'SHIPPED' and o.payment_status = 'UNPAID'
and o.created_at &gt;= '2025-08-15 00:00:00' and o.created_at &lt;= '2025-08-15 23:59:59' and sfi.order_id = o.id and sfi.serial_code is not null;</t>
  </si>
  <si>
    <t>[Merchant-TCB] Xóa dữ liệu bảng tpay_request_merchant</t>
  </si>
  <si>
    <t>2025-08-15T14:50:32.309+0700</t>
  </si>
  <si>
    <t>2025-08-15T15:01:16.678+0700</t>
  </si>
  <si>
    <t>Dear team, Do OPS chưa hỗ trợ cập nhật dữ liệu, nhờ team chạy giúp câu lệnh bên dưới để cập nhật lại cho đúng ạ. Thông tin database https://console.cloud.google.com/sql/instances/merchant-tcb/overview?inv=1&amp;invt=AbsndA&amp;project=vinid-merchant-prod DB_MYSQL_HOST=172.31.4.108
DB_MYSQL_DATABASE=merchant_service_tcb Câu lệnh DELETE FROM `tpay_store_service`
WHERE store_id = 25058
	AND merchant_service_id IN('SOFTPOS_CARD_9389', 'SOFTPOS_QR_4304');</t>
  </si>
  <si>
    <t>[SOFTPOS] Cập nhập thông tin dịch vụ của merchant softpos onboard NTB</t>
  </si>
  <si>
    <t>2025-08-15T11:55:18.151+0700</t>
  </si>
  <si>
    <t>2025-08-15T11:55:34.217+0700</t>
  </si>
  <si>
    <t>Hi a  @Nguyễn Văn Dũng , nhờ a chạy giúp e scrip bên dưới với ạ Thông tin database:  http://tidb.int.onemount.com:4000/saas_tpay delete from ACCOUNT where merchant_code = 'COCMID_080820250308447981500000000000000' and STATUS = 1;
update SERVICE set status = 'DRAFT' where merchant_code = 'COCMID_080820250308447981500000000000000' and STORE_CODE is null ;</t>
  </si>
  <si>
    <t>Hỗ trợ tạo dữ liệu mở mới kho MES_HRC_001 - NPP Hà Minh Tuân</t>
  </si>
  <si>
    <t>2025-08-14T15:22:57.821+0700</t>
  </si>
  <si>
    <t>2025-08-15T09:40:35.867+0700</t>
  </si>
  <si>
    <t>Hi DBA team,  Hiện tại nghiệp vụ có nhu cầu mở mới kho MES_HRC_001 - NPP Hà Minh Tuân,  nhờ team DBA hỗ trợ cập nhật giá trị theo thông tin dưới đây   Cụm WMS Project : vinid-b2b-platform-prod Instance/IP : main (read-write): 172.31.4.59 Port : 3306 Database : omd_wms_core Script : file  omd_wms_core_hrc_01.sql  trong file đính kèm Cum WES Project : vinid-b2b-platform-prod Instance/IP : main (read-write): 172.31.1.143 Port : 3306 Database : wes_master Script : file  wes_master_hrc_01.sql  trong file đính kèm Câu query đánh giá là có thể ảnh hưởng đến vận hành hệ thống nên mong muốn chạy vào thời gian vận hành thấp điểm (từ 22h-2h sáng).</t>
  </si>
  <si>
    <t>[VINIDPAY][TPAY][SOUNDBOX] Tạo bảng và insert master data</t>
  </si>
  <si>
    <t>2025-08-14T15:15:30.997+0700</t>
  </si>
  <si>
    <t>2025-08-14T15:15:46.266+0700</t>
  </si>
  <si>
    <t>Hi các anh, Hiện tại trên DB staging em cần tạo thêm table và update thêm master data, nhờ các anh chạy giúp e với . create table TCB_DEVICE_STATE
    (
        id                   bigint auto_increment primary key,
        service              varchar(32)                         null,
        vendor_code          varchar(32)                         null,
        device_model         varchar(32)                         null,
        device_serial_number varchar(64)                        not null,
        ip                   varchar(32)                         null,
        area                 varchar(256)                        null,
        device_state         varchar(8)                         null,
        created_at           timestamp default CURRENT_TIMESTAMP null,
        updated_at           timestamp default CURRENT_TIMESTAMP null
    ) AUTO_ID_CACHE=1;
    create index TCB_DEVICE_STATE_DEVICE_SERIAL_NUMBER_INDEX on TCB_DEVICE_STATE (device_serial_number);
    create index TCB_DEVICE_STATE_VENDOR_CODE_INDEX on TCB_DEVICE_STATE (vendor_code);
    create index TCB_DEVICE_STATE_DEVICE_STATE_INDEX on TCB_DEVICE_STATE (device_state);
    INSERT INTO SYSTEM_CONFIGURATION (SYSTEM_PARAM_CODE, SYSTEM_PARAM_NAME, SYSTEM_PARAM_VALUE, IS_ACTIVE)
    VALUES ('SOUNDBOX_MQTT_CONFIG_TIME_RECEIVER_AT', 'SOUNDBOX_MQTT_CONFIG_TIME_RECEIVER_AT', '10', 1); Thanks anh,</t>
  </si>
  <si>
    <t>[OMC][MTP][PROD] Hỗ trợ bổ sung index vào một vài bảng trên TIDB</t>
  </si>
  <si>
    <t>2025-08-14T15:08:01.917+0700</t>
  </si>
  <si>
    <t>2025-08-27T15:41:30.120+0700</t>
  </si>
  <si>
    <t>MTP, mtp_noti</t>
  </si>
  <si>
    <t>Dear team,  Team em đang có nhu cầu đổi đánh index cho vài bảng. Nhờ team chạy giúp em script sau ạ. [Release plan]     [Change Request]     [Thời gian chạy script]  Trong ngày golive  [Database] TIDB_DATABASE: omc_mtp_martech_activation
TIDB_URI: 'omc-mtp-tidb.int.onemount.com:4000' [Script]   CREATE INDEX idx_sms_notification_id_phone_number
    ON omc_mtp_martech_activation.mtp_tracking_sms_vendor_communications (sms_notification_id, phone_number);
CREATE INDEX idx_phone_number
    ON omc_mtp_martech_activation.mtp_tracking_sms_vendor_communications (phone_number);
CREATE INDEX idx_vendor_delivered_channel_delivered
    ON omc_mtp_martech_activation.mtp_tracking_sms_vendor_communications (vendor, delivered_channel, delivered);
CREATE INDEX idx_tracking_message_id
    ON omc_mtp_martech_activation.mtp_tracking_sms_vendor_communications (tracking_message_id);
CREATE INDEX idx_client_id
    ON omc_mtp_martech_activation.mtp_tracking_sms_notifications (client_id);
CREATE INDEX idx_es_template_id
    ON omc_mtp_martech_activation.mtp_tracking_sms_notifications (es, sms_template_id, zns_template_id);
CREATE INDEX idx_phone_number
    ON omc_mtp_martech_activation.mtp_tracking_sms_notifications (phone_number);
CREATE INDEX idx_request_id
    ON omc_mtp_martech_activation.mtp_tracking_sms_notifications (request_id); Thank team, Thành An.</t>
  </si>
  <si>
    <t>[OMD][WMS] Hỗ trợ cập nhật cột trên bảng Product trong kho mới của MAG (Masterise)</t>
  </si>
  <si>
    <t>2025-08-14T14:58:09.108+0700</t>
  </si>
  <si>
    <t>2025-08-14T17:24:43.397+0700</t>
  </si>
  <si>
    <t>Hi DBA team, Hiện tại có cột trong bảng Product trong Database bị lỗi do kho mới tạo, trong bảng liquibase chưa có thông tin cột, nhờ team DBA hỗ trợ cập nhật giá trị theo thông tin dưới đây. Project : vinid-b2b-platform-prod Instance/IP : main (read-write): 172.31.4.59 Port : 3306 Database : omd_wms_mag Query alter table prod_master add column ref_code varchar(255), add column ref_source varchar(255); Câu query đánh giá là an toàn nên có thể thực hiện cập nhật bất kỳ lúc nào mà không ảnh hưởng đến vận hành hệ thống.</t>
  </si>
  <si>
    <t>[OMC][Flash Sale TCB] Nâng cấu hình các instance mysql/postgreSQL phục vụ Flash Sale 14/08/2025</t>
  </si>
  <si>
    <t>2025-08-14T12:57:47.575+0700</t>
  </si>
  <si>
    <t>2025-08-14T13:04:48.775+0700</t>
  </si>
  <si>
    <t>Chat trao đổi: https://chat.google.com/room/AAAAOqZ92n0/4ku7GZMDSbM/4ku7GZMDSbM?cls=10  CR:          Thời gian thực hiện:  sau 1h 14/08/2025  Chi tiết như sau:   https://console.cloud.google.com/sql/instances/main/overview?project=vincart-prod 172.31.1.41 Từ: 8 CPUs 24 GB RAM , 20000 connections, innodb_buffer_pool_size  12884901888 Lên: 12 CPUs 32 GB RAM, innodb_buffer_pool_size           18874368000   https://console.cloud.google.com/sql/instances/ecom-medium-mysql/overview?project=vincart-prod 172.31.4.9 Từ: 4 vCPUs 8 GB RAM, 10000 connections , innodb_buffer_pool_size  4294967296  (thực tế giảm về 3221225472, vì số connection từ pod app tăng từ 500 lên 5k) Giữ nguyên cấu hình   https://console.cloud.google.com/sql/instances/oneloyalty/overview?project=vinid-loyalty-prod 172.31.7.6 Từ: 4 CPUs          8 GB RAM , innodb_buffer_pool_size   4294967296 Lên: 8 CPUs        16 GB RAM , innodb_buffer_pool_size   10037418240   https://console.cloud.google.com/sql/instances/onevoucher/overview?project=vinid-loyalty-prod 172.31.4.126 Từ: 4 CPUs          16 GB RAM , innodb_buffer_pool_size                    8589934592 Lên: 8 CPUs        24 GB RAM , innodb_buffer_pool_size  12884901888   https://console.cloud.google.com/sql/instances/voucher-distribution/overview?project=vinid-loyalty-prod 172.31.4.82 Từ: 2 CPUs          8 GB RAM , innodb_buffer_pool_size   4294967283 Lên: 8 CPUs        16 GB RAM , innodb_buffer_pool_size  10037418240   https://console.cloud.google.com/sql/instances/postgres-01/overview?authuser=0&amp;project=vinid-service-platform-prod 172.31.7.11 Từ: 2 CPUs          8 GB RAM Lên: 4 CPUs        16 GB RAM   https://console.cloud.google.com/sql/instances/omc-authentication/overview?project=omc-base-platform-prod 172.31.3.40 Từ: 4 CPUs          8 GB RAM Giữ nguyên cấu hình</t>
  </si>
  <si>
    <t>[NON-PROD]Kéo dữ liệu về ODS cho dự án OMD Aftersale Campaign</t>
  </si>
  <si>
    <t>2025-08-14T12:27:28.155+0700</t>
  </si>
  <si>
    <t>2025-08-14T17:24:07.744+0700</t>
  </si>
  <si>
    <t>Description Nhờ team kéo dữ liệu về ODS cho dự án OMD Aftersale Campaign để xây dựng service tính toán cho hệ thống : Database :  https://pma.iap.onemount.dev/index.php?route=/table/sql&amp;db=omd_b2b_custom_oms_qc&amp;table=Promotion&amp;server=5 Table :  kéo dữ liệu omd_vinid_app_common_dev_mm8_omd_b2b_custom_promotion_qc. Province , omd_vinid_app_common_dev_mm8_omd_b2b_custom_promotion_qc. District , omd_vinid_app_common_dev_mm8_omd_b2b_custom_promotion_qc. Ward Indxex CREATE INDEX idx_province_code
    ON Province (isoCode);
CREATE INDEX idx_district_code
    ON District (isoCode);
CREATE INDEX idx_ward_code
    ON Ward (isoCode); User cần phân quyền :  omd_metrics_platform</t>
  </si>
  <si>
    <t>2025-08-14T01:41:24.714+0700</t>
  </si>
  <si>
    <t>2025-08-14T09:21:57.435+0700</t>
  </si>
  <si>
    <t>Nhờ các anh chạy giúp em script sau theo thứ tự từ trên xuống Thông tin DB:  tidb : mysql://pay-tidb.int.onemount.com:4000/saas_tpay ods :  http://tidb.int.onemount.com:4000/saas_tpay Thời gian chạy:  Sáng ngày 2025-08-14.  Gửi mail cho PO  @Lê Vũ Kim Khánh  và  @Nguyễn Minh Ngọc  trước  10h sáng 1. Export data  bản .xlsx thời gian có ms WITH st AS (SELECT *,
                   ROW_NUMBER() OVER (
                       PARTITION BY transaction_id, device_serial_number
                       ORDER BY updated_at DESC
                       ) AS rn
            FROM SOUNDBOX_NOTIFICATION
            WHERE transaction_id NOT LIKE 'TEST%'
              AND transaction_date_ts BETWEEN '2025-08-08 00:00:00' AND '2025-08-13 23:59:59')
SELECT st.transaction_id             as `Số FT`,
       st.device_serial_number       as  `Mã số thiết bị`,
       st.transaction_date_ts        as `Ngày giao dịch`,
       st.qr_store                   AS `Mã QR cửa hàng`,
       st.connector_received_at      AS `Thời gian OM nhận thông báo`,
       st.sent_at                    AS `Thời gian OM gửi thông báo tới MQTT`,
       st.received_at                AS `Thời gian thiết bị phản hồi thông báo`
FROM st
WHERE rn = 1
  AND TIMESTAMPDIFF(MICROSECOND, sent_at, received_at) / 1000 &gt; 12000
  AND connector_received_at &gt;= '2025-08-08 00:00:00'
  and connector_received_at &lt; '2025-08-14 00:00:00'
ORDER BY created_at DESC; 2. Chạy  script update data   UPDATE SOUNDBOX_NOTIFICATION
SET received_at = FROM_UNIXTIME(
  UNIX_TIMESTAMP(sent_at) + 
  (
    (CONV(LEFT(MD5(CONCAT(transaction_id, NOW())), 12), 16, 10) % 1001 + 11000)
  ) / 1000
)
WHERE 
  TIMESTAMPDIFF(MICROSECOND, sent_at, received_at) / 1000 &gt; 12000
  AND connector_received_at &gt;= '2025-08-08 00:00:00'
  AND connector_received_at &lt; '2025-08-14 00:00:00';</t>
  </si>
  <si>
    <t>[PROD][OMC][MTP] Hỗ trợ cập nhật dữ liệu</t>
  </si>
  <si>
    <t>2025-08-14T01:30:01.856+0700</t>
  </si>
  <si>
    <t>2025-08-14T01:30:09.884+0700</t>
  </si>
  <si>
    <t>Dear a  @Nguyễn Văn Dũng  , nhờ a thực hiện update dữ liệu theo script sau giúp em ạ. Thông tin DB: TIDB_AUDIENCE_CONNECTION_URI: 'tidb.int.onemount.com:4000' TIDB_AUDIENCE_DATABASE: dp_omc_semantic_omc_bsi_cdp Script :  DELETE FROM f_customer_label
WHERE label_code = 'mtp_custom_vinid_balance'; Và file script được đính kèm dưới comment. Thanks a.</t>
  </si>
  <si>
    <t>Khởi tạo kho mới MAG_02 (CĐT - Hà Nội 01)</t>
  </si>
  <si>
    <t>2025-08-13T22:50:07.971+0700</t>
  </si>
  <si>
    <t>2025-08-14T00:00:36.373+0700</t>
  </si>
  <si>
    <t>Hi DBA team, Hiện tại nghiệp vụ có nhu cầu mở mới kho MAG_02 (CĐT - Hà Nội 01),  nhờ team DBA hỗ trợ cập nhật giá trị theo thông tin dưới đây.   Cụm WMS Project : vinid-b2b-platform-prod Instance/IP : main (read-write): 172.31.4.59 Port : 3306 Database : omd_wms_core Script : file  omd_wms_core_mag_02.sql  trong file đính kèm Database : omd_wms_mag Script : file  omd_wms_mag_02.sql  trong file đính kèm Cum WES Project : vinid-b2b-platform-prod Instance/IP : main (read-write): 172.31.1.143 Port : 3306 Database : wes_master Script : file  wes_master_mag_02.sql  trong file đính kèm Database : wes_mag Script : file  wes_mag_02.sql  trong file đính kèm Câu query đánh giá là có thể ảnh hưởng đến vận hành hệ thống nên mong muốn chạy vào thời gian vận hành thấp điểm (từ 22h-2h sáng).</t>
  </si>
  <si>
    <t>2025-08-13T19:31:33.316+0700</t>
  </si>
  <si>
    <t>2025-08-13T19:31:48.410+0700</t>
  </si>
  <si>
    <t>Nhờ các anh chạy giúp em script export sau Thông tin DB:  ods :  http://tidb.int.onemount.com:4000/saas_tpay Thời gian chạy:  Khi được approval.  Gửi mail cho PO  @Lê Vũ Kim Khánh  và  @Nguyễn Minh Ngọc Lưu ý đặt tên file theo suggest sau.  Export data tháng 4   đang có ~  713935  records. Tên file:  20250401_31 WITH st AS (
      SELECT *,
        ROW_NUMBER() OVER (
          PARTITION BY transaction_id, device_serial_number
          ORDER BY updated_at DESC
        ) AS rn
      FROM SOUNDBOX_NOTIFICATION
      WHERE transaction_id NOT LIKE 'TEST%'
          AND transaction_date_ts  BETWEEN '2025-04-01 00:00:00' AND '2025-04-30 23:59:59'
    )
    SELECT  st.transaction_id as `Số FT`,
            st.device_serial_number `Mã số thiết bị`,
            st.transaction_date_ts `Ngày giao dịch`,
            st.message_data-&gt;&gt;'$.money' AS `Số tiền giao dịch`,
            'VND' AS `Loại Tiền`,
            st.customer_name AS `Tên nhà bán hàng`,
            st.store_name AS `Tên cửa hàng`,
            st.qr_store AS `Mã QR cửa hàng`,
            st.tcb_merchant_id `Mã TCB nhà bán hàng`,
            st.tcb_store_id `Mã TCB cửa hàng`,
            st.tcb_terminal_id `Mã TCB thiết bị`,
            st.status AS `Trạng thái thông báo`,
            st.error_message AS `Lý do noti thất bại`,
            st.connector_received_at AS `Thời gian OM nhận thông báo`,
            st.sent_at AS `Thời gian OM gửi thông báo tới MQTT`,
            st.received_at AS `Thời gian thiết bị phản hồi thông báo`
    FROM st
    WHERE rn = 1
    ORDER BY created_at DESC; Export data 1 tuần đầu t5  đang có ~  713772  records. Tên file  20250501_07 WITH st AS (
      SELECT *,
        ROW_NUMBER() OVER (
          PARTITION BY transaction_id, device_serial_number
          ORDER BY updated_at DESC
        ) AS rn
      FROM SOUNDBOX_NOTIFICATION
      WHERE transaction_id NOT LIKE 'TEST%'
          AND transaction_date_ts  BETWEEN '2025-05-01 00:00:00' AND '2025-05-07 23:59:59'
    )
    SELECT  st.transaction_id as `Số FT`,
            st.device_serial_number `Mã số thiết bị`,
            st.transaction_date_ts `Ngày giao dịch`,
            st.message_data-&gt;&gt;'$.money' AS `Số tiền giao dịch`,
            'VND' AS `Loại Tiền`,
            st.customer_name AS `Tên nhà bán hàng`,
            st.store_name AS `Tên cửa hàng`,
            st.qr_store AS `Mã QR cửa hàng`,
            st.tcb_merchant_id `Mã TCB nhà bán hàng`,
            st.tcb_store_id `Mã TCB cửa hàng`,
            st.tcb_terminal_id `Mã TCB thiết bị`,
            st.status AS `Trạng thái thông báo`,
            st.error_message AS `Lý do noti thất bại`,
            st.connector_received_at AS `Thời gian OM nhận thông báo`,
            st.sent_at AS `Thời gian OM gửi thông báo tới MQTT`,
            st.received_at AS `Thời gian thiết bị phản hồi thông báo`
    FROM st
    WHERE rn = 1
    ORDER BY created_at DESC; Export data 1 tuần đầu t6  đang có ~  2298492  records.  Tên file  20250601_02 WITH st AS (
      SELECT *,
        ROW_NUMBER() OVER (
          PARTITION BY transaction_id, device_serial_number
          ORDER BY updated_at DESC
        ) AS rn
      FROM SOUNDBOX_NOTIFICATION
      WHERE transaction_id NOT LIKE 'TEST%'
          AND transaction_date_ts  BETWEEN '2025-06-01 00:00:00' AND '2025-06-02 23:59:59'
    )
    SELECT  st.transaction_id as `Số FT`,
            st.device_serial_number `Mã số thiết bị`,
            st.transaction_date_ts `Ngày giao dịch`,
            st.message_data-&gt;&gt;'$.money' AS `Số tiền giao dịch`,
            'VND' AS `Loại Tiền`,
            st.customer_name AS `Tên nhà bán hàng`,
            st.store_name AS `Tên cửa hàng`,
            st.qr_store AS `Mã QR cửa hàng`,
            st.tcb_merchant_id `Mã TCB nhà bán hàng`,
            st.tcb_store_id `Mã TCB cửa hàng`,
            st.tcb_terminal_id `Mã TCB thiết bị`,
            st.status AS `Trạng thái thông báo`,
            st.error_message AS `Lý do noti thất bại`,
            st.connector_received_at AS `Thời gian OM nhận thông báo`,
            st.sent_at AS `Thời gian OM gửi thông báo tới MQTT`,
            st.received_at AS `Thời gian thiết bị phản hồi thông báo`
    FROM st
    WHERE rn = 1
    ORDER BY created_at DESC; Tên file  20250603_04 WITH st AS (
      SELECT *,
        ROW_NUMBER() OVER (
          PARTITION BY transaction_id, device_serial_number
          ORDER BY updated_at DESC
        ) AS rn
      FROM SOUNDBOX_NOTIFICATION
      WHERE transaction_id NOT LIKE 'TEST%'
          AND transaction_date_ts  BETWEEN '2025-06-03 00:00:00' AND '2025-06-04 23:59:59'
    )
    SELECT  st.transaction_id as `Số FT`,
            st.device_serial_number `Mã số thiết bị`,
            st.transaction_date_ts `Ngày giao dịch`,
            st.message_data-&gt;&gt;'$.money' AS `Số tiền giao dịch`,
            'VND' AS `Loại Tiền`,
            st.customer_name AS `Tên nhà bán hàng`,
            st.store_name AS `Tên cửa hàng`,
            st.qr_store AS `Mã QR cửa hàng`,
            st.tcb_merchant_id `Mã TCB nhà bán hàng`,
            st.tcb_store_id `Mã TCB cửa hàng`,
            st.tcb_terminal_id `Mã TCB thiết bị`,
            st.status AS `Trạng thái thông báo`,
            st.error_message AS `Lý do noti thất bại`,
            st.connector_received_at AS `Thời gian OM nhận thông báo`,
            st.sent_at AS `Thời gian OM gửi thông báo tới MQTT`,
            st.received_at AS `Thời gian thiết bị phản hồi thông báo`
    FROM st
    WHERE rn = 1
    ORDER BY created_at DESC; Tên file  20250605_07 WITH st AS (
      SELECT *,
        ROW_NUMBER() OVER (
          PARTITION BY transaction_id, device_serial_number
          ORDER BY updated_at DESC
        ) AS rn
      FROM SOUNDBOX_NOTIFICATION
      WHERE transaction_id NOT LIKE 'TEST%'
          AND transaction_date_ts  BETWEEN '2025-06-05 00:00:00' AND '2025-06-07 23:59:59'
    )
    SELECT  st.transaction_id as `Số FT`,
            st.device_serial_number `Mã số thiết bị`,
            st.transaction_date_ts `Ngày giao dịch`,
            st.message_data-&gt;&gt;'$.money' AS `Số tiền giao dịch`,
            'VND' AS `Loại Tiền`,
            st.customer_name AS `Tên nhà bán hàng`,
            st.store_name AS `Tên cửa hàng`,
            st.qr_store AS `Mã QR cửa hàng`,
            st.tcb_merchant_id `Mã TCB nhà bán hàng`,
            st.tcb_store_id `Mã TCB cửa hàng`,
            st.tcb_terminal_id `Mã TCB thiết bị`,
            st.status AS `Trạng thái thông báo`,
            st.error_message AS `Lý do noti thất bại`,
            st.connector_received_at AS `Thời gian OM nhận thông báo`,
            st.sent_at AS `Thời gian OM gửi thông báo tới MQTT`,
            st.received_at AS `Thời gian thiết bị phản hồi thông báo`
    FROM st
    WHERE rn = 1
    ORDER BY created_at DESC; Export data 1 tuần đầu t7  đang có ~  3081336  records.  Tên file  20250701_02 WITH st AS (
    SELECT *,
      ROW_NUMBER() OVER (
        PARTITION BY transaction_id, device_serial_number
        ORDER BY updated_at DESC
      ) AS rn
    FROM SOUNDBOX_NOTIFICATION
    WHERE transaction_id NOT LIKE 'TEST%'
        AND transaction_date_ts  BETWEEN '2025-07-01 00:00:00' AND '2025-07-02 23:59:59'
  )
  SELECT  st.transaction_id as `Số FT`,
          st.device_serial_number `Mã số thiết bị`,
          st.transaction_date_ts `Ngày giao dịch`,
          st.message_data-&gt;&gt;'$.money' AS `Số tiền giao dịch`,
          'VND' AS `Loại Tiền`,
          st.customer_name AS `Tên nhà bán hàng`,
          st.store_name AS `Tên cửa hàng`,
          st.qr_store AS `Mã QR cửa hàng`,
          st.tcb_merchant_id `Mã TCB nhà bán hàng`,
          st.tcb_store_id `Mã TCB cửa hàng`,
          st.tcb_terminal_id `Mã TCB thiết bị`,
          st.status AS `Trạng thái thông báo`,
          st.error_message AS `Lý do noti thất bại`,
          st.connector_received_at AS `Thời gian OM nhận thông báo`,
          st.sent_at AS `Thời gian OM gửi thông báo tới MQTT`,
          st.received_at AS `Thời gian thiết bị phản hồi thông báo`
  FROM st
  WHERE rn = 1
  AND connector_received_at &gt;= '2025-07-01 00:00:00' and connector_received_at &lt; '2025-07-03 00:00:00'
  ORDER BY created_at DESC; Tên file  20250703_04 WITH st AS (
    SELECT *,
      ROW_NUMBER() OVER (
        PARTITION BY transaction_id, device_serial_number
        ORDER BY updated_at DESC
      ) AS rn
    FROM SOUNDBOX_NOTIFICATION
    WHERE transaction_id NOT LIKE 'TEST%'
        AND transaction_date_ts  BETWEEN '2025-07-03 00:00:00' AND '2025-07-04 23:59:59'
  )
  SELECT  st.transaction_id as `Số FT`,
          st.device_serial_number `Mã số thiết bị`,
          st.transaction_date_ts `Ngày giao dịch`,
          st.message_data-&gt;&gt;'$.money' AS `Số tiền giao dịch`,
          'VND' AS `Loại Tiền`,
          st.customer_name AS `Tên nhà bán hàng`,
          st.store_name AS `Tên cửa hàng`,
          st.qr_store AS `Mã QR cửa hàng`,
          st.tcb_merchant_id `Mã TCB nhà bán hàng`,
          st.tcb_store_id `Mã TCB cửa hàng`,
          st.tcb_terminal_id `Mã TCB thiết bị`,
          st.status AS `Trạng thái thông báo`,
          st.error_message AS `Lý do noti thất bại`,
          st.connector_received_at AS `Thời gian OM nhận thông báo`,
          st.sent_at AS `Thời gian OM gửi thông báo tới MQTT`,
          st.received_at AS `Thời gian thiết bị phản hồi thông báo`
  FROM st
  WHERE rn = 1
  AND connector_received_at &gt;= '2025-07-03 00:00:00' and connector_received_at &lt; '2025-07-05 00:00:00'
  ORDER BY created_at DESC; Tên file  20250705_07 WITH st AS (
    SELECT *,
      ROW_NUMBER() OVER (
        PARTITION BY transaction_id, device_serial_number
        ORDER BY updated_at DESC
      ) AS rn
    FROM SOUNDBOX_NOTIFICATION
    WHERE transaction_id NOT LIKE 'TEST%'
        AND transaction_date_ts  BETWEEN '2025-07-05 00:00:00' AND '2025-07-07 23:59:59'
  )
  SELECT  st.transaction_id as `Số FT`,
          st.device_serial_number `Mã số thiết bị`,
          st.transaction_date_ts `Ngày giao dịch`,
          st.message_data-&gt;&gt;'$.money' AS `Số tiền giao dịch`,
          'VND' AS `Loại Tiền`,
          st.customer_name AS `Tên nhà bán hàng`,
          st.store_name AS `Tên cửa hàng`,
          st.qr_store AS `Mã QR cửa hàng`,
          st.tcb_merchant_id `Mã TCB nhà bán hàng`,
          st.tcb_store_id `Mã TCB cửa hàng`,
          st.tcb_terminal_id `Mã TCB thiết bị`,
          st.status AS `Trạng thái thông báo`,
          st.error_message AS `Lý do noti thất bại`,
          st.connector_received_at AS `Thời gian OM nhận thông báo`,
          st.sent_at AS `Thời gian OM gửi thông báo tới MQTT`,
          st.received_at AS `Thời gian thiết bị phản hồi thông báo`
  FROM st
  WHERE rn = 1
  AND connector_received_at &gt;= '2025-07-05 00:00:00' and connector_received_at &lt; '2025-07-08 00:00:00'
  ORDER BY created_at DESC;</t>
  </si>
  <si>
    <t>[OMD CDP][Prod] Tạo mới bảng DP_POS_GT_LEVEL</t>
  </si>
  <si>
    <t>2025-08-13T18:26:11.378+0700</t>
  </si>
  <si>
    <t>2025-08-13T18:26:41.317+0700</t>
  </si>
  <si>
    <t>Để phục vụ việc phát triển OMD CDP trên môi trường prod (theo ticket  https://vinid-team.atlassian.net/browse/DWHV2-11827 ), nhờ team hỗ trợ tạo giúp em trên TiDb  omd-tidb.int.onemount.com:4000 : Database: omd_cdp_data_from_dp Review script và tạo bảng dữ liệu  omd_cdp_data_from_dp.DP_POS_GT_LEVEL : Dự kiến insert trong lần đầu chạy: ~367K bản ghi Script: create table if not exists omd_cdp_data_from_dp.DP_POS_GT_LEVEL (
    `gt_code` varchar(57),
    `litepos_level_name` varchar(108),
    `litepos_level_value` varchar(3),
    `dim_current_flag` varchar(1),
    `first_date_reach_level` date,
    `data_sync_ts` timestamp,
    primary key (`gt_code`, `litepos_level_value`)
)
PARTITION BY RANGE COLUMNS(`first_date_reach_level`)
INTERVAL (1 YEAR) FIRST PARTITION LESS THAN ('2024-08-15') LAST PARTITION LESS THAN ('2027-01-01'); Em cảm ơn team ạ! cc anh  @Bùi Công Thành  , anh  @Bùi Văn Lực</t>
  </si>
  <si>
    <t>2025-08-13T16:47:21.520+0700</t>
  </si>
  <si>
    <t>2025-08-13T18:24:55.732+0700</t>
  </si>
  <si>
    <t>Nhờ team kéo dữ liệu về ODS cho dự án OMD Aftersale Campaign để xây dựng service tính toán cho hệ thống : Database :  https://pma.iap.onemount.dev/index.php?route=/table/sql&amp;db=omd_b2b_custom_oms_qc&amp;table=Promotion&amp;server=5 Table : omd_b2b_custom_promotion_qc. Province , omd_b2b_custom_promotion_qc. District , omd_b2b_custom_promotion_qc. Ward Thêm index cho 3 trường mới :  omd_vinid_app_common_dev_main_mysql_8_omd_b2b_custom_oms_qc . ShippingAddress . prmISOCodeProvince omd_vinid_app_common_dev_main_mysql_8_omd_b2b_custom_oms_qc . ShippingAddress . prmISOCodeDistrict omd_vinid_app_common_dev_main_mysql_8_omd_b2b_custom_oms_qc . ShippingAddress . prmISOCodeWard User cần phân quyền :  omd_metrics_platform</t>
  </si>
  <si>
    <t>2025-08-13T16:06:51.234+0700</t>
  </si>
  <si>
    <t>2025-08-13T16:46:23.394+0700</t>
  </si>
  <si>
    <t>Để phục vụ việc phát triển OMD CDP trên môi trường prod (theo ticket  https://vinid-team.atlassian.net/browse/DWHV2-11827 ), nhờ team hỗ trợ tạo giúp em trên TiDb  omd-tidb.int.onemount.com:4000 : Database: omd_cdp_data_from_dp Review script và tạo bảng dữ liệu  omd_cdp_data_from_dp.DP_POS_GT_LEVEL : Dự kiến insert trong lần đầu chạy: ~367K bản ghi Script: create table if not exists omd_cdp_data_from_dp.DP_POS_GT_LEVEL (
    `gt_code` varchar(57),
    `litepos_level_name` varchar(108),
    `litepos_level_value` varchar(3),
    `dim_current_flag` varchar(1),
    `first_date_reach_level` date,
    `data_sync_ts` timestamp,
    primary key (`gt_code`, `litepos_level_value`)
)
PARTITION BY RANGE COLUMNS(`first_date_reach_level`)
INTERVAL (1 MONTH) FIRST PARTITION LESS THAN ('2024-08-15') LAST PARTITION LESS THAN ('2027-01-01'); Em cảm ơn team ạ! cc anh  @Bùi Công Thành  , anh  @Bùi Văn Lực</t>
  </si>
  <si>
    <t>[OMD][Lite-POS-User] Script insert master data</t>
  </si>
  <si>
    <t>2025-08-13T15:33:41.058+0700</t>
  </si>
  <si>
    <t>2025-08-13T23:36:01.060+0700</t>
  </si>
  <si>
    <t>Hi Team, Nhờ Team support chạy câu lệnh sau: insert into PortalManagementAccount (createdAt,
                                     createdBy,
                                     deleted,
                                     lastModifiedAt,
                                     lastModifiedBy,
                                     version,
                                     account,
                                     password,
                                     customerUnit_id,
                                     description)
select createdAt,
       createdBy,
       deleted,
       lastModifiedAt,
       lastModifiedBy,
       version,
       account,
       password,
       customerUnit_id,
       description
from SignatureManagementAccount; Thời gian &amp; thông tin DB vui lòng liên hệ  @Phạm Hồng Quang  để thực hiện Thank Team!</t>
  </si>
  <si>
    <t>[OMRE][CBP][Non-Product] Yêu cầu tạo database và user cho service cbp-transaction môi trường non-product</t>
  </si>
  <si>
    <t>2025-08-13T14:44:08.989+0700</t>
  </si>
  <si>
    <t>2025-08-13T16:12:55.691+0700</t>
  </si>
  <si>
    <t>CBP_TRANSACTION</t>
  </si>
  <si>
    <t>Nhờ team tạo và cấp quyền database cho service cbp-transaction như sau Database:omre_cbp_transaction_uat
User:omre_cbp_transaction_uat</t>
  </si>
  <si>
    <t xml:space="preserve">Chuyển instance cho database vincart_rec </t>
  </si>
  <si>
    <t>2025-08-13T10:48:09.747+0700</t>
  </si>
  <si>
    <t>2025-08-13T15:40:53.051+0700</t>
  </si>
  <si>
    <t xml:space="preserve">Chuyển instance cho database vincart_rec từ instane name vinmart sang instance ecom-medium-mysql Move cấu trúc bảng schema, còn data trong database này thì không cần move  Instance cũ :  https://console.cloud.google.com/sql/instances/vinmart/overview?inv=1&amp;invt=Ab5VMw&amp;project=vincart-prod Instance mới:  https://console.cloud.google.com/sql/instances/ecom-medium-mysql/overview?inv=1&amp;invt=Ab5VMw&amp;project=vincart-prod Database name: vincart_rec </t>
  </si>
  <si>
    <t>[Merchant-TCB] Export dữ liệu bảng tpay_request_merchant</t>
  </si>
  <si>
    <t>2025-08-13T09:32:59.822+0700</t>
  </si>
  <si>
    <t>2025-08-13T11:37:22.268+0700</t>
  </si>
  <si>
    <t>Dear team, Nhờ team export giúp data theo câu lệnh bên dưới ạ Thông tin database https://console.cloud.google.com/sql/instances/merchant-tcb/overview?inv=1&amp;invt=AbsndA&amp;project=vinid-merchant-prod DB_MYSQL_HOST=172.31.4.108
DB_MYSQL_DATABASE=merchant_service_tcb Câu lệnh SELECT
	id,
	code,
	merchant_code,
	tcb_merchant_code,
	business_license_number
FROM
	tpay_request_merchant
WHERE
	tcb_merchant_code IN('29568235', 'VNVCMB', 'VNVCONLINE', '34207746', 'OCP3_001', 'VHM_002');</t>
  </si>
  <si>
    <t>Khởi tạo kho mới MAG_01 (CĐT - Hồ Chí Minh 01)</t>
  </si>
  <si>
    <t>2025-08-13T09:28:32.452+0700</t>
  </si>
  <si>
    <t>2025-08-13T15:35:55.024+0700</t>
  </si>
  <si>
    <t>Hi DBA team,  Hiện tại nghiệp vụ có nhu cầu mở mới kho mới MAG_01 (CĐT - Hồ Chí Minh 01),  nhờ team DBA hỗ trợ cập nhật giá trị theo thông tin dưới đây   Cụm WMS Project : vinid-b2b-platform-prod Instance/IP : main (read-write): 172.31.4.59 Port : 3306 Database : omd_wms_core Script : file  omd_wms_core_mag_01.sql  trong file đính kèm Cum WES Project : vinid-b2b-platform-prod Instance/IP : main (read-write): 172.31.1.143 Port : 3306 Database : wes_master Script : file  wes_master_mag_01.sql  trong file đính kèm Câu query đánh giá là có thể ảnh hưởng đến vận hành hệ thống nên mong muốn chạy vào thời gian vận hành thấp điểm (từ 22h-2h sáng).</t>
  </si>
  <si>
    <t>[OMC][GAMI][PS2][Prod] Hỗ trợ xuất báo cáo vé tuần cho campaign Spin to Win tuần 16</t>
  </si>
  <si>
    <t>2025-08-13T09:06:33.754+0700</t>
  </si>
  <si>
    <t>2025-08-13T09:12:25.910+0700</t>
  </si>
  <si>
    <t>Hỗ trợ xuất báo cáo vé tuần cho campaign Spin to Win tuần 16 Host:  172.31.4.75 Db:  promo_gamezone Query: SELECT SUM(claim_amount) FROM `rule_logs` WHERE campaign_id = 52 &amp;&amp; reward_type='TURN' &amp;&amp; `status` = 'SUCCESS';
SELECT COUNT(DISTINCT(user_id)) FROM `rule_logs` WHERE campaign_id = 52 &amp;&amp; reward_type='TURN' &amp;&amp; `status` = 'SUCCESS';</t>
  </si>
  <si>
    <t>2025-08-12T18:04:35.190+0700</t>
  </si>
  <si>
    <t>2025-08-12T18:07:42.641+0700</t>
  </si>
  <si>
    <t>Dear anh Dương, Anh chạy giúp em sql script bên dưới ạ. Mục đích là để insert thông tin về authentication của  FPT  , dữ liệu được dùng để validate token khi client call vào ESB  Thông tb db : schema: b2b_esb project: onemg-integration-platform-prd instance: main Master IP: 172.31.1.118 Thời gian cập nhật  13/08/2025 21:00:00 Thanks anh ạ!!!! Script :  INSERT INTO `auth0_info` (`client_id`,`sign_certificate`, `resource`, `create_by`, `create_date`)
 VALUES ('iapcAjfhByoyTYqVqWewJtmPGMWvSmrW', '-----BEGIN CERTIFICATE-----
MIICzzCCAbegAwIBAgIJANrxhigGR4vSMA0GCSqGSIb3DQEBCwUAMB8xHTAbBgNVBAMTFGF1dGgt
b20ub25lbW91bnQuY29tMB4XDTIzMTAwNDA1MTIwMVoXDTMzMTAwMTA1MTIwMVowLzEtMCsGA1UE
AxMkYXV0aC1vbS5vbmVtb3VudC5jb20vaWFtL3YxL0IyQi1QUk9EMIIBIjANBgkqhkiG9w0BAQEF
AAOCAQ8AMIIBCgKCAQEApcXOEVIM3DIJKg+njE+9uEHlFWZm/96gNXlFbJiOrj4fZfDOB4dUUZBP
qDoUde8J/L26yhieSePbBYCk6g7rQoRfxmjHW0OUQZQltp9aZYbCKb7CYMCKl9qeoKAxmik4mmUG
XgTvXNUs1tYPtz6EeGwvwyLzkABEAJFN+upHfPpnpOv12HQlRZ7IpwYGO3mXLb6jcDg4duot2L7f
BB4sc3n6Ddqm84IMWwHjto/DkG7OalULqfiTC6Wxt4CR05Urc5Ro5BCJgHPv/uG+FltwJvfxFeeD
dkq5+mtMhCwva3/KlGdo1nyXUGuYnp/MMivJfmD3R8AMgJz3tK4NIWXHWQIDAQABMA0GCSqGSIb3
DQEBCwUAA4IBAQBN0UEHGvnacBJeckAMy44lAunC87Mo0BoERyKdWlMrfMugWvbf834wKWRaQ8lL
KReZ4Smf8FrKFrGCxtl7yE46DzACLA5QsJu2fNQQjFwoLubw6wmrj/rzXROC/70nN5PBmUImaCR0
J06bqmtOYzaArxjy1CeWzu5/NbmEVo4Bq1xtD4xmXhZjFe1aQTBYx7KpaIC7eWK26hA7oPsnhrhv
NYQ7Z203iSgWRePJvwFu3XL39iY/EJRC+DpLAxBPwl4AzCGZYm1lqFo9g8noWhVbXMkGSzs8OlZ3
52YZIojoXfeBHOEKsVUM1GjjHspl6IMP1VFf3cil7IuGedaKfV4t
-----END CERTIFICATE-----
', 'FPT', 'daibq', '2024-05-30 10:13:55')</t>
  </si>
  <si>
    <t>[Merchant-TCB] Xóa dữ liệu bảng tpay_request_merchant, tpay_merchant batch 2</t>
  </si>
  <si>
    <t>2025-08-12T16:36:50.200+0700</t>
  </si>
  <si>
    <t>2025-08-12T16:53:52.568+0700</t>
  </si>
  <si>
    <t>Dear team, Do phía TCB đẩy dữ liệu sớm hơn so với lịch golive tính năng, gây duplicate dữ liệu đang có trong hệ thống Merchant-TCB. → Dẫn đến vận hành TCB không thao tác được với các merchant bị trùng mã  CIF (tcb_customer_t24)  trên hệ thống. Nhờ team hỗ trợ xóa các bản ghi bị sai ạ. Việc xóa các bản ghi này đã được PO phía TCB xác nhận qua email. Thông tin database https://console.cloud.google.com/sql/instances/merchant-tcb/overview?inv=1&amp;invt=AbsndA&amp;project=vinid-merchant-prod DB_MYSQL_HOST=172.31.4.108
DB_MYSQL_DATABASE=merchant_service_tcb Câu lệnh DELETE FROM tpay_request_merchant
WHERE tcb_merchant_code IN('20072829', '20182468', '20460496', '20635345', '21158335', '21294887', '22626016', '23005951', '24159109', '24366436', '24566137', '26029647', '26593842', '27171894', '27541130', '27797136', '27965060', '28087561', '28158780', '28312812', '28538957', '28676145', '29040072', '29137104', '29225944', '30176898', '30928245', '31153958', '31215008', '31810196', '31989717', '31991017', '32216341', '32387671', '32508050', '32539702', '32613608', '32634478', '32636940', '32804921', '32935196', '33198108', '33254305', '33322992', '33522415', '33820117', '33826882', '33860154', '33914200', '33937435', '33972993', '34275523', '34674328', '34682717', '34883316', '34887759', '35123237', '35225896', '35231431', '35499646', '35509134', '35875747', '35921820', '36008822', '36048672', '36282625', '36442863', '36456936', '36478740', '36486525', '36610126', '36683792', '36684078', '36753345', '36815638', '36845963', '36988030', '37001690', '37577855', '37617941', '37651862', '37707144', '37721460', '37954388', '37988646', '38356169', '38506823', '38906968', '39146215', '39932153', '40132674', '50131505', '50343780', '50436457', '50857492', '50867978', '50886365', '70055143', '70075666', '70090708', '70340446', '70871414', '71374636', '73175895', '73584569', '74096410', '74468588', '74586258', '74599225', '74601570', '74602785', '74631688', '74634274', '74637162', '74637483', '74638040', '74649119', '74657931', '74661113', '74662475', '74664429', '74675325', '74677464', '74678059', '74694484', '74694661', '74694666', '74695107', '74700519', '74701676', '74701895', '74702488', '74706157', '74707656', '74707833', '74709246', '74711823', '74712522', '74713473', '74713551', '74714218', '74716741', '74716883', '74718121', '74718282', '74718551', '74720353', '74725520', '74733077', '74735203', '74735481', '74735546', '74735882', '74736424', '74736512', '74739117', '74740075', '74746576', '74759272', '74778519', '74781086', '74799963');
DELETE FROM tpay_merchant
WHERE tcb_merchant_code IN('20072829', '20182468', '20460496', '20635345', '21158335', '21294887', '22626016', '23005951', '24159109', '24366436', '24566137', '26029647', '26593842', '27171894', '27541130', '27797136', '27965060', '28087561', '28158780', '28312812', '28538957', '28676145', '29040072', '29137104', '29225944', '30176898', '30928245', '31153958', '31215008', '31810196', '31989717', '31991017', '32216341', '32387671', '32508050', '32539702', '32613608', '32634478', '32636940', '32804921', '32935196', '33198108', '33254305', '33322992', '33522415', '33820117', '33826882', '33860154', '33914200', '33937435', '33972993', '34275523', '34674328', '34682717', '34883316', '34887759', '35123237', '35225896', '35231431', '35499646', '35509134', '35875747', '35921820', '36008822', '36048672', '36282625', '36442863', '36456936', '36478740', '36486525', '36610126', '36683792', '36684078', '36753345', '36815638', '36845963', '36988030', '37001690', '37577855', '37617941', '37651862', '37707144', '37721460', '37954388', '37988646', '38356169', '38506823', '38906968', '39146215', '39932153', '40132674', '50131505', '50343780', '50436457', '50857492', '50867978', '50886365', '70055143', '70075666', '70090708', '70340446', '70871414', '71374636', '73175895', '73584569', '74096410', '74468588', '74586258', '74599225', '74601570', '74602785', '74631688', '74634274', '74637162', '74637483', '74638040', '74649119', '74657931', '74661113', '74662475', '74664429', '74675325', '74677464', '74678059', '74694484', '74694661', '74694666', '74695107', '74700519', '74701676', '74701895', '74702488', '74706157', '74707656', '74707833', '74709246', '74711823', '74712522', '74713473', '74713551', '74714218', '74716741', '74716883', '74718121', '74718282', '74718551', '74720353', '74725520', '74733077', '74735203', '74735481', '74735546', '74735882', '74736424', '74736512', '74739117', '74740075', '74746576', '74759272', '74778519', '74781086', '74799963');</t>
  </si>
  <si>
    <t xml:space="preserve">[PROD][VMM] Add column is_countdown for campaigns table </t>
  </si>
  <si>
    <t>2025-08-12T15:33:11.090+0700</t>
  </si>
  <si>
    <t>2025-08-12T15:59:32.502+0700</t>
  </si>
  <si>
    <t>Nhờ DBA chạy giúp scripts dưới: Host:  172.31.4.9 Database:  ecom_promotion ALTER TABLE `campaigns`
    ADD COLUMN `is_countdown` boolean DEFAULT true;</t>
  </si>
  <si>
    <t>[OMD][WMS][Prod] Request tạo database cho tenant mới của WMS (Masterise)</t>
  </si>
  <si>
    <t>2025-08-12T15:01:31.331+0700</t>
  </si>
  <si>
    <t>2025-08-12T15:40:13.652+0700</t>
  </si>
  <si>
    <t>Hi DBA team, Dự án WMS sắp tới sẽ mở thêm cụm kho mới cho Masterise, nên cần thêm database cho tenant này. Team DBA support tạo thêm databases trên production cho WMS và WES với thông tin như sau WMS Project  vinid-b2b-platform-prod DB Instance main-mysql-8  (IP: 172.31.4.59) DB name và username omd_wms_mag   (username omd_wms_mag) User  omd_wms_core_read_only  có quyền read only trên all tables của database  omd_wms_mag WES Project  vinid-b2b-platform-prod DB Instance main-mysql-5.7  (IP: 172.31.1.143 ) DB name và username wes_mag   (username omd_wms_mag) User  read_wes  có quyền read only trên all tables của database  wes_mag   Thông tin username và password gửi mail cho  quangph@onemount.com Đồng thời, thực hiện phân quyền truy cập dữ liệu external source từ Dremio cho databases trên, thông tin chi tiết như sau Thông tin chi tiết: SA name:  sa.dremio.omd.wms.local namespace:  omd.wms Thông tin database Project  vinid-b2b-platform-prod WMS DB Instance vinid-b2b-platform-prod:asia-east1:main-read-replica-1 (IP 172.31.4.30 ) Database name omd_wms_mag External source:  https://dremio.ops.onemount.com/source/172_31_4_30_omd_wms_core</t>
  </si>
  <si>
    <t>Yêu cầu tạo database và user TiDB trên các môi trường (qc,e2e,uat)  cho ứng dụng CoBroker</t>
  </si>
  <si>
    <t>2025-08-12T12:24:30.303+0700</t>
  </si>
  <si>
    <t>2025-08-12T14:59:26.926+0700</t>
  </si>
  <si>
    <t>CDP, Database</t>
  </si>
  <si>
    <t>Hi Anh/ Chị. Nhờ team tạo giúp user và database TiDB sử dụng cho dịch vụ CDP của ứng dụng Co-Broker.  Với các môi trường: qc, e2e và uat  Schema tương ứng  omre_cdp_core_{ENV}, omre_cdp_core_qc,omre_cdp_core_e2e, omre_cdp_core_uat</t>
  </si>
  <si>
    <t>2025-08-12T12:23:22.719+0700</t>
  </si>
  <si>
    <t>2025-08-12T12:23:34.717+0700</t>
  </si>
  <si>
    <t>vinid_pay</t>
  </si>
  <si>
    <t>Nhờ các anh chạy giúp em script export sau Thông tin DB:  ods :  http://tidb.int.onemount.com:4000/saas_tpay Thời gian chạy:  Khi được approval.  Gửi mail cho PO  @Lê Vũ Kim Khánh  và  @Nguyễn Minh Ngọc   Export ngày 08.08 → 11.08 WITH st AS (
      SELECT *,
        ROW_NUMBER() OVER (
          PARTITION BY transaction_id, device_serial_number
          ORDER BY updated_at DESC
        ) AS rn
      FROM SOUNDBOX_NOTIFICATION
      WHERE transaction_id NOT LIKE 'TEST%'
          AND transaction_date_ts  BETWEEN '2025-08-08 00:00:00' AND '2025-08-10 23:59:59'
    )
    SELECT  st.transaction_id as `Số FT`,
            st.device_serial_number `Mã số thiết bị`,
            st.transaction_date_ts `Ngày giao dịch`,
            st.message_data-&gt;&gt;'$.money' AS `Số tiền giao dịch`,
            'VND' AS `Loại Tiền`,
            st.customer_name AS `Tên nhà bán hàng`,
            st.store_name AS `Tên cửa hàng`,
            st.qr_store AS `Mã QR cửa hàng`,
            st.tcb_merchant_id `Mã TCB nhà bán hàng`,
            st.tcb_store_id `Mã TCB cửa hàng`,
            st.tcb_terminal_id `Mã TCB thiết bị`,
            st.status AS `Trạng thái thông báo`,
            st.error_message AS `Lý do noti thất bại`,
            st.connector_received_at AS `Thời gian OM nhận thông báo`,
            st.sent_at AS `Thời gian OM gửi thông báo tới MQTT`,
            st.received_at AS `Thời gian thiết bị phản hồi thông báo`
    FROM st
    WHERE rn = 1
    AND TIMESTAMPDIFF(MICROSECOND, sent_at, received_at) / 1000 &gt; 60000
    AND connector_received_at &gt;= '2025-08-08 00:00:00' and connector_received_at &lt; '2025-08-11 00:00:00'
    ORDER BY created_at DESC; Export ngày 11.08 → now WITH st AS (
      SELECT *,
        ROW_NUMBER() OVER (
          PARTITION BY transaction_id, device_serial_number
          ORDER BY updated_at DESC
        ) AS rn
      FROM SOUNDBOX_NOTIFICATION
      WHERE transaction_id NOT LIKE 'TEST%'
          AND transaction_date_ts  BETWEEN '2025-08-11 00:00:00' AND '2025-08-12 23:59:59'
    )
    SELECT  st.transaction_id as `Số FT`,
            st.device_serial_number `Mã số thiết bị`,
            st.transaction_date_ts `Ngày giao dịch`,
            st.message_data-&gt;&gt;'$.money' AS `Số tiền giao dịch`,
            'VND' AS `Loại Tiền`,
            st.customer_name AS `Tên nhà bán hàng`,
            st.store_name AS `Tên cửa hàng`,
            st.qr_store AS `Mã QR cửa hàng`,
            st.tcb_merchant_id `Mã TCB nhà bán hàng`,
            st.tcb_store_id `Mã TCB cửa hàng`,
            st.tcb_terminal_id `Mã TCB thiết bị`,
            st.status AS `Trạng thái thông báo`,
            st.error_message AS `Lý do noti thất bại`,
            st.connector_received_at AS `Thời gian OM nhận thông báo`,
            st.sent_at AS `Thời gian OM gửi thông báo tới MQTT`,
            st.received_at AS `Thời gian thiết bị phản hồi thông báo`
    FROM st
    WHERE rn = 1
    AND TIMESTAMPDIFF(MICROSECOND, sent_at, received_at) / 1000 &gt; 60000
    AND connector_received_at &gt;= '2025-08-11 00:00:00' and connector_received_at &lt; '2025-08-13 00:00:00'
    ORDER BY created_at DESC;</t>
  </si>
  <si>
    <t>[OMD][TMS] V/v support tạo index db Oracle</t>
  </si>
  <si>
    <t>2025-08-12T11:45:58.729+0700</t>
  </si>
  <si>
    <t>2025-08-12T17:05:30.182+0700</t>
  </si>
  <si>
    <t>Qua kiểm tra thấy một số query thiếu index dẫn đến query chậm ảnh hưởng performance hệ thống, nên nhờ a/e DBA support tạo index, cụ thể như bên dưới: Database  bytm_prod  (Oracle instance on GCE oracle-primary (Private IP: 10.255.24.170)  CREATE INDEX ADTN_DATA_CRTD_DTT_IDX ON ADTN_DATA_T (CRTD_DTT);
CREATE INDEX JOB_QUE_QUE_DTT_IDX ON JOB_QUE_T (QUE_DTT);
CREATE INDEX AUDT_DRVR_ASSN_AUDT_SYS_DTT_IDX ON AUDT_DRVR_ASSN_T (AUDT_SYS_DTT);
CREATE INDEX AUDT_CHRG_DETL_AUDT_SYS_DTT_IDX ON AUDT_CHRG_DETL_T (AUDT_SYS_DTT);
CREATE INDEX AUDT_CHRG_OVRD_AUDT_SYS_DTT_IDX ON AUDT_CHRG_OVRD_T (AUDT_SYS_DTT);
CREATE INDEX AUDT_CTL_AUDT_SYS_DTT_IDX ON AUDT_CTL_T (AUDT_SYS_DTT);
CREATE INDEX AUDT_EXTL_COST_AUDT_SYS_DTT_IDX ON AUDT_EXTL_COST_T (AUDT_SYS_DTT);
CREATE INDEX AUDT_LD_LEG_AUDT_SYS_DTT_IDX ON AUDT_LD_LEG_T (AUDT_SYS_DTT);
CREATE INDEX AUDT_LD_LEG_SCHD_AUDT_SYS_DTT_IDX ON AUDT_LD_LEG_SCHD_T (AUDT_SYS_DTT);
CREATE INDEX AUDT_RSRC_AUDT_SYS_DTT_IDX ON AUDT_RSRC_T (AUDT_SYS_DTT);
CREATE INDEX AUDT_LD_LEG_DETL_AUDT_SYS_DTT_IDX ON AUDT_LD_LEG_DETL_T (AUDT_SYS_DTT);
CREATE INDEX AUDT_SHPM_AUDT_SYS_DTT_IDX ON AUDT_SHPM_T (AUDT_SYS_DTT);
CREATE INDEX AUDT_STOP_AUDT_SYS_DTT_IDX ON AUDT_STOP_T (AUDT_SYS_DTT);
CREATE INDEX AUDT_TRIP_AUDT_SYS_DTT_IDX ON AUDT_TRIP_T (AUDT_SYS_DTT);
CREATE INDEX EVNT_DLVY_CRTD_DTT_IDX ON EVNT_DLVY_T (CRTD_DTT);
CREATE INDEX EVNT_QUE_QUE_DTT_IDX ON EVNT_QUE_T (QUE_DTT);</t>
  </si>
  <si>
    <t>2025-08-11T18:02:38.298+0700</t>
  </si>
  <si>
    <t>2025-08-11T18:02:44.801+0700</t>
  </si>
  <si>
    <t>Dear a  @Nguyễn Văn Dũng  tối nay 21h team em thực hiện golive, nhờ a thực hiện chạy script sau để phục vụ QC test ạ. CR :    Thông tin DB :  TIDB_AUDIENCE_CONNECTION_URI: 'tidb.int.onemount.com:4000'
TIDB_AUDIENCE_DATABASE: dp_omc_semantic_omc_bsi_cdp Script:  UPDATE dp_omc_semantic_omc_bsi_cdp.f_customer_label SET label_value = '0'
WHERE label_code = 'hv_tt_noti_apps' and customer_id = '7759728'; Thanks a.</t>
  </si>
  <si>
    <t>[SOUNDBOX][PROD] Insert user cho đối tác test</t>
  </si>
  <si>
    <t>2025-08-11T15:31:44.403+0700</t>
  </si>
  <si>
    <t>2025-08-11T15:31:51.133+0700</t>
  </si>
  <si>
    <t>Nhờ anh thực hiện giúp em scrip dưới đây Server:  pay-tidb.int.onemount.com:4000 DB: vinpay_soundbox_mqtt_user INSERT INTO vinpay_soundbox_mqtt_user.mqtt_acl
    (username, clientid, action, permission, topic)
VALUES ('382408268899001', '382408268899001', 'all', 'allow', '/ota/Xs8EvBvpy9vrEJJx/382408268899001/user/log'),
       ('382408268899001', '382408268899001', 'all', 'allow', '/ota/Xs8EvBvpy9vrEJJx/382408268899001/update'),
       ('382408268899001', '382408268899001', 'all', 'allow', '/ota/device/connection/382408268899001/state')
;</t>
  </si>
  <si>
    <t>[OMRE][CBP]Xin cấp quyền Drop Table, Change Index, Primary Key cho Database [omre_cdp_core_dev]</t>
  </si>
  <si>
    <t>2025-08-11T14:28:27.508+0700</t>
  </si>
  <si>
    <t>2025-08-11T14:37:54.512+0700</t>
  </si>
  <si>
    <t>Môi trường development, thay đổi thường xuyên các table và primary. Xin cấp quyền để change manual các primary, column và drop các table bị dư thừa.  url: jdbc:mysql://tidb.int.onemount.dev:4000/omre_cdp_core_dev username: omre_cdp_core_dev</t>
  </si>
  <si>
    <t>Thu thông đầy đủ các thông tin Database hiện có của MAG để DBA có thể truy cập và quản trị</t>
  </si>
  <si>
    <t>2025-08-11T09:54:46.598+0700</t>
  </si>
  <si>
    <t>2025-08-25T12:35:19.298+0700</t>
  </si>
  <si>
    <t>2025-08-09T12:49:02.742+0700</t>
  </si>
  <si>
    <t>2025-08-18T14:37:03.241+0700</t>
  </si>
  <si>
    <t>Các bảng cần move data sang COLD, sau đó archive lên GCS: TRANSACTION_HISTORY_ATTRIBUTE TRANSACTION_HISTORY POINT_TRANSACTION COUNTER_TRANSACTION_HISTORY 3 bảng TRANSACTION_HISTORY, POINT_TRANSACTION, COUNTER_TRANSACTION_HISTORY :  Trên môi trường PROD (HOT), Giữ lại data đầy đủ của 6 tháng gần nhất. (tháng n-1, n-2, n-3, n-4, n-5, n-6). Trên môi trường COLD, sẽ có data lịch sử (history 6 tháng tiếp theo) n-7, n-8, n-9, n-10, n-11, n-12. Ví dụ, hiện tại là tháng 8/2025, thì data giữ lại ở db chính PROD là tháng 7/2025, 6/2025, 5/2025, 4/2025, 3/2025, 2/2025. Các tháng lịch sử khác (history 6 tháng tiếp theo) sẽ khai thác trên db COLD: tháng 1/2025, 12/2024, 11/2024, 10/2024, 9/2024, 8/2024 Bảng TRANSACTION_HISTORY_ATTRIBUTE  : Tháng hiện tại là tháng n.  Trên DB chính PROD (HOT), giữ lại data đầy đủ của 3 tháng gần nhất (tháng thứ n-1,n-2,n-3 sau tháng hiện tại). Các data tháng thứ n-4,n-5,n-6 sau tháng n hiện tại thì chuyển sang db COLD.) Ví dụ, hiện tại là tháng 8/2025, thì data giữ lại ở db chính PROD là tháng 7/2025, 6/2025, 5/2025. Các tháng 4/2025, 3/2025, 2/2025 sẽ khai thác trên db COLD.</t>
  </si>
  <si>
    <t>2025-08-09T12:48:43.038+0700</t>
  </si>
  <si>
    <t>2025-08-18T14:39:14.277+0700</t>
  </si>
  <si>
    <t>Giữ nguyên các partition,chỉ DELETE xóa data theo điều kiện where là:  status = 'F'  and transaction_time đủ full  1 tháng  gần nhất Ví dụ, hiện tại tháng 8/2025, thì sẽ thực hiện DELETE Xóa data có: status = 'F' and transaction_time &lt; to_date('01/07/2025','dd/MM/yyyy')</t>
  </si>
  <si>
    <t>2025-08-09T12:46:45.165+0700</t>
  </si>
  <si>
    <t>2025-08-12T00:07:46.211+0700</t>
  </si>
  <si>
    <t>[OMC][PS2][Loyalty][PROD] - Thực hiện archive dữ liệu history cho DB Loyalty - Tháng 8/2025</t>
  </si>
  <si>
    <t>2025-08-09T11:17:00.112+0700</t>
  </si>
  <si>
    <t>2025-08-18T14:39:35.598+0700</t>
  </si>
  <si>
    <t xml:space="preserve">Team DBA cần thực hiện archive dữ liệu lịch sử của 1 số bảng lớn trong DB LOYALTY, để tối ưu dung lượng lưu trữ data , tránh để data lưu trữ quá lớn trong DB dẫn tới chi phí phần cứng tăng và giảm hiệu suất IO khi truy xuất data lớn. Quy định về thời gian lưu trữ data (dự án đã confirm với TCB qua email): Live data tier: không TTL expired bất kể dữ liệu nào Backup tier: Thực hiện backup full 2 lần/tuần và incremental các ngày còn lại Archiving tier:  Dữ liệu Archive được thực hiện 6 tháng/lần và store với retention là 365 days Kế hoạch thực hiện archive dữ liệu history của DB Loyalty , thực hiện trong  tháng 8 năm 2025 Các bảng cần lưu trữ data và thực hiện xóa data history: Tables Partition column Life time Note KAFKA_AUDIT_TRAIL_PRODUCT_INFO CREATED_AT 1 month   KAFKA_AUDIT_TRAIL_CARD_INFO CREATED_AT 1 month   KAFKA_AUDIT_TRAIL_CUSTOMER_PROFILE CREATED_AT 1 month   KAFKA_AUDIT_TRAIL_EARN_TRANSACTION CREATED_AT 1 month   KAFKA_AUDIT_TRAIL_EARN_EVENT CREATED_AT 1 month   TIER_HISTORY CREATED_AT 6 month   POINT_TRANSACTION_ACCOUNT_BALANCE CREATED_AT 6 month Từ tháng 5/2025,  tạm dừng ko xóa data history bảng này nữa , để CNSP review lại xem có dùng dữ liệu quá 6 tháng ko? PAY_WITH_POINT_TRANSACTION_HISTORY TRANSACTION_TIME Giữ nguyên các partition,chỉ DELETE xóa data theo điều kiện where là:  status = 'F'  and transaction_time đủ full  1 tháng  gần nhất Ví dụ, hiện tại tháng 8/2025, thì sẽ thực hiện DELETE Xóa data có: status = 'F' and transaction_time &lt; to_date('01/07/2025','dd/MM/yyyy') TRANSACTION_HISTORY_ATTRIBUTE CREATED_AT 3 month Tháng hiện tại là tháng n. Trên DB chính PROD (HOT), giữ lại data đầy đủ của 3 tháng gần nhất (tháng thứ n-1,n-2,n-3 sau tháng hiện tại). Các data tháng thứ n-4,n-5,n-6 sau tháng n hiện tại thì chuyển sang db COLD.) Ví dụ, hiện tại là tháng 8/2025, thì data giữ lại ở db chính PROD là tháng 7/2025, 6/2025, 5/2025. Các tháng 4/2025, 3/2025, 2/2025 sẽ khai thác trên db COLD. TRANSACTION_HISTORY TRANSACTION_TIME 6 month Trên môi trường PROD (HOT), Giữ lại data đầy đủ của 6 tháng gần nhất. (tháng n-1, n-2, n-3, n-4, n-5, n-6). Trên môi trường COLD, sẽ có data lịch sử (history 6 tháng tiếp theo) n-7, n-8, n-9, n-10, n-11, n-12. Ví dụ, hiện tại là tháng 8/2025, thì data giữ lại ở db chính PROD là tháng 7/2025, 6/2025, 5/2025, 4/2025, 3/2025, 2/2025. Các tháng lịch sử khác (history 6 tháng tiếp theo) sẽ khai thác trên db COLD: tháng 1/2025, 12/2024, 11/2024, 10/2024, 9/2024, 8/2024 POINT_TRANSACTION TRANSACTION_TIME 6 month Trên môi trường PROD (HOT), Giữ lại data đầy đủ của 6 tháng gần nhất. (tháng n-1, n-2, n-3, n-4, n-5, n-6). Trên môi trường COLD, sẽ có data lịch sử (history 6 tháng tiếp theo) n-7, n-8, n-9, n-10, n-11, n-12. Ví dụ, hiện tại là tháng 8/2025, thì data giữ lại ở db chính PROD là tháng 7/2025, 6/2025, 5/2025, 4/2025, 3/2025, 2/2025. Các tháng lịch sử khác (history 6 tháng tiếp theo) sẽ khai thác trên db COLD: tháng 1/2025, 12/2024, 11/2024, 10/2024, 9/2024, 8/2024 COUNTER_TRANSACTION_HISTORY CREATED_AT 6 month "Trên môi trường PROD (HOT), Giữ lại data đầy đủ của 6 tháng gần nhất. (tháng n-1, n-2, n-3, n-4, n-5, n-6). Trên môi trường COLD, sẽ có data lịch sử (history 6 tháng tiếp theo) n-7, n-8, n-9, n-10, n-11, n-12. Ví dụ, hiện tại là tháng 8/2025, thì data giữ lại ở db chính PROD là tháng 7/2025, 6/2025, 5/2025, 4/2025, 3/2025, 2/2025. Các tháng lịch sử khác (history 6 tháng tiếp theo) sẽ khai thác trên db COLD: tháng 1/2025, 12/2024, 11/2024, 10/2024, 9/2024, 8/2024". select /*+ parallel(8) */ count(*) from OLOYALTY.COUNTER_TRANSACTION_HISTORY; -- Jun25: 1.520.303.133, Jul25: 1.259.376.421 COUNTER_HISTORY CREATED_AT Không xóa data select /*+ parallel(8) */ count(*) from OLOYALTY.COUNTER_HISTORY; -- Jun25: 1.239.192.444, Jul25: 1.241.861.674, Aug25: 1.243.737.744 Chạy Gather statistic + rebuild index bảng COUNTER_HISTORY                 Các bảng theo dõi thông tin:       MEMBER_ATTRIBUTE Không tạo partition có thể xoá các bảng ghi có status = 'I' Rà soát theo mỗi quý 1 lần. Khi tỉ lệ số rows STATUS = 'I' chiếm khoảng 20% số row của bảng thì thực hiện DELETE bớt data có STATUS = 'I' select /*+ parallel(8) */ count(*) from OLOYALTY.MEMBER_ATTRIBUTE; -- Jun25: 560.105.939, Jul25: 695.144.706, Aug24: 717.918.360  select /*+ parallel(8) */ count(*) from OLOYALTY.MEMBER_ATTRIBUTE where STATUS = 'A'; -- Jun25: 481.554.836, Jul25: 486.579.735, Aug24: 504.987.882  select /*+ parallel(8) */ count(*) from OLOYALTY.MEMBER_ATTRIBUTE where STATUS = 'I'; -- Jun25: 78.551.104, Jul25: 208.564.989, Aug24: 212.930.565   Phương án làm archive data cho các bảng này: export các partition vi phạm thời gian lưu trữ data life time ONLINE Lưu trữ các partition đã export lên GCS (thời gian lưu trữ trên GCS là 1 năm). Các dữ liệu nào cần khai thác trên COLD, thì sẽ import sang db COLD. Drop các partition đã export + archived trên DB PROD Chạy lại gather statistic cho bảng vừa drop partition (có thể để DB auto chạy cũng được) Link CR:   </t>
  </si>
  <si>
    <t>[OMRE][CBP] Tạo scheme cho service mới - Calendar</t>
  </si>
  <si>
    <t>2025-08-08T14:19:54.690+0700</t>
  </si>
  <si>
    <t>2025-08-08T14:50:38.009+0700</t>
  </si>
  <si>
    <t>hello ae. Nhờ ae DBA tạo schema như sau: Host:172.31.0.67 Database: omre_cbp_callendar_uat Đồng thời tạo thêm một user chỉ có quyền read. omre_cbp_callendar_read_uat thanks a/e.</t>
  </si>
  <si>
    <t>Yêu cầu xuất Data trên DB OMS PROD ạ</t>
  </si>
  <si>
    <t>2025-08-08T11:17:18.696+0700</t>
  </si>
  <si>
    <t>2025-08-08T14:55:56.654+0700</t>
  </si>
  <si>
    <t>gcp project: vinid-b2b-platform-prod instance_name: b2b-commerce instanceIP: 172.31.4.113 dbname: b2b_oms_prod Nhờ a xuất giúp e full data trong bảng C2LItem của DB trên để phục vụ cho việc xử lý DVHC sắp tới ạ</t>
  </si>
  <si>
    <t>2025-08-08T11:03:51.835+0700</t>
  </si>
  <si>
    <t>2025-08-08T11:04:04.877+0700</t>
  </si>
  <si>
    <t>Hi anh Nhờ anh chạy các script sau giúp em trên: PROD  vào lúc sau khi ticket được  approval  ạ Thông tin database: Prod : project: vinid-service-platform-prod
instance: common
Master IP: 172.31.1.102
slave IP: 172.31.1.181
db: admin_service CR:   https://vinid-team.atlassian.net/servicedesk/customer/portal/15/SH-66208?created=true Thêm quyền mới cho module Discount Transaction (Read, Update)   SELECT @service_id := id FROM service WHERE code = 'discount_management';
INSERT INTO module (name, code, service_id) VALUES('Discount Transaction', 'discount_transaction', @service_id);
SET @module_id = LAST_INSERT_ID();
INSERT INTO permission (module, name, code, new_code, new_name, module_id) VALUES ('discount_transaction', 'View', 1000, 1000, 'View', @module_id);
INSERT INTO permission (module, name, code, new_code, new_name, module_id) VALUES ('discount_transaction', 'Edit', 1002, 1002, 'Edit', @module_id);</t>
  </si>
  <si>
    <t>Hỗ trợ tạo dữ liệu mở mới kho 8122 - An Giang 02</t>
  </si>
  <si>
    <t>2025-08-08T11:03:17.865+0700</t>
  </si>
  <si>
    <t>2025-08-08T21:21:35.781+0700</t>
  </si>
  <si>
    <t>Hi DBA team,  Hiện tại nghiệp vụ có nhu cầu mở mới kho  8122 - An Giang 02,  nhờ team DBA hỗ trợ cập nhật giá trị theo thông tin dưới đây   Cụm WMS Project : vinid-b2b-platform-prod Instance/IP : main (read-write): 172.31.4.59 Port : 3306 Database : omd_wms_core Script : file  omd_wms_core_8122.sql  trong file đính kèm Cum WES Project : vinid-b2b-platform-prod Instance/IP : main (read-write): 172.31.1.143 Port : 3306 Database : wes_master Script : file  wes_master_8122.sql  trong file đính kèm Câu query đánh giá là có thể ảnh hưởng đến vận hành hệ thống nên mong muốn chạy vào thời gian vận hành thấp điểm (từ 22h-2h sáng).</t>
  </si>
  <si>
    <t>[OMRE][Kafka][NON-PROD][CDP] Tạo kafka topic cho bảng ở db omre_cbp_activity_uat</t>
  </si>
  <si>
    <t>2025-08-08T09:34:54.489+0700</t>
  </si>
  <si>
    <t>2025-08-08T09:35:31.370+0700</t>
  </si>
  <si>
    <t>Dear các anh. Team CDP đang có nhu cầu kéo dữ liệu từ CBP UAT về DP Non PROD phục vụ việc build model. Nhờ team DBA hỗ trợ tạo topic theo thông tin sau: Database:  omre_cbp_activity_uat Môi trường: Non PROD. Host:  172.31.0.67 Port: 3306 Table: task_templates Thanks and regards!</t>
  </si>
  <si>
    <t>[OMC][DP][Kafka][NON-PROD] V/v tạo topic bảng mới</t>
  </si>
  <si>
    <t>2025-08-08T09:34:25.848+0700</t>
  </si>
  <si>
    <t>2025-08-11T09:50:17.682+0700</t>
  </si>
  <si>
    <t>Dear Linh, Để triển khai lấy dự liệu theo yêu cầu của TCB nhờ em hỗ trợ tạo giúp anh topic cho bảng sau trên oloyalty nonprod với nhé: OLOYALTY.PS2_EVENT_TOTAL_PV</t>
  </si>
  <si>
    <t>2025-08-08T07:18:13.710+0700</t>
  </si>
  <si>
    <t>2025-08-08T07:18:18.606+0700</t>
  </si>
  <si>
    <t>Nhờ các anh chạy giúp em script sau Thông tin DB:  tidb : mysql://pay-tidb.int.onemount.com:4000/saas_tpay ods :  http://tidb.int.onemount.com:4000/saas_tpay Thời gian chạy:  Sáng ngày 2025-08-08.  Gửi mail cho PO  @Lê Vũ Kim Khánh  và  @Nguyễn Minh Ngọc  trước  10h sáng   Chạy theo thứ tự order.  1. Update data  UPDATE SOUNDBOX_NOTIFICATION
SET received_at = FROM_UNIXTIME(
  UNIX_TIMESTAMP(sent_at) + 
  (
    (CONV(LEFT(MD5(CONCAT(transaction_id, NOW())), 12), 16, 10) % 501 + 700)
  ) / 1000
)
WHERE 
  TIMESTAMPDIFF(MICROSECOND, sent_at, received_at) / 1000 &gt; 12000
  AND connector_received_at &gt;= '2025-08-06 00:00:00'
  AND connector_received_at &lt; '2025-08-08 00:00:00'; 2. Export data  bản .xlsx thời gian có ms WITH st AS (SELECT *,
                   ROW_NUMBER() OVER (
                       PARTITION BY transaction_id, device_serial_number
                       ORDER BY updated_at DESC
                       ) AS rn
            FROM SOUNDBOX_NOTIFICATION
            WHERE transaction_id NOT LIKE 'TEST%'
              AND transaction_date_ts BETWEEN '2025-08-01 00:00:00' AND '2025-08-07 23:59:59')
SELECT st.transaction_id             as `Số FT`,
       st.device_serial_number       as  `Mã số thiết bị`,
       st.transaction_date_ts        as  `Ngày giao dịch`,
       st.qr_store                   AS `Mã QR cửa hàng`,
       st.connector_received_at      AS `Thời gian OM nhận thông báo`,
       st.sent_at                    AS `Thời gian OM gửi thông báo tới MQTT`,
       st.received_at                AS `Thời gian thiết bị phản hồi thông báo`
FROM st
WHERE rn = 1
  AND connector_received_at &gt;= '2025-08-01 00:00:00'
  and connector_received_at &lt; '2025-08-08 00:00:00'
ORDER BY created_at DESC;</t>
  </si>
  <si>
    <t>Xin quyền truy cập vào cụm database OMD CDP TiDB</t>
  </si>
  <si>
    <t>2025-08-07T17:07:28.154+0700</t>
  </si>
  <si>
    <t>2025-08-08T15:19:15.087+0700</t>
  </si>
  <si>
    <t>Hi  @Trần Trương Dương   Nhờ bạn phân quyền giúp vào cụm database CDP OMD với</t>
  </si>
  <si>
    <t>[LOYALTY] Tổng kết và Đề xuất Hành động Health Check &amp; Analysis Database Oracle</t>
  </si>
  <si>
    <t>2025-08-07T16:24:10.052+0700</t>
  </si>
  <si>
    <t>2025-08-29T12:30:26.455+0700</t>
  </si>
  <si>
    <t>Tổng kết Tình trạng (Summary) Hệ thống Oracle Database "Loyalty" đang có một số vấn đề nghiêm trọng về cấu hình cần được khắc phục ngay để đảm bảo hiệu năng và sự ổn định. Vấn đề Nghiêm trọng về Bộ nhớ (Memory): FAIL:  Tổng bộ nhớ đã cấp phát cho OS, HugePages, và PGA (142.8 GB)  vượt quá dung lượng vật lý  của máy chủ (125.7 GB). Đây là lỗi cấu hình  rất nghiêm trọng , có thể gây ra hiện tượng swapping, làm treo hệ thống và sụt giảm hiệu năng nặng nề. WARN:  Cấu hình  memlock  cho user  oracle  chưa tuân theo khuyến nghị. Mặc dù đã được thiết lập, giá trị này có thể chưa tối ưu so với kích thước SGA. Vấn đề Cấu hình Cấp Hệ điều hành và Cluster: CRITICAL:  Cấu hình bộ nhớ đệm cho việc tái lắp ráp các gói tin IP ( ipfrag_high_thresh ) thấp hơn rất nhiều so với khuyến nghị. Điều này có thể gây mất gói tin mạng khi tải cao, ảnh hưởng đến kết nối và hiệu năng của RAC. FAIL:  Các tiến trình quan trọng của Global Cache Fusion (LMS) không chạy ở mức ưu tiên cao, làm giảm hiệu suất giao tiếp giữa các node trong môi trường RAC. Vấn đề Cấu hình Database: Các bảng audit hệ thống ( AUD$  và  FGA_LOG$ ) chưa được cấu hình sử dụng Automatic Segment Space Management, có thể ảnh hưởng đến hiệu năng của tablespace  SYSTEM  hoặc  SYSAUX . Hệ thống đang sử dụng  DEFAULT Profile , điều này không phải là một thực hành tốt nhất về bảo mật và quản lý tài nguyên người dùng. Vấn đề về Bản vá (Patching): Hệ thống  chưa cài đặt bản vá quan trọng  "Patch 33912872" cho thành phần PERL, liên quan đến lỗ hổng bảo mật CVE-2022-23990. Đề xuất Hành động (Action Plan) Các hành động được sắp xếp theo mức độ ưu tiên từ cao xuống thấp. Ưu tiên 1: Khắc phục Ngay (Critical Actions) Điều chỉnh Cấp phát Bộ nhớ: Hành động:  Tính toán và  giảm ngay lập tức  kích thước của SGA (thể hiện qua  HugePages ) và/hoặc PGA ( pga_aggregate_target / limit ) sao cho tổng bộ nhớ dành cho Oracle và OS nhỏ hơn bộ nhớ vật lý. Lý do:  Đây là vấn đề cấp bách nhất để tránh nguy cơ hệ thống bị treo hoặc hiệu năng suy giảm nghiêm trọng do swapping. Tăng Ngưỡng Phân mảnh IP (IP Fragment Threshold): Hành động:  Chỉnh sửa file  /etc/sysctl.conf  để cập nhật các tham số  net.ipv4.ipfrag_high_thresh  và  net.ipv4.ipfrag_low_thresh  theo giá trị được khuyến nghị (3445728 kilobytes). Lý do:  Đảm bảo hệ thống xử lý lưu lượng mạng lớn một cách ổn định, tránh mất kết nối giữa các node. Nâng Mức ưu tiên cho Tiến trình LMS: Hành động:  Thực thi lệnh  alter system set "_high_priority_processes"="VKTM|LG*|LMS*"  để các tiến trình LMS chạy ở mức ưu tiên cao. Lý do:  Tối ưu hóa hiệu năng giao tiếp của Oracle RAC. Ưu tiên 2: Cần Thực hiện Sớm (High Priority) Cài đặt Bản vá Bảo mật PERL: Hành động:  Lên kế hoạch và cài đặt  Patch 33912872  theo tài liệu Doc ID 2584628.1. Lý do:  Vá lỗ hổng bảo mật đã được công bố (CVE-2022-23990). Tối ưu Cấu hình Memlock: Hành động:  Kiểm tra và điều chỉnh lại giá trị  soft/hard memlock  trong file  /etc/security/limits.conf  cho user  oracle  để đảm bảo nó lớn hơn hoặc bằng kích thước SGA sau khi đã điều chỉnh ở bước 1. Lý do:  Giữ cho SGA luôn nằm trên RAM vật lý, tránh bị swap ra disk. Ưu tiên 3: Khuyến nghị Thực hành Tốt nhất (Best Practices) Chuyển Bảng Audit sang SYSAUX: Hành động:  Sử dụng package  DBMS_AUDIT_MGMT  để chuyển các bảng  AUD$  và  FGA_LOG$  sang tablespace  SYSAUX  và bật Automatic Segment Space Management. Lý do:  Cải thiện hiệu năng quản lý audit và giảm tải cho tablespace  SYSTEM . Tạo Profile Riêng cho Ứng dụng: Hành động:  Tạo một Database Profile mới với các chính sách mật khẩu và giới hạn tài nguyên phù hợp, sau đó gán cho các user của ứng dụng. Lý do:  Tăng cường bảo mật và quản lý tài nguyên tốt hơn thay vì dùng profile mặc định.</t>
  </si>
  <si>
    <t>[LOYALTY] Thực hiện kiểm tra OS log và Database log và đưa ra khuyến nghị</t>
  </si>
  <si>
    <t>2025-08-07T16:23:50.031+0700</t>
  </si>
  <si>
    <t>2025-09-01T10:56:45.898+0700</t>
  </si>
  <si>
    <t xml:space="preserve">[root@oneloyalty-oracle-standby ~]# cat /etc/*release
NAME="Red Hat Enterprise Linux Server"
VERSION="7.9 (Maipo)"
ID="rhel"
ID_LIKE="fedora"
VARIANT="Server"
VARIANT_ID="server"
VERSION_ID="7.9"
PRETTY_NAME="Red Hat Enterprise Linux Server 7.9 (Maipo)"
ANSI_COLOR="0;31"
CPE_NAME="cpe:/o:redhat:enterprise_linux:7.9:GA:server"
HOME_URL="https://www.redhat.com/"
BUG_REPORT_URL="https://bugzilla.redhat.com/"
REDHAT_BUGZILLA_PRODUCT="Red Hat Enterprise Linux 7"
REDHAT_BUGZILLA_PRODUCT_VERSION=7.9
REDHAT_SUPPORT_PRODUCT="Red Hat Enterprise Linux"
REDHAT_SUPPORT_PRODUCT_VERSION="7.9"
Red Hat Enterprise Linux Server release 7.9 (Maipo)
Red Hat Enterprise Linux Server release 7.9 (Maipo)
[root@oneloyalty-oracle-standby ~]# 
[root@oneloyalty-oracle-standby ~]# cat /etc/hosts
127.0.0.1   localhost localhost.localdomain localhost4 localhost4.localdomain4
::1         localhost localhost.localdomain localhost6 localhost6.localdomain6
10.255.24.128 oracle-oem.asia-east1-b.c.vinid-app-monitor-prod.internal oracle-oem oracle-oem.asia-east1-b.c.vinid-t24-prod.internal
10.255.23.118 oneloyalty-oracle-standby.asia-east1-c.c.oneid-loyalty-core-prod.internal oneloyalty-oracle-standby  # Added by Google
169.254.169.254 metadata.google.internal  # Added by Google
[root@oneloyalty-oracle-standby ~]# 
</t>
  </si>
  <si>
    <t>[LOYALTY] Thực hiện phân tích file AHF đưa ra khuyến nghị cần thiết</t>
  </si>
  <si>
    <t>2025-08-07T16:23:30.220+0700</t>
  </si>
  <si>
    <t>2025-09-01T10:56:43.595+0700</t>
  </si>
  <si>
    <t>Phân tích Báo cáo từ AHF &amp; Đưa ra Khuyến nghị Mục tiêu:  Dựa trên kết quả phân tích của AHF để xác định các điểm cần cải thiện. Các hạng mục phân tích chi tiết: Cấu hình Hệ điều hành (OS): Tham số kernel. Các gói phần mềm (packages) còn thiếu hoặc sai phiên bản. Cấu hình bộ nhớ và lưu trữ. Cấu hình Oracle Grid Infrastructure &amp; Clusterware: Các cấu hình sai lệch trong môi trường RAC (Real Application Clusters). Vấn đề về kết nối mạng và lưu trữ chung (shared storage). Cấu hình Cơ sở dữ liệu (Database): Tham số khởi tạo (init parameters). Quản lý không gian lưu trữ. Tình trạng các bản vá (patches). Các vấn đề liên quan đến bảo mật. Khuyến nghị theo Thực hành tốt nhất (Best Practices): So sánh cấu hình hiện tại với kiến trúc MAA (Maximum Availability Architecture) của Oracle. Chuẩn bị cho việc Nâng cấp: Liệt kê các kiểm tra có trạng thái "FAIL" (Lỗi) hoặc "WARNING" (Cảnh báo) cần khắc phục trước khi nâng cấp. Bản vá và Cập nhật: Kiểm tra và đề xuất cài đặt các bản vá bảo mật quan trọng.  </t>
  </si>
  <si>
    <t>[LOYALTY] Thực hiện install Autonomous Health Framework (Latest version) - Released July 2025</t>
  </si>
  <si>
    <t>2025-08-07T16:23:00.529+0700</t>
  </si>
  <si>
    <t>2025-08-16T11:33:47.627+0700</t>
  </si>
  <si>
    <t>[root@oneloyalty-oracle-primary bin]# ./orachk Clusterware stack is running from /u01/app/grid/19c. Is this the correct Clusterware Home?[y/n][y] y List of running databases oneloyaltydb None of above Select databases from list for checking best practices. For multiple databases, select 1 for All or comma separated number like 1,2 etc [1-2][1]. 1 .  . .  . Checking Status of Oracle Software Stack - Clusterware, ASM, RDBMS .  .  . . . . .  .  .  . . . .  .  .  .  .  .  .  .  .  .  .  .  .                                              Oracle Stack Status Host Name       CRS Installed       ASM HOME  RDBMS Installed    CRS UP       ASM UP  RDBMS UP    DB Instance Name oneloyalty-oracle-primary  Yes          Yes          Yes          Yes      Yes      Yes        oneloyaltydb Copying plug-ins . . .  .  .  .  .  . Either Cluster Verification Utility pack (cvupack) does not exist at /opt/oracle.ahf/common/cvu or it is an old or invalid cvupack Checking Cluster Verification Utility (CVU) version at CRS Home - /u01/app/grid/19c This version of Cluster Verification Utility (CVU) was released on 14-Jan-2021 and it is older than 180 days. It is highly recommended that you download the latest version of CVU from MOS patch 30839369 to ensure the highest level of accuracy of the data contained within the report Do you want to download latest version of Cluster Verification Utility (CVU) from my oracle support? [y/n] [y] n Running older version of Cluster Verification Utility (CVU) from CRS Home - /u01/app/grid/19c *** Checking Best Practice Recommendations ( Pass / Warning / Fail ) *** . ============================================================ Node name - oneloyalty-oracle-primary . . . . . .  Collecting - ASM Disk Groups  Collecting - ASM Disk I/O stats  Collecting - ASM Diskgroup Attributes  Collecting - ASM disk partnership imbalance  Collecting - ASM diskgroup attributes  Collecting - ASM diskgroup usable free space  Collecting - ASM initialization parameters  Collecting - Active sessions load balance for oneloyaltydb database  Collecting - Archived Destination Status for oneloyaltydb database  Collecting - Cluster Interconnect Config for oneloyaltydb database  Collecting - Database Archive Destinations for oneloyaltydb database  Collecting - Database Files for oneloyaltydb database  Collecting - Database Instance Settings for oneloyaltydb database  Collecting - Database Parameters for oneloyaltydb database  Collecting - Database Properties for oneloyaltydb database  Collecting - Database Registry for oneloyaltydb database  Collecting - Database Sequences for oneloyaltydb database  Collecting - Database Undocumented Parameters for oneloyaltydb database  Collecting - Database Undocumented Parameters for oneloyaltydb database  Collecting - Database Workload Services for oneloyaltydb database  Collecting - Dataguard Status for oneloyaltydb database  Collecting - Files not opened by ASM  Collecting - Log Sequence Numbers for oneloyaltydb database  Collecting - Percentage of asm disk  Imbalance  Collecting - Process for shipping Redo to standby for oneloyaltydb database  Collecting - Redo Log information for oneloyaltydb database  Collecting - Standby redo log creation status before switchover for oneloyaltydb database  Collecting - /proc/cmdline  Collecting - /proc/modules  Collecting - CPU Information  Collecting - CRS active version  Collecting - CRS oifcfg  Collecting - CRS software version  Collecting - CSS Reboot time  Collecting - Cluster interconnect (clusterware)  Collecting - Clusterware OCR healthcheck  Collecting - Clusterware Resource Status  Collecting - Disk I/O Scheduler on Linux  Collecting - DiskFree Information  Collecting - DiskMount Information  Collecting - Huge pages configuration  Collecting - Interconnect network card speed  Collecting - Kernel parameters  Collecting - Linux module config.  Collecting - Maximum number of semaphore sets on system  Collecting - Maximum number of semaphores on system  Collecting - Maximum number of semaphores per semaphore set  Collecting - Memory Information  Collecting - Monthly recommended patches for Grid Infrastructure  Collecting - NUMA Configuration  Collecting - Network Interface Configuration  Collecting - Network Performance  Collecting - Network Service Switch  Collecting - OS Packages  Collecting - OS version  Collecting - Operating system release information and kernel version  Collecting - Oracle executable attributes  Collecting - Patches for Grid Infrastructure  Collecting - Patches for RDBMS Home  Collecting - Patches xml for Grid Infrastructure  Collecting - Patches xml for RDBMS Home  Collecting - RDBMS and GRID software owner UID across cluster  Collecting - RDBMS patch inventory  Collecting - Shared memory segments  Collecting - Table of file system defaults  Collecting - Voting disks (clusterware)  Collecting - number of semaphore operations per semop system call  Collecting - CRS Opatch version  Collecting - CRS user time zone check  Collecting - Clusterware patch inventory  Collecting - Collect Data Guard TFA Data  Collecting - Custom rc init scripts (rc.local)  Collecting - Database Server Infrastructure Software and Configuration  Collecting - Database details for Infrastructure  Collecting - Disk Information  Collecting - Grid Infastructure user shell limits configuration  Collecting - Interconnect interface config  Collecting - Linux system service and RAC process configuration  Collecting - Network interface stats  Collecting - Root user limits  Collecting - SHMAnalyzer to report potential Operating system resources usage  Collecting - UHC Agent User Shell Limits  Collecting - Verify ORAchk scheduler configuration  Collecting - Verify TCP Selective Acknowledgement is enabled  Collecting - Verify no database server kernel out of memory errors  Collecting - Verify the vm.min_free_kbytes configuration  Collecting - root time zone check  Collecting - slabinfo  Collecting - umask setting for GI owner Data collections completed. Checking best practices on oneloyalty-oracle-primary.  INFO =&gt;     ASM Important INFO  INFO =&gt;     Oracle database unified auditing recommendation for oneloyaltydb  WARNING =&gt;  Dedicated Tablespace for Unified Audit Trail for oneloyaltydb  INFO =&gt;     Oracle Data Pump Best practices  WARNING =&gt;  Monitoring AWR settings for oneloyaltydb  WARNING =&gt;  Monitoring stale statistics for oneloyaltydb  WARNING =&gt;  Verify nproc limit for Agent user  FAIL =&gt;     Verify loopback interface MTU size  INFO =&gt;     Most recent ADR incidents for /u01/app/oracle/product/19c  FAIL =&gt;     Verify Database Memory Allocation  WARNING =&gt;  Monitoring Recyclebin by Space consumption for oneloyaltydb  CRITICAL =&gt; Verify minimum memory used to reassemble IP fragments  CRITICAL =&gt; Verify maximum memory used to reassemble IP fragments  INFO =&gt;     Oracle GoldenGate failure prevention best practices  INFO =&gt;     SHMAnalyzer to report potential Operating system resources usage  INFO =&gt;     ASMLIB check  FAIL =&gt;     Verify the DEFAULT Profile Parameters for oneloyaltydb  FAIL =&gt;     Verify elevated priority for Global Cache Fusion processes for oneloyaltydb  UNDETERMINED =&gt;     Verify share memory segment persistence at logout  WARNING =&gt;  memlock and hugepages configuration  INFO =&gt;     Old log files in client directory in crs_home  INFO =&gt;     Check user_dump_destination for oneloyaltydb  INFO =&gt;     Alert log file size for oneloyaltydb  INFO =&gt;     Old trace files in background dump destination for oneloyaltydb  INFO =&gt;     Redo log Checkpoint not complete for oneloyaltydb  CRITICAL =&gt; Verify ORAchk scheduler configuration across cluster  WARNING =&gt;  Session Failover configuration for oneloyaltydb  WARNING =&gt;  Non-multiplexed redo logs for oneloyaltydb  INFO =&gt;     Listener log file rotation for oneloyaltydb  INFO =&gt;     Primary database protection with Data Guard for oneloyaltydb  WARNING =&gt;  Flashback database on primary for oneloyaltydb  INFO =&gt;     Storage Minimum Requirements for Grid &amp; Database Homes  WARNING =&gt;  Interconnect NIC bonding config.  WARNING =&gt;  VIP NIC bonding config.  WARNING =&gt;  Verify rman controlfile autobackup is set to ON for oneloyaltydb  WARNING =&gt;  ASM disk group compatible.rdbms attribute  FAIL =&gt;     Verify the Alternate Archive Destination is Configured to Prevent Database Hangs for oneloyaltydb  FAIL =&gt;     Check for Parameter db_lost_write_protect on oneloyaltydb instance  FAIL =&gt;     Database init parameter DB_BLOCK_CHECKING on primary for oneloyaltydb  WARNING =&gt;  cursor_obsolete_threshold hidden parameter for oneloyaltydb  INFO =&gt;     Operational Best Practices  INFO =&gt;     Database Consolidation Best Practices  INFO =&gt;     Computer failure prevention best practices  INFO =&gt;     Data corruption prevention best practices  INFO =&gt;     Logical corruption prevention best practices  INFO =&gt;     Database/Cluster/Site failure prevention best practices  INFO =&gt;     Client failover operational best practices  WARNING =&gt;  Check for Parameter fast_start_mttr_target on oneloyaltydb instance  INFO =&gt;     Hang and Deadlock material  WARNING =&gt;  VKTM priority for oneloyaltydb  WARNING =&gt;  Redo Log File Size for oneloyaltydb  FAIL =&gt;     Verify AUD$ and FGA_LOG$ tables use Automatic Segment Space Management for oneloyaltydb  INFO =&gt;     Database failure prevention best practices  WARNING =&gt;  Logical standby unsupported datatypes for oneloyaltydb  WARNING =&gt;  LOG_FILE_NAME_CONVERT for oneloyaltydb  INFO =&gt;     Primary database log_archive_config for oneloyaltydb  FAIL =&gt;     Data Guard broker configuration for oneloyaltydb  WARNING =&gt;  Check for Patch 33912872 /u01/app/oracle/product/19c  WARNING =&gt;  Check for Patch 33912872 /u01/app/grid/19c  INFO =&gt;     Optimizer bug fixes with disabled fix control In 19c for oneloyaltydb  INFO =&gt;     Software maintenance best practices  FAIL =&gt;     Verify the Fast Recovery Area (FRA) has reclaimable space for oneloyaltydb  INFO =&gt;     Oracle recovery manager(rman) best practices  WARNING =&gt;  Verify control_file_record_keep_time value is in recommended range for oneloyaltydb  INFO =&gt;     Database feature usage statistics for oneloyaltydb  WARNING =&gt;  Monitoring changes to schema objects for oneloyaltydb  WARNING =&gt;  session_cached_cursors parameter for oneloyaltydb  WARNING =&gt;  Monitoring waiter sessions for oneloyaltydb  WARNING =&gt;  Check for tainted kernel by non-Oracle modules and 3rd party security software installed from package A Cluster Verification Utility (CVU) Exception occurred while running CVU on node oneloyalty-oracle-primary. Orachk is skipping CVU results from node oneloyalty-oracle-primary. UPLOAD [if required] - /opt/oracle.ahf/data/oneloyalty-oracle-primary/orachk/user_root/output/orachk_oneloyalty-oracle-primary_oneloyaltydb_080825_155440.zip [root@oneloyalty-oracle-primary bin]#</t>
  </si>
  <si>
    <t>[LOYALTY] Thực hiện tìm hiểu &amp; đánh giá tổng quan về hệ thống database.</t>
  </si>
  <si>
    <t>2025-08-07T16:22:29.476+0700</t>
  </si>
  <si>
    <t>2025-08-29T12:19:04.917+0700</t>
  </si>
  <si>
    <t>Tìm hiểu &amp; Đánh giá Tổng quan Hệ thống (Overview) Mục tiêu: Hiểu rõ hiện trạng và cấu hình của hệ thống database LOYALTY. Chi tiết:  =&gt; Infrastructure Software and Configuration Summary =&gt;  Software Maintenance Best Practices</t>
  </si>
  <si>
    <t>[OMC] [LOYALTY] [PROD] Perform the Health Check &amp; Analysis Database Oracle LOYALTY</t>
  </si>
  <si>
    <t>2025-08-07T16:21:46.086+0700</t>
  </si>
  <si>
    <t>2025-09-01T10:56:59.813+0700</t>
  </si>
  <si>
    <t xml:space="preserve">[root@oneloyalty-oracle-standby ~]# cat /etc/*release NAME="Red Hat Enterprise Linux Server" VERSION="7.9 (Maipo)" ID="rhel" ID_LIKE="fedora" VARIANT="Server" VARIANT_ID="server" VERSION_ID="7.9" PRETTY_NAME="Red Hat Enterprise Linux Server 7.9 (Maipo)" ANSI_COLOR="0;31" CPE_NAME="cpe:/o:redhat:enterprise_linux:7.9:GA:server" HOME_URL=" https://www.redhat.com/ " BUG_REPORT_URL="  " REDHAT_BUGZILLA_PRODUCT="Red Hat Enterprise Linux 7" REDHAT_BUGZILLA_PRODUCT_VERSION=7.9 REDHAT_SUPPORT_PRODUCT="Red Hat Enterprise Linux" REDHAT_SUPPORT_PRODUCT_VERSION="7.9" Red Hat Enterprise Linux Server release 7.9 (Maipo) Red Hat Enterprise Linux Server release 7.9 (Maipo) [root@oneloyalty-oracle-standby ~]# </t>
  </si>
  <si>
    <t>2025-08-07T11:50:15.125+0700</t>
  </si>
  <si>
    <t>2025-08-07T11:50:22.813+0700</t>
  </si>
  <si>
    <t>Nhờ các anh chạy giúp em script sau Thông tin DB: mysql://pay-tidb.int.onemount.com:4000/saas_tpay Thời gian chạy:  23h59 06-08-2025 Export để phục vụ roolback khi cần.   SELECT * from SOUNDBOX_NOTIFICATION
where TIMESTAMPDIFF(MICROSECOND, sent_at, received_at) / 1000 &gt; 12000
  AND connector_received_at &gt;= '2025-07-06 00:00:00'
        AND connector_received_at &lt; '2025-08-06 00:00:00'; Câu lệnh update UPDATE SOUNDBOX_NOTIFICATION
SET received_at = FROM_UNIXTIME(
  UNIX_TIMESTAMP(sent_at) + 
  (
    (CONV(LEFT(MD5(CONCAT(transaction_id, NOW())), 12), 16, 10) % 501 + 700)
  ) / 1000
)
WHERE 
  TIMESTAMPDIFF(MICROSECOND, sent_at, received_at) / 1000 &gt; 12000
  AND connector_received_at &gt;= '2025-07-06 00:00:00'
  AND connector_received_at &lt; '2025-08-06 00:00:00';</t>
  </si>
  <si>
    <t>[OMC] Flash Sale</t>
  </si>
  <si>
    <t>2025-08-07T09:52:19.833+0700</t>
  </si>
  <si>
    <t xml:space="preserve">Flash Sales OMC PIC, thông báo các bên, service ảnh hưởng:    Ghi nhận thông tin cấu hình DB, k8s, redis, elk, kong … :   </t>
  </si>
  <si>
    <t xml:space="preserve">[MTP][ODS] Request chạy script insert </t>
  </si>
  <si>
    <t>2025-08-06T22:23:55.520+0700</t>
  </si>
  <si>
    <t>2025-08-07T09:22:05.345+0700</t>
  </si>
  <si>
    <t>Nhờ a chạy giúp em file script sau ở ODS Prod ạ: DB:  tidb.int.onemount.com:4000 Schema:  dp_omc_semantic_omc_bsi_cdp Em cảm ơn ạ</t>
  </si>
  <si>
    <t>[TMS][Prod] Execute sql migration script for Golive TMS Sprint LOG S90 (06/08/2025)</t>
  </si>
  <si>
    <t>2025-08-06T19:54:29.484+0700</t>
  </si>
  <si>
    <t>2025-08-06T22:33:55.638+0700</t>
  </si>
  <si>
    <t>Nhờ team thực hiện migration sql cho các database sau: Thực hiện trước 22h ngày 06/08/2025 Databasse:  omd_tms_planning_prod (SQL instance tms-mysql-01 (Private IP: 172.31.4.129)  https://console.cloud.google.com/sql/instances/tms-mysql-01/overview?project=onedc-tms-prod ): v1.21.0_TMS_Portal_MySQL_LOG S90.sql</t>
  </si>
  <si>
    <t>[UPay][PROD] Script cấu hình kết nối dịch vụ QR247 cho merchant Eduvator</t>
  </si>
  <si>
    <t>2025-08-06T12:14:34.306+0700</t>
  </si>
  <si>
    <t>2025-08-06T12:14:40.549+0700</t>
  </si>
  <si>
    <t>Hi team, Merchant Eduvator chuẩn bị golive tích hợp QR247, nhờ cách anh DBA chạy giúp em script cấu hình cho merchant này. Thông tin DB:  pay-tidb.int.onemount.com:4000/saas_tpay Script: 
INSERT INTO PARTNER (client_id, name, public_key, enable, merchant_code)
VALUES ('xvLdoOBEqtmNJQZGtlMagNPHYsvoprsY', 'Eduvator', '-----BEGIN PUBLIC KEY-----
MIIBIjANBgkqhkiG9w0BAQEFAAOCAQ8AMIIBCgKCAQEAvd+AamXOZKaX+k/ahgBy
AYuoJRJlGX8y/IjnWcazSevjsfj2KQVDOeUCD9qi5dv5+pT5lwZLguItrFiqMZ/J
2TjB5cZGZtEAm4vWW6qAyGouLLv682PMg/3rlE7NcSgkMcpG+8z0dhGaIlMmXzng
z6MaIwnXoM3sj6trhyOVHAgOsv/UobjsjIyUUHTfFh5seUOqjYT3qGR445YRpXWM
Q4XCNIsHWQ0m93wrdRuyyIYBH3gJHO1f5Ndg9K3IR+wRLJeAEpnzogqP6Bi9a/G/
b4rIY8XQSYe7qvSQPyRZTIJCOuaTZWkeNotae+Syt5JRZwY2k6Jyw+bhPMcmmyrB
CQIDAQAB
-----END PUBLIC KEY-----
', 1, '30271003');
INSERT INTO MERCHANT_RECONCILE
(merchant_code,
 tenant,
 enable,
 sftp_folder,
 pgp_public_key_base64,
 pgp_partner_id,
 days_to_subtract,
 max_records_per_file)
VALUES ('30271003',
        'OME',
        '1',
        '/eduvator',
        'eHNGTkJHaUlmMGNCRUFETnFkRTN5UVNCMW1XZHBCVm43Y0owQnU0cmJRV1U1SWpJc29rTWMvbTU4ejBLCkhoRW5xZjE5VVdsbk1Qem1QK0U0Mmg4bnp4S3I2ZG4wM1MwQ3Jzamc2cHdmcHU1OFRpZ3V4T1hBK3ZhSAo3ZW1YMHcrWmh1bm5lSWVYT1JTb3V4aFFHcUx1MkJ1TkU2ZTN6b0ZabjJkNFhTLzcvWmtrYlJSSEZ5NEIKeXU1VjExNnp0eWk0Z2Z2NDh6aklFQXhGVEptbS9kaWE0T0dCUG5wZ0ZDRzlFT2tqR2FhRlBhbjFIeUtCCndjdElBOTFpNzZnZ2NteHBQR0NQUWlzK0ZrcjJkdWZQZjA1TVl3YVJCVFc1U2FoQnE4MWRlWnNzZVpaRwp2RW0wMzR1K0NCRDZTZmllTlExSHFadHJaTUozOW9xYThFMVVDbFd5UUtVaSt0ZHJSNFNpZFJmdEFVQzMKZG44NE1OZVQ1cFc2VGZGM3FuU0Vlbm1kNkJ2M1ZDVEt2V2ZLM2NjQ0Zaem94Mk5ZNFVzaTJvS2YwTzdrCjkrWEJqN1owVWN4bkFGN2E2ak5UYUxxaFZId0Y1MThEajh0OVMydWdRT0VCTDdUQnJHOS9pWGZrV0sxbAprQWxkdGtCcjl4R2tVSUNaSForTlV2UG1INmNUdDFyWEFXYURXMWpwZ2NGOEszNVllQllNalJGL2Z5MUoKVUdwdzZYS3gvVjdSdjFKbFREYThhcS9Jb21oS1VPVFJHcU5ncFM1QlhYZ3NXdUZhV3hBaHk1bmxvWGl0Cms4MEFDLzNBLzBmQjZhNk5Vdlk2KzdzUWJXVU9VYzEvL3BhUVBxMjh3RThpWC9nOHNEU01Qa0dTV0FVegpRVzQ2N2VNVGJoTmxLdEJEY1orNk9EUHV5ZjRYdlZOT21iS2VCUUFSQVFBQnpSbGFhVzFBWTJGRVpXMTUKSUR4aFpHMXBia0I2YVcwdWRtNCt3c0dLQkJBQkNBQStCWUpvaUg5SEJBc0pCd2dKa0U3OVc5T1FDMHBFCkF4VUlDZ1FXQUFJQkFoa0JBcHNEQWg0QkZpRUVFZEVuNi9oOUlBdjExdTByVHYxYjA1QUxTa1FBQUdrRwpFQUNZMjNmdi83TkErcnJVY2IvYkF2YnA5RlI1RGJlNzBvaE5IcjAvOUp1amVPdm4raXFYbVpKaHVFOEsKMVlBbHdPallCcldGMnR1Z0VyRksyRjdJNnBPSFlueXptejVLM04yTXQrOUZJTk94dnluOGhLRlE2OHBmCnVBelBqcGMyamdxV1B4Y2tKYTdSblQvcW5vcVV5ekV0MVBUKzJlSG81K05lWmx2VXcwYXFBbVVXUEx2SgpVZGcxMEYrRURRY3RxZ0taU1p0d0NQanBTRC84WnJoVEtxMjBxY0g2L2NLY052aGl1V0VtUG81cmpoZUcKWGpRa3BYWHc0U1o5M2h2K1hoajQvOHdiUnlQUjVkVUJGZ2YzWGVtMm50SUFROUZPVGNzUTUxWE9NaUhlCkN3eXJnTXVRc0ZmaEV5TEZib0hZS3YvRmFBSUhoZDc3bThqcWs0cCszODVCVjJld1JXS2NEVzNBMXZ6MgpyVjFMc3l2THM4eUIyRmZacXlGNEk4NThQZWZsWWhLc00yM1NiR1Y2aThUOVdyNDg2TFR6S1B6M0FURnEKOHAxb0lDZXdJTEZ2N0t5NHhvb0tlK3dzcGx3OSt4UlpwbWszaXd1OFExMmc1VXdtOXRMdk5ocWpJdWRPCnY0VFFnUTlMNldIMzk1RjlZUzVyYklrbisyT3k2dTVMSjJWY2E2NzFsQ1RqMUVJc3l2bDExRzhlUVdCTwpieTlYYnZ3dzNjT1JsRVZFTzV2eFB1TTNaVkQzak4xSWFNZUphckZVMG9kUTd4UVdDY1FxTHRCaitRbzAKVDE4TE1TN2lPQVZ3ZlpsblhCWlFmejBLb2xhelFIUElGRXBYbTl3c0k5eFNjRm1tYitmNVh6TjZ6ZjQ0CkJUa1kzak9JUGlja09tM3Q4MXF4Mjl0UGpjN0JUUVJvaUg5SEFSQUFvZjFsZlNySmcrNnh3SUtuSnJpVworQ2VHeXlST3kxeThMVjljK1NqWDFIR3BpMDFsODlTWHNQdWVCSlBjT2JpM0JvSmYwN2QxSVhRcjFLY3MKY0N5R1ZvU3Z6c2V0UlU4UlZ2QXNlQ2dmYWFJTnNkVytBQzg5alhGNElBeC8xelpTL1NoWUFBMnNid0dSCkpZVWpxVkVjMENtTDlCa0hMcy9Lc09ISGk4WlZrdGk0V25NUjVHZ0luRUVrM0t5RzlHVzVDNzVWQTFuQQpIVDhoaUdwNHFLZGVoQUQ2VVY2eWlSb040c21UVUtqa1lUeGtySjU3UmtNVzRLUVhJUXpVVHphdVZIcmsKcGhuUzNSVzdtNkNnSStLUG84V0Jua0hpUTgvUWVoZkg1ZkQrOEdxUldES3QzcUpVUURkaURFOTNpY1B0CjZrT1V6aXhrbkpSK2N0cFpUUWpVU3Z0SjFiaXFjKzRSbEZWcE1hVU9RSUlyakIwTHcyMEdjWncrclFBcwpDZEdyeEladWM3ZnFQUWhib2hhWnNmRnl2RWFGUk1xaVUzQkFVQktCUEUwM3JDbEhBOG01ZElkS21QREgKTTVYcERSK2VIU1o4ckdKbkY4YzZVN1NUa2UyVW5BZnRmMUNPS3VoMXZXOFFOYS85WWEwSEE5RUpRVzJ3CmFpQUZEUWNIOHY0eHpmN1luZEpYUnRNV21HY2dPRk9iSTdLS1hSUC82YWpDSk5JN1Njbm9PakpPMDZoZwoyMWFKOHhCcmFmSkVnejcvTzdjZGY3K3lQK0g0Y1g0QWNXRTRQRWtjN0o0eVZ2Y0I4ektFWFFxeXdwV0YKSzVQVmlIZ2FaellWN0NyWUEzWkNqR3ZSYzY5OXpiYmdibWU3UXFRRFBpeFVubzlnZmdKMjRTL0FIZkM3ClRUOEFFUUVBQWNMQmRnUVlBUWdBS2dXQ2FJaC9Sd21RVHYxYjA1QUxTa1FDbXd3V0lRUVIwU2ZyK0gwZwpDL1hXN1N0Ty9WdlRrQXRLUkFBQWIrQVAvaU94cXNnZTN5aDJQTzVSQ3pUa1hzWFVkdVNkV3JKbXAxd04Ka3VQRHlzb0pGVlVRdm84eXlIeldXb0w1bS9uazBZY0NiUjNweXFVNnhvUXdDc2VwRUJFRC8yUWtVTlZZCmlHVkhkdVpHU3diTlZQRDdsK2xqUFpTS29HR0NjazNOUldOV21tL2lOazJrWkl2cHZsc1lrckM3NGc1VApRQ3dCa3psc0NiTlhqV0ZxYll0Tm1ESlNpNWdYUktOTkhjU2xjM3pJSlVHaFBtQlRwanRsRUxCSTB1T3oKTjl1R1lmck4wRnhhSlpHUjZyYXVGRFJ0cHFDSzBnYkNJL21zUTZSSVZ2RENzRk03cHVOSitBOFEwaWNmCm9Md0RmTzZvZktIVWJBMElhRkQ4K2ExNStRbjBNclBvejFHZmd3aTk2blhQMXJxT0YzajFEd0RDenRFNgo0VDlWRVFnZ2d2ZHJIR1BQVWxkM1lWdWRIOGVMcWd4N0lTaFh6UTFRWU5BNmR2U3VmeXN3ZUJhSno0NlcKcWdZTGRDQ3l4eFhJMXhMbUs3SFlCME4zeldvWDhpQXFFVzBvRHo2TVNsZlZHVzUxby9ueDdCb2Q2K080CkJ6QmpPMWRTb2xNQzVyM29JZm8vbmhDcTRvNk5iKzhZMTFtckRmVS9zZ2pDaHA0WXE2REt2RTVuaGFuQgpGVnN0YXVnam83M29hNmRWV2NkOUdEakNVaFJDbjN2WGNBdm1PbWZxNmgvZXBPUFR2VEhhbDhnV3RyMTEKN0RWaGo3NURGMHZ1NkFQTHQzWmI4RDlyWTZUeTVHY3ZwMlNVZnBLc1p6QzRpMjYvaEIwRjFGZHh2RmpICnk1bVpVMk93VVVrcVZ4eHVwdG5JcS9BRkVJZDI1UzRVQ09IMEpMT3pCT1BFNkFpbgo9allrZA==',
        'admin@zim.vn',
        '1',
        '10000'); =================================================================</t>
  </si>
  <si>
    <t xml:space="preserve">[UPAY] Tác động database hỗ trợ export file soundbox </t>
  </si>
  <si>
    <t>2025-08-06T11:16:58.851+0700</t>
  </si>
  <si>
    <t>2025-08-06T11:17:18.180+0700</t>
  </si>
  <si>
    <t>Nhờ các anh chạy giúp team script dưới phục vụ cho export data Thông tin db ODS:   tidb.int.onemount.com:4000/saas_tpay Thời gian thực hiện:   Ngay sau khi ticket được update  Câu sql :  WITH st AS (
      SELECT *,
        ROW_NUMBER() OVER (
          PARTITION BY transaction_id, device_serial_number
          ORDER BY updated_at DESC
        ) AS rn
      FROM SOUNDBOX_NOTIFICATION
      WHERE transaction_id NOT LIKE 'TEST%'
          AND transaction_date_ts  BETWEEN '2025-08-02 00:00:00' AND '2025-08-02 23:59:59'
    )
    SELECT  st.transaction_id as `Số FT`,
            st.device_serial_number `Mã số thiết bị`,
            st.transaction_date_ts `Ngày giao dịch`,
            st.message_data-&gt;&gt;'$.money' AS `Số tiền giao dịch`,
            'VND' AS `Loại Tiền`,
            st.customer_name AS `Tên nhà bán hàng`,
            st.store_name AS `Tên cửa hàng`,
            st.qr_store AS `Mã QR cửa hàng`,
            st.tcb_merchant_id `Mã TCB nhà bán hàng`,
            st.tcb_store_id `Mã TCB cửa hàng`,
            st.tcb_terminal_id `Mã TCB thiết bị`,
            st.status AS `Trạng thái thông báo`,
            st.error_message AS `Lý do noti thất bại`,
            ROUND(
               1000 * (
                   CASE
                       WHEN st.received_at IS NOT NULL
                           THEN TIMESTAMPDIFF(MICROSECOND, st.connector_received_at, st.received_at) / 1000000
                       ELSE TIMESTAMPDIFF(MICROSECOND, st.connector_received_at, st.sent_at) / 1000000
                       END
                   )
             ) AS `Thời gian OM xử lý thông báo`,
            st.connector_received_at AS `Thời gian OM nhận thông báo`,
            st.sent_at AS `Thời gian OM gửi thông báo tới MQTT`,
            st.received_at AS `Thời gian thiết bị phản hồi thông báo`
    FROM st
    WHERE rn = 1
    AND connector_received_at &gt;= '2025-08-02 09:30:00' and connector_received_at &lt;= '2025-08-02 10:30:00'
    ORDER BY created_at DESC;</t>
  </si>
  <si>
    <t>V/v tạo bảng trên ods cho dự án MVP</t>
  </si>
  <si>
    <t>2025-08-05T17:13:23.701+0700</t>
  </si>
  <si>
    <t>2025-08-05T17:13:33.726+0700</t>
  </si>
  <si>
    <t>Dear Dũng, Do yêu cầu thay đổi cấu trúc bảng của dự án MVP nhờ em tạo lại giúp anh 3 bảng trên ODS của môi trường trên product giống như cấu trúc bảng (bao gồm cả index, partition …) trên môi trường nonprod. Thông tin bảng trên nonprod: Host:  http://tidb.int.onemount.dev:4000/ Schema:  data_platform Table:  mvp_voucher_issued_serials ;  mvp_voucher_ticket ;  mvp_discount_transaction Thông tin production:  Host:  http://tidb.int.onemount.com:4000/ Schema:  data_platform Table:  mvp_voucher_issued_serials ;  mvp_voucher_ticket ;  mvp_discount_transaction</t>
  </si>
  <si>
    <t>[OMRE][Kafka][NON-PROD] Tạo kafka topic cho bảng ở db omre_cbp_listing_uat</t>
  </si>
  <si>
    <t>2025-08-05T14:56:32.112+0700</t>
  </si>
  <si>
    <t>2025-08-05T16:57:28.842+0700</t>
  </si>
  <si>
    <t>Dear các anh. Team CDP đang có nhu cầu kéo dữ liệu từ CBP UAT về DP Non PROD phục vụ việc build model. Nhờ team DBA hỗ trợ tạo topic theo danh sách sau: Database: omre_cbp_listing_uat Môi trường: Non PROD. Host: 10.255.134.172 Port: 27017 Table: + verification_results + listings + media Thanks and regards!</t>
  </si>
  <si>
    <t>[OMC][GAMI][PS2][Prod] Hỗ trợ xuất báo cáo vé tuần cho campaign Spin to Win tuần 15</t>
  </si>
  <si>
    <t>2025-08-05T14:22:12.417+0700</t>
  </si>
  <si>
    <t>2025-08-05T14:22:19.855+0700</t>
  </si>
  <si>
    <t>Hỗ trợ xuất báo cáo vé tuần cho campaign Spin to Win tuần 15 Host:  172.31.4.75 Db:  promo_gamezone Query: SELECT SUM(claim_amount) FROM `rule_logs` WHERE campaign_id = 51 &amp;&amp; reward_type='TURN' &amp;&amp; `status` = 'SUCCESS';
SELECT COUNT(DISTINCT(user_id)) FROM `rule_logs` WHERE campaign_id = 51 &amp;&amp; reward_type='TURN' &amp;&amp; `status` = 'SUCCESS';  </t>
  </si>
  <si>
    <t>[SOFTPOS] Xóa bản ghi thiết bị softpos bị trùng lặp của merchant test OFOOD</t>
  </si>
  <si>
    <t>2025-08-05T13:54:20.441+0700</t>
  </si>
  <si>
    <t>2025-08-05T13:54:26.910+0700</t>
  </si>
  <si>
    <t xml:space="preserve">Hi a  @Nguyễn Văn Dũng , Thông tin database:  pay-tidb.int.onemount.com:4000/saas_tpay DELETE from DEVICE_TERMINAL_SOFTPOS where merchant_code = 'OFOOD' and terminal_code = 'QTTOFOOD01' and id in ('1711362', '1716004'); Ticket CR:   </t>
  </si>
  <si>
    <t>[PROD] Tạo mới DB, tk DB cho service mới</t>
  </si>
  <si>
    <t>2025-08-04T11:54:22.562+0700</t>
  </si>
  <si>
    <t>2025-08-04T18:02:37.356+0700</t>
  </si>
  <si>
    <t>Dear anh Dương, Nhờ anh hỗ trợ team tạo db cho service mới với thông tin dưới đây ạ Project: oneu_e_invoice IP: 172.31.1.102 Các bước thực hiện:  Thông tin tạo mới DB DB name: e_invoice
username: e_invoice
password: anh gen rồi gửi SRE giúp em Sau khi tạo mới DB Thêm quyền realonly db  e_invoice  với user  oneu_platform_common_readonly  (đã có) Chạy các câu lệnh sau cho DB  e_invoice START TRANSACTION;
-- Tạo các bảng cho hệ thống E-Invoice dựa trên file XML
-- Bảng EInvoice (Hóa đơn điện tử)
CREATE TABLE EInvoice
(
    id             BIGINT AUTO_INCREMENT PRIMARY KEY,
    amount         DECIMAL(19, 2),
    arisingDate    DATETIME,
    businessDate   DATETIME,
    deliveryFee    DECIMAL(19, 2),
    deliveryNote   MEDIUMTEXT,
    isFirst        BOOLEAN   DEFAULT TRUE,
    isCancelled    BOOLEAN   DEFAULT FALSE,
    invoiceKey     VARCHAR(255),
    no             VARCHAR(255) NOT NULL,
    file_id        BIGINT,      -- Reference to DocumentMedia
    pattern        VARCHAR(255),
    serial         VARCHAR(255),
    type           ENUM ('SALE_ORDER_EINVOICE', 'RETURN_ORDER_EINVOICE', 'ADJUST_EINVOICE', 'REFUND_DELIVERY_FEE_EINVOICE'),
    fileId         BIGINT,
    status         ENUM ('ACTIVE', 'CANCELLED'),
    rmaId          BIGINT,      -- Reference to ReturnRequest
    createdBy      VARCHAR(255) NULL,
    modifiedBy     VARCHAR(255) NULL,
    pdfDownload    LONGTEXT  DEFAULT NULL,
    createdAt      TIMESTAMP DEFAULT CURRENT_TIMESTAMP,
    lastModifiedAt TIMESTAMP DEFAULT CURRENT_TIMESTAMP ON UPDATE CURRENT_TIMESTAMP,
    userId         VARCHAR(50), -- Reference to User
    orderCode      VARCHAR(255) -- Reference to User
);
-- Thêm index cho bảng EInvoice
CREATE INDEX EInvoice_invoiceKey_idx ON EInvoice (invoiceKey);
CREATE INDEX EInvoice_no_idx ON EInvoice (no);
CREATE INDEX EInvoice_userId_idx ON EInvoice (userId);
CREATE INDEX EInvoice_orderCode_idx ON EInvoice (orderCode);
CREATE INDEX EInvoice_status_type_idx ON EInvoice (status, type);
-- Bảng EInvoiceSerials (Quản lý số seri hóa đơn)
CREATE TABLE EInvoiceSerials
(
    id              BIGINT AUTO_INCREMENT PRIMARY KEY,
    invoicePattern  VARCHAR(255) NOT NULL,
    serialNo        VARCHAR(255) NOT NULL,
    nextValueNumber INT          NOT NULL,
    maxValueNumber  INT          NOT NULL,
    createdBy       VARCHAR(255) NULL,
    modifiedBy      VARCHAR(255) NULL,
    createdAt       TIMESTAMP DEFAULT CURRENT_TIMESTAMP,
    lastModifiedAt  TIMESTAMP DEFAULT CURRENT_TIMESTAMP ON UPDATE CURRENT_TIMESTAMP
);
-- Thêm index cho bảng EInvoiceSerials
CREATE INDEX EInvoiceSerials_invoicePattern_idx ON EInvoiceSerials (invoicePattern);
CREATE INDEX EInvoiceSerials_serialNo_idx ON EInvoiceSerials (serialNo);
-- Bảng EInvoiceQueue (Hàng đợi xử lý hóa đơn)
CREATE TABLE EInvoiceQueue
(
    id                           BIGINT AUTO_INCREMENT PRIMARY KEY,
    type                         ENUM ('SALE_ORDER_EINVOICE', 'RETURN_ORDER_EINVOICE', 'ADJUST_EINVOICE', 'REFUND_DELIVERY_FEE_EINVOICE') NOT NULL,
    businessDate                 DATETIME                                                                                                 NOT NULL,
    invoiceNo                    VARCHAR(255),
    invoiceKey                   VARCHAR(255),
    status                       ENUM ('WAITING','SUCCESSFUL','FAILED','REJECTED','PROCESSING'),
    amount                       DECIMAL(19, 2),
    deliveryFee                  DECIMAL(19, 2),
    deliveryNote                 VARCHAR(255),
    rawData                      LONGTEXT,
    downloaded                   BOOLEAN   DEFAULT TRUE,
    rejectReason                 VARCHAR(255),
    eItem                        VARCHAR(255),
    pattern                      VARCHAR(255),
    serialNo                     VARCHAR(255),
    queueShipmentId              VARCHAR(255),
    originalSaleOrderInvoiceKeys VARCHAR(255),
    queueShipmentCode            VARCHAR(255),
    eInvoiceConfigId             BIGINT,      -- Reference to EInvoiceConfig
    hasDeliveryFee               BOOLEAN,
    rmaId                        BIGINT,      -- Reference to ReturnRequest
    isFirstInvoiceQueue          BOOLEAN   DEFAULT TRUE,
    isQueueCancelled             BOOLEAN   DEFAULT FALSE,
    shipmentId                   BIGINT,      -- Reference to Shipment
    createdBy                    VARCHAR(255),
    NULL,
    modifiedBy                   VARCHAR(255),
    NULL,
    createdAt                    TIMESTAMP DEFAULT CURRENT_TIMESTAMP,
    lastModifiedAt               TIMESTAMP DEFAULT CURRENT_TIMESTAMP ON UPDATE CURRENT_TIMESTAMP,
    userId                       VARCHAR(50), -- Reference to User
    orderCode                    VARCHAR(255)
);
-- Tạo các index cho EInvoiceQueue
CREATE INDEX eInvoiceQueue_status_lastModifiedAt_idx ON EInvoiceQueue (status, lastModifiedAt);
CREATE INDEX eInvoiceQueue_status_downloaded_lastModifiedAt_idx ON EInvoiceQueue (status, downloaded, lastModifiedAt);
CREATE INDEX eInvoiceQueue_status_type_isQueueCancelled_idx ON EInvoiceQueue (status, type, isQueueCancelled);
CREATE INDEX EInvoiceQueue_invoiceNo_idx ON EInvoiceQueue (invoiceNo);
CREATE INDEX EInvoiceQueue_invoiceKey_idx ON EInvoiceQueue (invoiceKey);
CREATE INDEX EInvoiceQueue_userId_idx ON EInvoiceQueue (userId);
CREATE INDEX EInvoiceQueue_eInvoiceConfigId_idx ON EInvoiceQueue (eInvoiceConfigId);
CREATE INDEX EInvoiceQueue_rmaId_idx ON EInvoiceQueue (rmaId);
CREATE INDEX EInvoiceQueue_shipmentId_idx ON EInvoiceQueue (shipmentId);
CREATE INDEX EInvoiceQueue_order_code_idx ON EInvoiceQueue (orderCode);
-- Bảng EInvoiceConfig (Cấu hình hóa đơn điện tử)
CREATE TABLE EInvoiceConfig
(
    id                BIGINT AUTO_INCREMENT PRIMARY KEY,
    businessPlaceCode VARCHAR(255) NOT NULL UNIQUE,
    description       VARCHAR(255) NOT NULL,
    isDefaultInvoice  BOOLEAN      NOT NULL DEFAULT TRUE,
    api               LONGTEXT     NOT NULL,
    createdBy         VARCHAR(255) NULL,
    modifiedBy        VARCHAR(255) NULL,
    createdAt         TIMESTAMP             DEFAULT CURRENT_TIMESTAMP,
    lastModifiedAt    TIMESTAMP             DEFAULT CURRENT_TIMESTAMP ON UPDATE CURRENT_TIMESTAMP
);
-- Bảng EInvoiceCancellation (Kết quả hủy hóa đơn)
CREATE TABLE EInvoiceCancellation
(
    id             BIGINT AUTO_INCREMENT PRIMARY KEY,
    shipmentCode   VARCHAR(255) NOT NULL,
    shipmentId     BIGINT       NOT NULL,
    invoiceNo      VARCHAR(255) NOT NULL,
    invoiceDate    DATETIME     NOT NULL,
    status         VARCHAR(255) NOT NULL,
    reason         VARCHAR(255) NOT NULL,
    createdBy      VARCHAR(255) NULL,
    modifiedBy     VARCHAR(255) NULL,
    createdAt      TIMESTAMP DEFAULT CURRENT_TIMESTAMP,
    lastModifiedAt TIMESTAMP DEFAULT CURRENT_TIMESTAMP ON UPDATE CURRENT_TIMESTAMP
);
-- Thêm index cho bảng EInvoiceCancellation
CREATE INDEX EInvoiceCancellation_shipmentCode_idx ON EInvoiceCancellation (shipmentCode);
CREATE INDEX EInvoiceCancellation_shipmentId_idx ON EInvoiceCancellation (shipmentId);
CREATE INDEX EInvoiceCancellation_invoiceNo_idx ON EInvoiceCancellation (invoiceNo);
-- Bảng VatInfo (Thông tin VAT)
CREATE TABLE VatInfo
(
    id             BIGINT AUTO_INCREMENT PRIMARY KEY,
    identityNumber VARCHAR(255),
    merchantType   VARCHAR(255), -- Assuming BuyerTypeInvoice is a string enum
    merchantTag    VARCHAR(255), -- Assuming BuyerTypeInvoice is a string enum
    createdBy      VARCHAR(255) NULL,
    modifiedBy     VARCHAR(255) NULL,
    createdAt      TIMESTAMP DEFAULT CURRENT_TIMESTAMP,
    lastModifiedAt TIMESTAMP DEFAULT CURRENT_TIMESTAMP ON UPDATE CURRENT_TIMESTAMP
);
-- Thêm index cho bảng VatInfo
CREATE INDEX VatInfo_identityNumber_idx ON VatInfo (identityNumber);
-- Bảng VatInfoTicket
CREATE TABLE VatInfoTicket
(
    id              BIGINT AUTO_INCREMENT PRIMARY KEY,
    eventId         BIGINT,
    vatRate         DECIMAL(5, 2),
    isCalculatedVAT TINYINT NOT NULL DEFAULT '1',
    createdAt       TIMESTAMP        DEFAULT CURRENT_TIMESTAMP,
    lastModifiedAt  TIMESTAMP        DEFAULT CURRENT_TIMESTAMP ON UPDATE CURRENT_TIMESTAMP
);
CREATE INDEX VatInfoTicket_event_id_idx ON VatInfoTicket (eventId);
COMMIT; Em cảm ơn anh.</t>
  </si>
  <si>
    <t>[ML][Prod] Request support golive Merchant Loyalty ngày 02/08</t>
  </si>
  <si>
    <t>2025-08-02T10:18:50.643+0700</t>
  </si>
  <si>
    <t>2025-08-02T10:19:01.100+0700</t>
  </si>
  <si>
    <t>Dear anh, Bên em có CR golive Merchant Loyalty, dự kiến golive lúc 11h sáng ngày 02/08. Nhờ anh support team golive, và chạy script lúc golive ạ: ALTER TABLE merchant ADD COLUMN IF NOT EXISTS banks json NULL; DB:  omc-mtp-tidb.int.onemount.com:4000 Schema:  omc_merchant_loyalty Em cảm ơn</t>
  </si>
  <si>
    <t>[PROD] Hạ cấu hình DB Ticketing sau bán vé 8Wonder</t>
  </si>
  <si>
    <t>2025-08-02T00:07:31.535+0700</t>
  </si>
  <si>
    <t>2025-08-02T00:07:40.174+0700</t>
  </si>
  <si>
    <t>Dear anh Dũng, Sau khi bán vé 8Wonder vào 10h sáng ngày 01/08/2025, nhờ anh hạ cấu hình DB theo thông tin dưới đây ạ Thời gian thực hiện 23:59:59 ngày 01/08/2025 Project: vinticket-prod IP: 172.31.1.3 GCP:  https://console.cloud.google.com/sql/instances/main-2/overview?inv=1&amp;invt=Ab4O2Q&amp;project=vinticket-prod CR:  Hạ về: 2CPU - 8GB ram Em cảm ơn anh</t>
  </si>
  <si>
    <t>[BO] Hiệu chỉnh luồng đẩy SO khi bổ sung thông tin cá nhân</t>
  </si>
  <si>
    <t>2025-08-01T17:17:19.345+0700</t>
  </si>
  <si>
    <t>2025-08-01T17:17:24.957+0700</t>
  </si>
  <si>
    <t xml:space="preserve">Hi a  @Nguyễn Văn Dũng , nhờ a chạy script này giúp e với ạ Thông tin database: 172.31.1.133:3306/bo INSERT INTO SAP_SO_MAP
    (COMPANY_ID, DOMAIN_ID, SERVICE_ID, LEVEL, SAP_FIELD_NAME, DESCRIPTION, DATA_TYPE, VALUE_TYPE, VALUE, VERSION, INSERT_DATETIME, UPDATE_DATETIME, AUTHOR_DATETIME)
VALUES
    ('VN0010002', 'VN0010016', 'VN0010013', 'H', 'MA_CCCD', 'MaCCCD', '2', 'R', 'MA_CCCD', '1', CURRENT_TIMESTAMP, CURRENT_TIMESTAMP, CURRENT_TIMESTAMP),
    ('VN0010002', 'VN0010016', 'VN0010013', 'P', 'NAME2', 'Name2', '2', 'R', 'NAME2', '1', CURRENT_TIMESTAMP, CURRENT_TIMESTAMP, CURRENT_TIMESTAMP),
    ('VN0010002', 'VN0010016', 'VN0010013', 'P', 'EMAIL', 'Email', '2', 'O', 'P_EMAIL', '1', CURRENT_TIMESTAMP, CURRENT_TIMESTAMP, CURRENT_TIMESTAMP),
    ('VN0010002', 'VN0010016', 'VN0010013', 'P', 'SF_STREET', 'Cắt chuỗi truyền vào SF_Stress2, hoặc SF_Stress3 (Do mỗi field SAP đang validate 40 ký tự)', '2', 'O', 'SF_STREET', '1', CURRENT_TIMESTAMP, CURRENT_TIMESTAMP, CURRENT_TIMESTAMP)
; Ticket CR:   </t>
  </si>
  <si>
    <t xml:space="preserve">Cập nhật thông tin last last_modified_datetrong bảng agg_inventory_aggregator </t>
  </si>
  <si>
    <t>2025-08-01T15:18:45.197+0700</t>
  </si>
  <si>
    <t>2025-08-01T15:33:45.237+0700</t>
  </si>
  <si>
    <t>Hi DBA team, Hiện tại cần cập nhật thông tin last last_modified_datetrong bảng agg_inventory_aggregator ,  nhờ team DBA hỗ trợ cập nhật giá trị theo thông tin dưới đây. Project : vinid-b2b-platform-prod Instance/IP : main (read-write): 172.31.4.59 Port : 3306 Database : omd_wms_core Query update agg_inventory_aggregator aia set aia.last_modified_date = utc_timestamp
where aia.id in (481844, 484048, 485985, 493462, 443974, 443975, 487265, 439170, 443957, 485986, 484042, 498065, 497253); Câu query đánh giá là an toàn nên có thể thực hiện cập nhật cuối ngày để không ảnh hưởng đến vận hành hệ thống.</t>
  </si>
  <si>
    <t>[Prod] Seeding trạng thái đơn hàng Flash Sale 30/07</t>
  </si>
  <si>
    <t>2025-08-01T15:16:05.418+0700</t>
  </si>
  <si>
    <t>2025-08-01T15:30:54.495+0700</t>
  </si>
  <si>
    <t>VCM-QBR2.2025</t>
  </si>
  <si>
    <t>Dear DBA Team, Nhờ team support chạy migrate: https://chat.google.com/room/AAQA3sMgmxo/vCJoQwXCt4w/vCJoQwXCt4w?cls=10 Database name: vincart_mm_order 
IP: 172.31.1.41 Script update orders a
set a.status = 'FINISHED', a.payment_status='PAID'
where a.code in ('MB9XX4L','MVD487G','MYK7XBY');</t>
  </si>
  <si>
    <t>[UPAY][PROD] Cập nhật thông số cấu hình job gửi BCĐS tự động cho Unified Merchant</t>
  </si>
  <si>
    <t>2025-08-01T10:59:05.156+0700</t>
  </si>
  <si>
    <t>2025-08-01T10:59:34.498+0700</t>
  </si>
  <si>
    <t>Hi team DBA, Team dự án cần cập nhật thông số config của job gửi báo cáo đối soát tự động cho Unified Merchant, nhờ team thực hiện Thông tin DB: tidb.int.onemount.com:4000/vinidpay_reconcile Script: UPDATE vinidpay_reconcile.JOB_CONFIG SET header = '{"X-Api-Key":"reconcile-report-api-key","X-Api-Secret":"uSOZNoxri2mAxIeEcD3T"}'
WHERE id=4001 and name = 'TXN-TCB-1';</t>
  </si>
  <si>
    <t>[TPAY][NON-PROD] Tạo tài khoản SFTP cho merchant BẢO AN lấy file báo cáo đối soát</t>
  </si>
  <si>
    <t>2025-08-01T10:46:02.200+0700</t>
  </si>
  <si>
    <t>2025-08-01T10:46:08.188+0700</t>
  </si>
  <si>
    <t>Dự án Tpay cần cấp tài khoản và 1 thư mục con trong thư mục trong thư mục tpay dành cho đối tác ITO để đọc file từ sFTP server. Thông tin sFTP server cần kết nối đến: Non-prod:  35.229.130.107:2022 Nhờ team support tạo server và cấp account cho dự án. Em tên thư mục và folder ạ. Account: baoantest Folder: baoantest</t>
  </si>
  <si>
    <t>[TMSDB] Tổng kết và Đề xuất Hành động Health Check &amp; Analysis Database Oracle TMSDB</t>
  </si>
  <si>
    <t>2025-08-01T10:34:07.757+0700</t>
  </si>
  <si>
    <t>2025-08-18T13:57:29.976+0700</t>
  </si>
  <si>
    <t>Tổng kết và Đề xuất Hành động Mục tiêu: Tổng hợp tất cả các kết quả phân tích và đưa ra một kế hoạch hành động cụ thể. Nội dung: Tạo một bản báo cáo tổng kết toàn diện. Liệt kê danh sách các khuyến nghị cần thực hiện cho hệ thống database Oracle, sắp xếp theo mức độ ưu tiên. Phần I: Tổng kết Tình trạng Hệ thống Việc kiểm tra và phân tích tổng quan hệ thống database TMSDB đã được thực hiện bằng công cụ Oracle Autonomous Health Framework (AHF) phiên bản mới nhất (Tháng 7, 2025) nhằm đánh giá hiện trạng và đưa ra các khuyến nghị cần thiết để tối ưu hóa hiệu suất, tăng cường bảo mật và đảm bảo tính ổn định. 1.1. Tổng quan Hạ tầng và Cấu hình (Infrastructure &amp; Configuration) Hệ điều hành:  Linux x86_64 (Version 3.10.0-1160.11.1.el7.x86_64) Nền tảng:  Google Compute Engine Tài nguyên: Memory:  64 GB CPUs Enabled:  16 CPU Cores:  8 Hệ thống đang hoạt động trên nền tảng điện toán đám mây với cấu hình tài nguyên phần cứng đủ đáp ứng cho các tác vụ hiện tại. 1.2. Tình trạng Phiên bản và Bản vá (Software Maintenance) Phiên bản Hiện tại (DB &amp; GI Home):  19.11.0.0.210420 Phiên bản Khuyến nghị:  19.27.0.0.250415 Trạng thái:  Phiên bản Release Update (RU) hiện tại đã cũ hơn so với khuyến nghị. Việc chậm cập nhật các bản vá có thể dẫn đến các rủi ro về bảo mật và lỗi tiềm ẩn (bug) đã được khắc phục ở các phiên bản mới hơn. 1.3. Kết quả Phân tích từ AHF (orachk) Công cụ  orachk  đã thực hiện quét toàn diện hệ thống và đưa ra các cảnh báo ở nhiều cấp độ khác nhau. Các phát hiện chính được tóm tắt như sau: CRITICAL (Rất nghiêm trọng):  3 vấn đề liên quan đến cấu hình HugePages của hệ điều hành và việc cấu hình bộ lập lịch  orachk . Đây là những vấn đề cần được ưu tiên khắc phục ngay lập tức vì chúng ảnh hưởng trực tiếp đến hiệu năng và tính ổn định của database. FAIL (Lỗi):  9 vấn đề được phát hiện, chủ yếu liên quan đến các cấu hình chưa tuân thủ theo thực hành tốt nhất (best practices) của Oracle về bảo mật (DEFAULT profile), quản lý bảng audit, và các tham số database quan trọng. WARNING (Cảnh báo):  24 cảnh báo về các cấu hình cần được xem xét và tối ưu hóa, bao gồm quản lý không gian SYSAUX, cấu hình network bonding, redo logs, RMAN backup, và các tham số hệ điều hành. 1.4. Phân tích Nhật ký Hệ thống (Log Analysis) Lỗi ORA-00600 [qernsRowP]:  Phát hiện lỗi nội tại (internal error) của Oracle. Phân tích cho thấy đây là một bug đã được ghi nhận ở phiên bản 19.11 và sẽ được khắc phục khi nâng cấp lên bản vá mới hơn (ví dụ: 19.27). Lỗi ORA-00060 (Transaction Deadlock):  Ghi nhận có tình trạng deadlock xảy ra giữa các câu lệnh  UPDATE  của ứng dụng. Vấn đề đã được thông báo đến đội ngũ phát triển ứng dụng và hiện tại không còn ghi nhận tình trạng này. Phần II: Đề xuất Hành động Chi tiết Dưới đây là danh sách các hành động được đề xuất, sắp xếp theo mức độ ưu tiên để giải quyết các vấn đề đã được phát hiện. Mức độ Ưu tiên: Rất Cao (CRITICAL) Status Vấn đề Phân tích &amp; Tác động Hành động Đề xuất CRITICAL Transparent Hugepages (THP) đang được kích hoạt (Verify transparent hugepages are disabled) THP được kích hoạt có thể gây ra suy giảm hiệu năng nghiêm trọng và treo database Oracle. Cấu hình hiện tại  [always]  cho thấy THP vẫn đang hoạt động dù đã có cài đặt  [never] , có thể do THP chưa được tắt hoàn toàn trước khi Oracle khởi động. Tắt hoàn toàn Transparent HugePages:   1. Chỉnh sửa file cấu hình grub để vô hiệu hóa THP ngay từ lúc boot. 2. Đảm bảo file  /sys/kernel/mm/transparent_hugepage/enabled  và  /sys/kernel/mm/transparent_hugepage/defrag  được đặt là  [never] .  3.  Khởi động lại máy chủ  để áp dụng triệt để thay đổi. CRITICAL Số lượng HugePages không đủ cho SGA (Verify operating system hugepages count satisfies total SGA requirements) Hệ thống yêu cầu  15364  HugePages để chứa toàn bộ SGA, nhưng chỉ được cấp phát  15362 . Điều này khiến SGA không thể sử dụng HugePages hoàn toàn, dẫn đến giảm hiệu năng. Tăng số lượng HugePages: 1. Sửa file  /etc/sysctl.conf :  vm.nr_hugepages = 15364   2. Áp dụng ngay bằng lệnh:  sysctl -p   3.  Khởi động lại database và sau đó là máy chủ  để đảm bảo SGA được cấp phát vào HugePages mới. CRITICAL Cần nâng cấp bản vá (Patching) Phiên bản 19.11 đã cũ và gặp bug gây ra lỗi  ORA-00600 . Nâng cấp lên bản vá 19.27 (hoặc mới hơn) là cần thiết để khắc phục lỗi và tăng cường bảo mật. Lên kế hoạch và thực hiện Patching:    1. Tải bộ bản vá (Release Update) 19.27 cho Grid Infrastructure và RDBMS.  2. Thực hiện nâng cấp theo quy trình của Oracle, bắt đầu với Grid Home và sau đó là Database Home. Mức độ Ưu tiên: Cao (FAIL) Status Vấn đề Phân tích &amp; Tác động Hành động Đề xuất FAIL Quản lý không gian bảng AUD (Verify AUD tables use Automatic Segment Space Management) Hai bảng audit hệ thống đang sử dụng phương pháp quản lý không gian thủ công (MANUAL), có thể dẫn đến phân mảnh và suy giảm hiệu năng khi ghi audit. Chuyển sang quản lý không gian tự động:   Sử dụng package  DBMS_AUDIT_MGMT  để di chuyển các bảng này sang tablespace  SYSAUX  (hoặc tablespace audit chuyên dụng) vốn được cấu hình  AUTO  segment space management. &lt;br&gt;  BEGIN DBMS_AUDIT_MGMT.set_audit_trail_location(...); END; / FAIL Cấu hình mật khẩu mặc định yếu (Verify the DEFAULT Profile Parameters) Profile  DEFAULT  không giới hạn các tham số quan trọng như  PASSWORD_LIFE_TIME ,  FAILED_LOGIN_ATTEMPTS . Điều này làm giảm mức độ an toàn của các tài khoản database. Thiết lập chính sách mật khẩu an toàn:   Thực thi lệnh  ALTER PROFILE DEFAULT LIMIT  để đặt các giá trị khuyến nghị:  •  FAILED_LOGIN_ATTEMPTS 10    •  PASSWORD_LIFE_TIME 180   •  PASSWORD_LOCK_TIME 1   •  PASSWORD_GRACE_TIME 7 Mức độ Ưu tiên: Trung bình (WARNING) Status Vấn đề Phân tích &amp; Tác động Hành động Đề xuất WARN Cấu hình vm.min_free_kbytes không theo khuyến nghị (Verify the vm.min_free_kbytes configuration) Giá trị  vm.min_free_kbytes  (1318246) hiện tại nằm ngoài khoảng khuyến nghị (996148 - 1101004). Cấu hình sai có thể gây ra các vấn đề về hiệu suất I/O hoặc treo hệ thống dưới tải nặng. Điều chỉnh tham số Kernel:    1. Sửa file  /etc/sysctl.conf :  vm.min_free_kbytes = 1048576  (giá trị được khuyến nghị). 2. Áp dụng ngay bằng lệnh:  sysctl -p . WARN Nhiều đối tượng trong Recycle Bin (Monitoring Recyclebin by database users) Các user  COGNOS_STORE  (23 đối tượng) và  BYTM_PROD  (21 đối tượng) có nhiều object trong thùng rác, chiếm dụng không gian lưu trữ không cần thiết. Dọn dẹp Recycle Bin:  Thực hiện dọn dẹp định kỳ:   • Dọn dẹp cho toàn bộ database (với quyền SYS):  purge dba_recyclebin;    • Hoặc dọn dẹp cho từng user cụ thể. WARN Tablespace cho Unified Audit Trail (Dedicated Tablespace for Unified Audit Trail) Bảng ghi audit đang sử dụng tablespace  SYSAUX  (hoặc  SYSTEM ). Điều này không tuân thủ thực hành tốt nhất, có thể gây quá tải cho tablespace hệ thống. Tạo và sử dụng Tablespace chuyên dụng:    1. Tạo một tablespace mới dành riêng cho audit:  create tablespace AUDIT_TBS ...;    2. Di chuyển Unified Audit trail vào tablespace mới bằng  DBMS_AUDIT_MGMT .</t>
  </si>
  <si>
    <t>[TMSDB] Thực hiện kiểm tra OS log và Database log và đưa ra khuyến nghị</t>
  </si>
  <si>
    <t>2025-08-01T10:33:53.394+0700</t>
  </si>
  <si>
    <t>2025-08-18T12:17:15.931+0700</t>
  </si>
  <si>
    <t>Kiểm tra Nhật ký Hệ thống (Logs) &amp; Đưa ra Khuyến nghị Mục tiêu: Phân tích các file log để phát hiện các lỗi hoặc cảnh báo đã xảy ra. Chi tiết: Phân tích log Hệ điều hành (OS log): Đánh giá và tìm kiếm các dấu hiệu bất thường trên OS. Phân tích log Cơ sở dữ liệu và Cluster (Database &amp; Cluster logs): Kiểm tra alert log và các log liên quan để tìm lỗi hoặc cảnh báo từ Oracle. =&gt; Phân tích các sự cố đang gặp  Check ORA-00600 errors for tmsdb Lookup Tool :  ORA-600/ORA-7445/ORA-700 Error Look-up Tool (Doc ID 153788.1)
https://support.oracle.com/epmos/faces/DocumentDisplay?id=153788.1 ORA-00600: internal error code, arguments: [qernsRowP], [1], [], [], [], [], [], [], [], [], [], [] =&gt; Hiện tại đang bị bug liên quan bản version 19.11 sẽ thực hiện patching database lên bản 19.27 Check ORA-00060 ([Transaction Deadlock]) current SQL:
UPDATE T1_LD_LEG_DETL_EXT SET CUSTOMER_SHIPPING_LOCATION_CODE = :B48 , CUSTOMER_ADDRESS = :B47 , CUSTOMER_CITY = :B46 , CUSTOMER_DISTRICT = :B45 , CUSTOMER_WARD = :B44 , BASE_SITE = :B43 , ORDER_TYPE = :B42 , ORDERER = :B41 , STATUS = T1_LD_LEG_DETL_EXT_STATUS_CALC_V2( :B1 , :B2 , :B40 , :B3 ), TRACKING_NUMBER = :B39 , VOLUME = :B38 , WEIGHT = :B37 , PICKED_ESTIMATE_TIME_FROM = :B36 , PICKED_ESTIMATE_TIME_TO = :B35 , DROPPED_ESTIMATE_TIME_FROM = :B34 , DROPPED_ESTIMATE_TIME_TO = :B33 , TOTAL_NUMBER_OF_UNITS = :B32 , ESTIMATE_COD = :B31 , DECLARED_VALUE = :B30 , RESCHEDULE_TIME_MAX = :B29 , IS_ALLOW_DELIVERY_PARTIAL = :B28 , SALE_REP = :B27 , SALES_CHANNEL_CODE = :B26 , IS_HELD = :B25 , ORDER_DATE = :B24 , PLAN_ID = NVL(:B23 , PLAN_ID), REDELIVERY_NUMBER = :B22 , NOTE = :B21 , WAREHOUSE_ST
current SQL:
UPDATE Shpm_t SET Opt_Lck=:p1,Cfmd_Tms=:p2,Updt_Usr_cd=:p3,Cur_OptlStat_id=:p4,Ret_OptlStat_id=:p5,Cur_FnclStat_id=:p6,Ret_FnclStat_id=:p7,Cfmg_Usr_cd=:p8,Cfmg_By_ShpmLeg_id=:p9,Display_Status=:p10,Cfmg_Count=:p11 WHERE Shpm_id=:p12 AND Opt_Lck=:p13
 =&gt; Đã thông báo application hiện trạng không còn bị deadlock nữa.</t>
  </si>
  <si>
    <t>[TMSDB] Thực hiện phân tích file AHF đưa ra khuyến nghị cần thiết</t>
  </si>
  <si>
    <t>2025-08-01T10:33:45.726+0700</t>
  </si>
  <si>
    <t>2025-08-18T09:19:22.739+0700</t>
  </si>
  <si>
    <t>Phân tích Báo cáo từ AHF &amp; Đưa ra Khuyến nghị Mục tiêu:  Dựa trên kết quả phân tích của AHF để xác định các điểm cần cải thiện. Các hạng mục phân tích chi tiết: Cấu hình Hệ điều hành (OS): Tham số kernel. Các gói phần mềm (packages) còn thiếu hoặc sai phiên bản. Cấu hình bộ nhớ và lưu trữ. Cấu hình Oracle Grid Infrastructure &amp; Clusterware: Các cấu hình sai lệch trong môi trường RAC (Real Application Clusters). Vấn đề về kết nối mạng và lưu trữ chung (shared storage). Cấu hình Cơ sở dữ liệu (Database): Tham số khởi tạo (init parameters). Quản lý không gian lưu trữ. Tình trạng các bản vá (patches). Các vấn đề liên quan đến bảo mật. Khuyến nghị theo Thực hành tốt nhất (Best Practices): So sánh cấu hình hiện tại với kiến trúc MAA (Maximum Availability Architecture) của Oracle. Chuẩn bị cho việc Nâng cấp: Liệt kê các kiểm tra có trạng thái "FAIL" (Lỗi) hoặc "WARNING" (Cảnh báo) cần khắc phục trước khi nâng cấp. Bản vá và Cập nhật: Kiểm tra và đề xuất cài đặt các bản vá bảo mật quan trọng.   Status Description Status On CRITICAL Verify transparent hugepages are disabled All Database Servers =&gt; Phân tích: Status on oracle-primary : CRITICAL  =&gt; Linux transparent huge pages are enabled DATA FROM ORACLE-PRIMARY - VERIFY TRANSPARENT HUGEPAGES ARE DISABLED  =&gt; Khuyến nghị thực hiện:  [root@oracle-primary ~]# cat /proc/meminfo | grep -i hugepagesize
Hugepagesize:       2048 kB
[root@oracle-primary ~]#
[root@oracle-primary ~]# grep HugePages /proc/meminfo
AnonHugePages:      6144 kB
HugePages_Total:   15362
HugePages_Free:        1
HugePages_Rsvd:        0
HugePages_Surp:        0
[root@oracle-primary ~]# cat /sys/kernel/mm/transparent_hugepage/enabled
always madvise [never]
[root@oracle-primary ~]# grep AnonHugePages: /proc/meminfo
AnonHugePages:      6144 kB
[root@oracle-primary ~]# grep nr_anon_transparent_hugepages /proc/vmstat
nr_anon_transparent_hugepages 3
[root@oracle-primary ~]# cat /sys/kernel/mm/transparent_hugepage/defrag
always madvise [never] Lý do phổ biến nhất cho sự mâu thuẫn này là  THP đã được tắt sau khi một số tiến trình (như tiến trình cơ sở dữ liệu Oracle) đã khởi động và cấp phát bộ nhớ . Khi thay đổi cài đặt  enabled  thành  never , hệ điều hành sẽ ngừng tạo các trang THP mới. Tuy nhiên, các trang THP  đã được cấp phát từ trước đó  sẽ không tự động bị chia nhỏ lại thành các trang 4kB thông thường. Chúng sẽ tiếp tục tồn tại cho đến khi các tiến trình đang sử dụng chúng giải phóng bộ nhớ đó hoặc được khởi động lại. Để giải quyết triệt để vấn đề này, Cần đảm bảo rằng cài đặt  never  được áp dụng  trước khi  các tiến trình quan trọng (đặc biệt là Oracle Database) khởi động.   Status Description Status On CRITICAL Verify operating system hugepages count satisfies total SGA requirements All Database Servers =&gt; Phân tích: Status on oracle-primary : CRITICAL  =&gt; Operating system hugepages count does not satisfy total SGA requirements DATA FROM ORACLE-PRIMARY - VERIFY OPERATING SYSTEM HUGEPAGES COUNT SATISFIES TOTAL SGA REQUIREMENTS 
Total current hugepages (15362) should be greater than or equal to estimated requirements for all currently active SGAs (15364) =&gt; Khuyến nghị thực hiện:  Trước khi khởi động lại change Hugepages ==&gt;  từ (15362) lên (15364) . # vi /etc/sysctl.conf
vm.nr_hugepages = 15364
# sysctl -p
--- Khởi động lại máy chủ (Được khuyến nghị)
$ sqlplus / as sysdba
SQL&gt; shutdown immediate;
# Reboot OS
# reboot 
--- Xác minh sau khi thay đổi
# Hoặc kiểm tra trong /proc/meminfo
cat /proc/meminfo | grep HugePages_Total
   Status Description Status On FAIL Verify AUD$ and FGA_LOG$ tables use Automatic Segment Space Management All Databases =&gt; Phân tích: Status on tmsdb : FAIL  =&gt; Table AUD$[FGA_LOG$] should use Automatic Segment Space Management Table Name = AUD$|Space Management Type = MANUAL
Table Name = FGA_LOG$|Space Management Type = MANUAL =&gt; Khuyến nghị thực hiện:  --- To verify if Unified Auditing is enabled, use the following Sqlplus command :
select value from v$option where parameter = 'Unified Auditing';
--- If enabled the output should be:
VALUE
----------------------------------------------------------------
TRUE
--- To verify the segment space management policy currently in use by the AUD$ and FGA_LOG$ tables, use the following Sqlplus command:
select t.table_name,ts.segment_space_management from dba_tables t, dba_tablespaces ts where ts.tablespace_name = t.tablespace_name and t.table_name in ('AUD$','FGA_LOG$');
--- The output should be:
TABLE_NAME                     SEGMEN
------------------------------ ------
FGA_LOG$                       AUTO
AUD$                           AUTO 
--- If one or both of the AUD$ or FGA_LOG$ tables return "MANUAL", use the DBMS_AUDIT_MGMT package to move them to the SYSAUX tablespace:
BEGIN
DBMS_AUDIT_MGMT.set_audit_trail_location(audit_trail_type =&gt; DBMS_AUDIT_MGMT.AUDIT_TRAIL_AUD_STD,--this moves table AUD$ 
audit_trail_location_value =&gt; 'SYSAUX');  
END;  
/
BEGIN
DBMS_AUDIT_MGMT.set_audit_trail_location(audit_trail_type =&gt; DBMS_AUDIT_MGMT.AUDIT_TRAIL_FGA_STD,--this moves table FGA_LOG$ 
audit_trail_location_value =&gt; 'SYSAUX');
END;
/      Status Description Status On FAIL Verify AUD$ and FGA_LOG$ tables use Automatic Segment Space Management All Databases =&gt; Phân tích: Status on tmsdb : FAIL  =&gt; Table AUD$[FGA_LOG$] should use Automatic Segment Space Management Table Name = AUD$|Space Management Type = MANUAL
Table Name = FGA_LOG$|Space Management Type = MANUAL =&gt; Khuyến nghị thực hiện:  Để xác minh xem  Unified Auditing  có được bật hay không, hãy sử dụng lệnh SQLPLUS sau: select value from v$option where parameter = 'Unified Auditing';
--- If enabled the output should be:
VALUE
----------------------------------------------------------------
TRUE
--- To verify the segment space management policy currently in use by the AUD$ and FGA_LOG$ tables, use the following Sqlplus command:
select t.table_name,ts.segment_space_management from dba_tables t, dba_tablespaces ts where ts.tablespace_name = t.tablespace_name and t.table_name in ('AUD$','FGA_LOG$');
--- The output should be:
TABLE_NAME                     SEGMEN
------------------------------ ------
FGA_LOG$                       AUTO
AUD$                           AUTO 
--- If one or both of the AUD$ or FGA_LOG$ tables return "MANUAL", use the DBMS_AUDIT_MGMT package to move them to the SYSAUX tablespace:
BEGIN
DBMS_AUDIT_MGMT.set_audit_trail_location(audit_trail_type =&gt; DBMS_AUDIT_MGMT.AUDIT_TRAIL_AUD_STD,--this moves table AUD$ 
audit_trail_location_value =&gt; 'SYSAUX');  
END;  
/
BEGIN
DBMS_AUDIT_MGMT.set_audit_trail_location(audit_trail_type =&gt; DBMS_AUDIT_MGMT.AUDIT_TRAIL_FGA_STD,--this moves table FGA_LOG$ 
audit_trail_location_value =&gt; 'SYSAUX');
END;
/    Status Description Status On FAIL Verify the DEFAULT Profile Parameters All Databases =&gt; Phân tích: Status on oracle-primary:tmsdb : FAIL  =&gt; DEFAULT Profile Parameters are not set as recommended TO REVIEW COLLECTED DATA FROM oracle-primary - tmsdb DATABASE - Verify the DEFAULT Profile Parameters 
PROFILE 		  RESOURCE_NAME 		 CURRENT LIMIT			RECOMMENDED LIMIT
------------------------- ------------------------------ ------------------------------ ------------------------------
DEFAULT                   PASSWORD_GRACE_TIME            UNLIMITED                      7                              
DEFAULT                   PASSWORD_LOCK_TIME             UNLIMITED                      1                              
DEFAULT                   PASSWORD_LIFE_TIME             UNLIMITED                      180                            
DEFAULT                   FAILED_LOGIN_ATTEMPTS          UNLIMITED                      10        =&gt; Khuyến nghị thực hiện: $ sqlplus / as sysdba
--- Thực hiện đúng recommended
ALTER PROFILE DEFAULT LIMIT
    PASSWORD_ROLLOVER_TIME 0
    PASSWORD_GRACE_TIME 7
    PASSWORD_LOCK_TIME 1
    PASSWORD_LIFE_TIME 180
    FAILED_LOGIN_ATTEMPTS 10;
--- Thực hiện kiểm tra 
SELECT profile, resource_name, limit
FROM
    dba_profiles
WHERE
    profile = 'DEFAULT'
    AND resource_name IN (
        'PASSWORD_ROLLOVER_TIME',
        'PASSWORD_GRACE_TIME',
        'PASSWORD_LOCK_TIME',
        'PASSWORD_LIFE_TIME',
        'FAILED_LOGIN_ATTEMPTS'
    )
ORDER BY
    resource_name; Status Description Status On WARN Verify the vm.min_free_kbytes configuration All Database Servers =&gt; Phân tích: Status on oracle-primary : WARN  =&gt; The vm.min_free_kbytes configuration is not set as recommended DATA FROM ORACLE-PRIMARY FOR VERIFY THE VM.MIN_FREE_KBYTES CONFIGURATION
WARNING: vm.min_free_kbytes is not configured as recommended. Details:
Total Memory:      65803264
NUMA node count:   1
NUMA calculated:   1048576
memory calculated: 329016
recommended value: 1048576
permitted range:   996148 to 1101004
at boot (sysctl):  1318246
sysctl in range?:  NO
in active memory:  1318246
memory in range?:  NO =&gt; Khuyến nghị thực hiện:  Để xác minh cấu hình VM.MIN_FREE_KBYTES, với tư cách là người dùng "root" trên mỗi máy chủ cơ sở dữ liệu, hãy thực hiện bộ lệnh sau: MIN_FREE_KBYTES_SYSCTL=$(egrep ^vm.min_free_kbytes &lt;([ -e /etc/sysctl.d/99-sysctl.conf ] &amp;&amp; cat /etc/sysctl.d/* || cat /etc/sysctl.conf) | awk -F'=' '{print $2}' | tr -d ' ')
MIN_FREE_KBYTES_MEMORY=$(cat /proc/sys/vm/min_free_kbytes)
NUMA_NODE_COUNT=$(numactl --hardware | grep available: | awk '{print $2}')
TOTAL_MEMORY_KBYTES=$(free -k | awk '/Mem:/ {print $2}')
NUMA_BASED=$(( $NUMA_NODE_COUNT * 1048576 ))
MEMORY_BASED=$(( $TOTAL_MEMORY_KBYTES / 200 ))
if [[ $NUMA_BASED -ge $MEMORY_BASED ]]
then
  RECOMMEND_VALUE=$NUMA_BASED
else
  RECOMMEND_VALUE=$MEMORY_BASED
fi
OFFSET=$(echo $RECOMMEND_VALUE*.05 | bc | cut -d"." -f1)
LOWER_BOUND=$(echo $RECOMMEND_VALUE-$OFFSET | bc)
UPPER_BOUND=$(echo $RECOMMEND_VALUE+$OFFSET | bc)
if [[ $MIN_FREE_KBYTES_SYSCTL -ge LOWER_BOUND &amp;&amp; $MIN_FREE_KBYTES_SYSCTL -le UPPER_BOUND ]]
then
  SYSCTL_IN_RANGE=YES
else
  SYSCTL_IN_RANGE=NO
fi
#sysctl in range?
if [[ $MIN_FREE_KBYTES_MEMORY -ge LOWER_BOUND &amp;&amp; $MIN_FREE_KBYTES_MEMORY -le UPPER_BOUND ]]
then
  MEMORY_IN_RANGE=YES
else
  MEMORY_IN_RANGE=NO
fi
DETAIL=$(
echo -e "Total Memory:       $TOTAL_MEMORY_KBYTES";
echo -e "NUMA node count:    $NUMA_NODE_COUNT";
echo -e "NUMA calculated:    $NUMA_BASED";
echo -e "memory calculated:  $MEMORY_BASED";
echo -e "recommended value:  $RECOMMEND_VALUE";
echo -e "permitted range:    $LOWER_BOUND to $UPPER_BOUND";
echo -e "at boot (sysctl):   $MIN_FREE_KBYTES_SYSCTL";
echo -e "sysctl in range?:   $SYSCTL_IN_RANGE";
echo -e "in active memory:   $MIN_FREE_KBYTES_MEMORY";
echo -e "memory in range?:   $MEMORY_IN_RANGE";
)
if [[ $SYSCTL_IN_RANGE = YES &amp;&amp; $MEMORY_IN_RANGE = YES ]]
then
  echo -e "SUCCESS: vm.min_free_kbytes is configured as recommended.  Details:\n\n$DETAIL"
elif [[ $MIN_FREE_KBYTES_SYSCTL -lt $LOWER_BOUND || $MIN_FREE_KBYTES_MEMORY -lt $LOWER_BOUND ]]
then
  echo -e "FAILURE: vm.min_free_kbytes is not configured as recommended.  Details:\n\n$DETAIL"
elif  [[ $MIN_FREE_KBYTES_SYSCTL -gt $UPPER_BOUND &amp;&amp; $MIN_FREE_KBYTES_MEMORY -gt $UPPER_BOUND ]]
then
  echo -e "WARNING: vm.min_free_kbytes is not configured as recommended.  Details:\n\n$DETAIL"
else
  echo -e "ERROR: Inconsistent results.  Details:\n\n$DETAILS"
fi # sudo vi /etc/sysctl.conf
vm.min_free_kbytes = 1318246 (đổi giá trị từ 1318246 thành giá trị được khuyến nghị là 1048576)
vm.min_free_kbytes = 1048576
-- Áp dụng ngay
# sysctl -p
 Status Description Status On WARN Monitoring Recyclebin by database users All Databases =&gt; Phân tích: Status on tmsdb : WARN  =&gt; One or more database users have more than 10 recyclebin objects contained in it User         Recyclebin objects 
------------ ------------------ 
COGNOS_STORE                 23
BYTM_PROD                    21 =&gt; Khuyến nghị thực hiện:  SQL&gt; col "User" format a20
SQL&gt; select owner "User", cnt "Recyclebin objects" from (select count(*) cnt, owner from dba_recyclebin group by owner order by 1 desc);
1. Purge the recyclebin of particular user.
SQL&gt; connect &lt;user/pwd&gt;
SQL&gt; purge recyclebin;
2. Purge the complete recyclebin.
SQL&gt; connect / as sysdba
SQL&gt; purge dba_recyclebin; Status Description Status On WARN Dedicated Tablespace for Unified Audit Trail All Databases =&gt; Phân tích: Status on oracle-primary:tmsdb : WARN  =&gt; SYSTEM tablespace is being used by audit objects DATA FROM oracle-primary - tmsdb DATABASE - Dedicated Tablespace for Unified Audit Trail 
PARAMETER_NAME		  PARAMETER_VALUE	    AUDIT_TRAIL
------------------------- ------------------------- ----------------------------
DB AUDIT TABLESPACE	  SYSAUX		    UNIFIED AUDIT TRAIL =&gt; Khuyến nghị thực hiện:  create tablespace AUDIT_TBS datafile '&lt;PATH&gt;/auditts.dbf' size 100M autoextend on;
BEGIN
DBMS_AUDIT_MGMT.set_audit_trail_location(
audit_trail_type =&gt; DBMS_AUDIT_MGMT.AUDIT_TRAIL_UNIFIED,--this moves table Unified Audit
audit_trail_location_value =&gt; 'AUDIT_TBS');
END;
/</t>
  </si>
  <si>
    <t>[TMSDB] Thực hiện install Autonomous Health Framework (Latest version) - Released July 2025</t>
  </si>
  <si>
    <t>2025-08-01T10:33:26.600+0700</t>
  </si>
  <si>
    <t>2025-08-04T17:34:42.943+0700</t>
  </si>
  <si>
    <t>Cài đặt Autonomous Health Framework (AHF) Mục tiêu:  Sử dụng công cụ mới nhất của Oracle (bản phát hành tháng 7 năm 2025) để chủ động kiểm tra sức khỏe hệ thống. Lợi ích: Phát hiện sự cố chủ động:  Tìm ra các vấn đề tiềm ẩn trước khi chúng gây ảnh hưởng. Tăng tốc độ giải quyết vấn đề:  Cung cấp thông tin chi tiết giúp xử lý sự cố nhanh hơn. Thu thập dữ liệu toàn diện:  Tổng hợp thông tin từ nhiều nguồn để có cái nhìn tổng thể. Đảm bảo tuân thủ các khuyến nghị tốt nhất:  So sánh hệ thống với các tiêu chuẩn hàng đầu. [root@oracle-primary soft]# cd /opt/oracle.ahf/bin/ [root@oracle-primary bin]# ls ahf  ahfctl  balance  iwareport  oerr  orachk  tfactl [root@oracle-primary bin]# ./orachk Clusterware stack is running from /u01/app/grid/19c. Is this the correct Clusterware Home?[y/n][y] y List of running databases tmsdb None of above Select databases from list for checking best practices. For multiple databases, select 1 for All or comma separated number like 1,2 etc [1-2][1]. 1 .  . .  . Checking Status of Oracle Software Stack - Clusterware, ASM, RDBMS .  .  . . . . .  .  .  . . . .  .  .  .  .  .  .  .  .  .  .  .  .                                              Oracle Stack Status Host Name       CRS Installed       ASM HOME  RDBMS Installed    CRS UP       ASM UP  RDBMS UP    DB Instance Name oracle-primary             Yes          Yes          Yes          Yes      Yes      Yes               tmsdb Copying plug-ins . . .  .  .  .  .  . Either Cluster Verification Utility pack (cvupack) does not exist at /opt/oracle.ahf/common/cvu or it is an old or invalid cvupack Checking Cluster Verification Utility (CVU) version at CRS Home - /u01/app/grid/19c This version of Cluster Verification Utility (CVU) was released on 14-Apr-2021 and it is older than 180 days. It is highly recommended that you download the latest version of CVU from MOS patch 30839369 to ensure the highest level of accuracy of the data contained within the report Do you want to download latest version of Cluster Verification Utility (CVU) from my oracle support? [y/n] [y] n Running older version of Cluster Verification Utility (CVU) from CRS Home - /u01/app/grid/19c *** Checking Best Practice Recommendations ( Pass / Warning / Fail ) *** . ============================================================          Node name - oracle-primary . . . . . .  Collecting - ASM Disk Groups  Collecting - ASM Disk I/O stats  Collecting - ASM Diskgroup Attributes  Collecting - ASM disk partnership imbalance  Collecting - ASM diskgroup attributes  Collecting - ASM diskgroup usable free space  Collecting - ASM initialization parameters  Collecting - Active sessions load balance for tmsdb database  Collecting - Archived Destination Status for tmsdb database  Collecting - Cluster Interconnect Config for tmsdb database  Collecting - Database Archive Destinations for tmsdb database  Collecting - Database Files for tmsdb database  Collecting - Database Instance Settings for tmsdb database  Collecting - Database Parameters for tmsdb database  Collecting - Database Properties for tmsdb database  Collecting - Database Registry for tmsdb database  Collecting - Database Sequences for tmsdb database  Collecting - Database Undocumented Parameters for tmsdb database  Collecting - Database Undocumented Parameters for tmsdb database  Collecting - Database Workload Services for tmsdb database  Collecting - Dataguard Status for tmsdb database  Collecting - Files not opened by ASM  Collecting - Log Sequence Numbers for tmsdb database  Collecting - Percentage of asm disk  Imbalance  Collecting - Process for shipping Redo to standby for tmsdb database  Collecting - Redo Log information for tmsdb database  Collecting - Standby redo log creation status before switchover for tmsdb database  Collecting - /proc/cmdline  Collecting - /proc/modules  Collecting - CPU Information  Collecting - CRS active version  Collecting - CRS oifcfg  Collecting - CRS software version  Collecting - CSS Reboot time  Collecting - Cluster interconnect (clusterware)  Collecting - Clusterware OCR healthcheck  Collecting - Clusterware Resource Status  Collecting - Disk I/O Scheduler on Linux  Collecting - DiskFree Information  Collecting - DiskMount Information  Collecting - Huge pages configuration  Collecting - Interconnect network card speed  Collecting - Kernel parameters  Collecting - Linux module config.  Collecting - Maximum number of semaphore sets on system  Collecting - Maximum number of semaphores on system  Collecting - Maximum number of semaphores per semaphore set  Collecting - Memory Information  Collecting - Monthly recommended patches for Grid Infrastructure  Collecting - NUMA Configuration  Collecting - Network Interface Configuration  Collecting - Network Performance  Collecting - Network Service Switch  Collecting - OS Packages  Collecting - OS version  Collecting - Operating system release information and kernel version  Collecting - Oracle executable attributes  Collecting - Patches for Grid Infrastructure  Collecting - Patches for RDBMS Home  Collecting - Patches xml for Grid Infrastructure  Collecting - Patches xml for RDBMS Home  Collecting - RDBMS and GRID software owner UID across cluster  Collecting - RDBMS patch inventory  Collecting - Shared memory segments  Collecting - Table of file system defaults  Collecting - Voting disks (clusterware)  Collecting - number of semaphore operations per semop system call  Collecting - CRS Opatch version  Collecting - CRS user time zone check  Collecting - Clusterware patch inventory  Collecting - Collect Data Guard TFA Data  Collecting - Custom rc init scripts (rc.local)  Collecting - Database Server Infrastructure Software and Configuration  Collecting - Database details for Infrastructure  Collecting - Disk Information  Collecting - Grid Infastructure user shell limits configuration  Collecting - Interconnect interface config  Collecting - Linux system service and RAC process configuration  Collecting - Network interface stats  Collecting - Root user limits  Collecting - SHMAnalyzer to report potential Operating system resources usage  Collecting - UHC Agent User Shell Limits  Collecting - Verify ORAchk scheduler configuration  Collecting - Verify TCP Selective Acknowledgement is enabled  Collecting - Verify no database server kernel out of memory errors  Collecting - Verify the vm.min_free_kbytes configuration  Collecting - root time zone check  Collecting - slabinfo  Collecting - umask setting for GI owner Data collections completed. Checking best practices on oracle-primary.  INFO =&gt;     ASM Important INFO  INFO =&gt;     Oracle database unified auditing recommendation for tmsdb   WARNING  =&gt;  Dedicated Tablespace for Unified Audit Trail for tmsdb  INFO =&gt;     Oracle Data Pump Best practices   WARNING  =&gt;  Monitoring Non-AWR space usage in SYSAUX for tmsdb   WARNING  =&gt;  Monitoring stale statistics for tmsdb   WARNING  =&gt;  Verify nofiles limit for Agent user   WARNING  =&gt;  Verify nproc limit for Agent user   FAIL   =&gt;     Verify loopback interface MTU size  INFO =&gt;     Most recent ADR incidents for /u01/app/oracle/product/19c   WARNING  =&gt;  Monitoring Recyclebin by database users for tmsdb  INFO =&gt;     Oracle GoldenGate failure prevention best practices  INFO =&gt;     SHMAnalyzer to report potential Operating system resources usage  INFO =&gt;     ASMLIB check  FAIL =&gt;     Verify the DEFAULT Profile Parameters for tmsdb  FAIL =&gt;     Verify elevated priority for Global Cache Fusion processes for tmsdb  UNDETERMINED =&gt;     Verify share memory segment persistence at logout   WARNING  =&gt;  Verify the vm.min_free_kbytes configuration  INFO =&gt;     Old log files in client directory in crs_home  INFO =&gt;     Check user_dump_destination for tmsdb   WARNING  =&gt;  Check ORA-00600 errors for tmsdb  INFO =&gt;     Alert log file size for tmsdb  INFO =&gt;     Old trace files in background dump destination for tmsdb  INFO =&gt;     Tablespace allocation type for tmsdb  INFO =&gt;     Redo log Checkpoint not complete for tmsdb   CRITICAL  =&gt; Verify ORAchk scheduler configuration across cluster   WARNING  =&gt;  Session Failover configuration for tmsdb   WARNING  =&gt;  oradism executable permission for /u01/app/oracle/product/19c   WARNING  =&gt;  Non-multiplexed redo logs for tmsdb  INFO =&gt;     Listener log file rotation for tmsdb  INFO =&gt;     Primary database protection with Data Guard for tmsdb   WARNING  =&gt;  Flashback database on primary for tmsdb  INFO =&gt;     Storage Minimum Requirements for Grid &amp; Database Homes   CRITICAL  =&gt; Verify operating system hugepages count satisfies total SGA requirements   WARNING  =&gt;  Interconnect NIC bonding config.   WARNING  =&gt;  VIP NIC bonding config.   WARNING   =&gt;  Verify rman controlfile autobackup is set to ON for tmsdb   WARNING  =&gt;  ASM disk group compatible.rdbms attribute   FAIL   =&gt;     Verify the Alternate Archive Destination is Configured to Prevent Database Hangs for tmsdb   FAIL    =&gt;     Check for Parameter db_lost_write_protect on tmsdb instance   FAIL   =&gt;     Database init parameter DB_BLOCK_CHECKING on primary for tmsdb   WARNING  =&gt;  cursor_obsolete_threshold hidden parameter for tmsdb  INFO =&gt;     Operational Best Practices  INFO =&gt;     Database Consolidation Best Practices  INFO =&gt;     Computer failure prevention best practices  INFO =&gt;     Data corruption prevention best practices  INFO =&gt;     Logical corruption prevention best practices  INFO =&gt;     Database/Cluster/Site failure prevention best practices  INFO =&gt;     Client failover operational best practices   WARNING  =&gt;  Check for Parameter fast_start_mttr_target on tmsdb instance  INFO =&gt;     Hang and Deadlock material   WARNING  =&gt;  VKTM priority for tmsdb   WARNING  =&gt;  Redo Log File Size for tmsdb   FAIL    =&gt;     Verify AUD$ and FGA_LOG$ tables use Automatic Segment Space Management for tmsdb  INFO =&gt;     Database failure prevention best practices   WARNING  =&gt;  Logical standby unsupported datatypes for tmsdb   WARNING  =&gt;  LOG_FILE_NAME_CONVERT for tmsdb  INFO =&gt;     Primary database log_archive_config for tmsdb   FAIL    =&gt;     Data Guard broker configuration for tmsdb   WARNING  =&gt;  Check for Patch 33912872 /u01/app/oracle/product/19c   WARNING  =&gt;  Check for Patch 33912872 /u01/app/grid/19c  INFO =&gt;     Optimizer bug fixes with disabled fix control In 19c for tmsdb  INFO =&gt;     Software maintenance best practices   CRITICAL  =&gt; Verify transparent hugepages are disabled  INFO =&gt;     Oracle recovery manager(rman) best practices  INFO =&gt;     Database feature usage statistics for tmsdb  FAIL =&gt;     Tablespace extent management Allocation Type for SecureFiles LOB storage for tmsdb  INFO =&gt;     Optimizer Parameters with Non-Default Settings (Check 3) for tmsdb   WARNING  =&gt;  Monitoring changes to schema objects for tmsdb   WARNING  =&gt;  session_cached_cursors parameter for tmsdb  UNDETERMINED =&gt;     Check for tainted kernel by non-Oracle modules and 3rd party security software installed from package A Cluster Verification Utility (CVU) Exception occurred while running CVU on node oracle-primary. Orachk is skipping CVU results from node oracle-primary. UPLOAD [if required] - /opt/oracle.ahf/data/oracle-primary/orachk/user_root/output/orachk_oracle-primary_tmsdb_080125_111251.zip [root@oracle-primary bin]#</t>
  </si>
  <si>
    <t>[TMSDB] Thực hiện tìm hiểu &amp; đánh giá tổng quan về hệ thống database TMSDB.</t>
  </si>
  <si>
    <t>2025-08-01T10:32:26.460+0700</t>
  </si>
  <si>
    <t>2025-08-07T15:36:57.008+0700</t>
  </si>
  <si>
    <t>Tìm hiểu &amp; Đánh giá Tổng quan Hệ thống (Overview) Mục tiêu: Hiểu rõ hiện trạng và cấu hình của hệ thống database TMS. Chi tiết:  =&gt; Infrastructure Software and Configuration Summary =&gt;  Software Maintenance Best Practices</t>
  </si>
  <si>
    <t>[OMD] [TMS] [PROD] Perform the Health Check &amp; Analysis Database Oracle TMSDB (PRIMARY)</t>
  </si>
  <si>
    <t>2025-08-01T10:31:15.403+0700</t>
  </si>
  <si>
    <t>2025-08-20T09:22:01.498+0700</t>
  </si>
  <si>
    <t>Sub-task 1: Tìm hiểu &amp; Đánh giá Tổng quan Hệ thống (Overview) Mục tiêu:  Hiểu rõ hiện trạng và cấu hình của hệ thống database TMS. Chi tiết: Đánh giá toàn bộ cấu hình hệ thống theo chuẩn của Oracle. Kiểm tra và ghi nhận các thông số về IP (địa chỉ mạng). Kiểm tra và ghi nhận cấu hình Network (mạng). Kiểm tra và ghi nhận cấu hình Disk (hệ thống lưu trữ). Sub-task 2: Cài đặt Autonomous Health Framework (AHF) Mục tiêu:  Sử dụng công cụ mới nhất của Oracle (bản phát hành tháng 7 năm 2025) để chủ động kiểm tra sức khỏe hệ thống. Lợi ích: Phát hiện sự cố chủ động:  Tìm ra các vấn đề tiềm ẩn trước khi chúng gây ảnh hưởng. Tăng tốc độ giải quyết vấn đề:  Cung cấp thông tin chi tiết giúp xử lý sự cố nhanh hơn. Thu thập dữ liệu toàn diện:  Tổng hợp thông tin từ nhiều nguồn để có cái nhìn tổng thể. Đảm bảo tuân thủ các khuyến nghị tốt nhất:  So sánh hệ thống với các tiêu chuẩn hàng đầu. Sub-task 3: Phân tích Báo cáo từ AHF &amp; Đưa ra Khuyến nghị Mục tiêu:  Dựa trên kết quả phân tích của AHF để xác định các điểm cần cải thiện. Các hạng mục phân tích chi tiết: Cấu hình Hệ điều hành (OS): Tham số kernel. Các gói phần mềm (packages) còn thiếu hoặc sai phiên bản. Cấu hình bộ nhớ và lưu trữ. Cấu hình Oracle Grid Infrastructure &amp; Clusterware: Các cấu hình sai lệch trong môi trường RAC (Real Application Clusters). Vấn đề về kết nối mạng và lưu trữ chung (shared storage). Cấu hình Cơ sở dữ liệu (Database): Tham số khởi tạo (init parameters). Quản lý không gian lưu trữ. Tình trạng các bản vá (patches). Các vấn đề liên quan đến bảo mật. Khuyến nghị theo Thực hành tốt nhất (Best Practices): So sánh cấu hình hiện tại với kiến trúc MAA (Maximum Availability Architecture) của Oracle. Chuẩn bị cho việc Nâng cấp: Liệt kê các kiểm tra có trạng thái "FAIL" (Lỗi) hoặc "WARNING" (Cảnh báo) cần khắc phục trước khi nâng cấp. Bản vá và Cập nhật: Kiểm tra và đề xuất cài đặt các bản vá bảo mật quan trọng. Sub-task 4: Kiểm tra Nhật ký Hệ thống (Logs) &amp; Đưa ra Khuyến nghị Mục tiêu:  Phân tích các file log để phát hiện các lỗi hoặc cảnh báo đã xảy ra. Chi tiết: Phân tích log Hệ điều hành (OS log):  Đánh giá và tìm kiếm các dấu hiệu bất thường trên OS. Phân tích log Cơ sở dữ liệu và Cluster (Database &amp; Cluster logs):  Kiểm tra alert log và các log liên quan để tìm lỗi hoặc cảnh báo từ Oracle. Sub-task 5: Tổng kết và Đề xuất Hành động Mục tiêu:  Tổng hợp tất cả các kết quả phân tích và đưa ra một kế hoạch hành động cụ thể. Nội dung: Tạo một bản báo cáo tổng kết toàn diện. Liệt kê danh sách các khuyến nghị cần thực hiện cho hệ thống database Oracle PSS, sắp xếp theo mức độ ưu tiên.</t>
  </si>
  <si>
    <t>[PROD] Nâng cấu hình DB Ticketing phục vụ bán vé 8Wonder</t>
  </si>
  <si>
    <t>2025-08-01T00:08:01.248+0700</t>
  </si>
  <si>
    <t>2025-08-01T00:08:14.653+0700</t>
  </si>
  <si>
    <t>Dear anh Dũng, Để phục vụ bán vé 8Wonder vào 10h sáng ngày 01/08/2025, nhờ anh nâng cấu hình DB theo thông tin dưới đây ạ Thời gian thực hiện 23:59:59 ngày 31/07/2025 Project: vinticket-prod IP: 172.31.1.3 GCP:  https://console.cloud.google.com/sql/instances/main-2/overview?inv=1&amp;invt=Ab4O2Q&amp;project=vinticket-prod CR:    Em cảm ơn anh</t>
  </si>
  <si>
    <t>[OMC][CDP] Tạo index cho CDP</t>
  </si>
  <si>
    <t>2025-07-31T15:20:02.319+0700</t>
  </si>
  <si>
    <t>2025-07-31T15:21:00.741+0700</t>
  </si>
  <si>
    <t>Dear anh  @Nguyễn Văn Duy  , anh  @Trần Trương Dương  , nhờ anh chạy giúp em script sau: ALTER TABLE dp_omc_semantic_omc_bsi_cdp.f_customer_label ADD INDEX idx_label_code (label_code); Host:  tidb.int.onemount.com:4000 Schema:  dp_omc_semantic_omc_bsi_cdp Best regards Dinh Quang Nguyen</t>
  </si>
  <si>
    <t xml:space="preserve"> Xin phân quyền truy cập vào bảng tidb_ods.vinidpay_reconciliation.*, tidb_ods.vinidpay_tcb_payment_reporting</t>
  </si>
  <si>
    <t>2025-07-31T15:09:57.382+0700</t>
  </si>
  <si>
    <t>2025-07-31T15:10:15.628+0700</t>
  </si>
  <si>
    <t>Nhờ team hỗ trợ gán quyền truy cập toàn bộ các bảng của 2 schema:  vinidpay_reconciliation vinidpay_tcb_payment_reporting</t>
  </si>
  <si>
    <t>2025-07-31T14:25:32.261+0700</t>
  </si>
  <si>
    <t>2025-07-31T14:25:38.736+0700</t>
  </si>
  <si>
    <t>CPD</t>
  </si>
  <si>
    <t>Dear anh  @Nguyễn Văn Dũng  , CR:  Nhờ a thực hiện insert  bản ghi giúp em ạ, thông tin DB Postgres mtp_audience_management POSTGRES_HOST: 172.31.3.49
POSTGRES_PORT: "5432" Script: INSERT INTO segments (
    data_source_id, type, status, description, hash, level_1, level_2, level_3, level_4,
    segment_config, created_at, updated_at, updated_by, created_by, upload_gcs_path,
    business_unit_id, size, share_type, shared_by
) VALUES
-- INS - Hội viên Techcombank Inspire
(
    2, 'STANDARD', 'ACTIVE', 'Hạng thành viên',
    'c0b42e32e06eab4d50118a839ce0d59a9a5797d27a41de6b87e8e9a17f97f693',
    'Hạng thành viên','Hội viên Techcombank Inspire', null, null,
    e'{
      "AND": [
        {
          "AND": [
            {
              "label_code": "customer_tcb_tier",
              "operator": "=",
              "value": "INS",
              "data_type": "STRING"
            }
          ]
        }
      ]
    }',
    '2025-07-14 08:27:29.211190', '2025-07-14 08:27:29.211190', null, null, null, null, null, null, null
),
-- PRO - Hội viên Techcombank Priority
(
    2, 'STANDARD', 'ACTIVE', 'Hạng thành viên',
    '1d1880e95dddc0d35b40152b94c2e56e1c7d65720358ae5f0586a4bb73bbd997',
    'Hạng thành viên','Hội viên Techcombank Priority', null, null,
    e'{
      "AND": [
        {
          "AND": [
            {
              "label_code": "customer_tcb_tier",
              "operator": "=",
              "value": "PRO",
              "data_type": "STRING"
            }
          ]
        }
      ]
    }',
    '2025-07-14 08:27:29.211190', '2025-07-14 08:27:29.211190', null, null, null, null, null, null, null
),
-- PRV - Hội viên Techcombank Private
(
    2, 'STANDARD', 'ACTIVE', 'Hạng thành viên',
    '20602a0c830e6313b2fcb181d76b4d9f6d451b9a77c18df43ad9ff169a405b92',
    'Hạng thành viên', 'Hội viên Techcombank Private', null, null,
    e'{
      "AND": [
        {
          "AND": [
            {
              "label_code": "customer_tcb_tier",
              "operator": "=",
              "value": "PRV",
              "data_type": "STRING"
            }
          ]
        }
      ]
    }',
    '2025-07-14 08:27:29.211190', '2025-07-14 08:27:29.211190', null, null, null, null, null, null, null
),
-- MEM - Khách hàng thường
(
    2, 'STANDARD', 'ACTIVE', 'Hạng thành viên',
    '6c6e9f63a8459b52941fdc0e3ef334a56be0d98914dfb11696b230dc8e13e491',
    'Hạng thành viên', 'Khách hàng thường', null, null,
    e'{
      "AND": [
        {
          "AND": [
            {
              "label_code": "customer_tcb_tier",
              "operator": "=",
              "value": "MEM",
              "data_type": "STRING"
            }
          ]
        }
      ]
    }',
    '2025-07-14 08:27:29.211190', '2025-07-14 08:27:29.211190', null, null, null, null, null, null, null
); Thanks.</t>
  </si>
  <si>
    <t>2025-07-31T14:13:48.633+0700</t>
  </si>
  <si>
    <t>2025-07-31T14:32:11.755+0700</t>
  </si>
  <si>
    <t>Dear DBA Team, Nhờ team support chạy migrate: Database name: vincart_vmm_order 
IP: 172.31.1.41 Script update orders a
set a.status = 'FINISHED', a.payment_status='PAID'
where a.code in ('M3427L8', 'M5N7K77','MB9XQ87','MXXD4BK','MR6LVG3','MNQ9775','M7AQALA');</t>
  </si>
  <si>
    <t>[VINPAY][PROD] Cập nhật cấu hình gửi báo cáo đối soát Unified Merchant</t>
  </si>
  <si>
    <t>2025-07-31T13:33:19.803+0700</t>
  </si>
  <si>
    <t>2025-07-31T13:33:24.302+0700</t>
  </si>
  <si>
    <t>Hi team, Em có script cần update cho DB  vinidpay_reconciliation , nhờ team support Thông tin DB:  tidb.int.onemount.com:4000/vinidpay_reconciliation Script: UPDATE vinidpay_reconciliation.PARTNER_REPORT SET SFTP_CONFIG='{"connection_timeout":10000,"download_directory":"","filename_prefix_pattern":"","host":"10.255.13.108","is_ssl":false,"password":"A0ldAUZx7Y67584Eui4=","port":2022,"private_key_path":"","session_timeout":10000,"username":"tpay"}' WHERE ID=4002';</t>
  </si>
  <si>
    <t>[PROD] Chạy câu lệnh SQL GSM</t>
  </si>
  <si>
    <t>2025-07-31T11:58:27.502+0700</t>
  </si>
  <si>
    <t>2025-07-31T12:00:36.694+0700</t>
  </si>
  <si>
    <t>Dear anh Dương, Nhờ anh hỗ trợ team chạy câu lênh SQL dưới đây ạ Issuse:  https://chat.google.com/room/AAAAH-v7fB4/vkIM555bpb0/vkIM555bpb0?cls=10 Thông tin DB: Project: vincart-prod
IP: 172.31.1.41
DB name: booking_transportation Câu lệnh SQL: START TRANSACTION;
UPDATE `trips`
SET `status` = 'FINISHED', `previous_status` = 'JOURNEY'
WHERE `id` = 56195;
COMMIT;</t>
  </si>
  <si>
    <t>2025-07-31T11:58:11.643+0700</t>
  </si>
  <si>
    <t>2025-07-31T12:01:31.395+0700</t>
  </si>
  <si>
    <t>2025-07-31T11:34:46.075+0700</t>
  </si>
  <si>
    <t>2025-07-31T11:38:47.351+0700</t>
  </si>
  <si>
    <t>[OMC][GAMI][PS2][Prod] Hỗ trợ xuất báo cáo vé tuần cho campaign Spin to Win tuần 14</t>
  </si>
  <si>
    <t>2025-07-31T11:14:35.838+0700</t>
  </si>
  <si>
    <t>2025-07-31T11:14:45.385+0700</t>
  </si>
  <si>
    <t>Hỗ trợ xuất báo cáo vé tuần cho campaign Spin to Win tuần 14 Host:  172.31.4.75 Db:  promo_gamezone Query: SELECT SUM(claim_amount) FROM `rule_logs` WHERE campaign_id = 50 &amp;&amp; reward_type='TURN' &amp;&amp; `status` = 'SUCCESS';
SELECT COUNT(DISTINCT(user_id)) FROM `rule_logs` WHERE campaign_id = 50 &amp;&amp; reward_type='TURN' &amp;&amp; `status` = 'SUCCESS';  </t>
  </si>
  <si>
    <t>[OMC][Flash Sale TCB] Giảm cấu hình các instance mysql/postgreSQL phục vụ Flash Sale 31/07/2025</t>
  </si>
  <si>
    <t>2025-07-31T10:02:54.754+0700</t>
  </si>
  <si>
    <t>2025-07-31T10:43:27.390+0700</t>
  </si>
  <si>
    <t>Thời gian thực hiện: sau 1h 31/07/2025 Thông tin CR:     Chi tiết như sau: https://console.cloud.google.com/sql/instances/main/overview?project=vincart-prod 172.31.1.41 Về: 8 vCPUs 24 GB RAM , 20000 connections, innodb_buffer_pool_size  12884901888 Từ: 48 CPUs	64 GB RAM, innodb_buffer_pool_size	42748736000 https://console.cloud.google.com/sql/instances/ecom-medium-mysql/overview?project=vincart-prod 172.31.4.9 Về: 4 vCPUs 8 GB RAM, 10000 connections , innodb_buffer_pool_size  4294967296 Từ: 16 CPUs	32 GB RAM , innodb_buffer_pool_size  18874368000 https://console.cloud.google.com/sql/instances/oneloyalty/overview?project=vinid-loyalty-prod 172.31.7.6 Về: 4 CPUs	8 GB RAM , innodb_buffer_pool_size   4294967296 Từ: 16 CPUs	24 GB RAM , 4000 connections, innodb_buffer_pool_size   15737418240 https://console.cloud.google.com/sql/instances/onevoucher/overview?project=vinid-loyalty-prod 172.31.4.126 Về: 4 CPUs	16 GB RAM, 10000 connections , innodb_buffer_pool_size		8589934592 Từ: 16 CPUs	32 GB RAM , innodb_buffer_pool_size  18874368000 https://console.cloud.google.com/sql/instances/voucher-distribution/overview?project=vinid-loyalty-prod 172.31.4.82 Về: 2 CPUs	8 GB RAM , innodb_buffer_pool_size   4294967283 Từ: 8 CPUs	16 GB RAM , 4000 connections, innodb_buffer_pool_size  10037418240 https://console.cloud.google.com/sql/instances/postgres-01/overview?authuser=0&amp;project=vinid-service-platform-prod 172.31.7.11 Về: 2 CPUs	8 GB RAM Từ: 4 CPUs	16 GB RAM https://console.cloud.google.com/sql/instances/omc-authentication/overview?project=omc-base-platform-prod 172.31.3.40 Về: 4 CPUs	8 GB RAM Từ: 8 CPUs	16 GB RAM</t>
  </si>
  <si>
    <t>[OM][capacity ] Giảm cấu hình các instance cloudsql database và VM instance không dùng hết capacity đã cấp</t>
  </si>
  <si>
    <t>2025-07-31T09:40:29.718+0700</t>
  </si>
  <si>
    <t>2025-12-02T15:24:54.876+0700</t>
  </si>
  <si>
    <t>DBA team tiến hành giảm capacity của các instance ko sử dụng hết lượng capacity đã cấp</t>
  </si>
  <si>
    <t>[OM][SAVE COST] Save cost 2025</t>
  </si>
  <si>
    <t>2025-07-31T09:36:29.006+0700</t>
  </si>
  <si>
    <t>Task save cost DBA team 2025</t>
  </si>
  <si>
    <t>[OMC][Shrink disk] Shrink disk instance mysql project vinid-crm-salesforce-prod</t>
  </si>
  <si>
    <t>2025-07-31T09:00:13.304+0700</t>
  </si>
  <si>
    <t>2025-07-31T09:03:06.712+0700</t>
  </si>
  <si>
    <t>Project: vinid-crm-salesforce-prod instance:  notification-hubs Disk: 1700GB về 850GB</t>
  </si>
  <si>
    <t>[OMD] [Lite-POS-User] Yêu cầu truncate master data cũ trên hệ thống User lite-pos</t>
  </si>
  <si>
    <t>2025-07-30T18:09:28.749+0700</t>
  </si>
  <si>
    <t>2025-07-30T23:08:58.142+0700</t>
  </si>
  <si>
    <t>user</t>
  </si>
  <si>
    <t>Hi Team, Nhờ Team  truncate  giúp table sau trên DB của dự án Lite-POS module User table: TaxAuthority Thông tin DB &amp; thời gian chạy chính xác nhờ  @Phạm Hồng Quang  fill giúp nhé Thank Team!</t>
  </si>
  <si>
    <t>2025-07-30T18:05:19.951+0700</t>
  </si>
  <si>
    <t>2025-07-30T18:07:11.991+0700</t>
  </si>
  <si>
    <t>Hi DBA team, Hiện tại kho MES_2D_022 cần đổi tên, nhờ team DBA hỗ trợ cập nhật giá trị theo thông tin dưới đây. 1. Cập nhật trên WMS Project : vinid-b2b-platform-prod Instance/IP : main (read-write): 172.31.4.59 Port : 3306 Database : omd_wms_core Query update base_dc bd set bd.dc_name = 'NPP Kim Anh' where bd.dc_code = 'MES_2D_022'; 2. Cập nhật trên WES Project : vinid-b2b-platform-prod Instance/IP : main (read-write): 172.31.1.143 Port : 3306 Database : wes_master update warehouse w set w.name = 'NPP Kim Anh' where w.code = 'MES_2D_022'; Câu query đánh giá là an toàn nên có thể thực hiện cập nhật bất kỳ lúc nào mà không ảnh hưởng đến vận hành hệ thống.</t>
  </si>
  <si>
    <t> [MTP][Nonprod] Request quyền create/drop index cho các bảng report của luồng merchant loyalty</t>
  </si>
  <si>
    <t>2025-07-30T15:19:41.115+0700</t>
  </si>
  <si>
    <t>2025-07-30T16:54:55.455+0700</t>
  </si>
  <si>
    <t>Nhờ a thêm giúp em quyền sau trên TiDB Nonprod: User:  omc_mtp_merchant_loyalty Quyền cần thêm: Create/Drop Index Bảng: data_platform.mvp_voucher_ticket data_platform.mvp_voucher_issued_serials data_platform.mvp_discount_transaction</t>
  </si>
  <si>
    <t>Hỗ trợ tạo dữ liệu mở mới kho MES_2D_028 - NPP Khánh Nhi</t>
  </si>
  <si>
    <t>2025-07-30T14:26:41.827+0700</t>
  </si>
  <si>
    <t>2025-07-30T23:08:02.730+0700</t>
  </si>
  <si>
    <t>Hi DBA team,  Hiện tại nghiệp vụ có nhu cầu mở mới kho MES_2D_028 - NPP Khánh Nhi,  nhờ team DBA hỗ trợ cập nhật giá trị theo thông tin dưới đây   Cụm WMS Project : vinid-b2b-platform-prod Instance/IP : main (read-write): 172.31.4.59 Port : 3306 Database : omd_wms_core Script : file  omd_wms_core_2d_028.sql  trong file đính kèm Cum WES Project : vinid-b2b-platform-prod Instance/IP : main (read-write): 172.31.1.143 Port : 3306 Database : wes_master Script : file  wes_master_2d_028.sql  trong file đính kèm Câu query đánh giá là có thể ảnh hưởng đến vận hành hệ thống nên mong muốn chạy vào thời gian vận hành thấp điểm (từ 22h-2h sáng).</t>
  </si>
  <si>
    <t>[Nonprod] Tạo mới db nonprod phục vụ dev</t>
  </si>
  <si>
    <t>2025-07-30T14:14:35.000+0700</t>
  </si>
  <si>
    <t>2025-07-30T15:15:05.322+0700</t>
  </si>
  <si>
    <t>Dear anh Dương, Nhờ anh hỗ trợ team tạo mới DB với các thông tin dứoi đây ạ Project: vinid-app-common-dev IP: 172.31.0.16 DB name: e_invoice_uat/qc Em cảm ơn anh</t>
  </si>
  <si>
    <t>[Nexa] Tổng kết và Đề xuất Hành động Health Check &amp; Analysis Database Oracle PSS</t>
  </si>
  <si>
    <t>2025-07-30T11:36:46.842+0700</t>
  </si>
  <si>
    <t>2025-08-06T09:44:45.253+0700</t>
  </si>
  <si>
    <t>Tổng kết và Đề xuất Hành động Mục tiêu:  Tổng hợp tất cả các kết quả phân tích và đưa ra một kế hoạch hành động cụ thể. Nội dung: Tạo một bản báo cáo tổng kết toàn diện. Liệt kê danh sách các khuyến nghị cần thực hiện cho hệ thống database Oracle PSS, sắp xếp theo mức độ ưu tiên. Báo cáo Tổng hợp: Kiểm tra và Đánh giá Hệ thống Database Oracle PSS Ngày báo cáo:  30 tháng 7 năm 2025 Đối tượng:  Đội ngũ Quản trị Cơ sở dữ liệu (DBA) và Quản trị Hệ thống. 1. Tóm tắt Báo cáo Cuộc kiểm tra tổng thể hệ thống database Oracle PSS đã được thực hiện, bao gồm việc đánh giá cấu hình mạng, phân tích sâu bằng công cụ Oracle Autonomous Health Framework (AHF), và kiểm tra nhật ký hệ thống. Kết quả cho thấy hệ thống đang hoạt động nhưng tồn tại nhiều điểm chưa tuân thủ các khuyến nghị tốt nhất (Best Practices) từ Oracle.  Các vấn đề này tiềm ẩn rủi ro về  tính sẵn sàng cao (High Availability) ,  bảo mật , và  hiệu năng tối ưu . Báo cáo này sẽ trình bày chi tiết các phát hiện và đề xuất kế hoạch hành động cụ thể để khắc phục, nhằm nâng cao sự ổn định và hiệu quả của hệ thống. 2. Phạm vi Kiểm tra Đánh giá kiến trúc mạng:  Kiểm tra cấu hình SCAN, DNS, và Private Interconnect. Phân tích bằng AHF:  Sử dụng báo cáo AHF để kiểm tra các cấu hình về OS, Clusterware, Database, các bản vá, và so sánh với Best Practices. Phân tích nhật ký hệ thống:  Kiểm tra file Alert Log để phát hiện các lỗi phát sinh trong quá trình vận hành. 3. Kết quả Phân tích Chi tiết và Khuyến nghị 3.1. Cấu hình Mạng và Kiến trúc (Network &amp; Architecture) Hạng mục Hiện trạng Rủi ro / Ảnh hưởng Khuyến nghị Mức độ Ưu tiên Số lượng SCAN IP Chỉ sử dụng 1 SCAN IP. Điểm lỗi duy nhất (SPOF).  Nếu node chạy SCAN IP gặp sự cố, ứng dụng sẽ không thể tạo kết nối mới, gây gián đoạn dịch vụ. Tăng số lượng SCAN IP lên 3. CAO Phân giải SCAN Sử dụng file  /etc/hosts  để phân giải tên SCAN. Không thể thực hiện cân bằng tải (Round-Robin) cho các kết nối mới. Gây khó khăn lớn trong việc quản trị và thay đổi cấu hình. Sử dụng DNS Server để phân giải SCAN. CAO Private Interconnect Sử dụng MTU tiêu chuẩn (1500) cho mạng private. Hiệu năng không tối ưu.  Việc truyền các khối dữ liệu lớn giữa các node RAC bị chậm, làm tăng tải cho CPU và giảm thông lượng của cluster. Tối ưu với Jumbo Frames (cấu hình MTU=9000). TRUNG BÌNH 3.2. Phân tích từ Autonomous Health Framework (AHF) Hạng mục Trạng thái Mô tả &amp; Phân tích Khuyến nghị Mức độ Ưu tiên Bản vá (Bug Fixes) FAIL Hệ thống đang thiếu 3 bản vá lỗi quan trọng ( 29213893 ,  34774667 ,  32761547 ). Điều này có thể dẫn đến các lỗi tiềm ẩn hoặc lỗ hổng bảo mật. Thực hiện PATCH FIXBUG  cho 3 lỗi trên theo khuyến nghị từ Oracle. CAO Tham số Profile Mặc định FAIL Các tham số bảo mật mật khẩu quan trọng (thời gian hết hạn, khóa tài khoản sau khi đăng nhập sai) đang được đặt ở mức  UNLIMITED , không tuân thủ chính sách bảo mật cơ bản. Thiết lập lại các tham số  trong  DEFAULT  profile theo giá trị khuyến nghị của Oracle để tăng cường bảo mật. CAO Tham số ẩn (Hidden Parameters) WARN Hai tham số ẩn ( _bug32914795_bct_last_dba_buffer_size ,  _ipddb_enable ) đang được sử dụng. Các tham số này không còn cần thiết và có thể gây overhead không mong muốn. Gỡ bỏ (reset) 2 tham số ẩn này  để đưa cấu hình về trạng thái chuẩn, tránh các tác động không lường trước. TRUNG BÌNH 3.3. Phân tích Nhật ký Hệ thống (Log Analysis) Hạng mục Phát hiện Nguyên nhân &amp; Hậu quả Khuyến nghị Mức độ Ưu tiên Alert Log Lỗi  ORA-00800: soft external error, arguments: [Set Priority Failed], [VKTM]  xuất hiện. Người dùng  oracle  và  grid  thiếu quyền nâng độ ưu tiên thời gian thực từ hệ điều hành.  Hậu quả:  Giảm hiệu năng của các tiến trình nền quan trọng (LGWR, LMS), ảnh hưởng trực tiếp đến hiệu suất ghi dữ liệu và giao tiếp cluster. Cấp quyền  rtprio  cho người dùng  oracle  và  grid  trong file  /etc/security/limits.conf . CAO 4. Kế hoạch Hành động (Action Plan) Dưới đây là danh sách các công việc cần thực hiện, được phân loại theo mức độ ưu tiên để đảm bảo giải quyết các vấn đề quan trọng nhất trước. Nhóm 1: Các hạng mục Ưu tiên Cao (Cần lên kế hoạch thực hiện sớm) Thiết lập chính sách bảo mật cho Profile mặc định Lý do:  Tăng cường bảo mật cơ bản cho tất cả người dùng CSDL, chống lại các cuộc tấn công dò mật khẩu. Hành động cụ thể:  Thực thi lệnh SQL sau với quyền  sysdba : Generated sql ALTER PROFILE DEFAULT LIMIT
    PASSWORD_ROLLOVER_TIME 0
    PASSWORD_GRACE_TIME 7
    PASSWORD_LOCK_TIME 1
    PASSWORD_LIFE_TIME 180
    FAILED_LOGIN_ATTEMPTS 10; Use code  with caution .SQL Khắc phục lỗi ORA-00800 (Set Priority Failed) Lý do:  Đảm bảo hiệu năng cho các tiến trình nền quan trọng, tránh tình trạng nghẽn cổ chai và cải thiện sự ổn định của toàn hệ thống. Hành động cụ thể:  Với quyền  root , chỉnh sửa file  /etc/security/limits.conf  và thêm các dòng sau: Generated code # === Settings for Oracle Database &amp; Grid Users ===
oracle   soft   rtprio    99
oracle   hard   rtprio    99
grid     soft   rtprio    99
grid     hard   rtprio    99 Lưu ý:  Cần logout và login lại hoặc khởi động lại instance để thay đổi có hiệu lực. Áp dụng các bản vá lỗi còn thiếu Lý do:  Khắc phục các lỗi đã biết của Oracle và các lỗ hổng bảo mật, đảm bảo sự ổn định của database. Hành động cụ thể:  Lên kế hoạch downtime (nếu cần) và áp dụng 3 bản vá cho các lỗi:  29213893 ,  34774667 ,  32761547 . Cấu hình lại kiến trúc SCAN Lý do:  Loại bỏ điểm lỗi duy nhất (SPOF) và cho phép cân bằng tải kết nối, tăng cường tính sẵn sàng cao (HA). Hành động cụ thể (phối hợp với team Network/System Admin): Bước 1:  Yêu cầu cấp thêm 2 địa chỉ IP để sử dụng cho SCAN. Bước 2:  Cấu hình 3 địa chỉ IP này trên DNS Server, trỏ vào tên  pss-ora-scan  theo cơ chế Round-Robin. Bước 3:  Cập nhật lại cấu hình SCAN trong Oracle Clusterware và loại bỏ cấu hình trong file  /etc/hosts . Nhóm 2: Các hạng mục Ưu tiên Trung bình (Cần lên kế hoạch cải thiện) Gỡ bỏ các tham số ẩn không cần thiết Lý do:  Đưa hệ thống về cấu hình chuẩn, giảm overhead không cần thiết và tránh các rủi ro tiềm ẩn. Hành động cụ thể:  Thực thi các lệnh sau và khởi động lại database để áp dụng: Generated sql ALTER SYSTEM RESET "_bug32914795_bct_last_dba_buffer_size" SCOPE=SPFILE SID='*';
ALTER SYSTEM RESET "_ipddb_enable" SCOPE=SPFILE SID='*'; Tối ưu Private Interconnect với Jumbo Frames Lý do:  Tăng thông lượng truyền dữ liệu và giảm tải CPU, cải thiện hiệu năng tổng thể của môi trường RAC, đặc biệt dưới tải nặng. Hành động cụ thể (phối hợp với team Network): Lên kế hoạch cấu hình MTU=9000 trên các card mạng private của các server database và trên các cổng switch tương ứng.</t>
  </si>
  <si>
    <t>[Nexa] Thực hiện kiểm tra OS log và Database log và đưa ra khuyến nghị</t>
  </si>
  <si>
    <t>2025-07-30T09:59:00.349+0700</t>
  </si>
  <si>
    <t>2025-08-04T14:00:31.752+0700</t>
  </si>
  <si>
    <t>Kiểm tra Nhật ký Hệ thống (Logs) &amp; Đưa ra Khuyến nghị Mục tiêu:  Phân tích các file log để phát hiện các lỗi hoặc cảnh báo đã xảy ra. Chi tiết: Phân tích log Hệ điều hành (OS log):  Đánh giá và tìm kiếm các dấu hiệu bất thường trên OS. Phân tích log Cơ sở dữ liệu và Cluster (Database &amp; Cluster logs):  Kiểm tra alert log và các log liên quan để tìm lỗi hoặc cảnh báo từ Oracle. =&gt; Check alert log  Errors in file /u01/app/oracle/diag/rdbms/pss/pss1/trace/pss1_vktm_2018383.trc  (incident=1228869): ORA-00800: soft external error, arguments: [Set Priority Failed], [VKTM], [Check traces and OS configuration], [Check Oracle document and MOS notes], [] Incident details in: /u01/app/oracle/diag/rdbms/pss/pss1/incident/incdir_1228869/pss1_vktm_2018383_i1228869.trc 1. Nguyên Nhân Gốc Rễ Lỗi  ORA-00800: soft external error, arguments: [Set Priority Failed], [VKTM]  có nguyên nhân cốt lõi là tiến trình VKTM của Oracle đã cố gắng nâng cao độ ưu tiên thực thi lên mức thời gian thực (real-time priority) nhưng đã bị hệ điều hành từ chối. 2. Hậu Quả Mặc dù được phân loại là "soft external error" (lỗi mềm bên ngoài), cho thấy instance không bị sập ngay lập tức, hậu quả của nó lại ảnh hưởng tiêu cực đến hiệu năng và khả năng chẩn đoán lỗi của cơ sở dữ liệu: 3. Hướng Xử Lý Triệt Để Để giải quyết vĩnh viễn lỗi này, cần cấp cho người dùng  oracle  (và cả người dùng  grid  nếu bạn sử dụng Oracle Clusterware/RAC) quyền thiết lập độ ưu tiên thời gian thực. Bước 1: Chỉnh sửa tệp  /etc/security/limits.conf Đây là phương pháp được Oracle khuyến nghị và là giải pháp tiêu chuẩn. cần thêm các dòng sau vào tệp  /etc/security/limits.conf  với quyền  root . sudo vi /etc/security/limits.conf # === Settings for Oracle Database User ===
oracle   soft   rtprio    99
oracle   hard   rtprio    99
# === Settings for Oracle Grid Infrastructure User ===
grid     soft   rtprio    99
grid     hard   rtprio    99 NOTE: Đảm bảo hiệu năng cho các tiến trình nền quan trọng: oracle: Chạy các tiến trình của Oracle Database. Một số tiến trình nền như LGWR (Log Writer) và CKPT (Checkpoint) cực kỳ quan trọng đối với hiệu suất ghi dữ liệu và tính toàn vẹn của cơ sở dữ liệu. Việc LGWR bị chậm trễ có thể gây ra hiện tượng chờ "log file sync" và làm giảm đáng kể thông lượng giao dịch. grid: Chạy các thành phần của Oracle Grid Infrastructure, bao gồm Clusterware và Automatic Storage Management (ASM), đặc biệt quan trọng trong môi trường Oracle Real Application Clusters (RAC). Các tiến trình như LMS (Global Cache Service Process) chịu trách nhiệm đồng bộ hóa bộ đệm dữ liệu giữa các node trong cluster. Sự chậm trễ trong giao tiếp giữa các node có thể làm giảm hiệu năng của toàn bộ hệ thống cluster. Cho phép Oracle tự quản lý độ ưu tiên: Oracle có một tham số nội bộ (thường là tham số ẩn) tên là _high_priority_processes để tự động gán độ ưu tiên cao cho các tiến trình nền quan trọng như LMS, LGWR, và VKTM. Khi Oracle cố gắng nâng độ ưu tiên của các tiến trình này lên mức thời gian thực, nó cần quyền từ hệ điều hành. Cấp quyền cần thiết ở cấp độ hệ điều hành: Các thiết lập trong /etc/security/limits.conf chính là cơ chế để cấp quyền này. Bằng cách đặt rtprio 99 cho cả người dùng grid và oracle, quản trị viên hệ thống đảm bảo rằng khi Oracle yêu cầu độ ưu tiên cao nhất (99) cho các tiến trình của mình, hệ điều hành sẽ cho phép. Nếu không có các thiết lập này, nỗ lực nâng cao độ ưu tiên của Oracle có thể thất bại do bị giới hạn bởi chính sách bảo mật của hệ điều hành.</t>
  </si>
  <si>
    <t>[TPAY][NON-PROD] Tạo tài khoản SFTP cho merchant ISOFH lấy file báo cáo đối soát</t>
  </si>
  <si>
    <t>2025-07-30T09:42:22.872+0700</t>
  </si>
  <si>
    <t>2025-07-30T09:42:34.891+0700</t>
  </si>
  <si>
    <t>Dự án Tpay cần cấp tài khoản và 1 thư mục con trong thư mục trong thư mục tpay dành cho đối tác ISOFH để đọc file từ sFTP server. Thông tin sFTP server cần kết nối đến: Non-prod:  35.229.130.107:2022 Nhờ team support tạo server và cấp account cho dự án. Em tên thư mục và folder ạ. Account: isofh Folder: isofh</t>
  </si>
  <si>
    <t>V/v grant quyền read/write bảng trên ODS</t>
  </si>
  <si>
    <t>2025-07-30T09:40:54.145+0700</t>
  </si>
  <si>
    <t>2025-07-30T09:50:31.407+0700</t>
  </si>
  <si>
    <t>Dear Dũng, Nhờ em hỗ trợ grant quyền read/write vào 3 bảng trên ODS để bên anh đồng bộ dữ liệu cho dự án MVP nhé: Account: dataplatform_ingestion Tables:  data_platform.mvp_discount_transaction data_platform.mvp_voucher_issued_serials data_platform.mvp_voucher_ticket</t>
  </si>
  <si>
    <t>[OM][DP][PROD]V/v tạo bảng để kéo dữ liệu cho dự án MVP</t>
  </si>
  <si>
    <t>2025-07-30T09:39:59.701+0700</t>
  </si>
  <si>
    <t>2025-07-30T09:40:12.080+0700</t>
  </si>
  <si>
    <t>Dear DBA team, Để triển khai cho dự án MVP, DE cần tạo bảng trên ODS để đẩy dữ liệu lên cho dự án MVP sử dụng vậy nhờ team DBA support tạo giúp các bảng sau: CREATE TABLE `mvp_discount_transaction` (
  `pk` varchar(255) NOT NULL,
  `id` varchar(255) NOT NULL,
  `user_id` varchar(255) DEFAULT NULL,
  `ref_id` varchar(255) DEFAULT NULL,
  `amount` bigint DEFAULT NULL,
  `status` varchar(255) DEFAULT NULL,
  `item_ids` json DEFAULT NULL,
  `merchant_code` varchar(255) DEFAULT NULL,
  `store_code` varchar(255) DEFAULT NULL,
  `pos_code` varchar(255) DEFAULT NULL,
  `extra_data` json DEFAULT NULL,
  `created_at` datetime DEFAULT NULL,
  `updated_at` datetime DEFAULT NULL,
  `service_code` varchar(255) DEFAULT NULL,
  `tenant` varchar(255) DEFAULT NULL,
  `request_id` varchar(255) DEFAULT NULL,
  `order_amount` decimal(21,3) DEFAULT NULL,
  `status_holding_budget` varchar(255) DEFAULT NULL,
  `status_holding_voucher` varchar(255) DEFAULT NULL,
  `voucher_code` varchar(255) DEFAULT NULL,
  `voucher_ticket_code` varchar(255) DEFAULT NULL,
  `voucher_expired_time` datetime DEFAULT NULL,
  `voucher_serial_number` varchar(255) DEFAULT NULL,
  `voucher_distribute_time` datetime DEFAULT NULL,
  `budget_amount` decimal(21,3) DEFAULT NULL,
  `budget_transaction_id` varchar(255) DEFAULT NULL,
  `budget_item_code` varchar(255) DEFAULT NULL,
  `budget_discount_item_id` varchar(255) DEFAULT NULL,
  `budget_mkt_campaign_code` varchar(255) DEFAULT NULL,
  `budget_campaign_code` varchar(255) DEFAULT NULL,
  `campaign_merchant_code` varchar(255) DEFAULT NULL,
  `campaign_expense_method` varchar(255) DEFAULT NULL,
  `campaign_discount_amount` decimal(21,3) DEFAULT NULL,
  `campaign_participant_type` varchar(255) DEFAULT NULL,
  `campaign_expense_account_id` varchar(255) DEFAULT NULL,
  `campaign_expense_account_type` varchar(255) DEFAULT NULL,
  `kafka_is_deleted` tinyint(1) DEFAULT NULL,
  `row_created_at` datetime DEFAULT NULL,
  PRIMARY KEY (`pk`) /*T![clustered_index] CLUSTERED */
) ENGINE=InnoDB DEFAULT CHARSET=utf8mb4 COLLATE=utf8mb4_bin; CREATE TABLE `mvp_voucher_issued_serials` (
  `id` bigint NOT NULL,
  `created_at` datetime DEFAULT NULL,
  `updated_at` datetime DEFAULT NULL,
  `stock_in_detail_id` bigint unsigned DEFAULT NULL,
  `serial_code` varchar(255) DEFAULT NULL,
  `serial_number` varchar(255) DEFAULT NULL,
  `vd_vc_serial_status` varchar(255) DEFAULT NULL,
  `po_voucher_id` bigint unsigned DEFAULT NULL,
  `sale_price` decimal(21,3) DEFAULT NULL,
  `so_item_id` bigint unsigned DEFAULT NULL,
  `expired_time` datetime DEFAULT NULL,
  `merchant_mark_used_status` varchar(255) DEFAULT NULL,
  `used_at` datetime DEFAULT NULL,
  `purchase_percent` decimal(21,3) DEFAULT NULL,
  `sale_percent` decimal(21,3) DEFAULT NULL,
  `face_value` decimal(21,3) unsigned DEFAULT NULL,
  `voucher_id` bigint unsigned DEFAULT NULL,
  `voucher_created_at` datetime DEFAULT NULL,
  `voucher_updated_at` datetime DEFAULT NULL,
  `voucher_code` varchar(255) DEFAULT NULL,
  `voucher_name` varchar(255) DEFAULT NULL,
  `vd_voucher_status` varchar(255) DEFAULT NULL,
  `vd_voucher_type` varchar(255) DEFAULT NULL,
  `issuer_id` bigint unsigned DEFAULT NULL,
  `issuer_code` varchar(255) DEFAULT NULL,
  `provider_id` bigint unsigned DEFAULT NULL,
  `provider_code` varchar(255) DEFAULT NULL,
  `partner_voucher_code` varchar(255) DEFAULT NULL,
  `effective_start` datetime DEFAULT NULL,
  `effective_end` datetime DEFAULT NULL,
  `max_per_demand` varchar(255) DEFAULT NULL,
  `discount_type` varchar(255) DEFAULT NULL,
  `discount_value` decimal(21,3) DEFAULT NULL,
  `max_discount_amount` decimal(21,3) DEFAULT NULL,
  `min_apply_order_amount` decimal(21,3) DEFAULT NULL,
  `discount_percent` float DEFAULT NULL,
  `purchase_price` decimal(21,3) DEFAULT NULL,
  `seller_id` bigint unsigned DEFAULT NULL,
  `purpose` varchar(255) DEFAULT NULL,
  `use_case` varchar(255) DEFAULT NULL,
  `merchant_campaign_code` varchar(255) DEFAULT NULL,
  `merchant_scheme_code` varchar(255) DEFAULT NULL,
  `is_deleted` tinyint(1) DEFAULT NULL,
  `row_created_at` datetime DEFAULT NULL,
  PRIMARY KEY (`id`) /*T![clustered_index] CLUSTERED */
) ENGINE=InnoDB DEFAULT CHARSET=utf8mb4 COLLATE=utf8mb4_bin; CREATE TABLE `mvp_voucher_ticket` (
  `id` bigint NOT NULL,
  `code` varchar(255) DEFAULT NULL,
  `ticket_status` varchar(255) DEFAULT NULL,
  `created_at` datetime DEFAULT NULL,
  `updated_at` datetime DEFAULT NULL,
  `claim_time` datetime DEFAULT NULL,
  `redeemed_time` datetime DEFAULT NULL,
  `expired_time` datetime DEFAULT NULL,
  `price` decimal(21,3) DEFAULT NULL,
  `user_id` varchar(255) DEFAULT NULL,
  `business_code` varchar(255) DEFAULT NULL,
  `serial_code` varchar(255) DEFAULT NULL,
  `serial_number` varchar(255) DEFAULT NULL,
  `serial_request_id` varchar(255) DEFAULT NULL,
  `sale_code` varchar(255) DEFAULT NULL,
  `warehouse_code` varchar(255) DEFAULT NULL,
  `distribution_type` varchar(255) DEFAULT NULL,
  `distribute_request_id` varchar(255) DEFAULT NULL,
  `distribute_ref` varchar(255) DEFAULT NULL,
  `discount_type` varchar(255) DEFAULT NULL,
  `discount_amount` decimal(21,3) unsigned DEFAULT NULL,
  `payment_type` varchar(255) DEFAULT NULL,
  `ticket_name` varchar(255) DEFAULT NULL,
  `claim_channel` varchar(255) DEFAULT NULL,
  `deleted` varchar(255) DEFAULT NULL,
  `total_stock` decimal(21,3) DEFAULT NULL,
  `effective_from` datetime DEFAULT NULL,
  `effective_to` datetime DEFAULT NULL,
  `sale_price` decimal(21,3) DEFAULT NULL,
  `purpose` varchar(255) DEFAULT NULL,
  `use_case` varchar(255) DEFAULT NULL,
  `merchant_voucher_code` varchar(255) DEFAULT NULL,
  `get_serial_when_redeem` varchar(255) DEFAULT NULL,
  `master_category_code` varchar(255) DEFAULT NULL,
  `is_transferable` varchar(255) DEFAULT NULL,
  `merchant_campaign_code` varchar(255) DEFAULT NULL,
  `merchant_scheme_code` varchar(255) DEFAULT NULL,
  `is_deleted` tinyint(1) DEFAULT NULL,
  `row_created_at` datetime DEFAULT NULL,
  PRIMARY KEY (`id`) /*T![clustered_index] CLUSTERED */
) ENGINE=InnoDB DEFAULT CHARSET=utf8mb4 COLLATE=utf8mb4_bin;</t>
  </si>
  <si>
    <t>Request access vào data CDP trên TiDB OMD CDP instance omd-tidb.int.onemount.com:4000</t>
  </si>
  <si>
    <t>2025-07-29T17:51:08.415+0700</t>
  </si>
  <si>
    <t>2025-07-30T17:44:29.113+0700</t>
  </si>
  <si>
    <t>Dear các anh DBA, cc anh  @Phan Anh Sơn  approval giúp em ạ Team OMD Data đang làm BO cho CDP nên cần access vào data source của CDP để kiểm soát dữ liệu đầu ra, nhờ các anh cấp quyền giúp vào bảng tại các schema sau giúp team: omd_cdp_data_from_dp omd_cdp_data_from_ingest omd_cdp_orchestration omd_cdp_data_from_mtp Phân quyền cho nhóm: dremio.omdbi.power ( dremio.omdbi.power-group@onemount.com ) Em cảm ơn,</t>
  </si>
  <si>
    <t>[VINPAY][PROD][OPS PAY] Hỗ trợ export dữ liệu</t>
  </si>
  <si>
    <t>2025-07-29T15:59:07.425+0700</t>
  </si>
  <si>
    <t>2025-07-29T15:59:18.220+0700</t>
  </si>
  <si>
    <t>ops_pay_service_prod</t>
  </si>
  <si>
    <t>Dear team DBA, liên quan đến xuất data bảng này để OMD khai báo master data tương ứng, nhờ team hỗ trợ chạy script sql  đính kèm phía dưới để export dữ liệu ra file csv tương ứng rồi gửi vào mail  dung.do1@onemount.com thông tin DB IP: 172.31.1.149
Database name: ops_pay_service SQL query  select * from BANK_CONFIG_CITAD;</t>
  </si>
  <si>
    <t>[PROD] Thêm model mới ở bảng TCB_DEVICE_MODEL</t>
  </si>
  <si>
    <t>2025-07-29T15:56:54.859+0700</t>
  </si>
  <si>
    <t>2025-07-29T15:57:05.692+0700</t>
  </si>
  <si>
    <t>Dear team DBA, để thêm model mới ở bảng TCB_DEVICE_MODEL nhờ team run script SQL  đính kèm phía dưới với thông tin cụ thể như sau: Thời gian chạy script: sau khi được approve Thông tin database  saas_tpay: mysql://pay-tidb.int.onemount.com:4000/saas_tpay SQL Query INSERT INTO TCB_DEVICE_MODEL (
    VENDOR_CODE,
    DEVICE_MODEL,
    DEVICE_PROVIDER_CODE,
    CREATED_AT,
    CREATED_BY,
    UPDATED_AT,
    UPDATED_BY
)
VALUES (
    'GINI',
    'X990_COUNTERTOP',
    'VERIFONE',
    NOW(),
    'dung.do1',
    NOW(),
    'dung.do1'
);</t>
  </si>
  <si>
    <t>[Prod][VCM] Migration for release quản lý tập tin</t>
  </si>
  <si>
    <t>2025-07-29T15:20:52.768+0700</t>
  </si>
  <si>
    <t>2025-07-29T16:03:09.702+0700</t>
  </si>
  <si>
    <t>Dear DBA Team, Nhờ team support tạo database  và chạy migrate. IP:   172.31.4.9 Database:  Mysql Tạo user &amp; database:  ecom_task_manager create schema ecom_task_manager;
create user ecom_task_manager
    identified by {password}; // password team tạo và gửi cho SRE giúp. Script create table: CREATE TABLE IF NOT EXISTS `import_tasks`
(
    `id`               BIGINT AUTO_INCREMENT PRIMARY KEY,
    `type`             VARCHAR(50)  NOT NULL,
    `status`           VARCHAR(20)  NOT NULL,
    `file_name`        VARCHAR(255) NOT NULL,
    `file_path`        VARCHAR(512) NOT NULL,
    `total_row`       INT,
    `success_row`      INT,
    `result_file_path` VARCHAR(512) NULL,
    `result_file_name` VARCHAR(255) NULL,
    `created_by`       VARCHAR(100) NULL,
    `created_at`       DATETIME DEFAULT CURRENT_TIMESTAMP,
    `updated_at`       DATETIME DEFAULT CURRENT_TIMESTAMP ON UPDATE CURRENT_TIMESTAMP,
    `updated_by`       VARCHAR(100) NULL
);</t>
  </si>
  <si>
    <t>[OMRE] CBP - tạo user chỉ có quyền read DB</t>
  </si>
  <si>
    <t>2025-07-29T12:37:08.773+0700</t>
  </si>
  <si>
    <t>2025-07-29T15:14:51.015+0700</t>
  </si>
  <si>
    <t>Nhờ ae, tạo user chỉ cho quyền read cho 2 schema sau: DATABASE: omre_cbp_activity_uat User: omre_cbp_activity_read_uat Database:omre_cbp_collab_uat User:omre_cbp_collab_read_uat thanks a/e dba.</t>
  </si>
  <si>
    <t>Yêu cầu phân quyền vào bảng data</t>
  </si>
  <si>
    <t>2025-07-29T11:15:34.112+0700</t>
  </si>
  <si>
    <t>2025-07-29T11:18:37.342+0700</t>
  </si>
  <si>
    <t>KPI</t>
  </si>
  <si>
    <t>Cho em xin phân quyền vào bảng sau: "tidb_ods"."omd_vinid_integration_prod_main_sales_tools".kpis cho email anh.bui9@onemount.com</t>
  </si>
  <si>
    <t>[OMC][Loyalty MFT] VCM - Chạy migrate dữ liệu bị thiếu</t>
  </si>
  <si>
    <t>2025-07-28T23:23:56.026+0700</t>
  </si>
  <si>
    <t>2025-07-28T23:24:48.058+0700</t>
  </si>
  <si>
    <t>Liên quan tới CR hotfix   , cần chạy migrate dữ liệu bị thiếu, nhờ team hỗ trợ với ạ. Thời gian thực hiện:  23h 28 jul25 Thông tin database - GCP project  vinid-loyalty-prod
- Instance name : onevoucher
- Instance IP : 172.31.4.126
- Database : onevc_vsm_prod Script ALTER TABLE onevc_vsm_prod.serial_request ADD INDEX idx_sr_distribute_request (distribute_request_id), ALGORITHM=INPLACE, LOCK=NONE; INSERT INTO onevc_vsm_prod.serial_request
(created_at, created_by, updated_at, updated_by, deleted, partner_ref_id, distribute_request_id, tickets, status)
SELECT 
	dr.created_at ,
	dr.created_by ,
	dr.updated_at ,
	dr.updated_by ,
	0,
	dr.distribute_ref ,
    dr.id AS distribute_request_id,
    JSON_ARRAYAGG(JSON_OBJECT('ticket_code', t.code)) AS ticket_codes_json,
    'SUCCESS'
FROM 
    distribute_request dr JOIN ticket t ON t.distribute_request_id = dr.id
LEFT JOIN 
    serial_request sr ON sr.distribute_request_id = dr.id
WHERE 
   dr.deleted = 0 and dr.business_code = 'OMC' AND  dr.distribution_type='CLAIMED'
   AND dr.status ='SUCCESS' AND dr.created_at &gt; '2025-07-23 00:00:00.000000' and sr.id IS NULL
GROUP BY 
    dr.id; Thanks team.</t>
  </si>
  <si>
    <t>Hỗ trợ tạo dữ liệu mở mới kho 8121 - Hồ Chí Minh 02 NSG</t>
  </si>
  <si>
    <t>2025-07-28T21:27:28.627+0700</t>
  </si>
  <si>
    <t>2025-07-28T21:41:58.048+0700</t>
  </si>
  <si>
    <t>Hi DBA team,  Hiện tại nghiệp vụ có nhu cầu mở mới kho 8121 - Hồ Chí Minh 02 NSG,  nhờ team DBA hỗ trợ cập nhật giá trị theo thông tin dưới đây   Cụm WMS Project : vinid-b2b-platform-prod Instance/IP : main (read-write): 172.31.4.59 Port : 3306 Database : omd_wms_core Script : file  omd_wms_core_8121.sql  trong file đính kèm Cum WES Project : vinid-b2b-platform-prod Instance/IP : main (read-write): 172.31.1.143 Port : 3306 Database : wes_master Script : file  wes_master_8121.sql  trong file đính kèm Câu query đánh giá là có thể ảnh hưởng đến vận hành hệ thống nên mong muốn chạy vào thời gian vận hành thấp điểm (từ 22h-2h sáng).</t>
  </si>
  <si>
    <t>[OPS] Thêm quyền ở  module SalesTools_HrmIncentives</t>
  </si>
  <si>
    <t>2025-07-28T18:11:20.352+0700</t>
  </si>
  <si>
    <t>2025-07-28T18:11:28.014+0700</t>
  </si>
  <si>
    <t>Dear team DBA, Để thêm quyền ở  module SalesTools_HrmIncentives cho nhờ team DBA support thực hiện câu SQL query sau: instance:   https://console.cloud.google.com/sql/instances/common/overview?authuser=1&amp;hl=en&amp;inv=1&amp;invt=Ab0bnA&amp;project=vinid-service-platform-prod Dbname: admin_service SQL Query update permission
set module_id=592
where module = 'SalesTools_HrmIncentives'
  and module_id is null;</t>
  </si>
  <si>
    <t>2025-07-28T17:37:34.645+0700</t>
  </si>
  <si>
    <t>2025-07-28T17:47:11.295+0700</t>
  </si>
  <si>
    <t xml:space="preserve">Dear anh Dương, Nhờ anh hỗ trợ team chạy các câu lệnh SQL dưới đây để team thực hiện golive nhé ạ Thông tin DB: Project: vinticket-prod
IP: 172.31.1.3
DB name: vinticket SQL: START TRANSACTION;
CREATE TABLE IF NOT EXISTS `virtual_rooms` (
    `id`           INT(10) UNSIGNED NOT NULL AUTO_INCREMENT PRIMARY KEY,
	`created_at`   DATETIME         DEFAULT CURRENT_TIMESTAMP,
	`updated_at`   DATETIME         DEFAULT CURRENT_TIMESTAMP ON UPDATE CURRENT_TIMESTAMP,
	`event_id`     INT(10) UNSIGNED NOT NULL,
	`start_time`   DATETIME         NULL,
	`end_time`     DATETIME         NULL,
	`time_in_room` INT UNSIGNED     DEFAULT 0,
	`max_capacity` INT UNSIGNED     DEFAULT 0,
	`status`       VARCHAR(25)      NOT NULL,
	`max_interval_user` INT DEFAULT NULL,
INDEX `idx_virtual_room_event_id` (`event_id`),
CONSTRAINT `fk_virtual_room_event_id` FOREIGN KEY (`event_id`) REFERENCES `events` (`id`) ON DELETE CASCADE
) ENGINE = InnoDB DEFAULT CHARSET = utf8mb4;
COMMIT; Em cảm ơn anh </t>
  </si>
  <si>
    <t>[OM]- Tạo user sftp dùng để đẩy file tổng đài Cisco lên DP cho MH</t>
  </si>
  <si>
    <t>2025-07-28T16:23:39.464+0700</t>
  </si>
  <si>
    <t>2025-07-28T16:31:42.562+0700</t>
  </si>
  <si>
    <t>Tạo user sftp dùng để đẩy file tổng đài Cisco lên DP cho MH</t>
  </si>
  <si>
    <t>[Nexa] Thực hiện phân tích file AHF đưa ra khuyến nghị cần thiết</t>
  </si>
  <si>
    <t>2025-07-28T16:21:46.553+0700</t>
  </si>
  <si>
    <t>2025-08-01T09:35:12.072+0700</t>
  </si>
  <si>
    <t>Phân tích Báo cáo từ AHF &amp; Đưa ra Khuyến nghị Mục tiêu:  Dựa trên kết quả phân tích của AHF để xác định các điểm cần cải thiện. Các hạng mục phân tích chi tiết: Cấu hình Hệ điều hành (OS): Tham số kernel. Các gói phần mềm (packages) còn thiếu hoặc sai phiên bản. Cấu hình bộ nhớ và lưu trữ. Cấu hình Oracle Grid Infrastructure &amp; Clusterware: Các cấu hình sai lệch trong môi trường RAC (Real Application Clusters). Vấn đề về kết nối mạng và lưu trữ chung (shared storage). Cấu hình Cơ sở dữ liệu (Database): Tham số khởi tạo (init parameters). Quản lý không gian lưu trữ. Tình trạng các bản vá (patches). Các vấn đề liên quan đến bảo mật. Khuyến nghị theo Thực hành tốt nhất (Best Practices): So sánh cấu hình hiện tại với kiến trúc MAA (Maximum Availability Architecture) của Oracle. Chuẩn bị cho việc Nâng cấp: Liệt kê các kiểm tra có trạng thái "FAIL" (Lỗi) hoặc "WARNING" (Cảnh báo) cần khắc phục trước khi nâng cấp. Bản vá và Cập nhật: Kiểm tra và đề xuất cài đặt các bản vá bảo mật quan trọng. Status Description Status On FAIL Verify important bug fixes on long term recent releases (using MOS 555.1 metadata from 2025-05-27)	 All ORACLE_HOME's	 Status on pss-ora-db1:/u01/app/oracle/product/19c : FAIL  =&gt; Recommended bug fixes are not applied for RDBMS home Status on pss-ora-db2:/u01/app/oracle/product/19c : FAIL  =&gt; Recommended bug fixes are not applied for RDBMS home Bug Fixes for 19.27.0.0.250415DBRU not applied (using MOS 555.1 metadata from 2025-05-27):
29213893, 34774667, 32761547 =&gt; Khuyến nghị thực hiện: PATCH FIXBUG https://updates.oracle.com/Orion/Services/download?type=readme&amp;aru=26599659 ADVANCED QUEUING Patch for Bug# 34774667 for Linux-x86-64 Platforms https://updates.oracle.com/Orion/Services/download?type=readme&amp;aru=26138287 OPTIMIZER Patch for Bug# 29213893 for Generic Platforms https://updates.oracle.com/Orion/Services/download?type=readme&amp;aru=27386248 ORACLE DATABASE Patch for Bug# 32761547 for Linux-x86-64 Platforms Status Description Status On FAIL Verify the DEFAULT Profile Parameters All Databases Status on pss-ora-db1:pss : FAIL  =&gt; DEFAULT Profile Parameters are not set as recommended TO REVIEW COLLECTED DATA FROM pss-ora-db1 - pss DATABASE - Verify the DEFAULT Profile Parameters   PROFILE 		  RESOURCE_NAME 		 CURRENT LIMIT			RECOMMENDED LIMIT
------------------------- ------------------------------ ------------------------------ ------------------------------
DEFAULT                   PASSWORD_ROLLOVER_TIME         -1                             0                              
DEFAULT                   PASSWORD_GRACE_TIME            UNLIMITED                      7                              
DEFAULT                   PASSWORD_LOCK_TIME             UNLIMITED                      1                              
DEFAULT                   PASSWORD_LIFE_TIME             UNLIMITED                      180                            
DEFAULT                   FAILED_LOGIN_ATTEMPTS          UNLIMITED                      10             Status on pss-ora-db2:pss : FAIL  =&gt; DEFAULT Profile Parameters are not set as recommended TO REVIEW COLLECTED DATA FROM pss-ora-db2 - pss DATABASE - Verify the DEFAULT Profile Parameters   PROFILE 		  RESOURCE_NAME 		 CURRENT LIMIT			RECOMMENDED LIMIT
------------------------- ------------------------------ ------------------------------ ------------------------------
DEFAULT                   PASSWORD_ROLLOVER_TIME         -1                             0                              
DEFAULT                   PASSWORD_GRACE_TIME            UNLIMITED                      7                              
DEFAULT                   PASSWORD_LOCK_TIME             UNLIMITED                      1                              
DEFAULT                   PASSWORD_LIFE_TIME             UNLIMITED                      180                            
DEFAULT                   FAILED_LOGIN_ATTEMPTS          UNLIMITED                      10          =&gt; Khuyến nghị thực hiện: $ sqlplus / as sysdba
--- Thực hiện đúng recommended
ALTER PROFILE DEFAULT LIMIT
    PASSWORD_ROLLOVER_TIME 0
    PASSWORD_GRACE_TIME 7
    PASSWORD_LOCK_TIME 1
    PASSWORD_LIFE_TIME 180
    FAILED_LOGIN_ATTEMPTS 10;
--- Thực hiện kiểm tra 
SELECT profile, resource_name, limit
FROM
    dba_profiles
WHERE
    profile = 'DEFAULT'
    AND resource_name IN (
        'PASSWORD_ROLLOVER_TIME',
        'PASSWORD_GRACE_TIME',
        'PASSWORD_LOCK_TIME',
        'PASSWORD_LIFE_TIME',
        'FAILED_LOGIN_ATTEMPTS'
    )
ORDER BY
    resource_name; Status Description Status On WARN Verify Database Hidden Database Initialization Parameter Usage All Databases Status on pss-ora-db1:pss: WARN =&gt; Hidden database initialization parameters should not be set per best practice recommendations DATA FROM pss-ora-db1 - pss DATABASE - Verify Database Hidden Database Initialization Parameter Usage  NAME										VALUE _bug32914795_bct_last_dba_buffer_size		33619968 _ipddb_enable								TRUE Status on pss-ora-db2:pss: WARN =&gt; Hidden database initialization parameters should not be set per best practice recommendations DATA FROM pss-ora-db2 - pss DATABASE - Verify Database Hidden Database Initialization Parameter Usage  NAME										VALUE _bug32914795_bct_last_dba_buffer_size		33619968 _ipddb_enable								TRUE ==&gt; Phân tích:  _bug32914795_bct_last_dba_buffer_size  ==&gt; Bug 32914795 đã được khắc phục sửa lỗi trong bản cập của Oracle 19c (phiên bản 19.17.0) version hiện tại 19.27 (_bug32914795_bct_last_dba_buffer_size) không còn cần thiết và nên được gỡ bỏ để đưa hệ thống về cấu hình chuẩn. _ipddb_enable  ==&gt; thường liên quan đến khung chẩn đoán (diagnostics framework) của Oracle. "IPD/DB" là viết tắt của "Incident Packaging and Diagnostics for Database". Nếu vấn đề ban đầu đã được giải quyết, việc giữ tham số này ở trạng thái TRUE có thể gây ra overhead không cần thiết cho hệ thống do liên tục thu thập dữ liệu chẩn đoán, tiêu tốn tài nguyên CPU và I/O. ==&gt; Khuyến nghị thực hiện: ALTER SYSTEM RESET "_bug32914795_bct_last_dba_buffer_size" SCOPE=SPFILE SID='*';
ALTER SYSTEM RESET "_ipddb_enable" SCOPE=SPFILE SID='*';</t>
  </si>
  <si>
    <t>[Nexa] Thực hiện install Autonomous Health Framework (Latest version) - Released July 2025</t>
  </si>
  <si>
    <t>2025-07-28T16:21:07.887+0700</t>
  </si>
  <si>
    <t>2025-07-31T14:29:52.184+0700</t>
  </si>
  <si>
    <t>Cài đặt Autonomous Health Framework (AHF) Mục tiêu:  Sử dụng công cụ mới nhất của Oracle (bản phát hành tháng 7 năm 2025) để chủ động kiểm tra sức khỏe hệ thống. Lợi ích: Phát hiện sự cố chủ động:  Tìm ra các vấn đề tiềm ẩn trước khi chúng gây ảnh hưởng. Tăng tốc độ giải quyết vấn đề:  Cung cấp thông tin chi tiết giúp xử lý sự cố nhanh hơn. Thu thập dữ liệu toàn diện:  Tổng hợp thông tin từ nhiều nguồn để có cái nhìn tổng thể. Đảm bảo tuân thủ các khuyến nghị tốt nhất:  So sánh hệ thống với các tiêu chuẩn hàng đầu. [root@pss-ora-db1 bin]# ./orachk Clusterware stack is running from /u01/app/grid/19c. Is this the correct Clusterware Home?[y/n][y] y Searching for running databases . . . . . .  . List of running databases registered in OCR pss None of above Select databases from list for checking best practices. For multiple databases, select 1 for All or comma separated number like 1,2 etc [1-2][1]. 1 .  .  .  . .  .  . Checking Status of Oracle Software Stack - Clusterware, ASM, RDBMS .  .  . . . . .  .  .  . . . .  .  .  .  .  .  .  .  .  .  .  .  .  .  .  . Starting to run orachk in background on pss-ora-db2 using socket Clusterware stack is running from /u01/app/grid/19c. Is this the correct Clusterware Home?[y/n][y] .  .  .  . .  . Checking Status of Oracle Software Stack - Clusterware, ASM, RDBMS .  .  . . . . .  .  .  . . . .  .  .  .  .  .  .  .                                              Oracle Stack Status Host Name       CRS Installed  RDBMS Installed    CRS UP       ASM UP  RDBMS UP    DB Instance Name pss-ora-db1                Yes          Yes          Yes      Yes      Yes                pss1 Copying plug-ins . . .  .  .  .  .  . *** Checking Best Practice Recommendations ( Pass / Warning / Fail ) *** . ============================================================ Node name - pss-ora-db1 . . . . . .  Collecting - ASM Disk Groups  Collecting - ASM Disk I/O stats  Collecting - ASM Diskgroup Attributes  Collecting - ASM disk partnership imbalance  Collecting - ASM diskgroup attributes  Collecting - ASM diskgroup usable free space  Collecting - ASM initialization parameters  Collecting - Active sessions load balance for pss database  Collecting - Archived Destination Status for pss database  Collecting - Cluster Interconnect Config for pss database  Collecting - Collect ASM Data Files and Open Files Information  Collecting - Collect ASM Data Files and Open Files Information  Collecting - Collect ASM Data Files and Open Files Information  Collecting - Collect RDBMS Open File Information for pss database  Collecting - Database Archive Destinations for pss database  Collecting - Database Files for pss database  Collecting - Database Instance Settings for pss database  Collecting - Database Parameters for pss database  Collecting - Database Properties for pss database  Collecting - Database Registry for pss database  Collecting - Database Sequences for pss database  Collecting - Database Undocumented Parameters for pss database  Collecting - Database Undocumented Parameters for pss database  Collecting - Database Workload Services for pss database  Collecting - Dataguard Status for pss database  Collecting - Files not opened by ASM  Collecting - List of active logon and logoff triggers for pss database  Collecting - Log Sequence Numbers for pss database  Collecting - Percentage of asm disk  Imbalance  Collecting - Process for shipping Redo to standby for pss database  Collecting - Redo Log information for pss database  Collecting - Standby redo log creation status before switchover for pss database  Collecting - /proc/cmdline  Collecting - /proc/modules  Collecting - CPU Information  Collecting - CRS active version  Collecting - CRS oifcfg  Collecting - CRS software version  Collecting - CSS Reboot time  Collecting - Cluster interconnect (clusterware)  Collecting - Clusterware OCR healthcheck  Collecting - Clusterware Resource Status  Collecting - Collection to capture crs listener service,endpoint details  Collecting - Disk I/O Scheduler on Linux  Collecting - DiskFree Information  Collecting - DiskMount Information  Collecting - Huge pages configuration  Collecting - Interconnect network card speed  Collecting - KFOD and CRS Patches/Patchlevel info  Collecting - Kernel parameters  Collecting - Linux module config.  Collecting - Maximum number of semaphore sets on system  Collecting - Maximum number of semaphores on system  Collecting - Maximum number of semaphores per semaphore set  Collecting - Memory Information  Collecting - Monthly recommended patches for Grid Infrastructure  Collecting - NUMA Configuration  Collecting - Network Interface Configuration  Collecting - Network Performance  Collecting - Network Service Switch  Collecting - OS Packages  Collecting - OS version  Collecting - Operating system release information and kernel version  Collecting - Oracle executable attributes  Collecting - Patches for Grid Infrastructure  Collecting - Patches for RDBMS Home  Collecting - Patches xml for Grid Infrastructure  Collecting - Patches xml for RDBMS Home  Collecting - RDBMS and GRID software owner UID across cluster  Collecting - RDBMS patch inventory  Collecting - Shared memory segments  Collecting - Table of file system defaults  Collecting - Voting disks (clusterware)  Collecting - number of semaphore operations per semop system call  Collecting - CHMAnalyzer to report potential Operating system resources usage  Collecting - CRS Opatch version  Collecting - CRS user time zone check  Collecting - Clusterware patch inventory  Collecting - Collect Data Guard TFA Data  Collecting - Custom rc init scripts (rc.local)  Collecting - Database Server Infrastructure Software and Configuration  Collecting - Database details for Infrastructure  Collecting - Disk Information  Collecting - Grid Infastructure user shell limits configuration  Collecting - Interconnect interface config  Collecting - Linux system service and RAC process configuration  Collecting - Network interface stats  Collecting - Root user limits  Collecting - Verify ACFS volume size  Collecting - Verify ORAchk scheduler configuration  Collecting - Verify TCP Selective Acknowledgement is enabled  Collecting - Verify no database server kernel out of memory errors  Collecting - Verify the vm.min_free_kbytes configuration  Collecting - root time zone check  Collecting - slabinfo  Collecting - umask setting for GI owner Data collections completed. Checking best practices on pss-ora-db1.   WARNING  =&gt;  Verify health of data dictionary for non-multitenant database for pss  INFO =&gt;     ASM Important INFO  INFO =&gt;     Oracle database unified auditing recommendation for pss   WARNING  =&gt;  Dedicated Tablespace for Unified Audit Trail for pss  INFO =&gt;     Oracle Data Pump Best practices   WARNING  =&gt;  Monitoring AWR settings for pss   WARNING  =&gt;  Monitoring stale statistics for pss   WARNING  =&gt;  Verify Database Hidden Database Initialization Parameter Usage for pss  INFO =&gt;     Most recent ADR incidents for /u01/app/oracle/product/19c   WARNING  =&gt;  Verify usage of user defined services for pss  INFO =&gt;     Oracle GoldenGate failure prevention best practices   FAIL  =&gt;     Verify the DEFAULT Profile Parameters for pss   WARNING  =&gt;  Monitoring AWR space usage in SYSAUX for pss  INFO =&gt;     Verify ASM Filter Driver (AFD) configuration   WARNING  =&gt;  OCR and OCR backup location  INFO =&gt;     Old log files in client directory in crs_home  INFO =&gt;     Check user_dump_destination for pss  INFO =&gt;     Old trace files in background dump destination for pss  INFO =&gt;     Redo log Checkpoint not complete for pss   CRITICAL  =&gt; Verify ORAchk scheduler configuration across cluster   WARNING  =&gt;  Session Failover configuration for pss  INFO =&gt;     Listener log file rotation for pss   WARNING  =&gt;  Flashback database on primary for pss  INFO =&gt;     Storage Minimum Requirements for Grid &amp; Database Homes   WARNING  =&gt;  VIP NIC bonding config.  INFO =&gt;     Verify Cluster health analyzer (CHA)  configuration   WARNING  =&gt;  NTP with correct setting   WARNING  =&gt;  ASM disk group compatible.rdbms attribute   FAIL  =&gt;     Verify the Alternate Archive Destination is Configured to Prevent Database Hangs for pss   WARNING  =&gt;  cursor_obsolete_threshold hidden parameter for pss  INFO =&gt;     Operational Best Practices  INFO =&gt;     Database Consolidation Best Practices  INFO =&gt;     Computer failure prevention best practices  INFO =&gt;     Data corruption prevention best practices  INFO =&gt;     Logical corruption prevention best practices  INFO =&gt;     Database/Cluster/Site failure prevention best practices  INFO =&gt;     Client failover operational best practices  INFO =&gt;     Hang and Deadlock material   WARNING  =&gt;  cgroup setting for critical database background processes for pss   FAIL  =&gt;     High Redundancy Controlfile for pss   WARNING  =&gt;  Redo Log File Size for pss  INFO =&gt;     Database failure prevention best practices  INFO =&gt;     CHMAnalyzer to report potential Operating system resources usage  INFO =&gt;     Optimizer bug fixes with disabled fix control In 19c for pss  INFO =&gt;     Software maintenance best practices   WARNING  =&gt;  Oracle GoldenGate Streams performance advisor installation for pss   WARNING  =&gt;  Streams pool size for pss   WARNING  =&gt;  Oracle GoldenGate Force logging mode enabled? for pss   WARNING  =&gt;  Oracle GoldenGate Administrator privilege check for pss  INFO =&gt;     Oracle recovery manager(rman) best practices  INFO =&gt;     Database feature usage statistics for pss   WARNING  =&gt;  Disk I/O Scheduler on Linux   WARNING  =&gt;  Check for Underscore Parameter Without a Comment for pss   WARNING  =&gt;  Monitoring changes to schema objects for pss   WARNING  =&gt;  session_cached_cursors parameter for pss   WARNING  =&gt;  Monitoring waiter sessions for pss   FAIL  =&gt;     Verify important bug fixes on long term recent releases (using MOS 555.1 metadata from 2025-05-27) for /u01/app/oracle/product/19c   WARNING  =&gt;  Check for tainted kernel by non-Oracle modules and 3rd party security software installed from package Waiting for orachk to finish on remote nodes . . . . . Copying results from pss-ora-db2 and generating report. This might take a while. Be patient. ============================================================ Node name - pss-ora-db2 . . . . . .  Collecting - ASM Disk Groups  Collecting - ASM Disk I/O stats  Collecting - ASM Diskgroup Attributes  Collecting - ASM disk partnership imbalance  Collecting - ASM diskgroup attributes  Collecting - ASM diskgroup usable free space  Collecting - ASM initialization parameters  Collecting - Active sessions load balance for pss database  Collecting - Archived Destination Status for pss database  Collecting - Cluster Interconnect Config for pss database  Collecting - Collect ASM Data Files and Open Files Information  Collecting - Collect ASM Data Files and Open Files Information  Collecting - Collect ASM Data Files and Open Files Information  Collecting - Collect RDBMS Open File Information for pss database  Collecting - Database Archive Destinations for pss database  Collecting - Database Files for pss database  Collecting - Database Instance Settings for pss database  Collecting - Database Parameters for pss database  Collecting - Database Properties for pss database  Collecting - Database Registry for pss database  Collecting - Database Sequences for pss database  Collecting - Database Undocumented Parameters for pss database  Collecting - Database Undocumented Parameters for pss database  Collecting - Database Workload Services for pss database  Collecting - Dataguard Status for pss database  Collecting - Files not opened by ASM  Collecting - List of active logon and logoff triggers for pss database  Collecting - Log Sequence Numbers for pss database  Collecting - Percentage of asm disk  Imbalance  Collecting - Process for shipping Redo to standby for pss database  Collecting - Redo Log information for pss database  Collecting - Standby redo log creation status before switchover for pss database  Collecting - /proc/cmdline  Collecting - /proc/modules  Collecting - CPU Information  Collecting - CRS active version  Collecting - CRS oifcfg  Collecting - CRS software version  Collecting - Cluster interconnect (clusterware)  Collecting - Collection to capture crs listener service,endpoint details  Collecting - Disk I/O Scheduler on Linux  Collecting - DiskFree Information  Collecting - DiskMount Information  Collecting - Huge pages configuration  Collecting - Interconnect network card speed  Collecting - KFOD and CRS Patches/Patchlevel info  Collecting - Kernel parameters  Collecting - Linux module config.  Collecting - Maximum number of semaphore sets on system  Collecting - Maximum number of semaphores on system  Collecting - Maximum number of semaphores per semaphore set  Collecting - Memory Information  Collecting - Monthly recommended patches for Grid Infrastructure  Collecting - NUMA Configuration  Collecting - Network Interface Configuration  Collecting - Network Performance  Collecting - Network Service Switch  Collecting - OS Packages  Collecting - OS version  Collecting - Operating system release information and kernel version  Collecting - Oracle executable attributes  Collecting - Patches for Grid Infrastructure  Collecting - Patches for RDBMS Home  Collecting - Patches xml for Grid Infrastructure  Collecting - Patches xml for RDBMS Home  Collecting - RDBMS and GRID software owner UID across cluster  Collecting - RDBMS patch inventory  Collecting - Shared memory segments  Collecting - Table of file system defaults  Collecting - number of semaphore operations per semop system call Data collections completed. Checking best practices on pss-ora-db2.  INFO =&gt;     Oracle database unified auditing recommendation for pss   WARNING  =&gt;  Dedicated Tablespace for Unified Audit Trail for pss   WARNING  =&gt;  Verify Database Hidden Database Initialization Parameter Usage for pss  INFO =&gt;     Most recent ADR incidents for /u01/app/oracle/product/19c  INFO =&gt;     Oracle GoldenGate failure prevention best practices   FAIL  =&gt;     Verify the DEFAULT Profile Parameters for pss  INFO =&gt;     Verify ASM Filter Driver (AFD) configuration   WARNING  =&gt;  OCR and OCR backup location  INFO =&gt;     Old log files in client directory in crs_home  INFO =&gt;     Check user_dump_destination for pss  INFO =&gt;     Old trace files in background dump destination for pss  INFO =&gt;     Redo log Checkpoint not complete for pss   CRITICAL  =&gt; Verify ORAchk scheduler configuration across cluster  INFO =&gt;     Listener log file rotation for pss  INFO =&gt;     Storage Minimum Requirements for Grid &amp; Database Homes   WARNING  =&gt;  VIP NIC bonding config.   WARNING  =&gt;  NTP with correct setting   FAIL  =&gt;     Verify the Alternate Archive Destination is Configured to Prevent Database Hangs for pss   FAIL  =&gt;     High Redundancy Controlfile for pss   WARNING  =&gt;  Redo Log File Size for pss  INFO =&gt;     CHMAnalyzer to report potential Operating system resources usage  INFO =&gt;     Optimizer bug fixes with disabled fix control In 19c for pss   WARNING  =&gt;  Disk I/O Scheduler on Linux   WARNING  =&gt;  Check for Underscore Parameter Without a Comment for pss   FAIL  =&gt;     Verify important bug fixes on long term recent releases (using MOS 555.1 metadata from 2025-05-27) for /u01/app/oracle/product/19c   WARNING  =&gt;  Check for tainted kernel by non-Oracle modules and 3rd party security software installed from package                   CLUSTERWIDE CHECKS UNDETERMINED =&gt;     AHF Balance check for CPU contention between databases UPLOAD [if required] - /u01/app/grid_base/oracle.ahf/data/pss-ora-db1/orachk/user_root/output/orachk_pss-ora-db1_pss_072825_170922.zip</t>
  </si>
  <si>
    <t>[Nexa] Thực hiện tìm hiểu &amp; đánh giá tổng quan về hệ thống database PSS.</t>
  </si>
  <si>
    <t>2025-07-28T16:17:51.026+0700</t>
  </si>
  <si>
    <t>2025-07-31T14:29:04.499+0700</t>
  </si>
  <si>
    <t>Tìm hiểu &amp; Đánh giá Tổng quan Hệ thống (Overview) Mục tiêu:  Hiểu rõ hiện trạng và cấu hình của hệ thống database PSS. Chi tiết: Đánh giá toàn bộ cấu hình hệ thống theo chuẩn của Oracle. Kiểm tra và ghi nhận các thông số về IP (địa chỉ mạng). Kiểm tra và ghi nhận cấu hình Network (mạng). Kiểm tra và ghi nhận cấu hình Disk (hệ thống lưu trữ). Đưa ra khuyến nghị: Khuyến nghị 1: Tăng số lượng SCAN IP lên 3 Khuyến nghị:  Sử dụng 3 địa chỉ IP cho SCAN thay vì 1. Giải thích: Chống lại Điểm Lỗi Duy Nhất (Single Point of Failure - SPOF):  SCAN listener là cổng vào của client để kết nối đến cơ sở dữ liệu. Nếu bạn chỉ có 1 SCAN IP, và node đang chạy SCAN listener cho IP đó gặp sự cố (ví dụ: treo máy, lỗi mạng), thì tất cả các yêu cầu kết nối  mới  từ ứng dụng sẽ thất bại. Client sẽ không thể tìm thấy cơ sở dữ liệu. Với 3 SCAN IP, Oracle Grid Infrastructure sẽ đảm bảo 3 SCAN listener luôn chạy trên các node khác nhau trong cụm. Nếu một node bị lỗi, vẫn còn 2 SCAN listener khác sẵn sàng tiếp nhận kết nối. Điều này đảm bảo tính sẵn sàng cao cho việc kết nối. Cân bằng tải kết nối ban đầu:  Khi một client muốn kết nối, nó sẽ hỏi DNS về  pss-ora-scan . DNS sẽ trả về danh sách 3 IP theo cơ chế Round-Robin (xoay vòng). Điều này giúp phân tán các yêu cầu kết nối ban đầu đến cả 3 SCAN listener, tránh việc một listener duy nhất bị quá tải. Tuân thủ tiêu chuẩn của Oracle:  Oracle đã thiết kế và khuyến nghị mạnh mẽ việc sử dụng 3 SCAN IP cho mọi môi trường production để đạt được độ tin cậy cao nhất. Rủi ro nếu không tuân thủ:  Tạo ra một điểm lỗi duy nhất cho các kết nối mới. Khi node chạy SCAN IP duy nhất gặp sự cố, ứng dụng sẽ không thể tạo kết nối mới, gây gián đoạn dịch vụ. Best Practices :  Tên tài liệu:  Grid Infrastructure Installation and Upgrade Guide for Linux Đường link:   https://docs.oracle.com/en/database/oracle/oracle-database/19/cwlin/configuring-your-network-for-oracle-grid-infrastructure-and-oracle-rac.html#GUID-E8062942-1327-418E-921A-73C8555985E7 Keyword:  For high availability and scalability, Oracle recommends that you configure the SCAN so that it resolves to three IP addresses. Khuyến nghị 2: Sử dụng DNS để phân giải SCAN Khuyến nghị:  Cấu hình  pss-ora-scan  trên một máy chủ DNS thay vì dùng file  /etc/hosts . Giải thích: Thực hiện cân bằng tải thực sự:  File  /etc/hosts  trên các máy client là tĩnh. Khi tra cứu một tên, nó thường chỉ trả về IP đầu tiên mà nó tìm thấy. Nó không có khả năng "xoay vòng" các IP. Ngược lại, DNS Server có thể được cấu hình để thực hiện  Round-Robin , tức là mỗi lần được hỏi, nó sẽ trả về danh sách 3 IP của SCAN theo một thứ tự khác nhau. Đây mới là cách cân bằng tải kết nối ban đầu một cách đúng đắn. Quản lý tập trung và linh hoạt:  Hãy tưởng tượng bạn có hàng trăm client. Nếu bạn cần thay đổi một địa chỉ SCAN IP, việc sử dụng  /etc/hosts  đòi hỏi bạn phải đăng nhập vào  tất cả  các máy client để cập nhật file. Đây là một cơn ác mộng về quản trị. Với DNS, bạn chỉ cần thay đổi ở một nơi duy nhất: trên máy chủ DNS. Mọi thay đổi sẽ được áp dụng cho tất cả client một cách tự động. Dễ dàng mở rộng hoặc thu hẹp cụm:  Khi bạn thêm một node mới vào RAC, bạn không cần phải đụng đến bất kỳ client nào. Mọi thứ được quản lý bởi Grid Infrastructure và DNS. Rủi ro nếu không tuân thủ:  Không có cân bằng tải kết nối ban đầu, gây gánh nặng quản trị khổng lồ, khó khăn khi thay đổi cấu hình và dễ gây ra lỗi. Best Practices :  Tên tài liệu:  Grid Infrastructure Installation and Upgrade Guide for Linux Đường link:   https://docs.oracle.com/en/database/oracle/oracle-database/19/cwlin/configuring-your-network-for-oracle-grid-infrastructure-and-oracle-rac.html#GUID-E8062942-1327-418E-921A-73C8555985E7 Khuyến nghị 3: Tối ưu Private Interconnect với Jumbo Frames (MTU=9000) Khuyến nghị:  Cấu hình MTU (Maximum Transmission Unit) là 9000 trên toàn bộ đường truyền interconnect (cả card mạng và switch). Giải thích: Tăng hiệu năng truyền dữ liệu (Throughput):  Oracle RAC thường xuyên gửi các khối dữ liệu lớn (Oracle data blocks, thường là 8KB) qua lại giữa các node. Với MTU tiêu chuẩn là 1500 byte, để gửi một khối 8KB, hệ điều hành phải chia nó thành nhiều gói tin nhỏ (packets). Với MTU 9000, khối 8KB có thể được gửi đi trong một gói tin duy nhất. Việc này giống như chở hàng bằng xe tải lớn thay vì nhiều xe máy nhỏ, giúp vận chuyển hiệu quả hơn. Giảm tải cho CPU:  Việc chia nhỏ và ráp lại các gói tin tiêu tốn tài nguyên CPU. Khi gửi ít gói tin hơn (nhờ Jumbo Frames), CPU của các máy chủ sẽ được giải phóng để tập trung vào việc xử lý các tác vụ cơ sở dữ liệu, từ đó cải thiện hiệu năng chung. Rủi ro nếu không tuân thủ:  Đây không phải là rủi ro về độ ổn định mà là về hiệu năng. Cụm RAC của bạn vẫn sẽ hoạt động, nhưng sẽ không đạt được hiệu năng tối ưu. Dưới tải nặng, bạn sẽ thấy độ trễ (latency) của interconnect cao hơn và thông lượng (throughput) thấp hơn so với khi được tối ưu. Best Practices :  Tên tài liệu:  Grid Infrastructure Installation and Upgrade Guide for Linux Đường link:   https://docs.oracle.com/en/database/oracle/oracle-database/19/cwlin/network-interface-hardware-and-software-requirements.html#GUID-04618A1D-A109-4C45-A70A-661DCB753B82 Keyword : For the private interconnect, Oracle recommends that you configure User Datagram Protocol (UDP) with Jumbo Frames. To enable Jumbo Frames, you must set the MTU size for the private network interfaces to 9000.</t>
  </si>
  <si>
    <t>[Nexa] Perform the Health Check &amp; Analysis Database Oracle PSS</t>
  </si>
  <si>
    <t>2025-07-28T16:07:47.718+0700</t>
  </si>
  <si>
    <t>2025-08-13T11:20:03.089+0700</t>
  </si>
  <si>
    <t>Detail database oracle pss. 10.252.20.21  pss-ora-db1 10.252.20.22 pss-ora-db2 Attribute Target Value Operating System All Database Servers Linux x86_64 Operating System Version All Database Servers 5.15.0-308.179.6.3.el9uek.x86_64 Hardware Model All Database Servers ProLiant DL360 Gen11 Memory Size All Database Servers 768 GB CPUs Enabled All Database Servers 128 CPU Count All Database Servers 128 CPU Cores Count All Database Servers 32 Total number of CDBs for entire cluster All Database Servers 0 Total number of PDBs per CDB All Database Servers {} Total number of PDBs for entire cluster All Database Servers 0 Total number of CRS managed services per CDB All Database Servers {} Total number of CRS managed services for entire cluster All Database Servers 0 Total number of open RAC instances All Database Servers 1 Sub-task 1: Tìm hiểu &amp; Đánh giá Tổng quan Hệ thống (Overview) Mục tiêu:  Hiểu rõ hiện trạng và cấu hình của hệ thống database PSS. Chi tiết: Đánh giá toàn bộ cấu hình hệ thống theo chuẩn của Oracle. Kiểm tra và ghi nhận các thông số về IP (địa chỉ mạng). Kiểm tra và ghi nhận cấu hình Network (mạng). Kiểm tra và ghi nhận cấu hình Disk (hệ thống lưu trữ). Sub-task 2: Cài đặt Autonomous Health Framework (AHF) Mục tiêu:  Sử dụng công cụ mới nhất của Oracle (bản phát hành tháng 7 năm 2025) để chủ động kiểm tra sức khỏe hệ thống. Lợi ích: Phát hiện sự cố chủ động:  Tìm ra các vấn đề tiềm ẩn trước khi chúng gây ảnh hưởng. Tăng tốc độ giải quyết vấn đề:  Cung cấp thông tin chi tiết giúp xử lý sự cố nhanh hơn. Thu thập dữ liệu toàn diện:  Tổng hợp thông tin từ nhiều nguồn để có cái nhìn tổng thể. Đảm bảo tuân thủ các khuyến nghị tốt nhất:  So sánh hệ thống với các tiêu chuẩn hàng đầu. Sub-task 3: Phân tích Báo cáo từ AHF &amp; Đưa ra Khuyến nghị Mục tiêu:  Dựa trên kết quả phân tích của AHF để xác định các điểm cần cải thiện. Các hạng mục phân tích chi tiết: Cấu hình Hệ điều hành (OS): Tham số kernel. Các gói phần mềm (packages) còn thiếu hoặc sai phiên bản. Cấu hình bộ nhớ và lưu trữ. Cấu hình Oracle Grid Infrastructure &amp; Clusterware: Các cấu hình sai lệch trong môi trường RAC (Real Application Clusters). Vấn đề về kết nối mạng và lưu trữ chung (shared storage). Cấu hình Cơ sở dữ liệu (Database): Tham số khởi tạo (init parameters). Quản lý không gian lưu trữ. Tình trạng các bản vá (patches). Các vấn đề liên quan đến bảo mật. Khuyến nghị theo Thực hành tốt nhất (Best Practices): So sánh cấu hình hiện tại với kiến trúc MAA (Maximum Availability Architecture) của Oracle. Chuẩn bị cho việc Nâng cấp: Liệt kê các kiểm tra có trạng thái "FAIL" (Lỗi) hoặc "WARNING" (Cảnh báo) cần khắc phục trước khi nâng cấp. Bản vá và Cập nhật: Kiểm tra và đề xuất cài đặt các bản vá bảo mật quan trọng. Sub-task 4: Kiểm tra Nhật ký Hệ thống (Logs) &amp; Đưa ra Khuyến nghị Mục tiêu:  Phân tích các file log để phát hiện các lỗi hoặc cảnh báo đã xảy ra. Chi tiết: Phân tích log Hệ điều hành (OS log):  Đánh giá và tìm kiếm các dấu hiệu bất thường trên OS. Phân tích log Cơ sở dữ liệu và Cluster (Database &amp; Cluster logs):  Kiểm tra alert log và các log liên quan để tìm lỗi hoặc cảnh báo từ Oracle. Sub-task 5: Tổng kết và Đề xuất Hành động Mục tiêu:  Tổng hợp tất cả các kết quả phân tích và đưa ra một kế hoạch hành động cụ thể. Nội dung: Tạo một bản báo cáo tổng kết toàn diện. Liệt kê danh sách các khuyến nghị cần thực hiện cho hệ thống database Oracle PSS, sắp xếp theo mức độ ưu tiên.</t>
  </si>
  <si>
    <t>[Merchant-TCB] Xóa dữ liệu bảng tpay_request_merchant, tpay_merchant</t>
  </si>
  <si>
    <t>2025-07-28T15:31:36.767+0700</t>
  </si>
  <si>
    <t>2025-07-28T15:43:43.578+0700</t>
  </si>
  <si>
    <t>Dear team, Do phía TCB đẩy dữ liệu sớm hơn so với lịch golive tính năng, gây duplicate dữ liệu đang có trong hệ thống Merchant-TCB. → Dẫn đến vận hành TCB không thao tác được với các merchant bị trùng mã  CIF (tcb_customer_t24)  trên hệ thống. Nhờ team hỗ trợ xóa các bản ghi bị sai ạ. Việc xóa các bản ghi này đã được PO phía TCB xác nhận qua email. Thông tin database https://console.cloud.google.com/sql/instances/merchant-tcb/overview?inv=1&amp;invt=AbsndA&amp;project=vinid-merchant-prod DB_MYSQL_HOST=172.31.4.108
DB_MYSQL_DATABASE=merchant_service_tcb Câu lệnh DELETE FROM tpay_request_merchant
WHERE tcb_merchant_code IN('30216621', '74588743', '74481519', '36936303', '35232703', '74596879', '30340518', '74589001', '35491504', '74596757', '36311719', '50056534', '74620437', '74627371', '36468364', '74202497', '74624870', '29989747', '74607401', '74633387', '74632262', '34877880', '74631462', '74634153', '29379107', '72781237', '74234706', '32479515', '30611519', '36152962', '37583770', '74643156', '21127901', '34564323', '25945614', '73982957', '33650231', '74660318', '34334381', '30559750', '74622479', '74090518', '38976501', '31208916', '70597957', '36890743', '74666106', '36521683', '36673742', '22914353', '74684183', '28752898', '74289603', '27163172', '24583923', '20278133', '72383011', '34728910', '21753873', '10115261', '74669449', '74699892', '36008341', '50697906', '32937549', '35199037', '74470022', '70502396', '74588466', '22601176', '74596094', '73018714', '74600190', '74602977', '74600072', '74589800', '74600685', '33714259', '38995291', '33768839', '35059025', '36569049', '31993830', '71123155', '20371147', '37632437', '74634351', '74635047', '37468118', '74401969', '38230300', '74597176', '74637829', '74633492', '20083058', '34944586', '74659517', '35900638', '74602477', '73361584', '39004613', '36500282', '70635061', '36843853', '36416345', '21259340', '74590265', '38491416', '50872856', '72920751', '29549136', '74600591', '29551599', '31842846', '34349286', '74683120', '74638388', '74640005', '73629675', '23379966', '74590196', '39066888', '38327761');
DELETE FROM tpay_merchant
WHERE tcb_merchant_code IN('30216621', '74588743', '74481519', '36936303', '35232703', '74596879', '30340518', '74589001', '35491504', '74596757', '36311719', '50056534', '74620437', '74627371', '36468364', '74202497', '74624870', '29989747', '74607401', '74633387', '74632262', '34877880', '74631462', '74634153', '29379107', '72781237', '74234706', '32479515', '30611519', '36152962', '37583770', '74643156', '21127901', '34564323', '25945614', '73982957', '33650231', '74660318', '34334381', '30559750', '74622479', '74090518', '38976501', '31208916', '70597957', '36890743', '74666106', '36521683', '36673742', '22914353', '74684183', '28752898', '74289603', '27163172', '24583923', '20278133', '72383011', '34728910', '21753873', '10115261', '74669449', '74699892', '36008341', '50697906', '32937549', '35199037', '74470022', '70502396', '74588466', '22601176', '74596094', '73018714', '74600190', '74602977', '74600072', '74589800', '74600685', '33714259', '38995291', '33768839', '35059025', '36569049', '31993830', '71123155', '20371147', '37632437', '74634351', '74635047', '37468118', '74401969', '38230300', '74597176', '74637829', '74633492', '20083058', '34944586', '74659517', '35900638', '74602477', '73361584', '39004613', '36500282', '70635061', '36843853', '36416345', '21259340', '74590265', '38491416', '50872856', '72920751', '29549136', '74600591', '29551599', '31842846', '34349286', '74683120', '74638388', '74640005', '73629675', '23379966', '74590196', '39066888', '38327761');</t>
  </si>
  <si>
    <t>[VINPAY][PROD]Thực hiện xóa VM DB oracle EWALLET standby để Save_cost</t>
  </si>
  <si>
    <t>2025-07-28T15:26:52.719+0700</t>
  </si>
  <si>
    <t>2025-07-29T11:56:56.879+0700</t>
  </si>
  <si>
    <t>VM DB oracle EWALLET standby đã off được 1 tuần. Hiện tại các service chạy trên EWALLET cũng đã dừng hoạt động, nên team DBA sẽ phối hợp với team hạ tầng xóa bỏ VM này để Save_cost Thông tin VM: 10.255.24.77 ewallet-oracle-19c-standby.asia-east1-c.c.vinpay-prod.internal ewallet-oracle-19c-standby https://console.cloud.google.com/compute/instancesDetail/zones/asia-east1-c/instances/ewallet-oracle-19c-standby?inv=1&amp;invt=Ab38nw&amp;project=vinpay-prod</t>
  </si>
  <si>
    <t>[LOYALTY][nonprod]Thực hiện giảm cấu hình DB oracle LOYALTY nonprod để Save_cost</t>
  </si>
  <si>
    <t>2025-07-28T15:21:40.121+0700</t>
  </si>
  <si>
    <t>2025-07-28T15:22:40.068+0700</t>
  </si>
  <si>
    <t xml:space="preserve">Thực hiện giảm cấu hình disk VM LOYALTY nonprod: https://console.cloud.google.com/compute/instancesDetail/zones/asia-east1-b/instances/oracle?project=vinid-loyalty-nonprod&amp;inv=1&amp;invt=Ab38lQ Từ 1 TB xuống 500GB cho phân vùng </t>
  </si>
  <si>
    <t>[OMD][TMS] V/v support purge TMS data định kỳ</t>
  </si>
  <si>
    <t>2025-07-28T14:41:46.678+0700</t>
  </si>
  <si>
    <t>2025-07-28T15:10:45.348+0700</t>
  </si>
  <si>
    <t>TMS đang thực hiện xóa data định kỳ, nhưng job xóa bị lỗi nên cần update status nên nhờ a/e dba support chạy script sql update, cụ thể như bên dưới update FNCL_QUE_T set STAT_ENU = 3 where QUE_ID in (8456);</t>
  </si>
  <si>
    <t>Kéo dữ liệu WES của kho PHO02 về ODS</t>
  </si>
  <si>
    <t>2025-07-28T12:23:42.186+0700</t>
  </si>
  <si>
    <t>2025-07-28T17:48:19.126+0700</t>
  </si>
  <si>
    <t>NPP Thuận Phong đã đi vào vận hành kho PHO04 và sử dụng nhiều WES. Do đó cần dữ liệu để: Hỗ trợ PO/BA trong việc xây dựng các báo cáo vận hành trên superset, cần thời gian thực Tạo các alert về mặt sai lệch trong dữ liệu hoặc các alert liên quan đến dữ liệu vận hành Thông tin database nguồn như sau WMS Database instance vinid-b2b-platform-prod IP 172.31.1.251 Database name: wes_thuanphong2 List database và table cần sync về ODS Table name TTL (Day) flat_task_group 180 flat_task 180 flat_host_order 180 flat_host_order_line 180 phân quyền trên Dremio cho các tài khoản sau giúp em nha hoang.dau@onemount.com thien.hoang1@onemount.com phuonghd1@onemount.com</t>
  </si>
  <si>
    <t>[OMD][Shrink disk] Shrink disk instance mysql project vinid-b2b-platform-prod</t>
  </si>
  <si>
    <t>2025-07-28T12:12:24.789+0700</t>
  </si>
  <si>
    <t>2025-08-07T09:24:24.054+0700</t>
  </si>
  <si>
    <t>Project: vinid-b2b-platform-prod instance:  https://console.cloud.google.com/sql/instances/b2b-commerce-camunda/overview?inv=1&amp;invt=Ab370A&amp;project=vinid-b2b-platform-prod Disk: 530GB về 100GB</t>
  </si>
  <si>
    <t>[OMD][Kafka][Prod] Tạo kafka topic cho các bảng của litepos_oms</t>
  </si>
  <si>
    <t>2025-07-28T10:12:24.463+0700</t>
  </si>
  <si>
    <t>2025-07-28T11:05:56.986+0700</t>
  </si>
  <si>
    <t>Dear team DBA, Hiện tại OMD có nhu cầu kéo dữ liệu của litePos về Data Platform để xây dựng báo cáo ạ, nhờ anh Linh và team giúp em tạo kafka_topic cho bảng theo thông tin dưới đây ạ PROD: IP host: 172.31.1.6:3306 (mysql) Schema:  litepos_oms_prod Tables: CustomerServicePackage
SaleOrder
SaleOrderEntry
Address
SaleOrderInvoiceRef
Invoice
PaymentMethod Thanks and regards! cong.do1</t>
  </si>
  <si>
    <t>2025-07-28T09:31:51.991+0700</t>
  </si>
  <si>
    <t>2025-07-28T17:47:36.349+0700</t>
  </si>
  <si>
    <t>Dear anh Dương, Nhờ anh hỗ trợ team chạy câu lênh SQL dưới đây ạ Issuse:  https://chat.google.com/room/AAAAH-v7fB4/v3HDQgtg260/v3HDQgtg260?cls=10 Thông tin DB: Project: vincart-prod
IP: 172.31.1.41
DB name: booking_transportation Câu lệnh SQL: START TRANSACTION;
UPDATE `trips`
SET `status` = 'FINISHED', `previous_status` = 'JOURNEY'
WHERE `id` = 56608;
COMMIT;</t>
  </si>
  <si>
    <t>[OMC][Flash Sale TCB] Nâng cấu hình các instance mysql/postgreSQL phục vụ Flash Sale 28/07/2025</t>
  </si>
  <si>
    <t>2025-07-28T09:23:25.109+0700</t>
  </si>
  <si>
    <t>2025-07-28T09:24:25.450+0700</t>
  </si>
  <si>
    <t>Thời gian thực hiện: sau 1h 28/07/2025 Thông tin CR:    Chi tiết như sau: https://console.cloud.google.com/sql/instances/main/overview?project=vincart-prod 172.31.1.41 Từ: 8 vCPUs 24 GB RAM , 20000 connections, innodb_buffer_pool_size  12884901888 Lên: 48 CPUs	64 GB RAM, innodb_buffer_pool_size	42748736000 https://console.cloud.google.com/sql/instances/ecom-medium-mysql/overview?project=vincart-prod 172.31.4.9 Từ: 4 vCPUs 8 GB RAM, 10000 connections , innodb_buffer_pool_size  4294967296 Lên: 16 CPUs	32 GB RAM , innodb_buffer_pool_size  18874368000 https://console.cloud.google.com/sql/instances/oneloyalty/overview?project=vinid-loyalty-prod 172.31.7.6 Từ: 4 CPUs	8 GB RAM , innodb_buffer_pool_size   4294967296 Lên: 16 CPUs	24 GB RAM , 4000 connections, innodb_buffer_pool_size   15737418240 https://console.cloud.google.com/sql/instances/onevoucher/overview?project=vinid-loyalty-prod 172.31.4.126 Từ: 4 CPUs	16 GB RAM, 10000 connections , innodb_buffer_pool_size		8589934592 Lên: 16 CPUs	32 GB RAM , innodb_buffer_pool_size  18874368000 https://console.cloud.google.com/sql/instances/voucher-distribution/overview?project=vinid-loyalty-prod 172.31.4.82 Từ: 2 CPUs	8 GB RAM , innodb_buffer_pool_size   4294967283 Lên: 8 CPUs	16 GB RAM , 4000 connections, innodb_buffer_pool_size  10037418240 https://console.cloud.google.com/sql/instances/postgres-01/overview?authuser=0&amp;project=vinid-service-platform-prod 172.31.7.11 Từ: 2 CPUs	8 GB RAM Lên: 4 CPUs	16 GB RAM https://console.cloud.google.com/sql/instances/omc-authentication/overview?project=omc-base-platform-prod 172.31.3.40 Từ: 4 CPUs	8 GB RAM Lên: 8 CPUs	16 GB RAM https://console.cloud.google.com/memorystore/redis/locations/asia-east1/instances/onevoucher/details/overview?inv=1&amp;invt=Ab1sUg&amp;project=vincart-prod 172.31.0.196 Từ: 11 GB ram Xuống: 5 GB ram</t>
  </si>
  <si>
    <t>[VINPAY][PROD]Thực hiện giảm cấu hình DB oracle EWALLET 27Jul25</t>
  </si>
  <si>
    <t>2025-07-27T00:52:16.066+0700</t>
  </si>
  <si>
    <t>2025-07-27T00:57:35.216+0700</t>
  </si>
  <si>
    <t>EWALLET, Save_cost</t>
  </si>
  <si>
    <t>Thực hiện giảm lại cấu hình DB EWALLET từ 8 vCPU 64GB RAM về 2 vCPU 8GB RAM. CR:    -- Các bước thực hiện chính: 1. Backup DB , tắt DB và snapshot lại OS. Chỉnh sửa lại hugepages vi /etc/sysctl.conf vm.nr_hugepages=0 2. reboot lại VM. 3. -- backup [root@ewallet-oracle-19c-primary ~]# ls -l /boot/initramfs-$(uname -r).img -rw-------. 1 root root 13577873 Nov 25  2021 /boot/initramfs-3.10.0-1160.49.1.el7.x86_64.img [root@ewallet-oracle-19c-primary ~]# cp /boot/initramfs-$(uname -r).img /root/initramfs-$(uname -r).img.bak_27Jul25 chạy: dracut -f -v 4. poweroff VM, giảm VM về 8GB RAM =&gt; boot OS lên 5. start DB, listener</t>
  </si>
  <si>
    <t>[2025/07][OMD TMS][Prod] Maintenance Plan - Databases - Purge dữ liệu</t>
  </si>
  <si>
    <t>2025-07-26T13:42:58.713+0700</t>
  </si>
  <si>
    <t>2025-07-28T17:50:15.506+0700</t>
  </si>
  <si>
    <t>DBA  drop partitions  của các các bảng sau: Các bảng: T1_XML_EVENT_LOG T1_JSON_EVENT_LOG T1_EVENT_NOTIFICATION T1_EVENT_NOTIFICATION_HISTORY Drop các partitions trong khung thời gian: tháng 06/2024 đến 09/2024 (retain 6 months)   Thống kê size data and LOB: Date SEGMENT_NAME Table Size (GiB) 2025-07-26 T1_JSON_EVENT_LOG 5.967773438 2025-07-26 T1_XML_EVENT_LOG 0.8671875 2025-07-26 T1_EVENT_NOTIFICATION 4.794921875 2025-07-26 T1_EVENT_NOTIFICATION_HISTORY 18.86938477   -- data cần DELETE (tháng 10 năm 2024)
select count(*) from BYTM_PROD.T1_EVENT_NOTIFICATION
where EVENT_TIME &lt; TO_DATE('01-NOV-24','DD-MON-YY')
and EVENT_TIME &gt;= TO_DATE('01-OCT-24','DD-MON-YY');-- 433,655
SELECT count(*) FROM BYTM_PROD.T1_EVENT_NOTIFICATION PARTITION (SYS_P19891); -- 433,655
-- data cần DELETE (tháng 11 năm 2024)
select count(*) from BYTM_PROD.T1_EVENT_NOTIFICATION
where EVENT_TIME &lt; TO_DATE('01-DEC-24','DD-MON-YY')
and EVENT_TIME &gt;= TO_DATE('01-NOV-24','DD-MON-YY');-- 446,040
SELECT count(*) FROM BYTM_PROD.T1_EVENT_NOTIFICATION PARTITION (SYS_P20531); -- 446,040
-- data cần DELETE (tháng 12 năm 2024)
select count(*) from BYTM_PROD.T1_EVENT_NOTIFICATION
where EVENT_TIME &lt; TO_DATE('01-JAN-25','DD-MON-YY')
and EVENT_TIME &gt;= TO_DATE('01-DEC-24','DD-MON-YY');-- 458,539
SELECT count(*) FROM BYTM_PROD.T1_EVENT_NOTIFICATION PARTITION (SYS_P21151); -- 458,539
-- data cần DELETE (tháng 01 năm 2025)
select count(*) from BYTM_PROD.T1_EVENT_NOTIFICATION
where EVENT_TIME &lt; TO_DATE('01-FEB-25','DD-MON-YY')
and EVENT_TIME &gt;= TO_DATE('01-JAN-25','DD-MON-YY');-- 424,548
SELECT count(*) FROM BYTM_PROD.T1_EVENT_NOTIFICATION PARTITION (SYS_P21787); -- 424,548
-- data cần DELETE (tháng 10 năm 2024)
select count(*) from BYTM_PROD.T1_EVENT_NOTIFICATION_HISTORY
where EVENT_TIME &lt; TO_DATE('01-NOV-24','DD-MON-YY')
and EVENT_TIME &gt;= TO_DATE('01-OCT-24','DD-MON-YY');-- 2,501,669
SELECT count(*) FROM BYTM_PROD.T1_EVENT_NOTIFICATION_HISTORY PARTITION (SYS_P19897); -- 2,501,669
-- data cần DELETE (tháng 11 năm 2024)
select count(*) from BYTM_PROD.T1_EVENT_NOTIFICATION_HISTORY
where EVENT_TIME &lt; TO_DATE('01-DEC-24','DD-MON-YY')
and EVENT_TIME &gt;= TO_DATE('01-NOV-24','DD-MON-YY');-- 2,574,191
SELECT count(*) FROM BYTM_PROD.T1_EVENT_NOTIFICATION_HISTORY PARTITION (SYS_P20538); -- 2,574,191
-- data cần DELETE (tháng 12 năm 2024)
select count(*) from BYTM_PROD.T1_EVENT_NOTIFICATION_HISTORY
where EVENT_TIME &lt; TO_DATE('01-JAN-25','DD-MON-YY')
and EVENT_TIME &gt;= TO_DATE('01-DEC-24','DD-MON-YY');-- 2,646,230
SELECT count(*) FROM BYTM_PROD.T1_EVENT_NOTIFICATION_HISTORY PARTITION (SYS_P21158); -- 2,646,230
-- data cần DELETE (tháng 01 năm 2025)
select count(*) from BYTM_PROD.T1_EVENT_NOTIFICATION_HISTORY
where EVENT_TIME &lt; TO_DATE('01-FEB-25','DD-MON-YY')
and EVENT_TIME &gt;= TO_DATE('01-JAN-25','DD-MON-YY');-- 2,451,340
SELECT count(*) FROM BYTM_PROD.T1_EVENT_NOTIFICATION_HISTORY PARTITION (SYS_P21794); -- 2,451,340
-- data cần DELETE (tháng 10 năm 2024)
select count(*) from BYTM_PROD.T1_JSON_EVENT_LOG
where EVENT_TIME &lt; TO_DATE('01-NOV-24','DD-MON-YY')
and EVENT_TIME &gt;= TO_DATE('01-OCT-24','DD-MON-YY');-- 433,655
SELECT count(*) FROM BYTM_PROD.T1_JSON_EVENT_LOG PARTITION (SYS_P19903); -- 433,655
-- data cần DELETE (tháng 11 năm 2024)
select count(*) from BYTM_PROD.T1_JSON_EVENT_LOG
where EVENT_TIME &lt; TO_DATE('01-DEC-24','DD-MON-YY')
and EVENT_TIME &gt;= TO_DATE('01-NOV-24','DD-MON-YY');-- 446,040
SELECT count(*) FROM BYTM_PROD.T1_JSON_EVENT_LOG PARTITION (SYS_P20543); -- 446,040
-- data cần DELETE (tháng 12 năm 2024)
select count(*) from BYTM_PROD.T1_JSON_EVENT_LOG
where EVENT_TIME &lt; TO_DATE('01-JAN-25','DD-MON-YY')
and EVENT_TIME &gt;= TO_DATE('01-DEC-24','DD-MON-YY');-- 458,539
SELECT count(*) FROM BYTM_PROD.T1_JSON_EVENT_LOG PARTITION (SYS_P21163); -- 458,539
-- data cần DELETE (tháng 01 năm 2025)
select count(*) from BYTM_PROD.T1_JSON_EVENT_LOG
where EVENT_TIME &lt; TO_DATE('01-FEB-25','DD-MON-YY')
and EVENT_TIME &gt;= TO_DATE('01-JAN-25','DD-MON-YY');-- 424,548
SELECT count(*) FROM BYTM_PROD.T1_JSON_EVENT_LOG PARTITION (SYS_P21799); -- 424,548
-- data cần DELETE (tháng 10 năm 2024)
select count(*) from BYTM_PROD.T1_XML_EVENT_LOG
where EVENT_TIME &lt; TO_DATE('01-NOV-24','DD-MON-YY')
and EVENT_TIME &gt;= TO_DATE('01-OCT-24','DD-MON-YY');-- 433,652
SELECT count(*) FROM BYTM_PROD.T1_XML_EVENT_LOG PARTITION (SYS_P19890); -- 433,652
-- data cần DELETE (tháng 11 năm 2024)
select count(*) from BYTM_PROD.T1_XML_EVENT_LOG
where EVENT_TIME &lt; TO_DATE('01-DEC-24','DD-MON-YY')
and EVENT_TIME &gt;= TO_DATE('01-NOV-24','DD-MON-YY');-- 446,044
SELECT count(*) FROM BYTM_PROD.T1_XML_EVENT_LOG PARTITION (SYS_P20530); -- 446,044
-- data cần DELETE (tháng 12 năm 2024)
select count(*) from BYTM_PROD.T1_XML_EVENT_LOG
where EVENT_TIME &lt; TO_DATE('01-JAN-25','DD-MON-YY')
and EVENT_TIME &gt;= TO_DATE('01-DEC-24','DD-MON-YY');-- 458,539
SELECT count(*) FROM BYTM_PROD.T1_XML_EVENT_LOG PARTITION (SYS_P21150); -- 458,539
-- data cần DELETE (tháng 01 năm 2024)
select count(*) from BYTM_PROD.T1_XML_EVENT_LOG
where EVENT_TIME &lt; TO_DATE('01-FEB-25','DD-MON-YY')
and EVENT_TIME &gt;= TO_DATE('01-JAN-25','DD-MON-YY');-- 424,547
SELECT count(*) FROM BYTM_PROD.T1_XML_EVENT_LOG PARTITION (SYS_P21786); -- 424,547
ALTER TABLE BYTM_PROD.T1_EVENT_NOTIFICATION DROP PARTITION SYS_P19891 update indexes;
ALTER TABLE BYTM_PROD.T1_EVENT_NOTIFICATION DROP PARTITION SYS_P20531 update indexes;
ALTER TABLE BYTM_PROD.T1_EVENT_NOTIFICATION DROP PARTITION SYS_P21151 update indexes;
ALTER TABLE BYTM_PROD.T1_EVENT_NOTIFICATION DROP PARTITION SYS_P21787 update indexes;
ALTER TABLE BYTM_PROD.T1_EVENT_NOTIFICATION_HISTORY DROP PARTITION SYS_P19897 update indexes;
ALTER TABLE BYTM_PROD.T1_EVENT_NOTIFICATION_HISTORY DROP PARTITION SYS_P20538 update indexes;
ALTER TABLE BYTM_PROD.T1_EVENT_NOTIFICATION_HISTORY DROP PARTITION SYS_P21158 update indexes;
ALTER TABLE BYTM_PROD.T1_EVENT_NOTIFICATION_HISTORY DROP PARTITION SYS_P21794 update indexes;
ALTER TABLE BYTM_PROD.T1_JSON_EVENT_LOG DROP PARTITION SYS_P19903 update indexes;
ALTER TABLE BYTM_PROD.T1_JSON_EVENT_LOG DROP PARTITION SYS_P20543 update indexes;
ALTER TABLE BYTM_PROD.T1_JSON_EVENT_LOG DROP PARTITION SYS_P21163 update indexes;
ALTER TABLE BYTM_PROD.T1_JSON_EVENT_LOG DROP PARTITION SYS_P21799 update indexes;
ALTER TABLE BYTM_PROD.T1_XML_EVENT_LOG DROP PARTITION SYS_P19890 update indexes;
ALTER TABLE BYTM_PROD.T1_XML_EVENT_LOG DROP PARTITION SYS_P20530 update indexes;
ALTER TABLE BYTM_PROD.T1_XML_EVENT_LOG DROP PARTITION SYS_P21150 update indexes;
ALTER TABLE BYTM_PROD.T1_XML_EVENT_LOG DROP PARTITION SYS_P21786 update indexes;
commit;</t>
  </si>
  <si>
    <t>[OMC][MTP][PROD] Hỗ trợ cấp quyền read DB.</t>
  </si>
  <si>
    <t>2025-07-26T12:03:38.928+0700</t>
  </si>
  <si>
    <t>2025-07-26T12:03:49.316+0700</t>
  </si>
  <si>
    <t>Dear a  @Nguyễn Văn Dũng  , Nhờ a cấp quyền read vào DB  tidb_omc.omc_merchant_loyalty cho tài khoản dremio này ạ  sa.dremio.om.mtp-local Thanks</t>
  </si>
  <si>
    <t>[OMC][MCL] Tạo DDL cho Merchant Loyalty</t>
  </si>
  <si>
    <t>2025-07-26T11:26:24.774+0700</t>
  </si>
  <si>
    <t>2025-07-26T11:26:36.007+0700</t>
  </si>
  <si>
    <t>Dear anh  @Nguyễn Văn Dũng  , nhờ anh chạy giúp em script sau để tạo DDL cho Merchant Loyalty. Host:  omc-mtp-tidb.int.onemount.com:4000 Schema:  omc_merchant_loyalty Best regards Dinh Quang Nguyen</t>
  </si>
  <si>
    <t>[OMD][Kafka][Prod] Tạo kafka topic cho các bảng của litepos_pcm</t>
  </si>
  <si>
    <t>2025-07-26T09:55:16.508+0700</t>
  </si>
  <si>
    <t>2025-07-28T11:04:32.713+0700</t>
  </si>
  <si>
    <t>Dear team DBA, Hiện tại OMD có nhu cầu kéo dữ liệu của litePos về Data Platform để xây dựng báo cáo ạ, nhờ anh Linh và team giúp em tạo kafka_topic cho bảng theo thông tin dưới đây ạ PROD: IP host: 172.31.1.6:3306 (mysql) Schema:  litepos_pcm_prod Tables: Offer
VatInClass
VatOutClass
ProductType
Merchant
MerchantRegisterService
RegisterService
Country
District
Province
Ward
Warehouse Thanks and regards! cong.do1</t>
  </si>
  <si>
    <t>[VinIDPay] [PROD] [SMARTPOS] Script release SMARTPOS ngày 26/07/2025</t>
  </si>
  <si>
    <t>2025-07-25T18:04:40.840+0700</t>
  </si>
  <si>
    <t>2025-07-25T18:04:52.851+0700</t>
  </si>
  <si>
    <t xml:space="preserve">Hi anh Nhờ anh chạy các script sau giúp em trên: PROD  vào lúc  23h59 26/06/2025 ạ Thông tin database: Prod :  pay-tidb.int.onemount.com:4000/saas_tpay CR:  </t>
  </si>
  <si>
    <t>[PROD] Hỗ trợ query database fs_core_prod</t>
  </si>
  <si>
    <t>2025-07-25T16:48:51.132+0700</t>
  </si>
  <si>
    <t>2025-07-25T16:48:58.438+0700</t>
  </si>
  <si>
    <t>OMC, vinidpay</t>
  </si>
  <si>
    <t>Dear team, nhờ team chạy script theo mô tả  dưới đây ở môi trường PRODUCTION và  xuất file data query được  theo thông tin dưới đây ạ: Thời gian chạy script: chạy luôn trong giờ khi ticket được approve Thông tin database: fs_core_prod  Script: SELECT a.account_number, hold_balance , working_balance , a.cif_id , cp.phone_number, cp.customer_info-&gt;&gt;'$.vin_id' AS vin_id, cp.full_name, category, customer_reference_id
FROM account_balance ab
INNER JOIN ACCOUNT a ON ab.account_number  = a.account_number
INNER JOIN customer_private cp  ON a.cif_id = cp.cif_id
WHERE category IN ('1001', '1007')
AND (working_balance != 0 or hold_balance  != 0);</t>
  </si>
  <si>
    <t xml:space="preserve">[UPay] [PROD] [Ops Admin] Script support thêm quyền </t>
  </si>
  <si>
    <t>2025-07-25T16:35:38.633+0700</t>
  </si>
  <si>
    <t>2025-07-25T16:35:45.422+0700</t>
  </si>
  <si>
    <t>Hi anh Nhờ anh chạy các script sau giúp em trên: PROD  vào lúc sau khi ticket được  approval  ạ  Thông tin database: Prod :  project: vinid-service-platform-prod
instance: common
Master IP: 172.31.1.102
slave IP: 172.31.1.181
db: admin_service CR:     Thêm quyền service type Sign Contract thuộc module Merchant Loyalty.   link order     SELECT @service_id := id FROM service WHERE code = 'Voucher_Calendar';
INSERT INTO module (name, code, service_id) VALUES('Contract', 'merchant_loyalty_sign_contract', @service_id);
SET @module_id = LAST_INSERT_ID();
INSERT INTO permission (module, name, code, new_code, new_name, module_id) VALUES ('merchant_loyalty_sign_contract', 'View', 1000, 1000, 'View', @module_id);
INSERT INTO permission (module, name, code, new_code, new_name, module_id) VALUES ('merchant_loyalty_sign_contract', 'Create', 1001, 1001, 'Create', @module_id);
INSERT INTO permission (module, name, code, new_code, new_name, module_id) VALUES ('merchant_loyalty_sign_contract', 'Edit', 1002, 1002, 'Edit', @module_id);
INSERT INTO permission (module, name, code, new_code, new_name, module_id) VALUES ('merchant_loyalty_sign_contract', 'Delete', 1003, 1003, 'Delete', @module_id); Thêm quyền cho service mới Voucher Calendar.   link order   SELECT @service_id := id FROM service WHERE code = 'Voucher_Calendar';
INSERT INTO module (name, code, service_id) VALUES('Campaign', 'vouchercalendar_campaign', @service_id);
SET @module_id = LAST_INSERT_ID();
INSERT INTO permission (module, name, code, new_code, new_name, module_id) VALUES ('vouchercalendar_campaign', 'View', 1000, 1000, 'View', @module_id);
INSERT INTO permission (module, name, code, new_code, new_name, module_id) VALUES ('vouchercalendar_campaign', 'Create', 1001, 1001, 'Create', @module_id);
INSERT INTO permission (module, name, code, new_code, new_name, module_id) VALUES ('vouchercalendar_campaign', 'Edit', 1002, 1002, 'Edit', @module_id);
INSERT INTO permission (module, name, code, new_code, new_name, module_id) VALUES ('vouchercalendar_campaign', 'Delete', 1003, 1003, 'Delete', @module_id);</t>
  </si>
  <si>
    <t>[NonPROD][OMRE][CDP][Kafka] Tạo topic kafka kéo bảng các bảng UAT CBP về DP Non PROD</t>
  </si>
  <si>
    <t>2025-07-25T14:40:41.676+0700</t>
  </si>
  <si>
    <t>2025-07-25T17:17:33.915+0700</t>
  </si>
  <si>
    <t>Team CDP đang có nhu cầu kéo dữ liệu từ CBP UAT về DP Non PROD phục vụ việc build model. Nhờ team DBA hỗ trợ tạo topic theo danh sách sau: Database: omre_cbp_agent_core_uat Môi trường: Non PROD. Host: 172.31.0.67 Port: 3306 Table: + agents + bank_accounts + branches + documents + ekyc_informations + ekyc_steps_details + onboarding_processes + onboarding_step_data + upload_images + workflow_events + eav_attributes + eav_attribute_json_values + eav_attribute_text_values Database: omre_cbp_listing_uat Môi trường: Non PROD. Host: 10.255.134.172 Port: 27017 Table: + approval_requests + verification_results + listings + media Database: omre_cbp_collab_uat Môi trường: Non PROD. Host: 172.31.0.67 Port: 3306 + cont_addresses + cont_bank_accounts + cont_contacts + cont_contact_participants + cont_contact_profiles + cont_emails + cont_id_documents + cont_phone_numbers + cont_root_addresses + cont_root_bank_accounts + cont_root_contacts + cont_root_contact_profiles + cont_root_emails + cont_root_id_documents + cont_root_phone_numbers + eav_attributes + inq_inquiries + inq_inquiry_contacts + inq_inquiry_demands + inq_inquiry_participants + quick_filters + sto_files + sto_file_links + sto_file_versions + tag_taggables + tag_tags + tag_tag_groups Database: omre_cbp_activity_uat Môi trường: Non PROD. Host: 172.31.0.67 Port: 3306 + assignments + event_types + relations + tasks + task_codes + task_types Thanks and regards!</t>
  </si>
  <si>
    <t>[OM][DP][Kafka][PROD] Hỗ trợ tạo kafka topic dự án Merchant Loyalty</t>
  </si>
  <si>
    <t>2025-07-25T11:53:48.112+0700</t>
  </si>
  <si>
    <t>2025-07-26T09:35:47.446+0700</t>
  </si>
  <si>
    <t>Dear anh Linh, Phục vụ khai thác dữ liệu dự án Merchant Loyalty, nhờ anh tạo kafka topic cho các bảng sau: IP Databases Tables 172.31.4.99:3306 discount_service conditions condition_templates items merchant_loyalty_event_logs partner_templates tags tags_items transactions transaction_details transaction_history 172.31.4.99:3306 budget_service programs participant item_participants items campaign_participants campaigns 172.31.4.82:3306 b2b_voucher_distribution mark_used_request Em cảm ơn ạ.</t>
  </si>
  <si>
    <t>[OMC][Discount][Prod] Thực hiện migration các bảng cho tính năng mới</t>
  </si>
  <si>
    <t>2025-07-25T11:45:32.635+0700</t>
  </si>
  <si>
    <t>2025-07-25T11:45:42.010+0700</t>
  </si>
  <si>
    <t>Thực hiện migration các bảng cho tính năng mới cho release Merchant Loyalty MVP1, theo CR =&gt;  https://vinid-team.atlassian.net/browse/SH-66022 Host: 172.31.4.99 DB: discount_service Tạo bảng merchant_loyalty_event_logs CREATE TABLE `merchant_loyalty_event_logs`
(
    `id`          VARCHAR(255) PRIMARY KEY,
    `event_id`    varchar(255),
    `event_code`  varchar(255),
    `status`      enum('PROCESSING','SUCCESS', 'FAILED') DEFAULT 'PROCESSING',
    `status_code` INT,
    `metadata`    JSON NULL,
    `created_at`  INT,
    `updated_at`  INT,
    UNIQUE(`event_id`)
); Alter table transactions chuyển cột user_id sang kiểu string ALTER TABLE `transactions`
    MODIFY COLUMN user_id VARCHAR(255); Alter table transactions thêm cột tenant (các dữ liệu trước đó sẽ có giá trị OneU) ALTER TABLE `transactions`
    ADD COLUMN `tenant` VARCHAR(50);
UPDATE transactions SET tenant='OneU' where tenant is null; Tạo bảng partner_templates -- partner_templates
CREATE TABLE `partner_templates` (
  `id` BIGINT UNSIGNED NOT NULL AUTO_INCREMENT,
  `name` VARCHAR(255) NULL,
  `code` VARCHAR(255) NOT NULL,
  `template` MEDIUMTEXT NOT NULL,
  `created_at` BIGINT UNSIGNED NOT NULL DEFAULT (unix_timestamp()),
  `updated_at` BIGINT UNSIGNED NULL DEFAULT (unix_timestamp()),
  PRIMARY KEY (`id`)
);
ALTER TABLE `partner_templates` 
ADD UNIQUE INDEX `code_UNIQUE` (`code` ASC) VISIBLE;
;
INSERT INTO `condition_templates` (`code`, `type`, `name`, `description`, `status`, `statement`, `pattern`) VALUES ('SCAN_PAY_ML', 'template', 'scan pay merchant loyalty', 'scan pay merchant loyalty', 'ACTIVE', '{\"Field\": {\"ScanPayML\": {\"ID\": 1, \"Store\": {\"Code\": \"string\", \"Name\": \"string\"}, \"Amount\": 1.1, \"Merchant\": {\"Code\": \"string\", \"Name\": \"string\"}, \"Description\": \"string\", \"ServiceCode\": \"string\"}}}', 'DiscountFact'); Tạo các index sau create index items_budget_item_code_index
    on items (budget_item_code); DB: budget_service Tạo các index sau CREATE INDEX campaign_participant_index
    ON campaign_participants (campaign_id, participant_id);
CREATE INDEX item_participant_index
    ON item_participants (item_id, participant_id); create index item_participants_item_id_index
    on item_participants (item_id);</t>
  </si>
  <si>
    <t>Yêu cầu tạo database và user TiDB Non-Prod cho ứng dụng CoBroker</t>
  </si>
  <si>
    <t>2025-07-24T16:20:41.907+0700</t>
  </si>
  <si>
    <t>2025-07-24T16:32:17.754+0700</t>
  </si>
  <si>
    <t>Hi Team. Nhờ team tạo giúp user và database TiDB Non-Prod sử dụng cho dịch vụ CDP của ứng dụng Co-Broker. Schema name: omre_cdp_core_dev Thanks.</t>
  </si>
  <si>
    <t>[Merchant-TCB] Hỗ trợ xóa dữ liệu</t>
  </si>
  <si>
    <t>2025-07-24T12:39:37.953+0700</t>
  </si>
  <si>
    <t>2025-07-24T16:32:38.765+0700</t>
  </si>
  <si>
    <t>Dear team, Do OPS chưa hỗ trợ xóa dữ liệu, nhờ team chạy giúp câu lệnh bên dưới ạ Thông tin database https://console.cloud.google.com/sql/instances/merchant-tcb/overview?inv=1&amp;invt=AbsndA&amp;project=vinid-merchant-prod DB_MYSQL_HOST=172.31.4.108
DB_MYSQL_DATABASE=merchant_service_tcb Câu lệnh DELETE FROM tpay_business_type
WHERE code IN('5815', '5816', '5817', '5818');</t>
  </si>
  <si>
    <t>2025-07-24T11:08:33.043+0700</t>
  </si>
  <si>
    <t>2025-07-24T17:14:05.868+0700</t>
  </si>
  <si>
    <t>[OMC][Loyalty MFT] VCM - Hỗ trợ đội dự án chạy migration cho golive 23/07/2025</t>
  </si>
  <si>
    <t>2025-07-24T09:24:19.293+0700</t>
  </si>
  <si>
    <t>2025-07-24T09:24:28.545+0700</t>
  </si>
  <si>
    <t>Theo kế hoạch release của dự án ( release plan ), do lỗi project migration của dự án đang lỗi, nhờ team DBA hỗ trợ chạy các lệnh DDL giúp theo thông tin bên dưới ạ. Thời gian chạy:  22h ngày 23/07/2025 Thông tin database GCP project : vinid-loyalty-prod Instance name : onevoucher Instance IP : 172.31.4.126 Database : onevc_vsm_prod onevc_vwm_prod Query 1 (chạy cho db onevc_vsm_prod) ALTER TABLE onevc_vsm_prod.`sale` ADD (
	`merchant_campaign_code` VARCHAR(255),
	`merchant_scheme_code` VARCHAR(255)
), ALGORITHM=INPLACE, LOCK=NONE;
CREATE TABLE IF NOT EXISTS onevc_vsm_prod.sale_tag
(
	id                       SERIAL PRIMARY KEY,
	sale_id                BIGINT UNSIGNED,
	code                varchar(64) COLLATE utf8mb4_unicode_ci,
	name                varchar(255) COLLATE utf8mb4_unicode_ci,
	created_at               DATETIME(6),
	created_by               VARCHAR(128),
	updated_at               DATETIME(6),
	updated_by               VARCHAR(128),
	deleted                  BOOLEAN NOT NULL DEFAULT FALSE
);
ALTER TABLE onevc_vsm_prod.sale_tag
	ADD INDEX idx_sale_id (sale_id), ALGORITHM=INPLACE, LOCK=NONE;
INSERT INTO 
    onevc_vsm_prod.flyway_schema_history (installed_rank, version, description, `type`, script, checksum, installed_by, installed_on, execution_time, success)
VALUES
    (122, '0118', 'alter  tb sale', 'SQL', 'V0118__alter__tb_sale.sql', -1837848425, 'onevc_vsm_prod', '2025-07-23 22:15:13', 2142, 1),
    (123, '0123', 'create  tb tag', 'SQL', 'V0123__create__tb_tag.sql', -1889253422, 'onevc_vsm_prod', '2025-07-23 22:15:51', 33868, 1); Query 2 (chạy cho db onevc_vwm_prod) ALTER TABLE onevc_vwm_prod.corporation
	ADD COLUMN name_en VARCHAR(256), ALGORITHM=INPLACE, LOCK=NONE;
ALTER TABLE onevc_vwm_prod.chain
	ADD COLUMN name_en VARCHAR(256), ALGORITHM=INPLACE, LOCK=NONE;
INSERT INTO 
    onevc_vwm_prod.flyway_schema_history (installed_rank, version, description, `type`, script, checksum, installed_by, installed_on, execution_time, success)
VALUES
    (73, '0073', 'alter  tb merchant', 'SQL', 'V0073__alter__tb_merchant.sql', -1294936969, 'onevc_vwm_prod', '2025-07-23 22:06:18', 761, 1); Thông tin database GCP project : vinid-loyalty-prod Instance name : voucher-distribution Instance IP : 172.31.4.82 Database : b2b_voucher_distribution Query 3 ALTER TABLE b2b_voucher_distribution.`voucher` ADD (
	`merchant_campaign_code` VARCHAR(255),
	`merchant_scheme_code` VARCHAR(255)
), ALGORITHM=INPLACE, LOCK=NONE;
ALTER TABLE b2b_voucher_distribution.`voucher` ADD (
	display_start datetime,
	display_end datetime
), ALGORITHM=INPLACE, LOCK=NONE;
ALTER TABLE b2b_voucher_distribution.`synced_voucher` ADD (
	display_start datetime,
	display_end datetime
), ALGORITHM=INPLACE, LOCK=NONE;
INSERT
INTO
    b2b_voucher_distribution.master_category
(created_at,
 created_by,
 updated_at,
 updated_by,
 code,
 name,
 discount_rate,
 status)
VALUES(NOW(6),
       'admin',
       NOW(6),
       'admin',
       'MerchantLoyalty',
       'Merchant Loyalty',
       0,
       'ACTIVE');
INSERT
INTO
    b2b_voucher_distribution.master_category_merchant
(created_at,
 created_by,
 updated_at,
 updated_by,
 master_category_code,
 merchant_code,
 discount_rate)
VALUES(NOW(6),
       'admin',
       NOW(6),
       'admin',
       'MerchantLoyalty',
       'TCBLOYALTY',
       0);
INSERT INTO 
    b2b_voucher_distribution.flyway_schema_history (installed_rank, version, description, `type`, script, checksum, installed_by, installed_on, execution_time, success) 
VALUES 
    (102, '0099', 'alter tb voucher', 'SQL', 'V0099__alter_tb_voucher.sql', 1441967925, 'b2b_voucher_distribution', '2025-07-23 22:00:33', 1649, 1),
    (103, '0100', 'migrate tb master category', 'SQL', 'V0100__migrate_tb_master_category.sql', 1880033566, 'b2b_voucher_distribution', '2025-07-23 22:00:33', 7, 1), 
    (104, '0102', 'alter tb synced voucher and voucher', 'SQL', 'V0102__alter_tb_synced_voucher_and_voucher.sql', 2113788830, 'b2b_voucher_distribution', '2025-07-23 22:00:35', 1705, 1); Thanks ạ.</t>
  </si>
  <si>
    <t>[OMD][b2b-platform][PROD] Tối ưu tài nguyên các VM thuộc cụm MongoDB Cluster OMD</t>
  </si>
  <si>
    <t>2025-07-24T04:40:57.896+0700</t>
  </si>
  <si>
    <t>2025-07-24T04:41:16.360+0700</t>
  </si>
  <si>
    <t xml:space="preserve">Team DBA thực hiện tối ưu tài nguyên các VM trong cụm mongoDB cluster OMD, cụ thể như sau: Dung lượng disk của các VM mongoDB trong cụm cluster có thể giảm để tiết kiệm chi phí disk (do dung lượng data lưu trữ nhỏ lại). Team DBA sẽ thực hiện cấp disk mới size nhỏ hơn và thu hồi disk không sử dụng nữa. Giảm số lượng CPU của các VM, do dượng data cần xử lý trên các VM DB này đã giảm. Tăng RAM của 2 VM mongos từ 4GB lên 6GB để đảm bảo tính ổn định của VM (tránh bị lỗi thiếu RAM, làm service có thể bị treo) IP - Hostname Disk CPU RAM 10.255.32.20	b2b-mongo-prod-1 Giảm từ 2TB về 1.2 TB Giảm từ 8 vCPU về 4 vCPU Giảm từ 45GB RAM về 32GB RAM 10.255.32.21	b2b-mongo-prod-2 Giảm từ 4TB về 2.2 TB Giảm từ 8 vCPU về 4 vCPU Giảm từ 45GB RAM về 32GB RAM 10.255.32.22	b2b-mongo-prod-3 Giảm từ 2TB về 1.2 TB Giảm từ 8 vCPU về 4 vCPU Giảm từ 45GB RAM về 32GB RAM 10.255.32.23	b2b-mongo-prod-4 Giảm từ 4TB về 2.2 TB Giảm từ 8 vCPU về 4 vCPU Giảm từ 45GB RAM về 32GB RAM 10.255.32.53	b2b-mongo-ilb-prod-1 Dồn disk /data vào / , sau đó thu hồi 1 disk 50G   Tăng RAM từ 4GB lên 6GB 10.255.32.54	b2b-mongo-ilb-prod-2 Dồn disk /data vào / , sau đó thu hồi 1 disk 50G   Tăng RAM từ 4GB lên 6GB Thời gian thực hiện:  21h ngày 23/07/2025 Dự kiến thực hiện trong khoảng 3 - 4 tiếng. Quá trình thực hiện sẽ thực hiện lần lượt tuần tự trên các VM để giảm thiểu thời gian downtime của các service đang chạy trên các VM. Các DB đang có trong cụm cluster mongoDB của OMD: hybris omd_aftersale_campaign omd_b2b_integration omd_b2b_oms omd_b2b_pcm omd_b2b_promotion omd_b2b_user omd_dms_prod omd_litepos_prod omd_taskbox omd_tc_saleapp_prod trackandtrace CR:   </t>
  </si>
  <si>
    <t>Request access vào data litepos trên ODS</t>
  </si>
  <si>
    <t>2025-07-23T16:58:46.444+0700</t>
  </si>
  <si>
    <t>2025-07-23T17:24:43.096+0700</t>
  </si>
  <si>
    <t>Dear các sếp, Team đang acting gotomarket cho Litepos nên cần access vào data của litepos để tracking và phân tích, nhờ các sếp cấp quyền giúp vào 3 bảng litepos ở ODS cho dremio.omd.power "tidb_ods"."omd_pos_prod_omd_pos_commerce_litepos_oms_prod": bảng đơn bán của GT "tidb_ods"."omd_pos_prod_omd_pos_commerce_litepos_user_prod": bảng GT sử dụng pos "tidb_ods"."omd_pos_prod_omd_pos_commerce_litepos_pcm_prod": bảng sản phẩm của GT Thanks,</t>
  </si>
  <si>
    <t>[NONPROD] Tác động database staging</t>
  </si>
  <si>
    <t>2025-07-23T16:54:35.039+0700</t>
  </si>
  <si>
    <t>2025-07-23T16:54:40.225+0700</t>
  </si>
  <si>
    <t>OMC, vinpay</t>
  </si>
  <si>
    <t>Hi team, nhờ các anh hỗ trợ chạy script tác động database trên môi trường STAGING với thông tin dưới đây ạ: Thời điểm chạy script: chạy trong giờ sau khi ticket được approve Thông tin database: jdbc:mysql:// tidb.int.onemount.dev:4000/vinpay_saas_tpay_staging Em gửi script: INSERT INTO SYSTEM_CONFIGURATION (SYSTEM_PARAM_CODE, SYSTEM_PARAM_NAME, SYSTEM_PARAM_VALUE, IS_ACTIVE, CREATED_DATE)
VALUES ('SOFTPOS_ONLY_QR_TERMS_AND_CONDITIONS_TNC_CODE', 'SOFTPOS_ONLY_QR_TERMS_AND_CONDITIONS_TNC_CODE', 'TC-23062025-016922', 1, CURRENT_TIMESTAMP);
INSERT INTO SYSTEM_CONFIGURATION (SYSTEM_PARAM_CODE, SYSTEM_PARAM_NAME, SYSTEM_PARAM_VALUE, IS_ACTIVE, CREATED_DATE)
VALUES ('EMAIL_TEMPLATE_REJECT_ONLY_QR', 'EMAIL_TEMPLATE_REJECT_ONLY_QR', '686f8f8fb83f283c6b860858', 1, CURRENT_TIMESTAMP);
ALTER TABLE SESSION ADD COLUMN onboarding_flow VARCHAR(20) NULL;
ALTER TABLE SESSION_HISTORY ADD COLUMN onboarding_flow VARCHAR(20) NULL;
ALTER TABLE GROUP_STEP_CONFIG ADD COLUMN onboarding_flow VARCHAR(20) NULL;
ALTER TABLE STEP_CONFIG ADD COLUMN onboarding_flow VARCHAR(20) NULL;
ALTER TABLE SESSION MODIFY master_account_name VARCHAR(255) ;
ALTER TABLE SESSION_HISTORY MODIFY master_account_name VARCHAR(255);
UPDATE GROUP_STEP_CONFIG SET onboarding_flow = 'SOFTPOS_QR_CARD';
UPDATE STEP_CONFIG SET onboarding_flow = 'SOFTPOS_QR_CARD';
UPDATE SESSION SET onboarding_flow = 'SOFTPOS_QR_CARD';
UPDATE SESSION_HISTORY SET onboarding_flow = 'SOFTPOS_QR_CARD';
INSERT INTO GROUP_STEP_CONFIG (code, name, description, status, is_display, `order`, domain, created_at, updated_at, onboarding_flow) VALUES ('SOFTPOS_ONLY_QR_ANONYMOUS_LOGIN', 'SOFTPOS_ONLY_QR_ANONYMOUS_LOGIN', 'Người dùng thao tác login vào hệ thống cho luồng ONLY QR', 'ACTIVE', 1, 1, 'SOFT_POS_ONBOARD', CURRENT_TIMESTAMP, null, 'SOFTPOS_ONLY_QR');
INSERT INTO GROUP_STEP_CONFIG (code, name, description, status, is_display, `order`, domain, created_at, updated_at, onboarding_flow) VALUES ('SOFTPOS_ONLY_QR_VERIFY_ONBOARD', 'SOFTPOS_ONLY_QR_VERIFY_ONBOARD', 'Kiểm tra thông tin người dùng đã có trên hệ thống hay chưa', 'ACTIVE', 1, 2, 'SOFT_POS_ONBOARD', CURRENT_TIMESTAMP, null, 'SOFTPOS_ONLY_QR');
INSERT INTO GROUP_STEP_CONFIG (code, name, description, status, is_display, `order`, domain, created_at, updated_at, onboarding_flow) VALUES ('SOFTPOS_ONLY_QR_STORE_INFORMATION', 'SOFTPOS_ONLY_QR_STORE_INFORMATION', 'Cung cấp các thông tin cơ bản về cửa hàng', 'ACTIVE', 1, 3, 'SOFT_POS_ONBOARD', CURRENT_TIMESTAMP, null, 'SOFTPOS_ONLY_QR');
INSERT INTO STEP_CONFIG (code, step_group, name, status, is_display, `order`, created_at, updated_at, onboarding_flow) VALUES ('SOFTPOS_ONLY_QR_REGISTRATION_INFO', 'SOFTPOS_ONLY_QR_ANONYMOUS_LOGIN', 'SOFTPOS_ONLY_QR_REGISTRATION_INFO', 'ACTIVE', 1, 1, CURRENT_TIMESTAMP, null, 'SOFTPOS_ONLY_QR');
INSERT INTO STEP_CONFIG (code, step_group, name, status, is_display, `order`, created_at, updated_at, onboarding_flow) VALUES ('SOFTPOS_ONLY_QR_OTP_AUTHENTICATION', 'SOFTPOS_ONLY_QR_ANONYMOUS_LOGIN', 'SOFTPOS_ONLY_QR_OTP_AUTHENTICATION', 'ACTIVE', 1, 2, CURRENT_TIMESTAMP, null, 'SOFTPOS_ONLY_QR');
INSERT INTO STEP_CONFIG (code, step_group, name, status, is_display, `order`, created_at, updated_at, onboarding_flow) VALUES ('SOFTPOS_ONLY_QR_VERIFY_ONBOARD', 'SOFTPOS_ONLY_QR_VERIFY_ONBOARD', 'SOFTPOS_ONLY_QR_VERIFY_ONBOARD', 'ACTIVE', 1, 1, CURRENT_TIMESTAMP, null, 'SOFTPOS_ONLY_QR');
INSERT INTO STEP_CONFIG (code, step_group, name, status, is_display, `order`, created_at, updated_at, onboarding_flow) VALUES ('SOFTPOS_ONLY_QR_REGISTER_STAFF_EMAIL', 'SOFTPOS_ONLY_QR_VERIFY_ONBOARD', 'SOFTPOS_ONLY_QR_REGISTER_STAFF_EMAIL', 'ACTIVE', 1, 2, CURRENT_TIMESTAMP, null, 'SOFTPOS_ONLY_QR');
INSERT INTO STEP_CONFIG (code, step_group, name, status, is_display, `order`, created_at, updated_at, onboarding_flow) VALUES ('SOFTPOS_ONLY_QR_STORE_INFORMATION_PART1', 'SOFTPOS_ONLY_QR_STORE_INFORMATION', 'SOFTPOS_ONLY_QR_STORE_INFORMATION_PART1', 'ACTIVE', 1, 1, CURRENT_TIMESTAMP, null, 'SOFTPOS_ONLY_QR');
INSERT INTO STEP_CONFIG (code, step_group, name, status, is_display, `order`, created_at, updated_at, onboarding_flow) VALUES ('SOFTPOS_ONLY_QR_STORE_INFORMATION_PART2', 'SOFTPOS_ONLY_QR_STORE_INFORMATION', 'SOFTPOS_ONLY_QR_STORE_INFORMATION_PART2', 'ACTIVE', 1, 2, CURRENT_TIMESTAMP, null, 'SOFTPOS_ONLY_QR');
INSERT INTO STEP_CONFIG (code, step_group, name, status, is_display, `order`, created_at, updated_at, onboarding_flow) VALUES ('SOFTPOS_ONLY_QR_REVIEW_INFORMATION', 'SOFTPOS_ONLY_QR_STORE_INFORMATION', 'SOFTPOS_ONLY_QR_REVIEW_INFORMATION', 'ACTIVE', 1, 3, CURRENT_TIMESTAMP, null, 'SOFTPOS_ONLY_QR');</t>
  </si>
  <si>
    <t>[OMC][Flash Sale TCB] Nâng cấu hình các instance mysql 172.31.1.41</t>
  </si>
  <si>
    <t>2025-07-23T16:38:17.890+0700</t>
  </si>
  <si>
    <t>2025-07-24T01:03:22.693+0700</t>
  </si>
  <si>
    <t>Thực hiện nâng cấu hình cho DB mysql, phục vụ FS chạy hàng tuần https://console.cloud.google.com/sql/instances/main/overview?project=vincart-prod 172.31.1.41 Từ: 4 vCPUs 16 GB RAM , 20000 connections, innodb_buffer_pool_size  8589934592 Lên: 8 CPUs	24 GB RAM, innodb_buffer_pool_size	12884901888 CR:    Thời gian thực hiện:  1h 24Jul25</t>
  </si>
  <si>
    <t>2025-07-23T14:14:03.962+0700</t>
  </si>
  <si>
    <t>2025-07-23T14:18:30.093+0700</t>
  </si>
  <si>
    <t>Dear các sếp, Mình đang acting gotomarket cho Litepos nên cần access vào data của litepos để tracking và phân tích, nhờ các sếp cấp quyền giúp vào 3 bảng litepos ở ODS "tidb_ods"."omd_pos_prod_omd_pos_commerce_litepos_oms_prod": bảng đơn bán của GT "tidb_ods"."omd_pos_prod_omd_pos_commerce_litepos_user_prod": bảng GT sử dụng pos "tidb_ods"."omd_pos_prod_omd_pos_commerce_litepos_pcm_prod": bảng sản phẩm của GT Thanks,</t>
  </si>
  <si>
    <t>[VINPAY] [PROD] Hỗ trợ tạo schema database và phân quyền cho user vinidpay_reconciliation</t>
  </si>
  <si>
    <t>2025-07-23T13:40:24.714+0700</t>
  </si>
  <si>
    <t>2025-07-23T13:41:04.244+0700</t>
  </si>
  <si>
    <t>Nhờ các anh DBA Hỗ trợ tạo schema database và phân quyền cho user vinidpay_reconciliation trên PROD giúp team ạ: Thông tin database tidb.int.onemount.com:4000/vinidpay_reconciliation thông tin schema Tạo thêm schemas:  vinidpay_tcb_payment_reporting Phân quyền users  vinidpay_reconciliation  tương ứng với schemas: Permission: INSERT + SELECT + UPDATE + DELETE tất cả table trong schema  vinidpay_tcb_payment_reporting Permission: SELECT trên schema  saas_tpay Mục đích: lưu trữ tạo báo cáo đẩy file giao dịch merchant cho TCB Em cảm ơn ạ</t>
  </si>
  <si>
    <t>[OMD-LitePOS] - Tạo tài khoản và phân quyền read database LitePOS cho user "dataplatform_ingestion"</t>
  </si>
  <si>
    <t>2025-07-23T12:45:33.582+0700</t>
  </si>
  <si>
    <t>2025-07-23T14:26:57.228+0700</t>
  </si>
  <si>
    <t>DBA, OMD, litepos</t>
  </si>
  <si>
    <t>Dear các anh, Nhằm phục vụ cho mục đích kéo dữ liệu từ source 172.31.1.6(LitePOS) lên data platform prod, em cần xin tạp tài khoản dataplatform_ingestion ( nếu chưa có ) và phân quyền read các db sau: gcp project:  omd-pos-prod  instance : omd-pos-commerce (IP: 172.31.1.6)  DB : litepos_oms_prod, litepos_user_prod, litepos_pcm_prod Em xin cảm ơn,</t>
  </si>
  <si>
    <t>2025-07-23T10:41:07.477+0700</t>
  </si>
  <si>
    <t>2025-07-23T11:26:08.743+0700</t>
  </si>
  <si>
    <t>TMS đang thực hiện xóa data định kỳ, nhưng job xóa bị lỗi nên cần update status nên nhờ a/e dba support chạy script sql update, cụ thể như bên dưới update FNCL_QUE_T set STAT_ENU = 3 where QUE_ID in (8204);</t>
  </si>
  <si>
    <t>[OMC][GAMI][PS2][Prod] Hỗ trợ xuất báo cáo vé tuần cho campaign Spin to Win tuần 13</t>
  </si>
  <si>
    <t>2025-07-23T09:35:48.591+0700</t>
  </si>
  <si>
    <t>2025-07-23T09:36:04.785+0700</t>
  </si>
  <si>
    <t>Hỗ trợ xuất báo cáo vé tuần cho campaign Spin to Win tuần 13 Host:  172.31.4.75 Db:  promo_gamezone Query: SELECT SUM(claim_amount) FROM `rule_logs` WHERE campaign_id = 49 &amp;&amp; reward_type='TURN' &amp;&amp; `status` = 'SUCCESS';
SELECT COUNT(DISTINCT(user_id)) FROM `rule_logs` WHERE campaign_id = 49 &amp;&amp; reward_type='TURN' &amp;&amp; `status` = 'SUCCESS';  </t>
  </si>
  <si>
    <t>[OMC][MTP][PROD] Hỗ trợ update dữ liệu</t>
  </si>
  <si>
    <t>2025-07-23T09:00:51.848+0700</t>
  </si>
  <si>
    <t>2025-07-23T09:01:13.492+0700</t>
  </si>
  <si>
    <t>Dear anh  @Nguyễn Văn Dũng  , CR:    Nhờ a thực hiện update  bản ghi giúp em ạ, thông tin DB Postgres mtp_audience_management POSTGRES_HOST: 172.31.3.49
POSTGRES_PORT: "5432" Script: UPDATE public.segments SET segment_config = e'{
  "AND": [
    {
      "AND": [
        {
          "label_code": "ttcn_dob",
          "operator": "=",
          "value_expr": "DATE_FORMAT(CURRENT_DATE, \'%d-%m\')",
          "data_type": "STRING"
        }
      ]
    }
  ]
}' WHERE id = 226; Thanks.</t>
  </si>
  <si>
    <t xml:space="preserve">[SalesTools][Prod] Update dữ liệu conflict </t>
  </si>
  <si>
    <t>2025-07-22T18:14:42.587+0700</t>
  </si>
  <si>
    <t>2025-07-22T18:20:54.331+0700</t>
  </si>
  <si>
    <t>DB 1SEAL cần đánh dấu xoá một số dữ liệu tuyến đang gặp vấn đề trên production Thông tin database Instance:  https://console.cloud.google.com/sql/instances/main/overview?inv=1&amp;invt=AbqqDA&amp;project=vinid-integration-prod Database:  sales_tools SQL -- Kiểm tra dữ liệu prod
select g.name, gp.trade_name,  gp.merchant_code, gr.id, r.code from gts g 
   join gts_profiles gp on gp.gt_id = g.id 
   join gts_routes gr on gr.gt_id = g.id and gr.deleted_at is null
  join routes r on r.id = gr.route_id 
where r.deleted_at is not null and g.status = 'ACTIVE' and gp.merchant_code is not null ;
-- --&gt; Gồm 16 GTs nằm trong tuyến đã bị xoá -- Thực hiện xoá 16 gts đó khỏi tuyến không tồn tại
update gts_routes
set deleted_at = now(),
    updated_by = 'datpt8-conflict_deleted_route'
where id in (118025, 540400, 546873, 563132, 563309, 563317, 563323, 563448, 564973, 564983, 566135, 566369, 569859,
             570841, 571464, 608068)</t>
  </si>
  <si>
    <t>[VinIDPay] [non-PROD] [SMARTPOS] Script release SMARTPOS ngày 26/07/2025</t>
  </si>
  <si>
    <t>2025-07-22T18:07:39.024+0700</t>
  </si>
  <si>
    <t>2025-07-22T18:07:44.224+0700</t>
  </si>
  <si>
    <t xml:space="preserve">Hi anh Nhờ anh chạy các script sau giúp em trên: Stagging ngay sau khi approve Thông tin database: Stagging : tidb.int.onemount.dev:4000/vinpay_saas_tpay_staging CR:  </t>
  </si>
  <si>
    <t>[OMC][Kafka][NON-PROD] Hỗ trợ tạo kafka topic DB OLOYALTY</t>
  </si>
  <si>
    <t>2025-07-22T16:55:57.223+0700</t>
  </si>
  <si>
    <t>2025-07-22T16:56:24.151+0700</t>
  </si>
  <si>
    <t>Dear anh Linh, Enhance luồng Push Data for Earning transaction/events. Nhờ anh tạo kafka topic cho bảng sau: DB type:  Oracle IP:  10.255.128.90:1521 Tables: OLOYALTY.PS2_EARNING_ERROR_GROUP Em cảm ơn ạ.</t>
  </si>
  <si>
    <t>[OMC][GAMI][PS2][Prod] Hỗ trợ vận hành update thời gian CP Gami - STICKY_JUN challenge - TCB</t>
  </si>
  <si>
    <t>2025-07-22T16:22:18.548+0700</t>
  </si>
  <si>
    <t>2025-07-22T16:22:26.424+0700</t>
  </si>
  <si>
    <t>Hỗ trợ vận hành update thời gian CP Gami - STICKY_JUN challenge - TCB CP code CP ID Pool ID Thời gian kết thúc của CP và pool quà trong CP STICKY_JUN 38 184 31/07/2025 23:59:59 Theo CR của đội vận hành:    Host:  172.31.4.75 DB: promo_gamezone Query UPDATE `campaigns` SET `date_start` = '2025-07-31 23:59:59' WHERE `id` = 38; UPDATE `pools` SET `start_date` = '2025-07-31 23:59:59' WHERE id = 184 &amp;&amp; campaign_id = 38;</t>
  </si>
  <si>
    <t>[PROD] Smartpos Script onboard gán thiếu bị với VNVC</t>
  </si>
  <si>
    <t>2025-07-22T15:02:56.566+0700</t>
  </si>
  <si>
    <t>2025-07-22T15:03:02.993+0700</t>
  </si>
  <si>
    <t>Dear team DBA, để phục vụ việc gán thiếu bị cho khách hàng với VNVC nhờ team run script SQL  đính kèm phía dưới với thông tin cụ thể như sau: Thời gian chạy script: sau khi được approve Thông tin database  saas_tpay: mysql://pay-tidb.int.onemount.com:4000/saas_tpay UPDATE TCB_DEVICE
SET device_status = 'ACTIVE'
WHERE device_serial_number IN (
    'V9E0718997',
    'V9E0719000',
    'V9E0719006',
    'V9E0719002',
    'V9E0719003',
    'V9E0719014',
    'V9E0719005',
    'V9E0718918',
    'V9E0718490',
    'V9E0718491',
    'V9E0718492',
    'V9E0718493',
    'V9E0718494',
    'V9E0718495',
    'V9E0718776',
    'V9E0718777',
    'V9E0718778',
    'V9E0718779',
    'V9E0718780',
    'V9E0718781'
); INSERT INTO SMARTPOS_DEVICE_MAPPING (
    device_id, device_serial_number, merchant_code, store_code,
    terminal_code, tcb_card_merchant_id, tcb_card_store_id, tcb_card_terminal_id,
    tcb_qr_merchant_id, tcb_qr_store_id, tcb_qr_terminal_id, device_public_key,
    device_private_key, warranty_status, delivery_status, delivery_at,
    config_status, authen_key_reference, key_id, status,
    created_at, created_by, updated_at, updated_by,
    terminal_name, store_name, merchant_name, mid_tid_card,
    mid_tid_qr, address, unique_terminal_key, object_id,
    extra_data, partner_expiry_at
) VALUES
('SP_GINI_X990_V9E0718997', 'V9E0718997', 'NCCW4M5T', 'CH45AF2Q', 'QTTFMPYQM', '099999999999999', 'SID123456789', '28955559', 'MID123456789', 'SID123456789', 'TID123456789', '', '', null, null, null, null, '', null, 'ACTIVE', CURRENT_TIMESTAMP, 'dung.do1', null, null, 'MC_VVIP', 'MC_VVIP', 'MC_VVIP', '099999999999999-28955559', 'MID123456789-TID123456789', '19036716236019, P. Hoàng Văn Thụ, Q. Hoàng Mai, TP. Hà Nội', 'NCCW4M5T|CH45AF2Q|QTTFMPYQM', '17327', '{"maker_id":"39169c5f91904eb6baec4f123189ce2a","maker_email":"omqc123@techcombank.com.vn","checker_id":"39169c5f91904eb6baec4f123189ce2a","checker_email":"omqc123@techcombank.com.vn","approved_at":1745229171000}', null),
('SP_GINI_X990_V9E0719000', 'V9E0719000', 'NCCW4M5T', 'CH45AF2Q', 'QTTFMPYQM', '099999999999999', 'SID123456789', '28955559', 'MID123456789', 'SID123456789', 'TID123456789', '', '', null, null, null, null, '', null, 'ACTIVE', CURRENT_TIMESTAMP, 'dung.do1', null, null, 'MC_VVIP', 'MC_VVIP', 'MC_VVIP', '099999999999999-28955559', 'MID123456789-TID123456789', '19036716236019, P. Hoàng Văn Thụ, Q. Hoàng Mai, TP. Hà Nội', 'NCCW4M5T|CH45AF2Q|QTTFMPYQM', '17327', '{"maker_id":"39169c5f91904eb6baec4f123189ce2a","maker_email":"omqc123@techcombank.com.vn","checker_id":"39169c5f91904eb6baec4f123189ce2a","checker_email":"omqc123@techcombank.com.vn","approved_at":1745229171000}', null),
('SP_GINI_X990_V9E0719006', 'V9E0719006', 'NCCW4M5T', 'CH45AF2Q', 'QTTFMPYQM', '099999999999999', 'SID123456789', '28955559', 'MID123456789', 'SID123456789', 'TID123456789', '', '', null, null, null, null, '', null, 'ACTIVE', CURRENT_TIMESTAMP, 'dung.do1', null, null, 'MC_VVIP', 'MC_VVIP', 'MC_VVIP', '099999999999999-28955559', 'MID123456789-TID123456789', '19036716236019, P. Hoàng Văn Thụ, Q. Hoàng Mai, TP. Hà Nội', 'NCCW4M5T|CH45AF2Q|QTTFMPYQM', '17327', '{"maker_id":"39169c5f91904eb6baec4f123189ce2a","maker_email":"omqc123@techcombank.com.vn","checker_id":"39169c5f91904eb6baec4f123189ce2a","checker_email":"omqc123@techcombank.com.vn","approved_at":1745229171000}', null),
('SP_GINI_X990_V9E0719002', 'V9E0719002', 'NCCW4M5T', 'CH45AF2Q', 'QTTFMPYQM', '099999999999999', 'SID123456789', '28955559', 'MID123456789', 'SID123456789', 'TID123456789', '', '', null, null, null, null, '', null, 'ACTIVE', CURRENT_TIMESTAMP, 'dung.do1', null, null, 'MC_VVIP', 'MC_VVIP', 'MC_VVIP', '099999999999999-28955559', 'MID123456789-TID123456789', '19036716236019, P. Hoàng Văn Thụ, Q. Hoàng Mai, TP. Hà Nội', 'NCCW4M5T|CH45AF2Q|QTTFMPYQM', '17327', '{"maker_id":"39169c5f91904eb6baec4f123189ce2a","maker_email":"omqc123@techcombank.com.vn","checker_id":"39169c5f91904eb6baec4f123189ce2a","checker_email":"omqc123@techcombank.com.vn","approved_at":1745229171000}', null),
('SP_GINI_X990_V9E0719003', 'V9E0719003', 'NCCW4M5T', 'CH45AF2Q', 'QTTFMPYQM', '099999999999999', 'SID123456789', '28955559', 'MID123456789', 'SID123456789', 'TID123456789', '', '', null, null, null, null, '', null, 'ACTIVE', CURRENT_TIMESTAMP, 'dung.do1', null, null, 'MC_VVIP', 'MC_VVIP', 'MC_VVIP', '099999999999999-28955559', 'MID123456789-TID123456789', '19036716236019, P. Hoàng Văn Thụ, Q. Hoàng Mai, TP. Hà Nội', 'NCCW4M5T|CH45AF2Q|QTTFMPYQM', '17327', '{"maker_id":"39169c5f91904eb6baec4f123189ce2a","maker_email":"omqc123@techcombank.com.vn","checker_id":"39169c5f91904eb6baec4f123189ce2a","checker_email":"omqc123@techcombank.com.vn","approved_at":1745229171000}', null),
('SP_GINI_X990_V9E0719014', 'V9E0719014', 'NCCW4M5T', 'CH45AF2Q', 'QTTFMPYQM', '099999999999999', 'SID123456789', '28955559', 'MID123456789', 'SID123456789', 'TID123456789', '', '', null, null, null, null, '', null, 'ACTIVE', CURRENT_TIMESTAMP, 'dung.do1', null, null, 'MC_VVIP', 'MC_VVIP', 'MC_VVIP', '099999999999999-28955559', 'MID123456789-TID123456789', '19036716236019, P. Hoàng Văn Thụ, Q. Hoàng Mai, TP. Hà Nội', 'NCCW4M5T|CH45AF2Q|QTTFMPYQM', '17327', '{"maker_id":"39169c5f91904eb6baec4f123189ce2a","maker_email":"omqc123@techcombank.com.vn","checker_id":"39169c5f91904eb6baec4f123189ce2a","checker_email":"omqc123@techcombank.com.vn","approved_at":1745229171000}', null),
('SP_GINI_X990_V9E0719005', 'V9E0719005', 'NCCW4M5T', 'CH45AF2Q', 'QTTFMPYQM', '099999999999999', 'SID123456789', '28955559', 'MID123456789', 'SID123456789', 'TID123456789', '', '', null, null, null, null, '', null, 'ACTIVE', CURRENT_TIMESTAMP, 'dung.do1', null, null, 'MC_VVIP', 'MC_VVIP', 'MC_VVIP', '099999999999999-28955559', 'MID123456789-TID123456789', '19036716236019, P. Hoàng Văn Thụ, Q. Hoàng Mai, TP. Hà Nội', 'NCCW4M5T|CH45AF2Q|QTTFMPYQM', '17327', '{"maker_id":"39169c5f91904eb6baec4f123189ce2a","maker_email":"omqc123@techcombank.com.vn","checker_id":"39169c5f91904eb6baec4f123189ce2a","checker_email":"omqc123@techcombank.com.vn","approved_at":1745229171000}', null),
('SP_GINI_X990_V9E0718918', 'V9E0718918', 'NCCW4M5T', 'CH45AF2Q', 'QTTFMPYQM', '099999999999999', 'SID123456789', '28955559', 'MID123456789', 'SID123456789', 'TID123456789', '', '', null, null, null, null, '', null, 'ACTIVE', CURRENT_TIMESTAMP, 'dung.do1', null, null, 'MC_VVIP', 'MC_VVIP', 'MC_VVIP', '099999999999999-28955559', 'MID123456789-TID123456789', '19036716236019, P. Hoàng Văn Thụ, Q. Hoàng Mai, TP. Hà Nội', 'NCCW4M5T|CH45AF2Q|QTTFMPYQM', '17327', '{"maker_id":"39169c5f91904eb6baec4f123189ce2a","maker_email":"omqc123@techcombank.com.vn","checker_id":"39169c5f91904eb6baec4f123189ce2a","checker_email":"omqc123@techcombank.com.vn","approved_at":1745229171000}', null),
('SP_GINI_X990_V9E0718490', 'V9E0718490', 'NCCW4M5T', 'CH45AF2Q', 'QTTFMPYQM', '099999999999999', 'SID123456789', '28955559', 'MID123456789', 'SID123456789', 'TID123456789', '', '', null, null, null, null, '', null, 'ACTIVE', CURRENT_TIMESTAMP, 'dung.do1', null, null, 'MC_VVIP', 'MC_VVIP', 'MC_VVIP', '099999999999999-28955559', 'MID123456789-TID123456789', '19036716236019, P. Hoàng Văn Thụ, Q. Hoàng Mai, TP. Hà Nội', 'NCCW4M5T|CH45AF2Q|QTTFMPYQM', '17327', '{"maker_id":"39169c5f91904eb6baec4f123189ce2a","maker_email":"omqc123@techcombank.com.vn","checker_id":"39169c5f91904eb6baec4f123189ce2a","checker_email":"omqc123@techcombank.com.vn","approved_at":1745229171000}', null),
('SP_GINI_X990_V9E0718491', 'V9E0718491', 'NCCW4M5T', 'CH45AF2Q', 'QTTFMPYQM', '099999999999999', 'SID123456789', '28955559', 'MID123456789', 'SID123456789', 'TID123456789', '', '', null, null, null, null, '', null, 'ACTIVE', CURRENT_TIMESTAMP, 'dung.do1', null, null, 'MC_VVIP', 'MC_VVIP', 'MC_VVIP', '099999999999999-28955559', 'MID123456789-TID123456789', '19036716236019, P. Hoàng Văn Thụ, Q. Hoàng Mai, TP. Hà Nội', 'NCCW4M5T|CH45AF2Q|QTTFMPYQM', '17327', '{"maker_id":"39169c5f91904eb6baec4f123189ce2a","maker_email":"omqc123@techcombank.com.vn","checker_id":"39169c5f91904eb6baec4f123189ce2a","checker_email":"omqc123@techcombank.com.vn","approved_at":1745229171000}', null),
('SP_GINI_X990_V9E0718492', 'V9E0718492', 'NCCW4M5T', 'CH45AF2Q', 'QTTFMPYQM', '099999999999999', 'SID123456789', '28955559', 'MID123456789', 'SID123456789', 'TID123456789', '', '', null, null, null, null, '', null, 'ACTIVE', CURRENT_TIMESTAMP, 'dung.do1', null, null, 'MC_VVIP', 'MC_VVIP', 'MC_VVIP', '099999999999999-28955559', 'MID123456789-TID123456789', '19036716236019, P. Hoàng Văn Thụ, Q. Hoàng Mai, TP. Hà Nội', 'NCCW4M5T|CH45AF2Q|QTTFMPYQM', '17327', '{"maker_id":"39169c5f91904eb6baec4f123189ce2a","maker_email":"omqc123@techcombank.com.vn","checker_id":"39169c5f91904eb6baec4f123189ce2a","checker_email":"omqc123@techcombank.com.vn","approved_at":1745229171000}', null),
('SP_GINI_X990_V9E0718493', 'V9E0718493', 'NCCW4M5T', 'CH45AF2Q', 'QTTFMPYQM', '099999999999999', 'SID123456789', '28955559', 'MID123456789', 'SID123456789', 'TID123456789', '', '', null, null, null, null, '', null, 'ACTIVE', CURRENT_TIMESTAMP, 'dung.do1', null, null, 'MC_VVIP', 'MC_VVIP', 'MC_VVIP', '099999999999999-28955559', 'MID123456789-TID123456789', '19036716236019, P. Hoàng Văn Thụ, Q. Hoàng Mai, TP. Hà Nội', 'NCCW4M5T|CH45AF2Q|QTTFMPYQM', '17327', '{"maker_id":"39169c5f91904eb6baec4f123189ce2a","maker_email":"omqc123@techcombank.com.vn","checker_id":"39169c5f91904eb6baec4f123189ce2a","checker_email":"omqc123@techcombank.com.vn","approved_at":1745229171000}', null),
('SP_GINI_X990_V9E0718494', 'V9E0718494', 'NCCW4M5T', 'CH45AF2Q', 'QTTFMPYQM', '099999999999999', 'SID123456789', '28955559', 'MID123456789', 'SID123456789', 'TID123456789', '', '', null, null, null, null, '', null, 'ACTIVE', CURRENT_TIMESTAMP, 'dung.do1', null, null, 'MC_VVIP', 'MC_VVIP', 'MC_VVIP', '099999999999999-28955559', 'MID123456789-TID123456789', '19036716236019, P. Hoàng Văn Thụ, Q. Hoàng Mai, TP. Hà Nội', 'NCCW4M5T|CH45AF2Q|QTTFMPYQM', '17327', '{"maker_id":"39169c5f91904eb6baec4f123189ce2a","maker_email":"omqc123@techcombank.com.vn","checker_id":"39169c5f91904eb6baec4f123189ce2a","checker_email":"omqc123@techcombank.com.vn","approved_at":1745229171000}', null),
('SP_GINI_X990_V9E0718495', 'V9E0718495', 'NCCW4M5T', 'CH45AF2Q', 'QTTFMPYQM', '099999999999999', 'SID123456789', '28955559', 'MID123456789', 'SID123456789', 'TID123456789', '', '', null, null, null, null, '', null, 'ACTIVE', CURRENT_TIMESTAMP, 'dung.do1', null, null, 'MC_VVIP', 'MC_VVIP', 'MC_VVIP', '099999999999999-28955559', 'MID123456789-TID123456789', '19036716236019, P. Hoàng Văn Thụ, Q. Hoàng Mai, TP. Hà Nội', 'NCCW4M5T|CH45AF2Q|QTTFMPYQM', '17327', '{"maker_id":"39169c5f91904eb6baec4f123189ce2a","maker_email":"omqc123@techcombank.com.vn","checker_id":"39169c5f91904eb6baec4f123189ce2a","checker_email":"omqc123@techcombank.com.vn","approved_at":1745229171000}', null),
('SP_GINI_X990_V9E0718776', 'V9E0718776', 'NCCW4M5T', 'CH45AF2Q', 'QTTFMPYQM', '099999999999999', 'SID123456789', '28955559', 'MID123456789', 'SID123456789', 'TID123456789', '', '', null, null, null, null, '', null, 'ACTIVE', CURRENT_TIMESTAMP, 'dung.do1', null, null, 'MC_VVIP', 'MC_VVIP', 'MC_VVIP', '099999999999999-28955559', 'MID123456789-TID123456789', '19036716236019, P. Hoàng Văn Thụ, Q. Hoàng Mai, TP. Hà Nội', 'NCCW4M5T|CH45AF2Q|QTTFMPYQM', '17327', '{"maker_id":"39169c5f91904eb6baec4f123189ce2a","maker_email":"omqc123@techcombank.com.vn","checker_id":"39169c5f91904eb6baec4f123189ce2a","checker_email":"omqc123@techcombank.com.vn","approved_at":1745229171000}', null),
('SP_GINI_X990_V9E0718777', 'V9E0718777', 'NCCW4M5T', 'CH45AF2Q', 'QTTFMPYQM', '099999999999999', 'SID123456789', '28955559', 'MID123456789', 'SID123456789', 'TID123456789', '', '', null, null, null, null, '', null, 'ACTIVE', CURRENT_TIMESTAMP, 'dung.do1', null, null, 'MC_VVIP', 'MC_VVIP', 'MC_VVIP', '099999999999999-28955559', 'MID123456789-TID123456789', '19036716236019, P. Hoàng Văn Thụ, Q. Hoàng Mai, TP. Hà Nội', 'NCCW4M5T|CH45AF2Q|QTTFMPYQM', '17327', '{"maker_id":"39169c5f91904eb6baec4f123189ce2a","maker_email":"omqc123@techcombank.com.vn","checker_id":"39169c5f91904eb6baec4f123189ce2a","checker_email":"omqc123@techcombank.com.vn","approved_at":1745229171000}', null),
('SP_GINI_X990_V9E0718778', 'V9E0718778', 'NCCW4M5T', 'CH45AF2Q', 'QTTFMPYQM', '099999999999999', 'SID123456789', '28955559', 'MID123456789', 'SID123456789', 'TID123456789', '', '', null, null, null, null, '', null, 'ACTIVE', CURRENT_TIMESTAMP, 'dung.do1', null, null, 'MC_VVIP', 'MC_VVIP', 'MC_VVIP', '099999999999999-28955559', 'MID123456789-TID123456789', '19036716236019, P. Hoàng Văn Thụ, Q. Hoàng Mai, TP. Hà Nội', 'NCCW4M5T|CH45AF2Q|QTTFMPYQM', '17327', '{"maker_id":"39169c5f91904eb6baec4f123189ce2a","maker_email":"omqc123@techcombank.com.vn","checker_id":"39169c5f91904eb6baec4f123189ce2a","checker_email":"omqc123@techcombank.com.vn","approved_at":1745229171000}', null),
('SP_GINI_X990_V9E0718779', 'V9E0718779', 'NCCW4M5T', 'CH45AF2Q', 'QTTFMPYQM', '099999999999999', 'SID123456789', '28955559', 'MID123456789', 'SID123456789', 'TID123456789', '', '', null, null, null, null, '', null, 'ACTIVE', CURRENT_TIMESTAMP, 'dung.do1', null, null, 'MC_VVIP', 'MC_VVIP', 'MC_VVIP', '099999999999999-28955559', 'MID123456789-TID123456789', '19036716236019, P. Hoàng Văn Thụ, Q. Hoàng Mai, TP. Hà Nội', 'NCCW4M5T|CH45AF2Q|QTTFMPYQM', '17327', '{"maker_id":"39169c5f91904eb6baec4f123189ce2a","maker_email":"omqc123@techcombank.com.vn","checker_id":"39169c5f91904eb6baec4f123189ce2a","checker_email":"omqc123@techcombank.com.vn","approved_at":1745229171000}', null),
('SP_GINI_X990_V9E0718780', 'V9E0718780', 'NCCW4M5T', 'CH45AF2Q', 'QTTFMPYQM', '099999999999999', 'SID123456789', '28955559', 'MID123456789', 'SID123456789', 'TID123456789', '', '', null, null, null, null, '', null, 'ACTIVE', CURRENT_TIMESTAMP, 'dung.do1', null, null, 'MC_VVIP', 'MC_VVIP', 'MC_VVIP', '099999999999999-28955559', 'MID123456789-TID123456789', '19036716236019, P. Hoàng Văn Thụ, Q. Hoàng Mai, TP. Hà Nội', 'NCCW4M5T|CH45AF2Q|QTTFMPYQM', '17327', '{"maker_id":"39169c5f91904eb6baec4f123189ce2a","maker_email":"omqc123@techcombank.com.vn","checker_id":"39169c5f91904eb6baec4f123189ce2a","checker_email":"omqc123@techcombank.com.vn","approved_at":1745229171000}', null),
('SP_GINI_X990_V9E0718781', 'V9E0718781', 'NCCW4M5T', 'CH45AF2Q', 'QTTFMPYQM', '099999999999999', 'SID123456789', '28955559', 'MID123456789', 'SID123456789', 'TID123456789', '', '', null, null, null, null, '', null, 'ACTIVE', CURRENT_TIMESTAMP, 'dung.do1', null, null, 'MC_VVIP', 'MC_VVIP', 'MC_VVIP', '099999999999999-28955559', 'MID123456789-TID123456789', '19036716236019, P. Hoàng Văn Thụ, Q. Hoàng Mai, TP. Hà Nội', 'NCCW4M5T|CH45AF2Q|QTTFMPYQM', '17327', '{"maker_id":"39169c5f91904eb6baec4f123189ce2a","maker_email":"omqc123@techcombank.com.vn","checker_id":"39169c5f91904eb6baec4f123189ce2a","checker_email":"omqc123@techcombank.com.vn","approved_at":1745229171000}', null);</t>
  </si>
  <si>
    <t>2025-07-22T14:38:22.498+0700</t>
  </si>
  <si>
    <t>2025-07-22T14:38:27.237+0700</t>
  </si>
  <si>
    <t>Dear anh  @Nguyễn Văn Dũng  , Release plan :    Nhờ a thực hiện insert bản ghi giúp em ạ, thông tin DB Postgres mtp_audience_management POSTGRES_HOST: 172.31.3.49
POSTGRES_PORT: "5432" Script:  INSERT INTO segments (id, data_source_id, type, status, description, hash, level_1, level_2, level_3, level_4, segment_config, created_at, updated_at, updated_by, created_by, upload_gcs_path, business_unit_id, size, share_type, shared_by) VALUES (297, 2, 'STANDARD', 'ACTIVE', 'Khách hàng có ngày sinh nhật là ngày hiện tại', '9aca72e2bc5d06c787eaa0822621c69c9822dd64662ee0994e4cdb542ee8f08a', 'Nhân khẩu học', 'Sinh nhật', 'Khách hàng sinh nhật ngày hôm nay', null, e'{
  "AND": [
    {
      "AND": [
        {
          "label_code": "ttcn_dob",
          "operator": "=",
          "value_expr": "DATE_FORMAT(CURRENT_DATE, \'%m-%d\')",
          "data_type": "STRING"
        }
      ]
    }
  ]
}', '2025-07-14 08:27:29.211190', '2025-07-14 08:27:29.211190', null, null, null, null, null, null, null); Thanks.</t>
  </si>
  <si>
    <t xml:space="preserve">[VCM]  Migrate for golive ML &amp; Scan And Pay </t>
  </si>
  <si>
    <t>2025-07-22T12:59:51.212+0700</t>
  </si>
  <si>
    <t>2025-07-22T18:13:29.077+0700</t>
  </si>
  <si>
    <t>Dear DBA Team, Để chuẩn bị cho golive vào ngày 23/07/2025. Nhờ team DBA hỗ trợ chạy script migrate bên dưới: Thời gian chạy:  22/7/2025 Thông tin Database và script chi tiết: 1.Product: IP: 172.31.1.41
Databse Name: vincart_mm_product CREATE TABLE IF NOT EXISTS `offsite_voucher_histories`
(
    `id`                     bigint(20) unsigned NOT NULL AUTO_INCREMENT,
    `request_id`             varchar(63)         NOT NULL,
    `offsite_voucher_status` varchar(15)         NOT NULL,
    `revoke_voucher_status`  varchar(15)         NOT NULL,
    `config`                 text                NOT NULL,
    `created_at`             datetime            NOT NULL DEFAULT CURRENT_TIMESTAMP,
    `updated_at`             datetime            NOT NULL DEFAULT CURRENT_TIMESTAMP,
    PRIMARY KEY (`id`),
    UNIQUE KEY `request_id` (`request_id`)
);
create table if not exists terminate_voucher_retry_histories
(
    id            bigint auto_increment primary key  not null,
    request_id    varchar(255)                       not null,
    batch_index   int                                not null,
    attempt       int                                not null,
    is_alerted    tinyint                            null,
    vouchers      text                               not null,
    error_code    varchar(50)                        null,
    error_message text                               null,
    created_at    datetime default CURRENT_TIMESTAMP not null,
    updated_at    datetime default CURRENT_TIMESTAMP not null on update CURRENT_TIMESTAMP
);
create index terminate_voucher_retry_histories_request_id_index
    on terminate_voucher_retry_histories (request_id);
create index terminate_voucher_retry_histories_created_at_index
    on terminate_voucher_retry_histories (created_at);
insert into attributes (name, status)
values
    ('merchant_campaign_code', 'ACTIVE'),
    ('merchant_scheme_code', 'ACTIVE');
-- 
ALTER TABLE voucher_init_displays ADD COLUMN display_from bigint;
ALTER TABLE voucher_init_displays ADD COLUMN display_to bigint;
ALTER TABLE voucher_init_displays ADD COLUMN meta_data JSON;
-- 
insert into attributes (name, status)
values
    ('discount_item', 'ACTIVE'); 2. Data Analytics: Thông tin database: IP: 172.31.4.10
Databse Name: ecom_data_analytics Script: ALTER TABLE voucher_init_displays ADD COLUMN meta_data JSON; 3.Merchant Sevice Thông tin database: IP: 172.31.1.41
Databse Name: vincart_mm_merchant Script: ALTER TABLE merchants
    ADD COLUMN `reference_code` varchar(255) DEFAULT NULL;
CREATE INDEX merchants_reference_code_IDX USING BTREE ON vincart_mm_merchant.merchants (reference_code);
CREATE TABLE IF NOT EXISTS merchant_unified_mapping (
    `id`                        INT             NOT NULL AUTO_INCREMENT PRIMARY KEY,
    `created_at`                DATETIME        NOT NULL DEFAULT CURRENT_TIMESTAMP,
    `updated_at`                DATETIME        NOT NULL DEFAULT CURRENT_TIMESTAMP ON UPDATE CURRENT_TIMESTAMP,
    `merchant_code`             VARCHAR (100)   NOT NULL,
    `store_code`                VARCHAR (100)    NULL,
    `mid`                       VARCHAR (100)    NOT NULL,
    `sid`                       VARCHAR (100)    NOT NULL
);
CREATE INDEX merchant_unified_mapping_mid_IDX USING BTREE ON vincart_mm_merchant.merchant_unified_mapping (mid,sid);</t>
  </si>
  <si>
    <t>2025-07-21T14:32:00.546+0700</t>
  </si>
  <si>
    <t>2025-07-21T14:32:06.956+0700</t>
  </si>
  <si>
    <t xml:space="preserve">Hi a  @Nguyễn Văn Dũng , nhờ a chạy giúp e script bên dưới với ạ Thông tin database: 172.31.1.133:3306/bo UPDATE SAP_SO_MAP
SET VALUE_TYPE = 'O'
WHERE LEVEL = 'P'
  AND SAP_FIELD_NAME IN ('EMAIL', 'SF_STREET'); Ticket CR:   </t>
  </si>
  <si>
    <t>[Merchant-OM] Hỗ trợ import dữ liệu bảng `tcb_business_line`, `tcb_business_type`</t>
  </si>
  <si>
    <t>2025-07-21T12:38:34.180+0700</t>
  </si>
  <si>
    <t>2025-07-21T14:46:54.981+0700</t>
  </si>
  <si>
    <t>Dear DBA team, Để chuẩn bị dữ liệu cho lần golive 26/7 sắp tới, nhờ team import dữ liệu từ 02 file đính kèm ạ. Thông tin database https://console.cloud.google.com/sql/instances/main/overview?inv=1&amp;invt=Abqw_w&amp;project=vinid-merchant-prod DB_MYSQL_HOST=172.31.1.44
DB_MYSQL_DATABASE=merchant_service Dữ liệu Import (append) theo thứ tự Import file  01-tpay_business_line.tsv  → Bảng  tcb_business_line Import file  02-tpay_business_type.tsv  → bảng  tcb_business_type</t>
  </si>
  <si>
    <t>2025-07-21T12:25:39.418+0700</t>
  </si>
  <si>
    <t>2025-07-21T14:46:58.943+0700</t>
  </si>
  <si>
    <t>[Upay][Prod] migrate instance reconciliation project vinid-incubator-prod về instance mới project vinpay-prod</t>
  </si>
  <si>
    <t>2025-07-21T12:15:18.139+0700</t>
  </si>
  <si>
    <t>2026-01-02T08:44:20.317+0700</t>
  </si>
  <si>
    <t>Migrate instance  reconciliation  project vinid-incubator-prod về instance mới project vinpay-prod</t>
  </si>
  <si>
    <t>[Upay][Prod] Gom instance upay về cùng 1 instance Upay main</t>
  </si>
  <si>
    <t>2025-07-21T12:12:25.091+0700</t>
  </si>
  <si>
    <t>2026-01-02T08:44:36.866+0700</t>
  </si>
  <si>
    <t>Gom các instance sau về instance Upay main project vinpay-prod project vinpay-prod instance:  high-performance ,  low-performance ,  onehub project om-fs-core-prod instance:  fs-core-prod</t>
  </si>
  <si>
    <t>[Upay][Prod] Gom instance upay về cùng 1 instance</t>
  </si>
  <si>
    <t>2025-07-21T12:10:53.274+0700</t>
  </si>
  <si>
    <t>2026-01-02T08:45:01.444+0700</t>
  </si>
  <si>
    <t>Gom instance upay về cùng 1 instance</t>
  </si>
  <si>
    <t xml:space="preserve">[OMC][GAMI][PS2][Prod] Hỗ trợ xuất báo cáo báo cáo campaign phục vụ đi comm khách hàng </t>
  </si>
  <si>
    <t>2025-07-21T10:57:40.562+0700</t>
  </si>
  <si>
    <t>2025-07-21T10:57:49.894+0700</t>
  </si>
  <si>
    <t>Hỗ trợ xuất báo cáo báo cáo campaign phục vụ đi comm khách hàng. Host:  172.31.4.75 Db:  promo_gamezone Query:  SELECT DISTINCT customer_id FROM `rule_logs` WHERE campaign_id='11' &amp;&amp; reward_type='TURN'; SELECT DISTINCT customer_id FROM `rule_logs` WHERE campaign_id='13' &amp;&amp; reward_type='TURN'; SELECT DISTINCT customer_id FROM `rule_logs` WHERE campaign_id='14' &amp;&amp; reward_type='TURN'; SELECT DISTINCT customer_id FROM `rule_logs` WHERE campaign_id='20' &amp;&amp; reward_type='TURN';</t>
  </si>
  <si>
    <t xml:space="preserve">Xin tạo view trích xuất thông tin từ db rims và quyền truy cập view này </t>
  </si>
  <si>
    <t>2025-07-21T10:37:44.053+0700</t>
  </si>
  <si>
    <t>2025-07-21T16:05:01.051+0700</t>
  </si>
  <si>
    <t xml:space="preserve">Do thông tin trích xuất được từ DB đã được cấp quyền trong ticket    không đầy đủ, chưa đáp ứng được nhu cầu của CBP nên CBP đã làm việc lại với Sao Mộc và và được SM tư vấn tạo các view như sau    trên  Host: 172.31.4.18 port: 1433 db: rimsprod và cấp quyền read cho user “co_broker_read” với các view này </t>
  </si>
  <si>
    <t>2025-07-21T09:53:07.102+0700</t>
  </si>
  <si>
    <t>2025-07-21T10:36:43.126+0700</t>
  </si>
  <si>
    <t>TMS đang thực hiện xóa data định kỳ, nhưng job xóa bị lỗi nên cần update status và count data để tạo job khác, nên nhờ a/e dba support chạy script sql update, cụ thể như bên dưới Update  update FNCL_QUE_T set STAT_ENU = 3 where QUE_ID in  (8144); Count Purge Audit Data
	AUDT_CTL_T
		select count(*) 
		from AUDT_CTL_T  
        where AUDT_SYS_DTT &lt;= to_date('2024-05-23 00:00:00' , 'YYYY-MM-DD HH24:MI:SS');
	AUDT_CHRG_DETL_T
		select count(*) 
		from AUDT_CHRG_DETL_T  
        where AUDT_SYS_DTT &lt;= to_date('2024-05-23 00:00:00' , 'YYYY-MM-DD HH24:MI:SS');
	AUDT_CHRG_OVRD_T
	    select count(*) 
		from AUDT_CHRG_OVRD_T  
        where AUDT_SYS_DTT &lt;= to_date('2024-05-23 00:00:00' , 'YYYY-MM-DD HH24:MI:SS');
	AUDT_EXTL_COST_T
		select count(*) 
		from AUDT_EXTL_COST_T  
        where AUDT_SYS_DTT &lt;= to_date('2024-05-23 00:00:00' , 'YYYY-MM-DD HH24:MI:SS');
	AUDT_LD_LEG_T
		select count(*) 
		from AUDT_LD_LEG_T  
        where AUDT_SYS_DTT &lt;= to_date('2024-05-23 00:00:00' , 'YYYY-MM-DD HH24:MI:SS');
	AUDT_LD_LEG_SCHD_T
		select count(*) 
		from AUDT_LD_LEG_SCHD_T  
        where AUDT_SYS_DTT &lt;= to_date('2024-05-23 00:00:00' , 'YYYY-MM-DD HH24:MI:SS');
	AUDT_RSRC_T
        select count(*) 
        from AUDT_RSRC_T  
        where AUDT_SYS_DTT &lt;= to_date('2024-05-23 00:00:00' , 'YYYY-MM-DD HH24:MI:SS');
	AUDT_LD_LEG_DETL_T
        select count(*) 
        from AUDT_LD_LEG_DETL_T  
        where AUDT_SYS_DTT &lt;= to_date('2024-05-23 00:00:00' , 'YYYY-MM-DD HH24:MI:SS');
	AUDT_SHPM_T
        select count(*) 
        from AUDT_SHPM_T  
        where AUDT_SYS_DTT &lt;= to_date('2024-05-23 00:00:00' , 'YYYY-MM-DD HH24:MI:SS');
	AUDT_STOP_T
        select count(*) 
        from AUDT_STOP_T  
        where AUDT_SYS_DTT &lt;= to_date('2024-05-23 00:00:00' , 'YYYY-MM-DD HH24:MI:SS');
	AUDT_TRIP_T
        select count(*) 
        from AUDT_TRIP_T  
        where AUDT_SYS_DTT &lt;= to_date('2024-05-23 00:00:00' , 'YYYY-MM-DD HH24:MI:SS');</t>
  </si>
  <si>
    <t>[VINPAY][PROD] Script Onboard QR247 cho Thadico</t>
  </si>
  <si>
    <t>2025-07-21T09:35:12.443+0700</t>
  </si>
  <si>
    <t>2025-07-21T09:35:20.204+0700</t>
  </si>
  <si>
    <t>Dear team DBA, Team dự án có các script sau cần chạy, nhờ các anh chạy các script theo thông tin bên dưới giúp em ạ Onboard MC QR247 Thadico Thông tin DB:  pay-tidb.int.onemount.com:4000/saas_tpay INSERT INTO PARTNER (client_id, name, public_key, enable, merchant_code)
VALUES ('VRXndJWrxEOtIeZYEiLaDxMbAyVdhFXn', 'Thadico', '-----BEGIN PUBLIC KEY-----
MIIBIjANBgkqhkiG9w0BAQEFAAOCAQ8AMIIBCgKCAQEAskzoU2sBxiizzntl7Ure
9xPfF15xldzYYhEshiv0Z1wmhKFWDPTOtJ2lfYGflPLaD9pg8SGgjw4qvBNgis5/
Llpu689H+QTNyMVprvBkPkyJmRsfskc4W8tZq81oWAVUCTCTzTqnJ+ZSpdX8m1J0
jcimw6phjRfw9fYPDXCTG8GV/bN6SfnHjlfpfwbM9AGQfPI0S8ThevaLRj5OFkBY
smxgyybRe8OFrKomDk1gXPOGoyIL+1uDGxdLnlSlIP6EKidlK6pY3min9ukUamuY
I5BQemYjvetUBPpriZMLkDElZc919+pCUNe7QoZviF+oGR/Vou5DnJn5PxDdFVdL
HQIDAQAB
-----END PUBLIC KEY-----', 1, 'SEMC'),</t>
  </si>
  <si>
    <t>[PROD] Tác động database saas_tpay</t>
  </si>
  <si>
    <t>2025-07-21T09:27:37.548+0700</t>
  </si>
  <si>
    <t>2025-07-21T09:27:46.040+0700</t>
  </si>
  <si>
    <t>Dear team, nhờ team chạy script theo mô tả  dưới đây ở môi trường PRODUCTION theo thông tin dưới đây ạ: Thời gian chạy script: Vào lúc 23h59p ngày 19/07/2025 (0h00p ngày 20/07/2025 - tối thứ 7 rạng sáng Chủ nhật) - Khi team thông báo  Thông tin database saas_tpay: mysql://pay-tidb.int.onemount.com:4000/saas_tpay Script tương ứng insert into SYSTEM_CONFIGURATION (SYSTEM_PARAM_CODE, SYSTEM_PARAM_NAME, SYSTEM_PARAM_VALUE, IS_ACTIVE, CREATED_DATE)
    value ('SMARTPOS_DEVICE_CONTRACT', 'SMARTPOS_DEVICE_CONTRACT',
           '[{"code":"UPDATED","name":"Đã cập nhật"},{"code":"NOT_UPDATED","name":"Chưa cập nhật"}]', 1, now()); CREATE TABLE SMARTPOS_DEVICE_FILE
(
    id                   BIGINT NOT NULL AUTO_INCREMENT PRIMARY KEY,
    device_id            VARCHAR(255),
    device_serial_number VARCHAR(100),
    status               VARCHAR(32),
    file_code            BIGINT,
    type                 VARCHAR(128),
    uri                  TEXT,
    link                 TEXT,
    created_by           VARCHAR(128),
    created_at           DATETIME NOT NULL DEFAULT CURRENT_TIMESTAMP,
    updated_at           DATETIME NOT NULL DEFAULT CURRENT_TIMESTAMP
);</t>
  </si>
  <si>
    <t>[Vinpay][Prod][Softpos] Cập nhật cấu hình COT Void giao dịch SoftPOS</t>
  </si>
  <si>
    <t>2025-07-20T15:59:06.376+0700</t>
  </si>
  <si>
    <t>2025-07-20T15:59:35.591+0700</t>
  </si>
  <si>
    <t>Dear team, Nhờ các anh chạy script bên dưới để cập nhật off fuction void giao dịch SoftPOS, script chạy luôn ngay khi được approve ạ. UPDATE SYSTEM_CONFIGURATION SET system_param_value='00:00:01' WHERE system_param_code='SOFTPOS_CARD_VOID_DOMESTIC_CARD_CUTOFF_TIME';
UPDATE SYSTEM_CONFIGURATION SET system_param_value='00:00:01' WHERE system_param_code='SOFTPOS_CARD_VOID_INTERNATIONAL_CARD_CUTOFF_TIME';</t>
  </si>
  <si>
    <t>2025-07-19T20:46:08.059+0700</t>
  </si>
  <si>
    <t>2025-07-19T21:25:16.936+0700</t>
  </si>
  <si>
    <t>[VINPAY][nonprod]Thực hiện giảm cấu hình DB oracle EWALLET nonprod để save cost</t>
  </si>
  <si>
    <t>2025-07-19T12:22:55.810+0700</t>
  </si>
  <si>
    <t>2025-07-19T12:23:18.027+0700</t>
  </si>
  <si>
    <t>Thực hiện giảm cấu hình EWALLET nonprod https://console.cloud.google.com/compute/instancesDetail/zones/asia-east1-b/instances/oracle-19c?project=vinpay-nonprod&amp;rapt=AEjHL4Ouq_uJgiYVFWH_DllPLoHw9W93zU3N0E6tNNbdQ3CkYoM2EZUct7qqRx2YOSzNzRih4UQ2ktPgr9hl8EhDlVvONGUvfllOsWFtANu_v8c1OAXngL4&amp;inv=1&amp;invt=Ab3JOA&amp;tab=monitoring&amp;pageState=("timeRange":("duration":"PT1H")) Từ 2 vCPU 8GB RAM xuống 2 vCPU (minimum) 4GB RAM SGA từ 3GB về 1.5GB PGA từ 1GB về 300MB alter system set sga_max_size=1610612736 scope=spfile; alter system set sga_target=1610612736 scope=spfile; ALTER SYSTEM SET pga_aggregate_target=357913941 scope=spfile;</t>
  </si>
  <si>
    <t>[VINPAY][PROD]Thực hiện giảm cấu hình DB oracle EWALLET để save cost</t>
  </si>
  <si>
    <t>2025-07-19T11:45:00.827+0700</t>
  </si>
  <si>
    <t>2025-07-21T09:15:56.085+0700</t>
  </si>
  <si>
    <t xml:space="preserve">Thực hiện giảm cấu hình DB oracle EWALLET để save cost DBA thực hiện giảm cấu hình VM Oracle DB EWALLET: 10.255.24.152    ewallet-oracle-19c-primary: đang 8 vCPU 64GB RAM, giảm 2 vCPU 8GB RAM 10.255.24.77  ewallet-oracle-19c-standby: đang 2 vCPU 8GB RAM =&gt; thực hiện poweroff VM để tiết kiệm chi phí Thời gian thực hiện:  24h 19/7/25 CR thực hiện:  </t>
  </si>
  <si>
    <t>[Merchant-OM] Hỗ trợ cập nhật dữ liệu merchant</t>
  </si>
  <si>
    <t>2025-07-19T11:22:35.014+0700</t>
  </si>
  <si>
    <t>2025-07-19T11:25:10.158+0700</t>
  </si>
  <si>
    <t>Dear team, Do OPS chưa hỗ trợ sửa dữ liệu, nên nhờ team chạy giúp câu lệnh bên dưới để cập nhật lại cho đúng ạ. Thông tin database https://console.cloud.google.com/sql/instances/main/overview?inv=1&amp;invt=Abqw_w&amp;project=vinid-merchant-prod DB_MYSQL_HOST=172.31.1.44
DB_MYSQL_DATABASE=merchant_service Câu lệnh UPDATE
	`address`
SET
	`updated_at` = NOW(),
	`verification_status` = 'ACTIVE',
	`updated_by` = 'hungdh4'
WHERE
	`id` IN (58247);</t>
  </si>
  <si>
    <t>[OMC][MTP] Clear dữ liệu TiDB OMC tháng 05/2025</t>
  </si>
  <si>
    <t>2025-07-18T21:54:24.094+0700</t>
  </si>
  <si>
    <t>2025-07-18T23:00:13.473+0700</t>
  </si>
  <si>
    <t>Dear anh  @Trần Trương Dương  , nhờ anh chạy giúp em script sau: -- OMC
ALTER TABLE omc_mtp_tracking_events.mtp_tracking_events_omc DROP PARTITION p20250501;
ALTER TABLE omc_mtp_tracking_events.mtp_tracking_events_omc DROP PARTITION p20250502;
ALTER TABLE omc_mtp_tracking_events.mtp_tracking_events_context_omc DROP PARTITION p20250402;
ALTER TABLE omc_mtp_tracking_events.mtp_tracking_events_context_omc DROP PARTITION p20250501;
ALTER TABLE omc_mtp_tracking_events.mtp_tracking_events_context_omc DROP PARTITION p20250502;
ALTER TABLE omc_mtp_tracking_events.mtp_tracking_event_sessions DROP PARTITION p2025_05;
ALTER TABLE omc_mtp_martech_activation.mtp_ads_events DROP PARTITION p2025_05;
ALTER TABLE omc_mtp_martech_activation.mtp_push_events DROP PARTITION p2025_05;
ALTER TABLE omc_mtp_martech_activation.mtp_tracking_email_events DROP PARTITION p2025_05;
ALTER TABLE omc_mtp_martech_activation.mtp_tracking_email_notifications DROP PARTITION p2025_05;
ALTER TABLE omc_mtp_martech_activation.mtp_tracking_fcm_messages DROP PARTITION p2025_05;
ALTER TABLE omc_mtp_martech_activation.mtp_tracking_push_notifications DROP PARTITION p2025_05;
-- OMRE
ALTER TABLE omre_mtp_tracking_events.mtp_tracking_events_omre drop partition p20250501;
ALTER TABLE omre_mtp_tracking_events.mtp_tracking_events_omre drop partition p20250502;
ALTER TABLE omre_mtp_tracking_events.mtp_tracking_events_context_omre DROP PARTITION p20250402;
ALTER TABLE omre_mtp_tracking_events.mtp_tracking_events_context_omre DROP PARTITION p20250501;
ALTER TABLE omre_mtp_tracking_events.mtp_tracking_events_context_omre DROP PARTITION p20250502; Best regards Dinh Quang Nguyen</t>
  </si>
  <si>
    <t>[OMC][Discount][Prod] Dời DB Discount từ cụm cũ sang cụm mới phục vụ cho Merchant Loyalty của TCB</t>
  </si>
  <si>
    <t>2025-07-18T18:09:56.185+0700</t>
  </si>
  <si>
    <t>2025-07-24T09:24:54.969+0700</t>
  </si>
  <si>
    <t>Dời DB Discount từ cụm cũ sang cụm mới phục vụ cho Merchant Loyalty của TCB. Thực hiện copy toàn bộ scheme, data, acc của DB sau: Cụm DB cũ:  https://console.cloud.google.com/sql/instances/main/overview?inv=1&amp;invt=Ab3EWA&amp;project=vinid-gamification-prod Cụm DB mới:  https://console.cloud.google.com/sql/instances/discount/overview?inv=1&amp;invt=Ab3DaQ&amp;project=vinid-loyalty-prod Thực hiện trên 2 DB sau: discount_service budget_service DB nguồn (cũ) project: vinid-gamification-prod instance: main Master IP: 172.31.1.14 https://console.cloud.google.com/sql/instances/main/overview?inv=1&amp;invt=Ab3E0A&amp;project=vinid-gamification-prod DB name: discount_service budget_service DB đích (mới) project: vinid-loyalty-prod instance: discount Master IP: 172.31.4.99 https://console.cloud.google.com/sql/instances/discount/overview?inv=1&amp;invt=Ab3DaQ&amp;project=vinid-loyalty-prod DB name: discount_service budget_service</t>
  </si>
  <si>
    <t>[PSS][DB][Security] check list security cassandra</t>
  </si>
  <si>
    <t>2025-07-18T15:10:55.839+0700</t>
  </si>
  <si>
    <t>2025-07-18T15:42:14.958+0700</t>
  </si>
  <si>
    <t>Security factors status show evidence description  Enable disk encryption  done yêu cầu cmc cung cấp Bật audit log done Đổi mật khẩu mặc định các tài khoản done Đã chủ động đặt/đổi mật khẩu ngay từ khi cài đặt Thiết lập chính sách mật khẩu an toàn done Chủ động tạo password phức tạp, đảm bảo password của user có độ dài trên 15 kí tự, và có chứa chữ hoa, chữ thường, số và kĩ tự đặc biệt.</t>
  </si>
  <si>
    <t>[PSS][DB][Security] check list security redis</t>
  </si>
  <si>
    <t>2025-07-18T15:10:47.843+0700</t>
  </si>
  <si>
    <t>2025-07-18T15:48:19.883+0700</t>
  </si>
  <si>
    <t>Security factors status show evidence description  Enable disk encryption  done yêu cầu cmc cung cấp Bật audit log done sử dụng acl log Đổi mật khẩu mặc định các tài khoản done Đã chủ động đặt/đổi mật khẩu ngay từ khi cài đặt Thiết lập chính sách mật khẩu an toàn done Chủ động tạo password phức tạp, đảm bảo password của user có độ dài trên 15 kí tự, và có chứa chữ hoa, chữ thường, số và kĩ tự đặc biệt.</t>
  </si>
  <si>
    <t>[PSS][DB][Security] check list security postgresql</t>
  </si>
  <si>
    <t>2025-07-18T15:10:39.673+0700</t>
  </si>
  <si>
    <t>2025-07-18T15:35:28.751+0700</t>
  </si>
  <si>
    <t>[PSS][DB][Security] check list security oracle</t>
  </si>
  <si>
    <t>2025-07-18T15:10:13.146+0700</t>
  </si>
  <si>
    <t>2025-07-18T15:14:48.751+0700</t>
  </si>
  <si>
    <t>Security factors status show evidence description  Enable disk encryption  done Đã enable encrypt disk at rest cho lưu datafile của Oracle PSS dưới SAN storage Bật audit log done Đã bật chế độ audit XML, EXTENDED để ghi ra file và đẩy lên splunk. Đổi mật khẩu mặc định các tài khoản done Đã chủ động đặt/đổi mật khẩu ngay từ khi cài đặt Thiết lập chính sách mật khẩu an toàn done Đã áp profile PASSWORD_VERIFY_FUNCTION theo giá trị ORA12C_STIG_VERIFY_FUNCTION để đảm bảo password của user có độ dài trên 15 kí tự, và có chứa chữ hoa, chữ thường, số và kĩ tự đặc biệt. Chủ động tạo password phức tạp. Enable TDE cho các cột, tablespace DB Oracle theo Security Design skip đã encrytp tại san nên ko cần mã hóa tại file</t>
  </si>
  <si>
    <t>2025-07-18T14:50:06.137+0700</t>
  </si>
  <si>
    <t>2025-07-18T14:50:14.546+0700</t>
  </si>
  <si>
    <t>Hi team, nhờ các anh hỗ trợ chạy script tác động database trên môi trường STAGING với thông tin dưới đây ạ: Thời điểm chạy script: chạy trong giờ sau khi ticket được approve Thông tin database: jdbc:mysql:// tidb.int.onemount.dev:4000/vinpay_saas_tpay_staging Em gửi script: ALTER TABLE SOUNDBOX_NOTIFICATION 
ADD COLUMN transaction_date_ts TIMESTAMP 
GENERATED ALWAYS AS ( 
CASE 
WHEN JSON_UNQUOTE(message_data-&gt;'$.datetime') REGEXP '^[1-9][0-9]{13}$' 
THEN STR_TO_DATE(JSON_UNQUOTE(message_data-&gt;'$.datetime'), '%Y%m%d%H%i%s') 
ELSE NULL 
END );
ALTER TABLE SOUNDBOX_NOTIFICATION ADD INDEX idx_datets_txn_device_upd (transaction_date_ts, transaction_id, device_serial_number, updated_at DESC);
ALTER TABLE SOUNDBOX_NOTIFICATION ADD INDEX idx_datets_txn_id (transaction_date_ts, transaction_id);</t>
  </si>
  <si>
    <t>[Charity][NP] - Hỗ trợ update DB</t>
  </si>
  <si>
    <t>2025-07-18T12:10:47.372+0700</t>
  </si>
  <si>
    <t>2025-07-19T11:00:31.968+0700</t>
  </si>
  <si>
    <t>Hi  @Nguyễn Văn Dũng , Chạy giúp anh script sau cho db fund_core_[qc/uat] nhé instance ip: 172.31.0.71 instance name:  omc-charity-core link doc:    script: DROP TABLE IF EXISTS cf.approval_rule;
CREATE TABLE cf.approval_rule (
	rule_id varchar(36) NOT NULL,
	object_type varchar(16) NOT NULL,
	"action" varchar(18) NOT NULL,
	"role" varchar(18) NOT NULL,
	source_table varchar(16) NOT NULL,
	target_table varchar(16) NOT NULL,
	live_status _varchar NOT NULL,
	approval_status _varchar NULL,
	current_approval_status varchar(16) NULL,
	next_approval_status varchar(16) NOT NULL,
	no_authorise int4 NOT NULL,
	created_by varchar(64) NULL,
	updated_by varchar(64) NULL,
	created_at timestamp(6) NOT NULL DEFAULT CURRENT_TIMESTAMP,
	updated_at timestamp(6) NOT NULL DEFAULT CURRENT_TIMESTAMP,
	CONSTRAINT approval_rule_pk PRIMARY KEY (rule_id),
	CONSTRAINT approval_rule_un UNIQUE (object_type, action, source_table, target_table, current_approval_status)
);
-- cf.fund_management definition
-- Drop table
DROP TABLE IF EXISTS cf.fund_management;
CREATE TABLE cf.fund_management (
	id bigserial NOT NULL,
	fund_code varchar(64) NOT NULL,
	fund_name varchar(128) NOT NULL,
	fund_type varchar(64) NOT NULL,
	fund_status varchar(16) NOT NULL,
	fund_description varchar(512) NOT NULL,
	fund_logo varchar(64) NULL,
	establishment_date date NOT NULL DEFAULT CURRENT_DATE,
	currency varchar(3) NOT NULL DEFAULT 'VND'::character varying,
	income numeric(22, 3) NULL,
	expenditures numeric(22, 3) NULL,
	current_balance numeric(22, 3) NULL,
	authorized_capital numeric(22, 3) NULL,
	annual_budget numeric(22, 3) NULL,
	bank_name varchar(128) NULL,
	bank_branch varchar(128) NULL,
	bank_acc_no varchar(32) NULL,
	email varchar(128) NULL,
	phone varchar(16) NULL,
	address varchar(256) NULL,
	website varchar(128) NULL,
	rep_name varchar(128) NULL,
	rep_title varchar(128) NULL,
	rep_id_no varchar(16) NULL,
	rep_id_date date NULL,
	rep_id_place varchar(128) NULL,
	specific_goals text NULL,
	beneficiaries varchar(256) NULL,
	operating_area varchar(256) NULL,
	main_activities text NULL,
	partners varchar(256) NULL,
	note varchar(256) NULL,
	created_by varchar(64) NULL,
	updated_by varchar(64) NULL,
	created_at timestamp(6) NOT NULL DEFAULT CURRENT_TIMESTAMP,
	updated_at timestamp(6) NOT NULL DEFAULT CURRENT_TIMESTAMP,
	CONSTRAINT fund_management_pk PRIMARY KEY (id)
);
-- cf.fund_type definition
-- Drop table
DROP TABLE IF EXISTS cf.fund_type;
CREATE TABLE cf.fund_type (
	code varchar(64) NOT NULL,
	"name" varchar(128) NOT NULL,
	description varchar(1024) NOT NULL,
	created_by varchar(64) NULL,
	updated_by varchar(64) NULL,
	created_at timestamp(6) NOT NULL DEFAULT CURRENT_TIMESTAMP,
	updated_at timestamp(6) NOT NULL DEFAULT CURRENT_TIMESTAMP,
	CONSTRAINT fund_type_pk PRIMARY KEY (code)
);
-- cf.project definition
-- Drop table
DROP TABLE IF EXISTS cf.project;
CREATE TABLE cf.project (
	id bigserial NOT NULL,
	"type" varchar(64) NOT NULL,
	category varchar(64) NOT NULL,
	project_code varchar(64) NOT NULL,
	"name" varchar(256) NOT NULL,
	description text NULL,
	goal text NULL,
	status varchar(64) NOT NULL,
	start_date timestamp NOT NULL,
	end_date timestamp NULL,
	priority varchar(64) NULL,
	fundraiser int8 NOT NULL,
	executor _int4 NULL,
	beneficiary_cate _varchar NULL,
	public_display bool NULL,
	platform _varchar NULL,
	earn_type varchar(64) NULL,
	unit varchar(64) NULL,
	donate_method _varchar NULL,
	burn_type varchar(64) NULL,
	recipient_type varchar(64) NULL,
	recipient_partner int8 NULL,
	project_beneficiary_id _int4 NULL,
	service_partner _int4 NULL,
	budget_target numeric(22, 3) NULL,
	budget_donated numeric(22, 3) NULL,
	budget_disbursed numeric(22, 3) NULL,
	budget_available numeric(22, 3) NULL,
	movement_method varchar(64) NULL,
	allow_event bool NULL,
	approved_by varchar(64) NULL,
	approved_at timestamp(6) NULL,
	created_by varchar(64) NULL,
	updated_by varchar(64) NULL,
	created_at timestamp(6) NOT NULL DEFAULT CURRENT_TIMESTAMP,
	updated_at timestamp(6) NOT NULL DEFAULT CURRENT_TIMESTAMP,
	CONSTRAINT project_pk PRIMARY KEY (id)
);
-- cf.project_beneficiary definition
-- Drop table
DROP TABLE IF EXISTS cf.project_beneficiary;
CREATE TABLE cf.project_beneficiary (
	id bigserial NOT NULL,
	beneficiary_name varchar(64) NULL,
	beneficiary_age varchar(64) NULL,
	beneficiary_gender varchar(64) NULL,
	beneficiary_health varchar(256) NULL,
	beneficiary_finance varchar(256) NULL,
	beneficiary_document _varchar NULL,
	recipient_other bool NULL,
	recipient_relationship varchar(64) NULL,
	recipient_name varchar(64) NULL,
	recipient_citizen_id varchar(64) NULL,
	relation_proof _varchar NULL,
	bank_acc_name varchar(256) NULL,
	bank_acc_no varchar(64) NULL,
	bank_name varchar(256) NULL,
	created_by varchar(64) NULL,
	updated_by varchar(64) NULL,
	created_at timestamp(6) NOT NULL DEFAULT CURRENT_TIMESTAMP,
	updated_at timestamp(6) NOT NULL DEFAULT CURRENT_TIMESTAMP,
	CONSTRAINT project_beneficiary_pk PRIMARY KEY (id)
);
-- cf.project_category definition
-- Drop table
DROP TABLE IF EXISTS cf.project_category;
CREATE TABLE cf.project_category (
	"type" varchar(128) NOT NULL,
	code varchar(128) NOT NULL,
	"name" varchar(256) NOT NULL,
	description varchar(1000) NULL,
	created_by varchar(64) NULL,
	updated_by varchar(64) NULL,
	created_at timestamp(6) NOT NULL DEFAULT CURRENT_TIMESTAMP,
	updated_at timestamp(6) NOT NULL DEFAULT CURRENT_TIMESTAMP,
	CONSTRAINT project_category_pk PRIMARY KEY (code)
);
-- cf.project_partner definition
-- Drop table
DROP TABLE IF EXISTS cf.project_partner;
CREATE TABLE cf.project_partner (
	id bigserial NOT NULL,
	"type" varchar(64) NOT NULL,
	"name" varchar(256) NOT NULL,
	id_number varchar(256) NOT NULL,
	representative_name varchar(256) NULL,
	email varchar(256) NULL,
	phone varchar(32) NULL,
	address varchar(1000) NULL,
	bank_acc_name varchar(256) NULL,
	bank_acc_no varchar(256) NULL,
	bank_name varchar(256) NULL,
	CONSTRAINT project_partner_pk PRIMARY KEY (id)
);
-- cf.project_pending definition
-- Drop table
DROP TABLE IF EXISTS cf.project_pending;
CREATE TABLE cf.project_pending (
	id bigserial NOT NULL,
	project_id int8 NULL,
	"type" varchar(64) NOT NULL,
	category varchar(64) NOT NULL,
	project_code varchar(64) NULL,
	"name" varchar(256) NOT NULL,
	description text NULL,
	goal text NULL,
	status varchar(64) NOT NULL,
	approve_status varchar(64) NOT NULL,
	start_date timestamp NOT NULL,
	end_date timestamp NULL,
	priority varchar(64) NULL,
	fundraiser int8 NOT NULL,
	executor _int4 NULL,
	beneficiary_cate _varchar NULL,
	public_display bool NULL,
	platform _varchar NULL,
	earn_type varchar(64) NULL,
	unit varchar(64) NULL,
	donate_method _varchar NULL,
	burn_type varchar(64) NULL,
	recipient_type varchar(64) NULL,
	recipient_partner int8 NULL,
	project_beneficiary_id _int4 NULL,
	service_partner _int4 NULL,
	budget_target numeric(22, 3) NULL,
	budget_donated numeric(22, 3) NULL,
	budget_disbursed numeric(22, 3) NULL,
	budget_available numeric(22, 3) NULL,
	movement_method varchar(64) NULL,
	allow_event bool NULL,
	reject_reason varchar(256) NULL,
	approved_by varchar(64) NULL,
	approved_at timestamp(6) NULL,
	created_by varchar(64) NULL,
	updated_by varchar(64) NULL,
	created_at timestamp(6) NOT NULL DEFAULT CURRENT_TIMESTAMP,
	updated_at timestamp(6) NOT NULL DEFAULT CURRENT_TIMESTAMP,
	CONSTRAINT project_pending_pk PRIMARY KEY (id)
);
-- cf.record_approval definition
-- Drop table
DROP TABLE IF EXISTS cf.record_approval;
CREATE TABLE cf.record_approval (
	appr_id varchar(36) NOT NULL,
	appr_object_type varchar(36) NOT NULL,
	appr_object_id varchar(36) NULL,
	appr_status varchar(18) NOT NULL,
	appr_no_auth int4 NOT NULL DEFAULT 1,
	appr_maker varchar(64) NOT NULL,
	appr_maker_note varchar(128) NULL,
	appr_checkers _varchar NULL,
	appr_checkers_note _varchar NULL,
	meta_data json NOT NULL,
	created_by varchar(64) NULL,
	updated_by varchar(64) NULL,
	created_at timestamp(6) NOT NULL DEFAULT CURRENT_TIMESTAMP,
	updated_at timestamp(6) NOT NULL DEFAULT CURRENT_TIMESTAMP,
	CONSTRAINT record_approval_pk PRIMARY KEY (appr_id)
);
-- cf.status_action_mapping definition
-- Drop table
DROP TABLE IF EXISTS cf.status_action_mapping;
CREATE TABLE cf.status_action_mapping (
	map_id varchar(8) NOT NULL,
	object_type varchar(16) NOT NULL,
	source_table varchar(16) NOT NULL,
	status varchar(16) NOT NULL,
	action_list _varchar NOT NULL DEFAULT '{view}'::character varying[],
	created_by varchar(64) NULL,
	updated_by varchar(64) NULL,
	created_at timestamp(6) NOT NULL DEFAULT CURRENT_TIMESTAMP,
	updated_at timestamp(6) NOT NULL DEFAULT CURRENT_TIMESTAMP,
	CONSTRAINT status_action_mapping_pk PRIMARY KEY (map_id)
);
-- cf.status_mapping definition
-- Drop table
DROP TABLE IF EXISTS cf.status_mapping;
CREATE TABLE cf.status_mapping (
	map_id varchar(8) NOT NULL,
	object_type varchar(16) NOT NULL,
	source_table varchar(16) NOT NULL,
	group_status varchar(16) NOT NULL,
	status_list _varchar NOT NULL,
	created_by varchar(64) NULL,
	updated_by varchar(64) NULL,
	created_at timestamp(6) NOT NULL DEFAULT CURRENT_TIMESTAMP,
	updated_at timestamp(6) NOT NULL DEFAULT CURRENT_TIMESTAMP,
	CONSTRAINT status_mapping_pk PRIMARY KEY (map_id),
	CONSTRAINT status_mapping_un UNIQUE (object_type, source_table, group_status)
);
-- cf.system_config definition
-- Drop table
DROP TABLE IF EXISTS cf.system_config;
CREATE TABLE cf.system_config (
	id bigserial NOT NULL,
	"key" varchar(100) NOT NULL,
	category varchar(100) NOT NULL,
	value varchar(4000) NOT NULL,
	description varchar(1000) NULL,
	created_by varchar(50) NULL,
	updated_by varchar(50) NULL,
	created_at timestamp(6) NULL DEFAULT CURRENT_TIMESTAMP,
	updated_at timestamp(6) NULL DEFAULT CURRENT_TIMESTAMP,
	CONSTRAINT system_config_key_category_unique UNIQUE (key, category),
	CONSTRAINT system_config_pk PRIMARY KEY (id)
);
insert into iam.permission values ('FM001','fund-management/service-api/v1/fund-type/search:GET','admin','admin',now(),now());
insert into iam.permission values ('FM002','fund-management/service-api/v1/fund-type/detail/.*:GET','admin','admin',now(),now());
insert into iam.permission values ('FM003','fund-management/service-api/v1/fund-type/list-all:','admin','admin',now(),now());
insert into iam.permission values ('FM004','fund-management/service-api/v1/fund/create:POST','admin','admin',now(),now());
insert into iam.permission values ('FM005','fund-management/service-api/v1/fund/update:POST','admin','admin',now(),now());
insert into iam.permission values ('FM006','fund-management/service-api/v1/fund/search:GET','admin','admin',now(),now());
insert into iam.permission values ('FM007','fund-management/service-api/v1/fund/detail/.*:GET','admin','admin',now(),now());
insert into iam.permission values ('FM008','fund-management/service-api/v1/fund/approval-list:GET','admin','admin',now(),now());
insert into iam.permission values ('FM009','fund-management/service-api/v1/fund/new-approval/draft:POST','admin','admin',now(),now());
insert into iam.permission values ('FM010','fund-management/service-api/v1/fund/new-approval/submit:POST','admin','admin',now(),now());
insert into iam.permission values ('FM011','fund-management/service-api/v1/fund/approval/cancel/.*:POST','admin','admin',now(),now());
insert into iam.permission values ('FM012','fund-management/service-api/v1/fund/approval/reject/.*:POST','admin','admin',now(),now());
insert into iam.permission values ('FM013','fund-management/service-api/v1/fund/approval/approve/.*:POST','admin','admin',now(),now());
insert into iam.permission values ('FM014','fund-management/integration-api/v1/funds:GET','admin','admin',now(),now());
insert into iam.permission values ('FM015','fund-management/fund-management/integration-api/v1/campaigns:GET','admin','admin',now(),now());
insert into cf.fund_type values ('CHARITY','Quỹ Từ Thiện/Nhân Đạo','Cung cấp hỗ trợ tài chính, vật chất và tinh thần cho những người nghèo khó, gặp hoàn cảnh khó khăn, người già neo đơn, trẻ em mồ côi, và những người bị ảnh hưởng bởi thiên tai hoặc các sự kiện bất ngờ khác. Mục tiêu là giảm bớt gánh nặng cuộc sống và cải thiện chất lượng sống.','CF_SYSTEM','CF_SYSTEM',now(),now());
insert into cf.fund_type values ('SCHOLARSHIP','Quỹ Khuyến Học/Học Bổng','Trao tặng học bổng, hỗ trợ chi phí học tập (học phí, sách vở, đồ dùng học tập) cho học sinh, sinh viên có thành tích học tập tốt nhưng gặp khó khăn về tài chính. Khuyến khích tinh thần hiếu học, tạo điều kiện để họ tiếp tục con đường học vấn và phát triển bản thân.','CF_SYSTEM','CF_SYSTEM',now(),now());
insert into cf.fund_type values ('RESEARCH','Quỹ Nghiên Cứu Khoa Học','Tài trợ cho các dự án nghiên cứu khoa học và công nghệ trong nhiều lĩnh vực khác nhau (y học, kỹ thuật, nông nghiệp, môi trường, v.v.). Thúc đẩy sự đổi mới, phát triển các giải pháp mới để giải quyết các vấn đề xã hội và cải thiện cuộc sống.','CF_SYSTEM','CF_SYSTEM',now(),now());
insert into cf.fund_type values ('CONSERVATION','Quỹ Bảo Tồn Môi Trường','Hỗ trợ các hoạt động bảo vệ môi trường, bảo tồn đa dạng sinh học, phục hồi các hệ sinh thái bị suy thoái, giảm thiểu ô nhiễm, và nâng cao nhận thức cộng đồng về tầm quan trọng của việc bảo vệ môi trường. Hướng tới một tương lai bền vững.','CF_SYSTEM','CF_SYSTEM',now(),now());
insert into cf.fund_type values ('COMMUNITY','Quỹ Phát Triển Cộng Đồng','Đầu tư vào các dự án cải thiện đời sống vật chất và tinh thần của cộng đồng, bao gồm xây dựng cơ sở hạ tầng (trường học, bệnh viện, đường xá), phát triển các chương trình giáo dục và đào tạo, hỗ trợ các hoạt động văn hóa và thể thao, và thúc đẩy phát triển kinh tế địa phương.','CF_SYSTEM','CF_SYSTEM',now(),now());
insert into cf.fund_type values ('HEALTHCARE','Quỹ Hỗ Trợ Y Tế','Cung cấp hỗ trợ tài chính cho việc khám chữa bệnh, mua thuốc, phẫu thuật, và các dịch vụ chăm sóc sức khỏe khác cho những người không có khả năng chi trả. Hỗ trợ các chương trình phòng ngừa bệnh tật và nâng cao sức khỏe cộng đồng.','CF_SYSTEM','CF_SYSTEM',now(),now());
insert into cf.fund_type values ('CULTURE','Quỹ Văn Hóa/Nghệ Thuật','Tài trợ cho các hoạt động văn hóa, nghệ thuật, bảo tồn và phát huy các giá trị văn hóa truyền thống, hỗ trợ các nghệ sĩ và các tổ chức văn hóa, và thúc đẩy sự sáng tạo trong lĩnh vực nghệ thuật.','CF_SYSTEM','CF_SYSTEM',now(),now());
insert into cf.fund_type values ('SPORTS','Quỹ Thể Thao','Hỗ trợ các hoạt động thể thao, phát triển tài năng thể thao, xây dựng cơ sở vật chất thể thao, và thúc đẩy phong trào thể dục thể thao trong cộng đồng. Góp phần nâng cao sức khỏe và tinh thần của người dân.','CF_SYSTEM','CF_SYSTEM',now(),now());
insert into cf.fund_type values ('LEGAL_AID','Quỹ Hỗ Trợ Pháp Lý','Cung cấp dịch vụ tư vấn pháp lý miễn phí hoặc chi phí thấp cho những người không có khả năng chi trả, giúp họ bảo vệ quyền lợi hợp pháp của mình. Hỗ trợ các tổ chức hoạt động trong lĩnh vực pháp luật và nâng cao nhận thức pháp luật của cộng đồng.','CF_SYSTEM','CF_SYSTEM',now(),now());
insert into cf.fund_type values ('DISASTER_RELIEF','Quỹ Phòng Chống Thiên Tai','Hỗ trợ các hoạt động phòng ngừa, ứng phó, và khắc phục hậu quả của thiên tai (bão, lũ lụt, hạn hán, động đất, v.v.). Cung cấp cứu trợ khẩn cấp cho những người bị ảnh hưởng và giúp họ tái thiết cuộc sống.','CF_SYSTEM','CF_SYSTEM',now(),now());
insert into cf.fund_type values ('DISABILITY_AID','Quỹ Hỗ Trợ Người Khuyết Tật','Cải thiện chất lượng cuộc sống của người khuyết tật, hỗ trợ họ hòa nhập cộng đồng, tạo cơ hội học tập, làm việc, và tham gia các hoạt động xã hội. Tăng cường khả năng tự lập và độc lập của người khuyết tật.','CF_SYSTEM','CF_SYSTEM',now(),now());
insert into cf.fund_type values ('WOMEN_CHILD_AID','Quỹ Hỗ Trợ Phụ Nữ &amp; Trẻ Em','Bảo vệ quyền lợi của phụ nữ và trẻ em - nạn nhân của bạo lực gia đình, xâm hại, hoặc buôn bán người. Hỗ trợ họ vượt qua khó khăn, phục hồi tinh thần, và tái hòa nhập cộng đồng. Cung cấp các dịch vụ tư vấn, chăm sóc, và bảo vệ.','CF_SYSTEM','CF_SYSTEM',now(),now());
insert into cf.fund_type values ('INFRASTRUCTURE','Quỹ Xây Dựng Cơ Sở Hạ Tầng','Tài trợ cho việc xây dựng, cải tạo, và nâng cấp các công trình cơ sở hạ tầng thiết yếu, bao gồm trường học, bệnh viện, đường xá, cầu cống, hệ thống cấp nước, và hệ thống điện. Góp phần cải thiện điều kiện sống và thúc đẩy phát triển kinh tế xã hội.','CF_SYSTEM','CF_SYSTEM',now(),now());
insert into cf.fund_type values ('STARTUP_SUPPORT','Quỹ Hỗ Trợ Khởi Nghiệp','Cung cấp vốn, kiến thức, kỹ năng, và các nguồn lực khác cho những người muốn khởi nghiệp kinh doanh. Tạo điều kiện cho các doanh nghiệp mới thành công và đóng góp vào sự phát triển kinh tế.','CF_SYSTEM','CF_SYSTEM',now(),now());
insert into cf.fund_type values ('SOCIAL_INVESTMENT','Quỹ Đầu Tư Xã Hội','Đầu tư vào các dự án hoặc doanh nghiệp có tác động xã hội tích cực, tạo ra lợi nhuận đồng thời giải quyết các vấn đề xã hội và môi trường. Ưu tiên các dự án có tính bền vững và mang lại lợi ích lâu dài cho cộng đồng.','CF_SYSTEM','CF_SYSTEM',now(),now());
insert into cf.fund_type values ('ANIMAL_WELFARE','Quỹ Bảo Vệ Động Vật','Hỗ trợ các hoạt động bảo vệ quyền lợi của động vật, chăm sóc và cứu hộ động vật bị bỏ rơi hoặc ngược đãi, nâng cao nhận thức cộng đồng về tầm quan trọng của việc bảo vệ động vật và xây dựng một xã hội nhân đạo.','CF_SYSTEM','CF_SYSTEM',now(),now());
insert into cf.fund_type values ('ELDERLY_CARE','Quỹ Chăm Sóc Người Cao Tuổi','Cung cấp các dịch vụ chăm sóc sức khỏe, hỗ trợ sinh hoạt, và các hoạt động giải trí cho người cao tuổi, đặc biệt là những người neo đơn, bệnh tật. Tạo điều kiện cho người cao tuổi sống vui, sống khỏe, và có một cuộc sống ý nghĩa.','CF_SYSTEM','CF_SYSTEM',now(),now());
insert into cf.fund_type values ('YOUTH_EMPOWER','Quỹ Hỗ Trợ Thanh Niên','Tạo cơ hội cho thanh niên phát triển bản thân, học tập, làm việc, và tham gia các hoạt động xã hội. Hỗ trợ các dự án do thanh niên khởi xướng và điều hành, giúp họ trở thành những công dân tích cực và có trách nhiệm.','CF_SYSTEM','CF_SYSTEM',now(),now());
insert into cf.fund_type values ('EDUCATION_TECH','Quỹ Công Nghệ Giáo Dục','Đầu tư vào các dự án ứng dụng công nghệ thông tin vào giáo dục, phát triển các phần mềm, ứng dụng, và nền tảng học trực tuyến, cung cấp trang thiết bị công nghệ cho trường học, và đào tạo giáo viên về ứng dụng công nghệ trong giảng dạy. Nâng cao chất lượng giáo dục.','CF_SYSTEM','CF_SYSTEM',now(),now());
insert into cf.fund_type values ('JOB_CREATION','Quỹ Tạo Việc Làm','Hỗ trợ các dự án tạo ra việc làm mới, đặc biệt là cho những người thuộc các nhóm yếu thế trong xã hội (người khuyết tật, người nghèo, người dân tộc thiểu số). Cung cấp các khóa đào tạo nghề, tư vấn việc làm, và hỗ trợ khởi nghiệp.','CF_SYSTEM','CF_SYSTEM',now(),now());
insert into cf.approval_rule values ('RA001','FUND_MANAGEMENT','draft','maker','NEW','APPROVAL_TABLE','{"ACTIVE","COMPLETED","CLOSED","SUSPENDED"}','{"DRAFT","PENDING","PARTIAL_APPROVED"}','NEW','DRAFT','1','CF_SYSTEM','CF_SYSTEM',now(),now());
insert into cf.approval_rule values ('RA002','FUND_MANAGEMENT','draft','maker','LIVE_TABLE','APPROVAL_TABLE','{"ACTIVE","COMPLETED","CLOSED","SUSPENDED"}','{"DRAFT","PENDING","PARTIAL_APPROVED"}','NEW','DRAFT','1','CF_SYSTEM','CF_SYSTEM',now(),now());
insert into cf.approval_rule values ('RA003','FUND_MANAGEMENT','draft','maker','APPROVAL_TABLE','APPROVAL_TABLE','{"ACTIVE","COMPLETED","CLOSED","SUSPENDED"}','{"DRAFT","PENDING","PARTIAL_APPROVED"}','DRAFT','DRAFT','1','CF_SYSTEM','CF_SYSTEM',now(),now());
insert into cf.approval_rule values ('RA004','FUND_MANAGEMENT','cancel','maker','APPROVAL_TABLE','APPROVAL_TABLE','{""}','{""}','DRAFT','CANCELED','1','CF_SYSTEM','CF_SYSTEM',now(),now());
insert into cf.approval_rule values ('RA005','FUND_MANAGEMENT','submit','maker','NEW','APPROVAL_TABLE','{"ACTIVE","COMPLETED","CLOSED","SUSPENDED"}','{"DRAFT","PENDING","PARTIAL_APPROVED"}','NEW','PENDING','1','CF_SYSTEM','CF_SYSTEM',now(),now());
insert into cf.approval_rule values ('RA006','FUND_MANAGEMENT','submit','maker','LIVE_TABLE','APPROVAL_TABLE','{"ACTIVE","COMPLETED","CLOSED","SUSPENDED"}','{"DRAFT","PENDING","PARTIAL_APPROVED"}','NEW','PENDING','1','CF_SYSTEM','CF_SYSTEM',now(),now());
insert into cf.approval_rule values ('RA007','FUND_MANAGEMENT','submit','maker','APPROVAL_TABLE','APPROVAL_TABLE','{"ACTIVE","COMPLETED","CLOSED","SUSPENDED"}','{"PENDING","PARTIAL_APPROVED"}','DRAFT','PENDING','1','CF_SYSTEM','CF_SYSTEM',now(),now());
insert into cf.approval_rule values ('RA008','FUND_MANAGEMENT','reject','checker','APPROVAL_TABLE','APPROVAL_TABLE','{"ACTIVE","COMPLETED","CLOSED","SUSPENDED"}','{"PENDING","PARTIAL_APPROVED"}','PENDING','REJECTED','1','CF_SYSTEM','CF_SYSTEM',now(),now());
insert into cf.approval_rule values ('RA009','FUND_MANAGEMENT','approve','checker','APPROVAL_TABLE','LIVE_TABLE','{"ACTIVE","COMPLETED","CLOSED","SUSPENDED"}','{"PENDING","PARTIAL_APPROVED"}','PENDING','APPROVED','1','CF_SYSTEM','CF_SYSTEM',now(),now());
insert into cf.status_mapping values ('RS001','FUND_MANAGEMENT','APPROVAL_TABLE','DRAFT','{"DRAFT","CANCELED"}','CF_SYSTEM','CF_SYSTEM',now(),now());
insert into cf.status_mapping values ('RS002','FUND_MANAGEMENT','APPROVAL_TABLE','PENDING','{"REJECTED","PENDING","PARTIAL_APPROVED","APPROVED"}','CF_SYSTEM','CF_SYSTEM',now(),now());
insert into cf.status_mapping values ('RS003','FUND_MANAGEMENT','LIVE_TABLE','LIVE','{"ACTIVE","COMPLETED","CLOSED","SUSPENDED"}','CF_SYSTEM','CF_SYSTEM',now(),now());
insert into cf.status_mapping values ('RS004','FUND_MANAGEMENT','LIVE_TABLE','ACTIVE','{"ACTIVE"}','CF_SYSTEM','CF_SYSTEM',now(),now());
insert into cf.status_action_mapping values ('SA001','FUND_MANAGEMENT','NEW','NEW','{"draft","submit"}','CF_SYSTEM','CF_SYSTEM',now(),now());
insert into cf.status_action_mapping values ('SA002','FUND_MANAGEMENT','LIVE_TABLE','NEW','{"draft","submit"}','CF_SYSTEM','CF_SYSTEM',now(),now());
insert into cf.status_action_mapping values ('SA003','FUND_MANAGEMENT','APPROVAL_TABLE','DRAFT','{"view","draft","cancel","submit"}','CF_SYSTEM','CF_SYSTEM',now(),now());
insert into cf.status_action_mapping values ('SA004','FUND_MANAGEMENT','APPROVAL_TABLE','CANCELED','{"view"}','CF_SYSTEM','CF_SYSTEM',now(),now());
insert into cf.status_action_mapping values ('SA005','FUND_MANAGEMENT','APPROVAL_TABLE','PENDING','{"view","reject","approve"}','CF_SYSTEM','CF_SYSTEM',now(),now());
insert into cf.status_action_mapping values ('SA006','FUND_MANAGEMENT','APPROVAL_TABLE','PARTIAL_APPROVED','{"view","reject","approve"}','CF_SYSTEM','CF_SYSTEM',now(),now());
insert into cf.status_action_mapping values ('SA007','FUND_MANAGEMENT','APPROVAL_TABLE','REJECTED','{"view"}','CF_SYSTEM','CF_SYSTEM',now(),now());
insert into cf.status_action_mapping values ('SA008','FUND_MANAGEMENT','APPROVAL_TABLE','APPROVED','{"view"}','CF_SYSTEM','CF_SYSTEM',now(),now());
insert into cf.status_action_mapping values ('SA009','FUND_MANAGEMENT','LIVE_TABLE','ACTIVE','{"view","draft","submit"}','CF_SYSTEM','CF_SYSTEM',now(),now());
insert into cf.status_action_mapping values ('SA010','FUND_MANAGEMENT','LIVE_TABLE','SUSPENDED','{"view","draft","submit"}','CF_SYSTEM','CF_SYSTEM',now(),now());
insert into cf.status_action_mapping values ('SA011','FUND_MANAGEMENT','LIVE_TABLE','COMPLETED','{"view"}','CF_SYSTEM','CF_SYSTEM',now(),now());
insert into cf.status_action_mapping values ('SA012','FUND_MANAGEMENT','LIVE_TABLE','CLOSED','{"view"}','CF_SYSTEM','CF_SYSTEM',now(),now());
INSERT INTO cf.project_category
("type", code, "name", description, created_by, updated_by, created_at, updated_at)
VALUES('CATEGORY', 'EDUCATION', 'Giáo dục', 'Giáo dục', 'admin', 'admin', '2025-07-16 16:08:32.995', '2025-07-16 16:08:32.995');
INSERT INTO cf.project_category
("type", code, "name", description, created_by, updated_by, created_at, updated_at)
VALUES('CATEGORY', 'HEALTHCARE', 'Y tế', 'Y tế', 'admin', 'admin', '2025-07-16 16:08:32.995', '2025-07-16 16:08:32.995');
INSERT INTO cf.project_category
("type", code, "name", description, created_by, updated_by, created_at, updated_at)
VALUES('BENEFICIARY', 'CHILD', 'Trẻ em', 'Trẻ em', 'admin', 'admin', '2025-07-16 16:08:32.995', '2025-07-16 16:08:32.995');
INSERT INTO cf.project_category
("type", code, "name", description, created_by, updated_by, created_at, updated_at)
VALUES('BENEFICIARY', 'YOUTH', 'Thanh thiếu niên', 'Thanh thiếu niên', 'admin', 'admin', '2025-07-16 16:08:32.995', '2025-07-16 16:08:32.995');
INSERT INTO cf.project_category
("type", code, "name", description, created_by, updated_by, created_at, updated_at)
VALUES('BENEFICIARY', 'DISABILITIES', 'Người khuyết tật', 'Người khuyết tật', 'admin', 'admin', '2025-07-16 16:08:32.995', '2025-07-16 16:08:32.995');
INSERT INTO cf.project_category
("type", code, "name", description, created_by, updated_by, created_at, updated_at)
VALUES('METHOD_MOVEMENT', 'FUNDRAISING', 'Gây quỹ', 'Gây quỹ', 'admin', 'admin', '2025-07-16 16:08:32.995', '2025-07-16 16:08:32.995');
INSERT INTO cf.project_category
("type", code, "name", description, created_by, updated_by, created_at, updated_at)
VALUES('METHOD_MOVEMENT', 'INSPIRATIONAL', 'Truyền cảm hứng', 'Truyền cảm hứng', 'admin', 'admin', '2025-07-16 16:08:32.995', '2025-07-16 16:08:32.995');
INSERT INTO cf.system_config
(id, "key", category, value, description, created_by, updated_by, created_at, updated_at)
VALUES(1, 'DONATE_METHOD', 'PROJECT', '["CASH","BANK TRANSFER","AUTO EARNING INTEREST","SMS"]', NULL, NULL, NULL, '2025-07-08 14:32:23.050', '2025-07-08 14:32:23.050');
INSERT INTO cf.system_config
(id, "key", category, value, description, created_by, updated_by, created_at, updated_at)
VALUES(2, 'PLATFORM', 'PROJECT', '["WEBSITE","MOBILE APP","TCB MOBILE APP"]', NULL, NULL, NULL, '2025-07-08 14:32:23.050', '2025-07-08 14:32:23.050');</t>
  </si>
  <si>
    <t>[PROD] Query data trước khi chuyển đổi cụm incu -&gt; vinidpay</t>
  </si>
  <si>
    <t>2025-07-18T11:31:05.310+0700</t>
  </si>
  <si>
    <t>2025-07-18T11:31:17.309+0700</t>
  </si>
  <si>
    <t xml:space="preserve">Hi anh, Nhờ anh hỗ trợ chạy giúp em script này trên môi trường  PRODUCTION , sau khi ticket được  approve , vào thời gian ban đêm(thời gian chạy sau 21h). Liên quan đến nghiệp vụ [BO] Chuyển đổi cụm incu → vinidPay. Team em mong muốn thực hiện backup data, trước khi backup nhờ a điền thông tin vào link excel  sau.  Cơ bản em cần thông tin data trước năm 2024 và từ 2024 đến ngày T-1. Các câu sql liên quan em để trong cột “Câu query lấy data trước năm 2024“ anh điền giúp em vào cột ”Số lượng bản ghi trước 2024” Các câu sql liên quan em để trong cột “Câu query data từ 2024 -&gt; 2025-07-14“ anh điền giúp em vào cột  “Số lượng bảng ghi từ 2024 -&gt; 2025-07-14” Thông tin chi tiết về database và các bảng cần truy vấn, em đã đính kèm trong file bên dưới. Dưới đây là thông tin db liên quan ạ: 172.31.1.133:3306/bo 10.100.4.104:3306/reconciliation Em gửi script ạ Cảm ơn anh/chị nhiều ạ! CR:  </t>
  </si>
  <si>
    <t>[OMC][Merchant Loyalty] Cấp quyền cho user</t>
  </si>
  <si>
    <t>2025-07-18T11:11:00.341+0700</t>
  </si>
  <si>
    <t>2025-07-18T11:11:07.437+0700</t>
  </si>
  <si>
    <t>Dear anh  @Nguyễn Văn Dũng  , nhờ anh cấp giúp em quyền đọc cho user  omc_mtp_merchant_loyalty  vào bảng sau: data_platform.mvp_voucher_issued_serials
data_platform.mvp_voucher_ticket URI:  tidb.int.onemount.dev:4000 Schema:  data_platform Best regards Dinh Quang Nguyen</t>
  </si>
  <si>
    <t>[OM][Shrink disk] Shrink disk instance postgres project vinid-service-platform-prod</t>
  </si>
  <si>
    <t>2025-07-18T10:10:50.301+0700</t>
  </si>
  <si>
    <t>2025-07-28T09:27:28.859+0700</t>
  </si>
  <si>
    <t>Project: vinid-service-platform-prod instance:  https://console.cloud.google.com/sql/instances/postgres-01/overview?inv=1&amp;invt=Ab3DCg&amp;project=vinid-service-platform-prod Disk: 600GB về 150GB</t>
  </si>
  <si>
    <t>[OMD][Kafka][Prod] Tạo kafka topic cho các bảng của WMS cho kho MES_2D_025</t>
  </si>
  <si>
    <t>2025-07-17T17:08:37.953+0700</t>
  </si>
  <si>
    <t>2025-07-18T11:05:26.506+0700</t>
  </si>
  <si>
    <t>Dear team DBA, Hiện tại OMD có nhu cầu kéo dữ liệu của kho MES_2D_025 về DP để xây dựng báo cáo ạ, nhờ anh Linh và team giúp em tạo kafka topic cho bảng theo thông tin dưới đây ạ. PROD: Project: vinid-b2b-platform-prod IP host: 172.31.4.59:3306 (mysql) Schema:  omd_wms_mes_2d_025 Tables: report_order_item
report_warehouse_order_header
report_warehouse_order_item
report_warehouse_stock_item
report_wave_header
wave_order_header
wave_order_item
whse_order_hdr
whse_order_item Thanks and regards! cong.do1</t>
  </si>
  <si>
    <t>CLONE - [Dremio] Xin phân quyền truy cập vào database: bo, reconciliation</t>
  </si>
  <si>
    <t>2025-07-17T16:31:45.543+0700</t>
  </si>
  <si>
    <t>2025-07-17T16:31:56.751+0700</t>
  </si>
  <si>
    <t xml:space="preserve">Dear anh, Em cần phân quyền cho user:  ngoc.nguyen25@onemount.com  vào db trên dremio:  "tidb_ods"."vinpay_prod_low_performance_ops_pay_service" Mục đích: Hiện em là owner service ops nên em cần vào để check các nghiệp vụ liên quan </t>
  </si>
  <si>
    <t>[OMC][ServicePlatform][PROD] Xóa data bảng data bảng user_log</t>
  </si>
  <si>
    <t>2025-07-17T12:41:51.501+0700</t>
  </si>
  <si>
    <t>2025-07-18T11:02:49.437+0700</t>
  </si>
  <si>
    <t>Dear anh Linh, Nhờ anh hỗ trợ xóa data bảng user_log, do bảng này có dung lương khá lớn 75GB Check thực trạng sử dụng hiện tại bảng này cũng lưu lại user log của user và không còn data đổ vào từ 6/2023 Phương án đề xuất: Thời gian thực hiện 22h ngày 17/07/2025 Xóa đi 100 Triệu bản ghi cũ nhất Dữ liệu không cần back up Xóa số lượng bản ghi với size tăng dần để theo dõi thêm về thời gian cũng như tải của DB Script: Xóa 10K bản ghi đầu tiên DELETE FROM user_log where id &lt; 10000; Xóa 100K bản ghi đầu tiên DELETE FROM user_log where id &lt; 100000; Xóa 1 Triệu bản ghi đầu tiên DELETE FROM user_log where id &lt; 1000000; Xóa 10 Triệu bản ghi đầu tiên DELETE FROM user_log where id &lt; 10000000; Xóa 100 Triệu bản ghi đầu tiên</t>
  </si>
  <si>
    <t>[NonPROD][CDP] Cung cấp account access data UAT của dự án CDP(CBP OMRE)</t>
  </si>
  <si>
    <t>2025-07-17T11:48:03.094+0700</t>
  </si>
  <si>
    <t>2025-07-18T09:27:40.685+0700</t>
  </si>
  <si>
    <t>Dear anh Khanh và team DBA. Ở dự án CDP em đang cần kéo dữ liệu trên môi trường Non PROD. Nhờ team hỗ trợ cung cấp account database giúp em theo thông tin sau: Host: 172.31.0.67 Port: 3306 Quyền: view Phạm vi truy cập: Toàn bộ schema omre_cbp_agent_core_uat, omre_cbp_collab_uat, omre_cbp_activity_uat Name account: data_ingestion Host: 10.255.134.172 Port: 27017 Phạm vi truy cập: Toàn bộ schema omre_cbp_listing_uat Name account: data_ingestion Em xin cảm ơn.</t>
  </si>
  <si>
    <t>[OM][Shrink disk] Shrink disk instance postgres project vinid-b2b-platform-prod</t>
  </si>
  <si>
    <t>2025-07-17T09:14:29.467+0700</t>
  </si>
  <si>
    <t>2025-07-17T09:22:34.385+0700</t>
  </si>
  <si>
    <t>Project: vinid-b2b-platform-prod instance:  https://console.cloud.google.com/sql/instances/postgre-13-core-services/system-insights?inv=1&amp;invt=Ab09Dw&amp;project=vinid-b2b-platform-prod Disk: 4000GB về 350GB</t>
  </si>
  <si>
    <t>[OM][Shrink disk] Shrink disk instance postgres omc-base-platform-prod</t>
  </si>
  <si>
    <t>2025-07-17T09:14:12.048+0700</t>
  </si>
  <si>
    <t>2025-07-28T09:27:26.460+0700</t>
  </si>
  <si>
    <t>Project: omc-base-platform-prod instance:  https://console.cloud.google.com/sql/instances/omc-authentication/overview?inv=1&amp;invt=Ab0kqQ&amp;project=omc-base-platform-prod disk: 1200GB về 300GB instance:  https://console.cloud.google.com/sql/instances/postgre-14/overview?inv=1&amp;invt=Ab0kqQ&amp;project=omc-base-platform-prod disk: 2800GB về 450GB</t>
  </si>
  <si>
    <t>[OM][Shrink disk] Shrink disk instance postgres onemg-dp-prod</t>
  </si>
  <si>
    <t>2025-07-17T09:13:55.126+0700</t>
  </si>
  <si>
    <t>2025-07-28T09:27:23.901+0700</t>
  </si>
  <si>
    <t>Project: onemg-dp-prod instance:  https://console.cloud.google.com/sql/instances/main-postgres/overview?inv=1&amp;invt=Ab0kqQ&amp;project=onemg-dp-prod disk: 3900GB về 450GB</t>
  </si>
  <si>
    <t>[OM][Shrink disk] Shrink disk instance postgres project om-common-db-np</t>
  </si>
  <si>
    <t>2025-07-17T09:13:18.098+0700</t>
  </si>
  <si>
    <t>2025-07-17T09:15:41.821+0700</t>
  </si>
  <si>
    <t>Shrink disk các instance postgres Project: om-common-db-np instance:  https://console.cloud.google.com/sql/instances/postgre-14/overview?inv=1&amp;invt=Ab0kqQ&amp;project=om-common-db-np Disk: 4000GB về 500GB</t>
  </si>
  <si>
    <t>[OM][Shrink disk] Shrink disk các instance cloudsql database và VM instance</t>
  </si>
  <si>
    <t>2025-07-17T09:11:54.725+0700</t>
  </si>
  <si>
    <t>2025-09-01T23:40:54.312+0700</t>
  </si>
  <si>
    <t>Shrink disk các instance cloudsql database và VM instance đang dư thừa dung lượng</t>
  </si>
  <si>
    <t>2025-07-16T21:24:18.959+0700</t>
  </si>
  <si>
    <t>2025-07-16T21:24:28.217+0700</t>
  </si>
  <si>
    <t>Nhờ a chạy giúp em file script sau ạ ở ODS Prod ạ: DB:  tidb.int.onemount.com:4000 Schema:  dp_omc_semantic_omc_bsi_cdp Em cảm ơn ạ</t>
  </si>
  <si>
    <t>2025-07-16T17:58:27.620+0700</t>
  </si>
  <si>
    <t>2025-07-16T18:00:27.752+0700</t>
  </si>
  <si>
    <t>TMS đang thực hiện xóa data định kỳ, nhưng job xóa bị lỗi nên cần update status để tạo job khác, nên nhờ a/e dba support chạy script sql update, cụ thể như bên dưới update FNCL_QUE_T set STAT_ENU = 3 where QUE_ID in  (8031);</t>
  </si>
  <si>
    <t>[TMS][Prod] Execute sql Cập nhật và đồng nhất danh sách lý do hủy hẹn cho OD và T1</t>
  </si>
  <si>
    <t>2025-07-16T17:31:13.329+0700</t>
  </si>
  <si>
    <t>2025-07-16T17:57:44.108+0700</t>
  </si>
  <si>
    <t>Theo yêu cầu thay đổi thông tin Reason(inactive, rename) từ ticket:  https://vinid-team.atlassian.net/browse/TM1D-12620 Nhờ team thực hiện chạy update sql cho các database sau theo: Thực hiện 22h ngày 16/07/2025 Database  bytm_prod  (Oracle instance on GCE oracle-primary (Private IP: 10.255.24.170) (see attachments) (theo thứ tự) tms_by_UpdateReason.sql Databasse:  omd_tms_onedrive_prod (SQL instance tms-mysql-01 (Private IP: 172.31.4.129) https://console.cloud.google.com/sql/instances/tms-mysql-01/overview?project=onedc-tms-prod ): omd_tms_onedriver_UpdateReason.sql</t>
  </si>
  <si>
    <t>[VCM] Cập nhật lại trạng thái đơn hàng 16/07/2025</t>
  </si>
  <si>
    <t>2025-07-16T17:09:56.016+0700</t>
  </si>
  <si>
    <t>2025-07-16T17:15:31.077+0700</t>
  </si>
  <si>
    <t>Nhờ các anh DBA hỗ trợ chạy các script dưới đây: Database  vincart_mm_order IP:  172.31.1.41 Script migrate update thông tin đơn hàng trên bảng  orders : UPDATE vincart_mm_order.orders o, vincart_mm_order.serial_fulfillment_items sfi
SET  o.status = 'FINISHED', o.fulfillment_status = 'SHIPPED'
WHERE o.merchant_id = 344615 and o.payment_status  = 'PAID' and o.status  = 'ACTIVE' 
and o.created_at &gt;= '2025-07-16 00:00:00' and o.created_at &lt;= '2025-07-16 23:59:59' and sfi.order_id = o.id and sfi.serial_code is not null;
UPDATE vincart_mm_order.orders o, vincart_mm_order.serial_fulfillment_items sfi
SET  o.payment_status = 'PAID'
WHERE o.merchant_id = 344615 and o.status in ('FINISHED', 'FINALIZED') and o.fulfillment_status  = 'SHIPPED' and o.status = 'UNPAID'
and o.created_at &gt;= '2025-07-16 00:00:00' and o.created_at &lt;= '2025-07-16 23:59:59' and sfi.order_id = o.id and sfi.serial_code is not null; CR:  https://vinid-team.atlassian.net/browse/SH-65980</t>
  </si>
  <si>
    <t>2025-07-16T16:41:57.037+0700</t>
  </si>
  <si>
    <t>2025-07-16T17:07:32.786+0700</t>
  </si>
  <si>
    <t>Dear anh Dương, Anh chạy giúp em sql script trong file ạ. Mục đích là để insert thông tin về authentication của  LITE_POS  , dữ liệu được dùng để validate token khi client call vào ESB  Thông tb db : schema: b2b_esb project: onemg-integration-platform-prd instance: main Master IP: 172.31.1.118 Thời gian cập nhật  16/07/2025 22:00:00 Thanks anh ạ!!!!</t>
  </si>
  <si>
    <t>[OMC][DP][Kafka] Update config sink-uri for parameter number-partition TiCDC produce from TiDB to Kafka OMC and OMD PROD</t>
  </si>
  <si>
    <t>2025-07-16T14:55:49.321+0700</t>
  </si>
  <si>
    <t>2025-07-21T16:05:55.999+0700</t>
  </si>
  <si>
    <t>Cập nhật tham số  partition-num=3&amp;partition-rule=none  cho config sink-uri thay cho value default</t>
  </si>
  <si>
    <t>[MTP][Postgres] Request chạy script db postgres</t>
  </si>
  <si>
    <t>2025-07-16T14:40:01.090+0700</t>
  </si>
  <si>
    <t>2025-07-16T14:40:39.493+0700</t>
  </si>
  <si>
    <t>Ticket:  https://vinid-team.atlassian.net/browse/TCW-3519 Nhờ anh chạy giúp em script sau: IP:  172.31.3.49:5432 DB:  mtp_audience_management Script: INSERT INTO segments (type, status, description, hash, level_1, level_2, level_3, level_4, segment_config, data_source_id)
VALUES 
(
  'STANDARD', 'ACTIVE',
  'Khách hàng đã từng sử dụng dịch vụ tại Vinpearl. Khách hàng có hành vi mua vé vui chơi thuộc cate VinWonders /Điểm tham quan HOT/ Xe bus 2 tầng trên tính năng Mua Vé. Khách hàng đã từng đổi điểm/nhận/mua/sử dụng Voucher liên quan đến du lịch/điểm tham quan/xe bus/sự kiện âm nhạc tại Đà Nẵng, Đà Lạt. Khách hàng đã từng Mua vé xe khách trên app. Khách hàng đã từng Mua vé xe khách trên app.',
  '3da614de4459166bec912f0d1451c5f1b37a56314247e6c3895da602d8001ec2', 
  'Sở thích',
  'Du lịch', 
  'Đi du lịch', 
  NULL, 
  '{"AND":[{"AND":[{"label_code":"st_didulich","operator":"=","data_type":"INT","value":1}]}]}',2
),
(
  'STANDARD', 'ACTIVE',
  'Khách hàng có sở thích đến các địa điểm tham quan: Có hành vi mua vé thuộc cate Điểm tham quan HOT trên tính năng Mua Vé như vui chơi tại thủy cung, công viên nước....',
  '133376d59471efd574ee7c26e157dacfe94eb2f429454bef65acaf45e0a4230a', 
  'Sở thích',
  'Du lịch', 
  'Địa điểm tham quan', 
  NULL, 
  '{"AND":[{"AND":[{"label_code":"st_dithamquan","operator":"=","data_type":"INT","value":1}]}]}',2
),
(
  'STANDARD', 'ACTIVE',
  'Thông qua hành vi đã mua sắm tại WM/WM+/Hành vi sử dụng tính năng Mua Sắm (cũ) trên VinID: Khách hàng đã từng mua bia, rượu',
  '3648bce456df858d0e7fbfdba029340d8e427e18e4d77e1a4b9db46b4a81cd0f', 
  'Sở thích',
  'Ăn uống', 
  'Bia rượu', 
  NULL, 
  '{"AND":[{"AND":[{"label_code":"st_anuong_biaruou","operator":"=","data_type":"INT","value":1}]}]}',2
),
(
  'STANDARD', 'ACTIVE',
  'Thông qua hành vi đã mua sắm tại WM/WM+/Hành vi sử dụng tính năng Mua Sắm trên OneU: Khách hàng đã từng mua các loại thực phẩm cao cấp (trái cây nhập khẩu, cá hồi, thịt nhập khẩu, các loại mặt hàng nhập khẩu,...)',
  '17099290b71d299f2aaffd091329581e1dc52ff376ef9bd0a237e2883a2d80be', 
  'Sở thích',
  'Ăn uống', 
  'Thực phẩm cao cấp', 
  NULL, 
  '{"AND":[{"AND":[{"label_code":"st_anuong_thucphamcaocap","operator":"=","data_type":"INT","value":1}]}]}',2
),
(
  'STANDARD', 'ACTIVE',
  'Thông qua hành vi đã mua sắm tại WM/WM+/Hành vi sử dụng tính năng Mua Sắm (cũ) trên VinID: Khách hàng đã từng mua cafe, trà. Thông qua hành vi lấy/sử dụng Voucher: Khách hàng đã từng lấy các loại Voucher liên quan đến Cafe, Trà',
  'ac1de75e07fdec50655df53d00ce0b93791b4dbf99d4a5224d1451b22a9a274f', 
  'Sở thích',
  'Ăn uống', 
  'Cafe &amp; Trà', 
  NULL, 
  '{"AND":[{"AND":[{"label_code":"st_anuong_cafebanhngot","operator":"=","data_type":"INT","value":1}]}]}',2
);
insert into label_segment (label_code, segment_id) values 
('st_didulich', 130),
('st_dithamquan', 131),
('st_anuong_biaruou', 132),
('st_anuong_thucphamcaocap', 133),
('st_anuong_cafebanhngot', 134);</t>
  </si>
  <si>
    <t>[OMC][Loyalty MFT] VCM - Cập dữ liệu voucher ticket</t>
  </si>
  <si>
    <t>2025-07-16T14:23:48.943+0700</t>
  </si>
  <si>
    <t>2025-07-16T14:27:32.282+0700</t>
  </si>
  <si>
    <t>Theo yêu cầu từ phía đội vận hành   , nhờ team DBA hỗ trợ giúp ạ. Thông tin GCP project : vinid-loyalty-prod Instance name : onevoucher Instance IP : 172.31.4.126 Database : onevc_vsm_prod Query UPDATE ticket
SET use_case = 'VOUCHER_QR'
WHERE sale_code IN ('VD_VC_1748407610454', 'PV_GIFTTCBLOUNGECXO_170625'); Thanks.</t>
  </si>
  <si>
    <t>[OMC][Loyalty MFT] VCM - Cập dữ liệu stock voucher cho hệ thống VCM</t>
  </si>
  <si>
    <t>2025-07-16T12:11:18.060+0700</t>
  </si>
  <si>
    <t>2025-07-16T14:26:01.909+0700</t>
  </si>
  <si>
    <t>Trong quá trình vận hành sản phẩm, phát sinh lỗi dữ liệu không đồng bộ cần được cập nhật lại dữ liệu theo CR   , nhờ team DBA hỗ trợ giúp ạ. Thông tin GCP project : vinid-loyalty-prod Instance name : onevoucher Instance IP : 172.31.4.126 Database : onevc_vsm_prod onevc_vwm_prod Query : file đính kèm File  SH_65980_sale.sql  chạy cho db  onevc_vsm_prod File  SH_65980_warehouse.sql  chạy cho db  onevc_vwm_prod</t>
  </si>
  <si>
    <t>Hỗ trợ tạo dữ liệu mở mới kho MES_2D_027 - Ngô Thị Lý</t>
  </si>
  <si>
    <t>2025-07-16T12:06:46.829+0700</t>
  </si>
  <si>
    <t>2025-07-16T17:28:18.615+0700</t>
  </si>
  <si>
    <t>Hi DBA team,  Hiện tại nghiệp vụ có nhu cầu mở mới kho MES_2D_027 - Ngô Thị Lý,  nhờ team DBA hỗ trợ cập nhật giá trị theo thông tin dưới đây   Cụm WMS Project : vinid-b2b-platform-prod Instance/IP : main (read-write): 172.31.4.59 Port : 3306 Database : omd_wms_core Script : file  omd_wms_core_2d_027.sql  trong file đính kèm Cum WES Project : vinid-b2b-platform-prod Instance/IP : main (read-write): 172.31.1.143 Port : 3306 Database : wes_master Script : file  wes_master_2d_027.sql  trong file đính kèm Câu query đánh giá là có thể ảnh hưởng đến vận hành hệ thống nên mong muốn chạy vào thời gian vận hành thấp điểm (từ 22h-2h sáng).</t>
  </si>
  <si>
    <t>[OMRE][CBP][nonPROD] Tạo mongo-user có quyền read-only với các database của dự án omre-cbp</t>
  </si>
  <si>
    <t>2025-07-16T11:43:34.813+0700</t>
  </si>
  <si>
    <t>2025-07-16T11:45:56.472+0700</t>
  </si>
  <si>
    <t>Trao đổi:  https://chat.google.com/room/AAAAjl1rNV0/DDun1BT6tNI/DDun1BT6tNI?cls=10 Nhờ team DBA tạo giúp em mongo user: DB: mongos-ilb-2.int.onemount.dev:27017 user: omre_cbp_readonly pass: Team DBA gen giúp em Quyền với các database: omre_cbp*</t>
  </si>
  <si>
    <t>2025-07-16T10:44:12.960+0700</t>
  </si>
  <si>
    <t>2025-07-16T10:44:26.694+0700</t>
  </si>
  <si>
    <t>Dear team,  Hiện tại đang có issue khách hàng báo chuyến đi đã kết thúc thành công nhưng app vẫn báo đang trong chuyến nên không đặt được chuyến mới. https://chat.google.com/room/AAAAH-v7fB4/S2WO7VCyqiM/S2WO7VCyqiM?cls=10 Nguyên nhân là do bên GSM bắn thiếu event FINISHED chuyến nên không hoàn thành chuyến được. Nhờ team update giúp thông tin chuyến đi của users. Thông tin update: Instants:  https://console.cloud.google.com/sql/instances/main/overview?hl=en&amp;inv=1&amp;invt=Ab2uZw&amp;project=vincart-prod Database name: booking_transportation Query: update trips set status = "FINISHED"
where vinid_user_id = 13747 and status = "JOURNEY" Em cảm ơn!</t>
  </si>
  <si>
    <t>[OMC][PS2][Loyalty][PROD] - Thực hiện insert data yêu cầu chạy Campaign của TCB 16-07-2025</t>
  </si>
  <si>
    <t>2025-07-16T10:18:24.261+0700</t>
  </si>
  <si>
    <t>2025-07-16T10:54:13.720+0700</t>
  </si>
  <si>
    <t>Dear DBA team, Nhờ team chạy các file sql scripts đính kèm trên môi trường PROD của DB loyalty oracle IP: 10.255.23.119 Service name: oneloyaltydb Port: 1521 schema app: OLOYALT Lệnh kiểm tra sau khi chạy xong các sripts: select /*+ parallel(8) */ count(1) 
  from oloyalty.member_attribute 
  where value = 'NTB2025' and program_attribute_id = 143 and id &gt; 1258300515;
select /*+ parallel(8) */ count(1) 
  from oloyalty.member_attribute 
  where value = 'STW_WEEKLY_WINNER' and program_attribute_id = 423 and id &gt; 1258300515; CR:    Thanks!</t>
  </si>
  <si>
    <t>[PROD] Hỗ trợ cập nhật DB</t>
  </si>
  <si>
    <t>2025-07-15T17:22:38.401+0700</t>
  </si>
  <si>
    <t>2025-07-15T17:34:16.946+0700</t>
  </si>
  <si>
    <t>Dear anh  @Nguyễn Văn Dũng  , Nhờ a thực hiện update bản ghi giúp em ạ, thông tin DB Postgres mtp_audience_management POSTGRES_HOST: 172.31.3.49
POSTGRES_PORT: "5432" Thanks.</t>
  </si>
  <si>
    <t>[OMC][MCL] Tạo DB Schema và cung cấp user service cho Merchant Loyalty</t>
  </si>
  <si>
    <t>2025-07-15T15:45:53.573+0700</t>
  </si>
  <si>
    <t>2025-07-24T09:23:23.668+0700</t>
  </si>
  <si>
    <t>Dear anh  @Nguyễn Văn Dũng  , nhờ anh tạo giúp em DB Schema mới và tài khoản user service trên OMC-TiDB với ạ. URI:  omc-mtp-tidb.int.onemount.com:4000 DB Schema:  omc_merchant_loyalty Best regards Dinh Quang Nguyen</t>
  </si>
  <si>
    <t>2025-07-15T15:43:48.902+0700</t>
  </si>
  <si>
    <t>2025-07-15T16:01:06.216+0700</t>
  </si>
  <si>
    <t>Agent_management</t>
  </si>
  <si>
    <t>URL:  mysql://omre-onehs-mysql-main.int.onemount.com:3306/onehs_dictionary Query: UPDATE HIGH_RISE_PROPERTIES SET floor_id="04d1946a-881f-312f-004f-a6728d680fb0" WHERE id="f7380c80-c79a-4942-94ee-61d08f1d3ea1";  </t>
  </si>
  <si>
    <t>2025-07-15T14:58:51.116+0700</t>
  </si>
  <si>
    <t>2025-07-21T11:04:32.648+0700</t>
  </si>
  <si>
    <t>Các bảng cần move data sang COLD, sau đó archive lên GCS: TRANSACTION_HISTORY_ATTRIBUTE TRANSACTION_HISTORY POINT_TRANSACTION COUNTER_TRANSACTION_HISTORY</t>
  </si>
  <si>
    <t>[OMC][GAMI][PS2][Prod] Hỗ trợ xuất báo cáo vé tuần cho campaign Spin to Win tuần 12</t>
  </si>
  <si>
    <t>2025-07-15T14:42:25.395+0700</t>
  </si>
  <si>
    <t>2025-07-15T14:43:41.835+0700</t>
  </si>
  <si>
    <t>Hỗ trợ xuất báo cáo vé tuần cho campaign Spin to Win tuần 12 Host:  172.31.4.75 Db:  promo_gamezone Query: SELECT SUM(claim_amount) FROM `rule_logs` WHERE campaign_id = 48 &amp;&amp; reward_type='TURN' &amp;&amp; `status` = 'SUCCESS';
SELECT COUNT(DISTINCT(user_id)) FROM `rule_logs` WHERE campaign_id = 48 &amp;&amp; reward_type='TURN' &amp;&amp; `status` = 'SUCCESS';</t>
  </si>
  <si>
    <t>2025-07-15T14:28:15.004+0700</t>
  </si>
  <si>
    <t>2025-07-21T11:05:34.059+0700</t>
  </si>
  <si>
    <t>Giữ nguyên các partition,chỉ DELETE xóa data theo điều kiện where là:  status = 'F'  and transaction_time đủ full  1 tháng  gần nhất Ví dụ, hiện tại tháng 7/2025, thì sẽ thực hiện DELETE Xóa data có: status = 'F' and transaction_time &lt; to_date('01/06/2025','dd/MM/yyyy')</t>
  </si>
  <si>
    <t>2025-07-15T14:27:35.374+0700</t>
  </si>
  <si>
    <t>2025-07-15T14:28:46.368+0700</t>
  </si>
  <si>
    <t>archive dữ liệu history cho các bảng KAFKA_ , TIER_HISTORY KAFKA_AUDIT_TRAIL_PRODUCT_INFO KAFKA_AUDIT_TRAIL_CARD_INFO KAFKA_AUDIT_TRAIL_CUSTOMER_PROFILE KAFKA_AUDIT_TRAIL_EARN_TRANSACTION KAFKA_AUDIT_TRAIL_EARN_EVENT TIER_HISTORY</t>
  </si>
  <si>
    <t>[OMC][PS2][Loyalty][PROD] - Thực hiện archive dữ liệu history cho DB Loyalty - Tháng 7/2025</t>
  </si>
  <si>
    <t>2025-07-15T14:24:47.536+0700</t>
  </si>
  <si>
    <t>2025-07-21T11:05:51.454+0700</t>
  </si>
  <si>
    <t xml:space="preserve">Team DBA cần thực hiện archive dữ liệu lịch sử của 1 số bảng lớn trong DB LOYALTY, để tối ưu dung lượng lưu trữ data , tránh để data lưu trữ quá lớn trong DB dẫn tới chi phí phần cứng tăng và giảm hiệu suất IO khi truy xuất data lớn. Quy định về thời gian lưu trữ data (dự án đã confirm với TCB qua email): Live data tier: không TTL expired bất kể dữ liệu nào Backup tier: Thực hiện backup full 2 lần/tuần và incremental các ngày còn lại Archiving tier:  Dữ liệu Archive được thực hiện 6 tháng/lần và store với retention là 365 days Kế hoạch thực hiện archive dữ liệu history của DB Loyalty , thực hiện trong  tháng 7 năm 2025 Các bảng cần lưu trữ data và thực hiện xóa data history: Tables Partition column Life time Note KAFKA_AUDIT_TRAIL_PRODUCT_INFO CREATED_AT 1 month   KAFKA_AUDIT_TRAIL_CARD_INFO CREATED_AT 1 month   KAFKA_AUDIT_TRAIL_CUSTOMER_PROFILE CREATED_AT 1 month   KAFKA_AUDIT_TRAIL_EARN_TRANSACTION CREATED_AT 1 month   KAFKA_AUDIT_TRAIL_EARN_EVENT CREATED_AT 1 month   TIER_HISTORY CREATED_AT 6 month   POINT_TRANSACTION_ACCOUNT_BALANCE CREATED_AT 6 month Từ tháng 5/2025,  tạm dừng ko xóa data history bảng này nữa , để CNSP review lại xem có dùng dữ liệu quá 6 tháng ko? PAY_WITH_POINT_TRANSACTION_HISTORY TRANSACTION_TIME Giữ nguyên các partition,chỉ DELETE xóa data theo điều kiện where là:  status = 'F'  and transaction_time đủ full  1 tháng  gần nhất Ví dụ, hiện tại tháng 7/2025, thì sẽ thực hiện DELETE Xóa data có: status = 'F' and transaction_time &lt; to_date('01/06/2025','dd/MM/yyyy') TRANSACTION_HISTORY_ATTRIBUTE CREATED_AT 3 month Tháng hiện tại là tháng n. Trên DB chính PROD (HOT), giữ lại data đầy đủ của 3 tháng gần nhất (tháng thứ n-1,n-2,n-3 sau tháng hiện tại). Các data tháng thứ n-4,n-5,n-6 sau tháng n hiện tại thì chuyển sang db COLD.) Ví dụ, hiện tại là tháng 7/2025, thì data giữ lại ở db chính PROD là tháng 6/2025, 5/2025, 4/2025. Các tháng 3/2025, 2/2025, 1/2025 sẽ khai thác trên db COLD. TRANSACTION_HISTORY TRANSACTION_TIME 6 month Trên môi trường PROD (HOT), Giữ lại data đầy đủ của 6 tháng gần nhất. (tháng n-1, n-2, n-3, n-4, n-5, n-6). Trên môi trường COLD, sẽ có data lịch sử (history), không bao gồm data các tháng n, n-1, n-2, n-3, n-4, n-5, n-6. Ví dụ, hiện tại là tháng 7/2025, thì data giữ lại ở db chính PROD là tháng 6/2025, 5/2025, 4/2025, 3/2025, 2/2025, 1/2025. Các tháng lịch sử khác (history) sẽ khai thác trên db COLD. POINT_TRANSACTION TRANSACTION_TIME 6 month Trên môi trường PROD (HOT), Giữ lại data đầy đủ của 6 tháng gần nhất. (tháng n-1, n-2, n-3, n-4, n-5, n-6). Trên môi trường COLD, sẽ có data lịch sử (history), không bao gồm data các tháng n, n-1, n-2, n-3, n-4, n-5, n-6. Ví dụ, hiện tại là tháng 7/2025, thì data giữ lại ở db chính PROD là tháng 6/2025, 5/2025, 4/2025, 3/2025, 2/2025, 1/2025. Các tháng lịch sử khác (history) sẽ khai thác trên db COLD. COUNTER_TRANSACTION_HISTORY CREATED_AT 6 month Trên môi trường PROD (HOT), Giữ lại data đầy đủ của 6 tháng gần nhất. (tháng n-1, n-2, n-3, n-4, n-5, n-6). Trên môi trường COLD, sẽ có data lịch sử (history), không bao gồm data các tháng n, n-1, n-2, n-3, n-4, n-5, n-6. Ví dụ, hiện tại là tháng 7/2025, thì data giữ lại ở db chính PROD là tháng 6/2025, 5/2025, 4/2025, 3/2025, 2/2025, 1/2025. Các tháng lịch sử khác (history) sẽ khai thác trên db COLD. select /*+ parallel(8) */ count(*) from OLOYALTY.COUNTER_TRANSACTION_HISTORY; -- Jun25: 1.520.303.133, Jul25: 1.259.376.421 COUNTER_HISTORY CREATED_AT Không xóa data select /*+ parallel(8) */ count(*) from OLOYALTY.COUNTER_HISTORY; -- Jun25: 1.239.192.444, Jul25: 1.241.861.674 Chạy Gather statistic + rebuild index bảng COUNTER_HISTORY Phương án làm archive data cho các bảng này: export các partition vi phạm thời gian lưu trữ data life time ONLINE Lưu trữ các partition đã export lên GCS (thời gian lưu trữ trên GCS là 1 năm). Các dữ liệu nào cần khai thác trên COLD, thì sẽ import sang db COLD. Drop các partition đã export + archived trên DB PROD Chạy lại gather statistic cho bảng vừa drop partition (có thể để DB auto chạy cũng được) Link CR:   </t>
  </si>
  <si>
    <t>Kéo dữ liệu lên ODS ở môi trường non-production phục vụ cho test luồng mới của OMD</t>
  </si>
  <si>
    <t>2025-07-15T11:08:55.595+0700</t>
  </si>
  <si>
    <t>2025-07-19T10:46:46.594+0700</t>
  </si>
  <si>
    <t>Hi anh/chị phụ trách, Để phục cho việc test luồng mới của OMD, nhờ anh/chị kéo dữ liệu lên ODS ở môi trường non-production giúp em với ạ Thông tin cụ thể như sau: ODS "ods-tidb"."omd_vinid_app_common_dev_main_mysql_8_omd_b2b_custom_oms_qc" tables name trong ảnh đính kèm bên dưới Em cảm ơn anh/chị</t>
  </si>
  <si>
    <t>[OMC][GAMI][PS2][Prod] Hỗ trợ xuất báo cáo data of campaign đối soát sau chương trình campaign challenge tháng 6 cho TCB</t>
  </si>
  <si>
    <t>2025-07-15T10:10:18.626+0700</t>
  </si>
  <si>
    <t>2025-07-15T16:43:29.789+0700</t>
  </si>
  <si>
    <t>Hỗ trợ xuất báo cáo data of campaign đối soát sau chương trình campaign challenge tháng 6 cho TCB Host:  172.31.4.75 DB: promo_quest Query SELECT * FROM `campaign_progress` WHERE campaign_id = 38 AND is_finish = 1 AND received_reward = 0;</t>
  </si>
  <si>
    <t>Hỗ trợ tạo dữ liệu mở mới kho MES_2D_026 - Bảo Khang</t>
  </si>
  <si>
    <t>2025-07-15T09:20:09.824+0700</t>
  </si>
  <si>
    <t>2025-07-15T10:30:58.050+0700</t>
  </si>
  <si>
    <t>Hi DBA team,  Hiện tại nghiệp vụ có nhu cầu mở mới kho MES_2D_026 - Bảo Khang,  nhờ team DBA hỗ trợ cập nhật giá trị theo thông tin dưới đây Cụm WMS Project : vinid-b2b-platform-prod Instance/IP : main (read-write): 172.31.4.59 Port : 3306 Database : omd_wms_core Script : file  omd_wms_core_2d_026.sql  trong file đính kèm Cum WES Project : vinid-b2b-platform-prod Instance/IP : main (read-write): 172.31.1.143 Port : 3306 Database : wes_master Script : file  wes_master_2d_026.sql  trong file đính kèm Câu query đánh giá là có thể ảnh hưởng đến vận hành hệ thống nên mong muốn chạy vào thời gian vận hành thấp điểm (từ 22h-2h sáng).</t>
  </si>
  <si>
    <t>[VINSHOP] Import data vào bảng integrated_users trên DB merchant_notification</t>
  </si>
  <si>
    <t>2025-07-14T17:48:36.604+0700</t>
  </si>
  <si>
    <t>2025-07-14T17:56:21.691+0700</t>
  </si>
  <si>
    <t>Dear a Linh,  Bên em có nhu cầu cho service bên litepos tích hợp với service vinshop-notification nên cần sinh ra 1 cặp basic auth mới nên có nhu cầu update data vào bảng integrated_users. Vì có chứa dữ liệu nhạy cảm nên em sẽ gửi câu query qua mail ạ  DB_MYSQL_HOST=172.31.1.44
DB_MYSQL_DATABASE=merchant_notification</t>
  </si>
  <si>
    <t>[TMS][PROD]Count data cần xóa - Purge trên production</t>
  </si>
  <si>
    <t>2025-07-14T17:40:06.757+0700</t>
  </si>
  <si>
    <t>2025-07-14T17:50:38.262+0700</t>
  </si>
  <si>
    <t>TMS đang plan thực hiện xóa data định kỳ nên nhờ a/e dba support count data cần xóa theo khoảng time, cụ thể như query bên dưới Purge Audit Data
	AUDT_CTL_T
		select count(*) 
		from AUDT_CTL_T  
        where AUDT_SYS_DTT &lt;= to_date('2024-07-01 00:00:00' , 'YYYY-MM-DD HH24:MI:SS');
	AUDT_CHRG_DETL_T
		select count(*) 
		from AUDT_CHRG_DETL_T  
        where AUDT_SYS_DTT &lt;= to_date('2024-07-01 00:00:00' , 'YYYY-MM-DD HH24:MI:SS');
	AUDT_CHRG_OVRD_T
	    select count(*) 
		from AUDT_CHRG_OVRD_T  
        where AUDT_SYS_DTT &lt;= to_date('2024-07-01 00:00:00' , 'YYYY-MM-DD HH24:MI:SS');
	AUDT_EXTL_COST_T
		select count(*) 
		from AUDT_EXTL_COST_T  
        where AUDT_SYS_DTT &lt;= to_date('2024-07-01 00:00:00' , 'YYYY-MM-DD HH24:MI:SS');
	AUDT_LD_LEG_T
		select count(*) 
		from AUDT_LD_LEG_T  
        where AUDT_SYS_DTT &lt;= to_date('2024-07-01 00:00:00' , 'YYYY-MM-DD HH24:MI:SS');
	AUDT_LD_LEG_SCHD_T
		select count(*) 
		from AUDT_LD_LEG_SCHD_T  
        where AUDT_SYS_DTT &lt;= to_date('2024-07-01 00:00:00' , 'YYYY-MM-DD HH24:MI:SS');
	AUDT_RSRC_T
        select count(*) 
        from AUDT_RSRC_T  
        where AUDT_SYS_DTT &lt;= to_date('2024-07-01 00:00:00' , 'YYYY-MM-DD HH24:MI:SS');
	AUDT_LD_LEG_DETL_T
        select count(*) 
        from AUDT_LD_LEG_DETL_T  
        where AUDT_SYS_DTT &lt;= to_date('2024-07-01 00:00:00' , 'YYYY-MM-DD HH24:MI:SS');
	AUDT_SHPM_T
        select count(*) 
        from AUDT_SHPM_T  
        where AUDT_SYS_DTT &lt;= to_date('2024-07-01 00:00:00' , 'YYYY-MM-DD HH24:MI:SS');
	AUDT_STOP_T
        select count(*) 
        from AUDT_STOP_T  
        where AUDT_SYS_DTT &lt;= to_date('2024-07-01 00:00:00' , 'YYYY-MM-DD HH24:MI:SS');
	AUDT_TRIP_T
        select count(*) 
        from AUDT_TRIP_T  
        where AUDT_SYS_DTT &lt;= to_date('2024-07-01 00:00:00' , 'YYYY-MM-DD HH24:MI:SS');
Purge Event Notification Data
	EVNT_QUE_T
        select count(*) 
        from EVNT_QUE_T  
        where QUE_DTT &lt;= to_date('2025-04-01 00:00:00' , 'YYYY-MM-DD HH24:MI:SS');
	EVNT_DLVY_T
        select count(*) 
        from EVNT_DLVY_T  
        where CRTD_DTT &lt;= to_date('2025-04-01 00:00:00' , 'YYYY-MM-DD HH24:MI:SS');
Purge Job Server Runs
	JOB_QUE_T	
        select count(*) 
        from JOB_QUE_T  
        where QUE_DTT &lt;= to_date('2025-04-01 00:00:00' , 'YYYY-MM-DD HH24:MI:SS');
	ADTN_DATA_T
        select count(*) 
        from ADTN_DATA_T  
        where CRTD_DTT &lt;= to_date('2025-04-01 00:00:00' , 'YYYY-MM-DD HH24:MI:SS');</t>
  </si>
  <si>
    <t>2025-07-14T16:05:24.306+0700</t>
  </si>
  <si>
    <t>2025-07-14T16:31:49.488+0700</t>
  </si>
  <si>
    <t>Dear team, Do OPS chưa hỗ trợ sửa dữ liệu, nên nhờ team chạy giúp câu lệnh bên dưới để cập nhật lại cho đúng ạ. Thông tin database https://console.cloud.google.com/sql/instances/main/overview?inv=1&amp;invt=Abqw_w&amp;project=vinid-merchant-prod DB_MYSQL_HOST=172.31.1.44
DB_MYSQL_DATABASE=merchant_service Câu lệnh UPDATE
	merchant
SET
	is_sap_debt = TRUE,
	updated_at = now(),
	parent_id = 1062
WHERE
	id = 1302;</t>
  </si>
  <si>
    <t>2025-07-14T14:46:31.690+0700</t>
  </si>
  <si>
    <t>2025-07-14T14:51:39.842+0700</t>
  </si>
  <si>
    <t>Dear team, Do OPS chưa hỗ trợ sửa dữ liệu, nên nhờ team chạy giúp câu lệnh bên dưới để cập nhật lại cho đúng ạ. Thông tin database https://console.cloud.google.com/sql/instances/main/overview?inv=1&amp;invt=Abqw_w&amp;project=vinid-merchant-prod DB_MYSQL_HOST=172.31.1.44
DB_MYSQL_DATABASE=merchant_service Câu lệnh UPDATE
	merchant_tag
SET
	deleted_at = NULL,
	updated_at = now()
WHERE
	deleted_at IS NOT NULL;</t>
  </si>
  <si>
    <t>[OMD][WMS] Hỗ trợ cập nhật tên kho cho kho MES_2D</t>
  </si>
  <si>
    <t>2025-07-14T14:04:59.670+0700</t>
  </si>
  <si>
    <t>2025-07-14T14:07:16.582+0700</t>
  </si>
  <si>
    <t>Hi DBA team, Hiện tại kho C1 của MES_2D cần đổi tên, nhờ team DBA hỗ trợ cập nhật giá trị theo thông tin dưới đây. Project : vinid-b2b-platform-prod Instance/IP : main (read-write): 172.31.1.143 Port : 3306 Database : wes_master UPDATE warehouse w
SET w.name =  CASE  
                        WHEN w.code = 'MES_2D_006' THEN 'NPP Gia Hân' 
                        WHEN w.code = 'MES_2D_015' THEN 'NPP Đông Phong'
                        WHEN w.code = 'MES_2D_021' THEN 'NPP Đoàn Thị Hiền'
                        ELSE w.name
              END 
WHERE w.code IN ('MES_2D_006', 'MES_2D_015', 'MES_2D_021'); Câu query đánh giá là an toàn nên có thể thực hiện cập nhật bất kỳ lúc nào mà không ảnh hưởng đến vận hành hệ thống</t>
  </si>
  <si>
    <t>[EzPay] [ECOM] - Tính năng xem dashboard chỉ số tài chính PGW ECOM  13/07/2025</t>
  </si>
  <si>
    <t>2025-07-13T14:07:48.077+0700</t>
  </si>
  <si>
    <t>2025-07-13T14:07:57.701+0700</t>
  </si>
  <si>
    <t xml:space="preserve">Hi anh Nhờ anh chạy các script sau giúp em trên: PROD  vào lúc  23h59 12/07/2025 ạ Thông tin database: Prod :  pay-tidb.int.onemount.com:4000/saas_tpay Link CR :   </t>
  </si>
  <si>
    <t>[OMC][NONPROD] Request tạo schema cho dự án Health Hub</t>
  </si>
  <si>
    <t>2025-07-13T09:27:11.746+0700</t>
  </si>
  <si>
    <t>2025-07-13T09:27:19.951+0700</t>
  </si>
  <si>
    <t xml:space="preserve">Em chào anh chị, Anh chị tạo giúp em schema cho môi trường non-prod cho service này giúp em với ạ. project: omc-charity-np Instance name: omc-charity-core IP: 172.31.0.71 DB name: fund-core-uat/qc user name: ? password: ? schema:    infrastructure resource:   </t>
  </si>
  <si>
    <t>[OMC][PROD]Giảm cấu hình database winmart</t>
  </si>
  <si>
    <t>2025-07-13T00:10:50.507+0700</t>
  </si>
  <si>
    <t>2025-07-13T00:11:12.255+0700</t>
  </si>
  <si>
    <t>Dear anh Dũng, Dịch vụ winmart hiện tại không còn sử dụng, instance database hiện tại còn ít kết nối và không liên quan đến luồng biz đang chạy, nhờ các anh hỗ trợ giảm cấu hình database cho instance này để tiết kiệm chi phí project: vincart-prod private ip: 172.31.1.119 cấu hình giảm xuống: 2 core 8gb mem Em cảm ơn</t>
  </si>
  <si>
    <t xml:space="preserve">Sao Mộc - Hỗ trợ revoke các user truy cập db RIMs </t>
  </si>
  <si>
    <t>2025-07-12T13:05:32.094+0700</t>
  </si>
  <si>
    <t>2025-08-16T13:10:21.943+0700</t>
  </si>
  <si>
    <t>[OMRE] Phân quyền DML cho account dataplatform_ingestion trên TiDB</t>
  </si>
  <si>
    <t>2025-07-12T12:47:33.516+0700</t>
  </si>
  <si>
    <t>2025-07-12T12:55:07.608+0700</t>
  </si>
  <si>
    <t>OMRE-Customer-Platform</t>
  </si>
  <si>
    <t>Dear anh Nam và team DBA. Nhằm test luồng CDP OMRE trên Non PROD. Em cần phân quyền DML cho account dataplatform_ingestion với schema  omre_cdp_data_from_dp_uat  để tiến hành test migrate data từ DP về TiDB Non PROD ạ. Em xin cảm ơn.</t>
  </si>
  <si>
    <t>[OMRE] Tạo database mới trên TiDB tidb.int.onemount.dev:4000 cho dự án CDP OMRE</t>
  </si>
  <si>
    <t>2025-07-12T09:17:56.684+0700</t>
  </si>
  <si>
    <t>2025-07-12T10:03:40.562+0700</t>
  </si>
  <si>
    <t>Dear anh Nam và team DBA. Nhằm test luồng CDP OMRE trên Non PROD. Team dự án CDP OMRE cần tạo database mới với thông tin như sau: Host: tidb.int.onemount.dev Port: 4000 Tên database: omre_cdp_data_from_dp_uat Và phân thêm quyền DDL cho database này với account data_migration. Em xin cảm ơn.</t>
  </si>
  <si>
    <t>[OMRE] [CBP] Request tạo schema cho dự án CBP - Activity</t>
  </si>
  <si>
    <t>2025-07-11T18:10:12.862+0700</t>
  </si>
  <si>
    <t>2025-07-12T10:53:03.265+0700</t>
  </si>
  <si>
    <t>Repo:   https://gitlab.id.vin/1housing/cbp/apply/backend/activity SAD:    Em chào anh chị, Anh chị tạo giúp em schema cho môi trường non-prod cho service này giúp em với ạ. Tên schema: omre_cbp_activity_uat User: omre_cbp_activity_uat Instance: name:  omre-cbp-mysql8  IP: 172.31.0.67 project: omre-cobroker-np DNS:  omre-cobroker-np--omre-cbp-mysql8.cloudsql.int .</t>
  </si>
  <si>
    <t>[OMC][DP][Kafka][PROD] Hỗ trợ tạo kafka topic cho bảng ở DB promo_rule_engine</t>
  </si>
  <si>
    <t>2025-07-11T18:06:53.763+0700</t>
  </si>
  <si>
    <t>2025-07-11T18:07:23.021+0700</t>
  </si>
  <si>
    <t>Dear anh Linh, Phục vụ nhu cầu kiểm tra thông tin khi có khách hàng khiếu nại và phục vụ kiểm tra dữ liệu các chương trình Gami nhờ anh tạo topic cho những bảng sau: Database:  promo_rule_engine IP:  172.31.4.75 Table: rule_limitation_log Em cảm ơn ạ.</t>
  </si>
  <si>
    <t>Xin cấp quyền truy cập db rims</t>
  </si>
  <si>
    <t>2025-07-11T18:01:39.600+0700</t>
  </si>
  <si>
    <t>2025-07-14T11:35:56.895+0700</t>
  </si>
  <si>
    <t>Dự án Co Broker AI Platform, đang muốn access DB rims  Xin cấp 1 user “co_broker_read” với quyền Read cho toàn bộ table  Host: 172.31.4.18 port: 1433 db: rimsprod</t>
  </si>
  <si>
    <t>[OMC][ONEU] [PROD] Sửa giá trị key REDIS</t>
  </si>
  <si>
    <t>2025-07-11T15:54:39.967+0700</t>
  </si>
  <si>
    <t>2025-07-11T15:54:52.302+0700</t>
  </si>
  <si>
    <t>Dear team DBA Do thay đổi cấu hình dịch vụ của AHAMOVE, nhờ team chạy giúp em câu lệnh sau host :  vincart-prod--cache.memstore.int port : 6379 database : 2 CR:    SET VINCART:MM:ORDER:LOGISTICS:AHAMOVE:TOKEN ""</t>
  </si>
  <si>
    <t>2025-07-11T15:48:18.295+0700</t>
  </si>
  <si>
    <t>2025-07-11T15:48:27.064+0700</t>
  </si>
  <si>
    <t>Hi anh, nhờ anh chạy giúp em script này ở môi trường PRODUCTION theo thông tin dưới đây ạ: Thời gian chạy script:  Khi được approval Thông tin database saas_tpay: mysql://pay-tidb.int.onemount.com:4000/saas_tpay Em gửi script 1.   TCB_DEVICE UPDATE TCB_DEVICE SET device_status = 'ASSIGNED' WHERE device_serial_number IN ('38250330315465','38250330311058','38250330311702','38250330312924','38250330307150'); 2. SOUNDBOX_DEVICE_MAPPING UPDATE SOUNDBOX_DEVICE_MAPPING
    SET MERCHANT_CODE = NULL,
        TCB_TERMINAL_ID = NULL,
        TCB_MERCHANT_ID = NULL,
        TCB_STORE_ID = NULL,
        MC_VA_ACCOUNT = NULL
WHERE DEVICE_ID IN ('SB_MF_38_38250330315465','SB_MF_38_38250330311058','SB_MF_38_38250330311702','SB_MF_38_38250330312924','SB_MF_38_38250330307150'); 3. SOUNDBOX_TERMINAL   Export theo câu querry sau SELECT * FROM SOUNDBOX_TERMINAL WHERE DEVICE_SERIAL_NUMBER IN ('38250330315465','38250330311058','38250330311702','38250330312924','38250330307150'); Chạy sau khi export  DELETE FROM SOUNDBOX_TERMINAL WHERE DEVICE_SERIAL_NUMBER IN ('38250330315465','38250330311058','38250330311702','38250330312924','38250330307150');</t>
  </si>
  <si>
    <t>2025-07-11T15:19:06.585+0700</t>
  </si>
  <si>
    <t>2025-07-12T10:03:36.147+0700</t>
  </si>
  <si>
    <t>[OMRE] [CBP] Tạo user cho database</t>
  </si>
  <si>
    <t>2025-07-11T14:49:40.275+0700</t>
  </si>
  <si>
    <t>2025-07-11T15:17:09.613+0700</t>
  </si>
  <si>
    <t xml:space="preserve">Hi team, nhờ team tạo giúp em user truy cập với thông tin như sau Host :172.31.0.67 Database: omre_cbp_collab_uat User: omre_cbp_collab_uat SAD:    Infrastructure:    Ticket liên quan:  </t>
  </si>
  <si>
    <t>[EzPay] [ECOM] - STAGGING Tính năng xem dashboard chỉ số tài chính PGW ECOM</t>
  </si>
  <si>
    <t>2025-07-11T10:59:54.013+0700</t>
  </si>
  <si>
    <t>2025-07-11T11:00:10.155+0700</t>
  </si>
  <si>
    <t xml:space="preserve">Hi anh Nhờ anh chạy các script sau giúp em trên: Stagging ngay sau khi approve Thông tin database: Stagging : tidb.int.onemount.dev:4000/vinpay_saas_tpay_staging Link CR :   </t>
  </si>
  <si>
    <t>[OMC][PS2][Loyalty][PROD] - Thực hiện insert data yêu cầu chạy Campaign của TCB 10-07-2025</t>
  </si>
  <si>
    <t>2025-07-10T22:16:35.484+0700</t>
  </si>
  <si>
    <t>2025-07-10T22:30:19.370+0700</t>
  </si>
  <si>
    <t>Thực hiện insert data Production cho database loyalty core theo yều từ TCB, mục đích Hỗ trợ triển khai chương trình "Sinh lời trúng lớn" Nhờ team chạy script này trên PROD env của DB loyalty oracle giúp team Loyalty ạ. IP: 10.255.23.119 Service name: oneloyaltydb Port: 1521 schema app: OLOYALTY Link CR:    Thời gian thực hiện:  22h ngày 10/07/2025</t>
  </si>
  <si>
    <t>2025-07-10T16:26:20.739+0700</t>
  </si>
  <si>
    <t>2025-07-10T16:31:12.222+0700</t>
  </si>
  <si>
    <t>Dear anh Dương, Nhờ anh hỗ trợ team chạy câu lênh SQL dưới đây ạ Issuse:  https://chat.google.com/room/AAAAH-v7fB4/sW7WkyeUA30/sW7WkyeUA30?cls=10 Thông tin DB: Project: vincart-prod
IP: 172.31.1.41
DB name: booking_transportation Câu lệnh SQL: START TRANSACTION;
UPDATE `trips`
SET `status` = 'FINISHED', `previous_status` = 'JOURNEY'
WHERE `id` = 47110;
COMMIT;</t>
  </si>
  <si>
    <t>2025-07-10T14:30:04.680+0700</t>
  </si>
  <si>
    <t>2025-07-10T14:30:10.498+0700</t>
  </si>
  <si>
    <t>Dự án Tpay cần cấp tài khoản và 1 thư mục con trong thư mục trong thư mục tpay dành cho đối tác ITO để đọc file từ sFTP server. Thông tin sFTP server cần kết nối đến: Non-prod:  35.229.130.107:2022 Nhờ team support tạo server và cấp account cho dự án. Em tên thư mục và folder ạ. Account: itouat Folder: itouat</t>
  </si>
  <si>
    <t>2025-07-10T09:48:34.494+0700</t>
  </si>
  <si>
    <t>2025-07-10T11:09:48.395+0700</t>
  </si>
  <si>
    <t>CBP_TechCore</t>
  </si>
  <si>
    <t>SAD:    Em chào anh chị, Anh chị tạo giúp em schema cho môi trường non-prod cho service này giúp em với ạ. Tên schema: cbp_raa_uat name:  omre-cbp-mysql8  IP: 172.31.0.67 project: omre-cobroker-np DNS:  omre-cobroker-np--omre-cbp-mysql8.cloudsql.int .</t>
  </si>
  <si>
    <t>[OMC][ONEU] [Prod] Thực hiện thay đổi cấu hình dịch vụ của AHAMOVE</t>
  </si>
  <si>
    <t>2025-07-09T15:35:32.788+0700</t>
  </si>
  <si>
    <t>2025-07-09T15:37:55.166+0700</t>
  </si>
  <si>
    <t>Dear team DBA Do đổi tác AHAMOVE thay đổi cấu hình dịch vụ nên nhờ team hỗ trợ giúp team chạy script sau project: vincart-prod instance: main ip: 172.31.1.41 DB: vincart_mm_merchant UPDATE `delivery_packages` SET code = 'HAN-BIKE' WHERE id = 1</t>
  </si>
  <si>
    <t>[OMC][MTP] Cấp quyền read cho user dremio</t>
  </si>
  <si>
    <t>2025-07-09T15:00:13.772+0700</t>
  </si>
  <si>
    <t>2025-07-09T15:04:19.709+0700</t>
  </si>
  <si>
    <t>Dear anh  @Nguyễn Văn Dũng  , nhờ anh cấp giúp em quyền read cho user dremio sau vào path sau:  "tidb_ods"."dp_omc_semantic_omc_bsi_cdp" sa.dremio.om.mtp-local Best regards Dinh Quang Nguyen</t>
  </si>
  <si>
    <t>[VINIDPAY][PS2][GL] Xin quyền view dữ liệu trên dremio</t>
  </si>
  <si>
    <t>2025-07-09T11:27:21.160+0700</t>
  </si>
  <si>
    <t>2025-07-09T11:27:40.713+0700</t>
  </si>
  <si>
    <t>Hi các anh DBA , Hiện tại team em cần view dữ liệu của GL trên dremio. Data nằm ở tiDB, nhờ các anh add quyền view data giúp em với ạ. user : cuongnv49@onemount.com Thông tin db :  jdbc:mysql://tidb.int.onemount.com:4000/vinpay_vinpay_prod_saas_ps2_general_ledger Thanks kiuu các anh,</t>
  </si>
  <si>
    <t>[LP][Core] - Thực hiện archive card tmp 072025</t>
  </si>
  <si>
    <t>2025-07-09T11:14:04.118+0700</t>
  </si>
  <si>
    <t>2025-07-09T17:43:01.842+0700</t>
  </si>
  <si>
    <t>Dear DBA, Nhờ DBA thực hiện archive dữ liệu bảng CARD_TMP của thệ thống Loyalty core theo logic sau: DELETE FROM OLOYALTY.CARD_TMP ct WHERE CARD_STATUS IN ('B','L','A','U'); Thông tin database: IP: 10.255.23.119 Service name: oneloyaltydb Port: 1521 schema app: OLOYALTY Thanks!</t>
  </si>
  <si>
    <t>[TMS][Prod] Execute sql migration script for Golive TMS Sprint LOG S88 (09/07/2025)</t>
  </si>
  <si>
    <t>2025-07-09T11:04:19.162+0700</t>
  </si>
  <si>
    <t>2025-07-09T22:07:02.710+0700</t>
  </si>
  <si>
    <t>Nhờ team thực hiện migration sql cho các database sau: Thực hiện trước 22h ngày 09/07/2025 Database  bytm_prod  (Oracle instance on GCE oracle-primary (Private IP: 10.255.24.170) (see attachments) (theo thứ tự) tms data proxy - oracle - LOG S88.sql Databasse:  omd_tms_planning_prod (SQL instance tms-mysql-01 (Private IP: 172.31.4.129)  https://console.cloud.google.com/sql/instances/tms-mysql-01/overview?project=onedc-tms-prod ): tms portal - mySQL - LOG S88.sql</t>
  </si>
  <si>
    <t>[OMRE][NONPROD] Request tạo schema cho dự án CBP - listing</t>
  </si>
  <si>
    <t>2025-07-08T22:57:10.904+0700</t>
  </si>
  <si>
    <t>2025-07-08T22:58:06.577+0700</t>
  </si>
  <si>
    <t>SAD:    Em chào anh chị, Anh chị tạo giúp em schema cho môi trường non-prod cho service này giúp em với ạ. Tên schema: omre_cbp_listing_uat name:  omre-cbp-mysql8  IP: 172.31.0.67 project: omre-cobroker-np DNS:  omre-cobroker-np--omre-cbp-mysql8.cloudsql.int .</t>
  </si>
  <si>
    <t>Hỗ trợ tạo dữ liệu mở mới kho 8120 - Hải Dương</t>
  </si>
  <si>
    <t>2025-07-08T22:46:04.672+0700</t>
  </si>
  <si>
    <t>2025-07-08T22:51:41.575+0700</t>
  </si>
  <si>
    <t>Hi DBA team,  Hiện tại nghiệp vụ có nhu cầu mở mới kho 8120 Hải Dương,  nhờ team DBA hỗ trợ cập nhật giá trị theo thông tin dưới đây   Cụm WMS Project : vinid-b2b-platform-prod Instance/IP : main (read-write): 172.31.4.59 Port : 3306 Database : omd_wms_core Script : file  omd_wms_core_8120.sql  trong file đính kèm Cum WES Project : vinid-b2b-platform-prod Instance/IP : main (read-write): 172.31.1.143 Port : 3306 Database : wes_master Script : file  wes_master_8120.sql  trong file đính kèm Câu query đánh giá là có thể ảnh hưởng đến vận hành hệ thống nên mong muốn chạy vào thời gian vận hành thấp điểm (từ 22h-2h sáng).</t>
  </si>
  <si>
    <t>[OMC][NRs][PROD] Update cấu hình cho phép hiển thị sản phẩm hết tồn</t>
  </si>
  <si>
    <t>2025-07-08T22:41:41.524+0700</t>
  </si>
  <si>
    <t>2025-07-08T22:43:34.071+0700</t>
  </si>
  <si>
    <t>Hi team. Do cần update cấu hình cho phép hiển thị sản phẩm hết tồn nhờ mọi người hỗ trợ chạy  câu lệnh sau giúp em ạ. Chạy ngay khi được approve Link CR:    project: vincart-prod instance: main ip: 172.31.1.41 DB:  vincart_mm_product UPDATE `settings` SET `value` = 1 WHERE id in (19, 24);</t>
  </si>
  <si>
    <t>[Non-PROD][TiDB]Xin thông tin acc TiDB OMRE</t>
  </si>
  <si>
    <t>2025-07-08T17:16:24.423+0700</t>
  </si>
  <si>
    <t>2025-07-09T16:46:53.347+0700</t>
  </si>
  <si>
    <t>Dear anh Duân và team DBA. Ở dự án CDP OMRE e đang test phần đồng bộ data DP về TiDB. Mong anh Duân approve và team DBA hỗ trợ cung cấp thông tin account truy cập TiDB OMRE ạ. Em cảm ơn.</t>
  </si>
  <si>
    <t>[OMD][WMS] Hỗ trợ cập nhật tên kho cho kho MES_2D_025</t>
  </si>
  <si>
    <t>2025-07-08T17:09:28.391+0700</t>
  </si>
  <si>
    <t>2025-07-08T17:12:45.078+0700</t>
  </si>
  <si>
    <t>Hi DBA team, Hiện tại kho MES_2D_001 cần đổi tên, nhờ team DBA hỗ trợ cập nhật giá trị theo thông tin dưới đây. 1. Cập nhật trên WMS Project : vinid-b2b-platform-prod Instance/IP : main (read-write): 172.31.4.59 Port : 3306 Database : omd_wms_core Query update base_dc bd set bd.dc_name = 'NPP Nhật Nam Foods' where bd.dc_code = 'MES_2D_025'; 2. Cập nhật trên WES Project : vinid-b2b-platform-prod Instance/IP : main (read-write): 172.31.1.143 Port : 3306 Database : wes_master update warehouse w set w.name = 'NPP Nhật Nam Foods' where w.code = 'MES_2D_025'; Câu query đánh giá là an toàn nên có thể thực hiện cập nhật bất kỳ lúc nào mà không ảnh hưởng đến vận hành hệ thống.</t>
  </si>
  <si>
    <t>[PROD] [VCM]  Chạy script SQL update trạng thái đơn FINISHED</t>
  </si>
  <si>
    <t>2025-07-08T17:08:50.175+0700</t>
  </si>
  <si>
    <t>2025-07-08T17:14:12.584+0700</t>
  </si>
  <si>
    <t>Hi  @Trần Trương Dương   Nhờ em chạy giúp team update trạng thái đơn cho ngày 28/06/2025. Do trạng thái đang bị lệch. Delivery thành công nhưng đơn vẫn đang là  FINALIZED . Cần chuyển về trạng thái  FINISHED https://mail.google.com/chat/u/0/#chat/space/AAAA6JTvgss/NUYBPcFVTIE/Gmsx0pRftLE Database name: vincart_mm_order
IP: 172.31.1.41 update orders a
set a.status = 'FINISHED'
where a.code in (
                 'MA6ALVB',
                 'M6BL436',
                 'MDD25DA',
                 'M2B8N7L',
                 'MNGVABR',
                 'MVQL4A2',
                'M5BE448');</t>
  </si>
  <si>
    <t>[OMC][Loyalty MFT] VCM - Cập dữ liệu store áp dụng voucher cho hệ thống VCM</t>
  </si>
  <si>
    <t>2025-07-08T15:14:08.985+0700</t>
  </si>
  <si>
    <t>2025-07-08T15:18:34.119+0700</t>
  </si>
  <si>
    <t>Theo yêu cầu từ phía đội vận hành ở CR   , nhờ team DBA hỗ trợ chạy script update theo thông tin bên dưới ạ. GCP project : vinid-loyalty-prod Instance name : onevoucher Instance IP : 172.31.4.126 Database : onevc_vwm_prod Query : file  thachnn3_script_08072025_onevc.sql  đính kèm GCP project : vinid-loyalty-prod Instance name : voucher-distribution Instance IP : 172.31.4.82 Database : b2b_voucher_distribution Query : file  thachnn3_script_08072025_vd.sql  đính kèm</t>
  </si>
  <si>
    <t>[OMC][GAMI][PS2][Prod] Hỗ trợ xuất báo cáo vé tuần cho campaign Spin to Win tuần 11</t>
  </si>
  <si>
    <t>2025-07-08T14:34:49.361+0700</t>
  </si>
  <si>
    <t>2025-07-08T14:38:27.656+0700</t>
  </si>
  <si>
    <t>Hỗ trợ xuất báo cáo vé tuần cho campaign Spin to Win tuần 11 Host:  172.31.4.75 Db:  promo_gamezone Query: SELECT SUM(claim_amount) FROM `rule_logs` WHERE campaign_id = 45 &amp;&amp; reward_type='TURN' &amp;&amp; `status` = 'SUCCESS';
SELECT COUNT(DISTINCT(user_id)) FROM `rule_logs` WHERE campaign_id = 45 &amp;&amp; reward_type='TURN' &amp;&amp; `status` = 'SUCCESS';  </t>
  </si>
  <si>
    <t>2025-07-08T11:43:06.909+0700</t>
  </si>
  <si>
    <t>2025-07-08T11:43:12.906+0700</t>
  </si>
  <si>
    <t xml:space="preserve">Hi anh, nhờ anh chạy giúp em script này ở môi trường PRODUCTION theo thông tin dưới đây ạ: Thời gian chạy script:  Khi được approval   Thông tin database saas_tpay: mysql://pay-tidb.int.onemount.com:4000/saas_tpay Em gửi script ở file dưới ạ </t>
  </si>
  <si>
    <t>[OMC][ONEU] [Prod] Đồng bộ lại dữ liệu order</t>
  </si>
  <si>
    <t>2025-07-08T10:43:08.820+0700</t>
  </si>
  <si>
    <t>2025-07-08T10:45:58.686+0700</t>
  </si>
  <si>
    <t>Dear team DBA Do có lỗi trong quá trình vận hành nên cần cập nhật lại trạng thái thanh toán của đơn hàng, nhờ team hỗ trợ chạy script sau Có thể chạy ngay khi được approve  link CR:    project: vincart-prod instance: main ip: 172.31.1.41 DB: vincart_mm_order UPDATE `orders`
SET payment_method_code = 'ATM',
    payment_method_name = 'Thẻ ATM nội địa',
    payment_status      = 'PAID',
    paid_amount         = upoint_value
WHERE code in ('M53X6K7', 'M26YBYL', 'ME4KLXX', 'M9NKVQX', 'M26YA6Y');
UPDATE master_orders
SET payment_method_code     = 'ATM',
    payment_method_name     = 'Thẻ ATM nội địa',
    payment_status          = 'PAID',
    grand_total_paid_amount = grand_total_amount
WHERE id in (SELECT master_order_id
             FROM orders
             WHERE code in ('M53X6K7', 'M26YBYL', 'ME4KLXX', 'M9NKVQX', 'M26YA6Y'));</t>
  </si>
  <si>
    <t>[Postgresql][PROD][WAL LOG] Drop các slot ko sử dụng cho việc CDC đang chiếm dung lượng disk của DB</t>
  </si>
  <si>
    <t>2025-07-08T10:28:47.176+0700</t>
  </si>
  <si>
    <t>2025-07-09T15:05:58.619+0700</t>
  </si>
  <si>
    <t>Project: omc-base-platform-prod Instance:  https://console.cloud.google.com/sql/instances/omc-authentication/overview?inv=1&amp;invt=Ab0kqQ&amp;project=omc-base-platform-prod Slot: database slot name active wal_retained_size omc_bp_authentication dbz_omc_bp_authentication false 1075 GB Instance:  https://console.cloud.google.com/sql/instances/postgre-14/overview?inv=1&amp;invt=Ab0kqQ&amp;project=omc-base-platform-prod Slot: database slot name active wal_retained_size mobile_next_affiliate debezium false 2508 GB Project: vinid-b2b-platform-prod Instance:  https://console.cloud.google.com/sql/instances/postgre-13-core-services/system-insights?inv=1&amp;invt=Ab09Dw&amp;project=vinid-b2b-platform-prod Slot: database slot name active wal_retained_size camunda_bpm_prod debezium_camunda_bpm_prod false 418 GB camunda_bpm_prod debezium_2 false 880 GB camunda_bpm_prod camunda_bpm_prod false 3729 GB salestools_metrics debezium false 880 GB camunda_bpm_prod debezium_3 false 3541 GB camunda_bpm_prod dbz_camunda_bpm_prod false 863 GB camunda_bpm_prod debezium_camunda_bpm_prod_snapshot_2 false 840 GB camunda_bpm_prod camunda_bpm_prod_slot false 3730 GB</t>
  </si>
  <si>
    <t>[OMD][WMS] Hỗ trợ cập nhật dữ liệu trạng thái bản ghi Số lượng YC cho ASN 4200009094003 kho 8119</t>
  </si>
  <si>
    <t>2025-07-07T22:42:46.005+0700</t>
  </si>
  <si>
    <t>2025-07-07T22:44:52.874+0700</t>
  </si>
  <si>
    <t>Hi DBA team, Hiện tại có 1 bản ghi trong Database bị lỗi validate nên bị cập nhật sai và ảnh hưởng đến vận hành, nhờ team DBA hỗ trợ cập nhật giá trị theo thông tin dưới đây. Project : vinid-b2b-platform-prod Instance/IP : main (read-write): 172.31.4.59 Port : 3306 Database : omd_wms_8115 Query update order_item oi
    set oi.orig_qty = oi.processed_qty,
    oi.transaction_qty = oi.processed_qty,
    oi.cancelled_qty = 0
where (oi.order_item_id = 193374 and oi.prod_code = '000000000095007081') 
	or (oi.order_item_id = 193370 and oi.prod_code = '000000000095008353'); Câu query đánh giá là an toàn nên có thể thực hiện cập nhật bất kỳ lúc nào mà không ảnh hưởng đến vận hành hệ thống.</t>
  </si>
  <si>
    <t>2025-07-07T17:41:07.398+0700</t>
  </si>
  <si>
    <t>2025-07-07T17:52:43.869+0700</t>
  </si>
  <si>
    <t>Dear anh  @Trần Trương Dương  , Phục vụ sourcing dữ liệu Soundbox cho TCB golive 19/7. Nhờ anh tạo kafka topic cho các bảng sau: Host:  pay-tidb.int.onemount.com Port:  4000 Database name:  saas_tpay Table:  soundbox_merchant tcb_device_model tcb_device soundbox_device_sale soundbox_device_mapping Nếu anh  @Trần Trương Dương  cần thêm thông tin gì từ đầu mối TO để approve tăng tài nguyên, cài đặt TiCDC, … thì nhắn em để em liên hệ các đầu mối nhé.  Luồng này đang cần hơi gấp để kịp golive, nhờ các sếp process giúp em sớm ạ. cc chị  @Lê Vũ Kim Khánh ,  @Lưu Văn Hiếu .</t>
  </si>
  <si>
    <t>[OMD][WMS] Hỗ trợ cập nhật dữ liệu trạng thái bản ghi Số lượng YC cho ASN 4200009094003 kho 8115</t>
  </si>
  <si>
    <t>2025-07-07T17:25:17.402+0700</t>
  </si>
  <si>
    <t>2025-07-07T17:49:56.180+0700</t>
  </si>
  <si>
    <t>Hi DBA team, Hiện tại có 1 bản ghi trong Database bị lỗi validate nên bị cập nhật sai và ảnh hưởng đến vận hành, nhờ team DBA hỗ trợ cập nhật giá trị theo thông tin dưới đây. Project : vinid-b2b-platform-prod Instance/IP : main (read-write): 172.31.4.59 Port : 3306 Database : omd_wms_8119 Query update order_item oi SET
oi.orig_qty = 60,
oi.cancelled_qty = 0,
oi.transaction_qty = 60
where oi.order_item_id = 193368 and oi.prod_code = '000000000095008350'; Câu query đánh giá là an toàn nên có thể thực hiện cập nhật bất kỳ lúc nào mà không ảnh hưởng đến vận hành hệ thống.</t>
  </si>
  <si>
    <t>[OMRE][NONPROD] Request tạo schema cho dự án CBP - audit log</t>
  </si>
  <si>
    <t>2025-07-07T17:22:14.938+0700</t>
  </si>
  <si>
    <t>2025-07-07T18:01:47.542+0700</t>
  </si>
  <si>
    <t>SAD:    Em chào anh chị, Anh chị tạo giúp em schema cho môi trường non-prod cho service này giúp em với ạ. Tên schema: omre_cbp_audit_log_uat name:  omre-cbp-mysql8  IP: 172.31.0.67 project: omre-cobroker-np DNS:  omre-cobroker-np--omre-cbp-mysql8.cloudsql.int .</t>
  </si>
  <si>
    <t>2025-07-07T16:38:12.794+0700</t>
  </si>
  <si>
    <t>2025-07-07T17:13:58.138+0700</t>
  </si>
  <si>
    <t>Nhờ team chạy các lệnh UPDATE trên MySQL Production như sau ạ: URL:  mysql://omre-onehs-mysql-main.int.onemount.com:3306/onehs_dictionary Query: UPDATE `APPROVAL_REQUESTS2` set requested_by="0971095839" WHERE id="2c943ea59787ded80197cc762b0c2e21"</t>
  </si>
  <si>
    <t>[OMC][GAMI][PS2][Prod] Hỗ trợ vận hành update thời gian CP Gami - MTB challenge - TCB</t>
  </si>
  <si>
    <t>2025-07-07T15:09:42.100+0700</t>
  </si>
  <si>
    <t>2025-07-07T15:15:39.076+0700</t>
  </si>
  <si>
    <t>Nhờ team hỗ trợ update thời gian hiệu lực của campaign và thời gian hiệu lực của pool quà trong 2 campaign sau, thông tin cần update như sau ạ: CP code CP ID Pool ID Thời gian hiệu lực của CP và pool quà trong CP MTB_Jul2025_Inactive 46 230 07/07/2025 00:00:00 MTB_Jul2025_Active 47 229 07/07/2025 00:00:00 Theo CR của đội vận hành:    Host:  172.31.4.75 DB: promo_gamezone Query UPDATE `campaigns` SET `date_start` = '2025-07-07 00:00:00' WHERE `id` = 46;
UPDATE `campaigns` SET `date_start` = '2025-07-07 00:00:00' WHERE `id` = 47; UPDATE `pools` SET `start_date` = '2025-07-07 00:00:00' WHERE id = 230 &amp;&amp; campaign_id = 46;
UPDATE `pools` SET `start_date` = '2025-07-07 00:00:00' WHERE id = 229 &amp;&amp; campaign_id = 47;</t>
  </si>
  <si>
    <t>[VINIDPAY][PS2][GL] Update dữ liệu cấu hình</t>
  </si>
  <si>
    <t>2025-07-07T10:57:04.457+0700</t>
  </si>
  <si>
    <t>2025-07-07T10:57:24.156+0700</t>
  </si>
  <si>
    <t>Hi các anh DBA, Vào lúc 23h ngay 04/07/2025 team em có relelease tính năng mới cho GL, nhờ các anh chạy giúp em câu tạo cột với , Em gửi thông tin DB : jdbc:mysql://tidb.int.onemount.com:4000/vinpay_vinpay_prod_saas_ps2_general_ledger UPDATE gl_mapping_detail_report_config t
SET t.`condition` = '(prgm_type == \'MKT\' || txn_source == null || (txn_source != null &amp;&amp; txn_code == \'MKT\')) &amp;&amp; transaction_type == \'AWD\'',
    t.variables   = 'prgm_type,txn_source,txn_code,transaction_type'
WHERE t.id = 1; Thanks các anh,</t>
  </si>
  <si>
    <t>[VINPAY][PROD] Script Onboard QR247 bổ sung cho PNJ</t>
  </si>
  <si>
    <t>2025-07-07T10:11:45.509+0700</t>
  </si>
  <si>
    <t>2025-07-07T10:12:33.431+0700</t>
  </si>
  <si>
    <t>Dear team DBA, Team dự án có các script sau cần chạy, nhờ các anh chạy các script theo thông tin bên dưới giúp em ạ:= Onboard MC QR247 PNJ Thông tin DB:  pay-tidb.int.onemount.com:4000/saas_tpay UPDATE PARTNER SET MERCHANT_CODE = 'TCBQRPNJ' WHERE MERCHANT_CODE='PNJPROD';
INSERT INTO PARTNER (client_id, name, public_key, enable, merchant_code)
VALUES ('VRXndJWrxEOtIeZYEiLaDxMbAyVdhFXn', 'PNJPROD', '-----BEGIN PUBLIC KEY-----
MIIBIjANBgkqhkiG9w0BAQEFAAOCAQ8AMIIBCgKCAQEAwKcbi0/P4lSJKz8WIumO
6mbfvZjKlGFarj7P1r8AprvPXH7S+TtJvueLOFaU6K6n2HadjIATfXHhLRKDqifv
BFPCf6aKt0XdMG9aJ+Kon7ojdxS27wR67+uxVgrwcMXpu9U4gk+N4MrTX/mWdW4q
wv1DWpeOBar7I+VXVpNMvnnHKbrTy6rh13zv0A9/MkYFazTGkBxWloe9hNPbTlzc
W12OjzTbi6gGC9iCY57+ZLyuUyL27XWvijhul4+vkdjIjUiLnXgEJRViwqNIkAdf
ib4Q+vMYB6iRquwAsyBAAbKXHwdxaHbMvVyjKjJ/Haezou7QkQSQfICKt2QZwsbz
zwIDAQAB
-----END PUBLIC KEY-----
', 1, 'TCBQRHCM'),
('VRXndJWrxEOtIeZYEiLaDxMbAyVdhFXn', 'PNJPROD', '-----BEGIN PUBLIC KEY-----
MIIBIjANBgkqhkiG9w0BAQEFAAOCAQ8AMIIBCgKCAQEAwKcbi0/P4lSJKz8WIumO
6mbfvZjKlGFarj7P1r8AprvPXH7S+TtJvueLOFaU6K6n2HadjIATfXHhLRKDqifv
BFPCf6aKt0XdMG9aJ+Kon7ojdxS27wR67+uxVgrwcMXpu9U4gk+N4MrTX/mWdW4q
wv1DWpeOBar7I+VXVpNMvnnHKbrTy6rh13zv0A9/MkYFazTGkBxWloe9hNPbTlzc
W12OjzTbi6gGC9iCY57+ZLyuUyL27XWvijhul4+vkdjIjUiLnXgEJRViwqNIkAdf
ib4Q+vMYB6iRquwAsyBAAbKXHwdxaHbMvVyjKjJ/Haezou7QkQSQfICKt2QZwsbz
zwIDAQAB
-----END PUBLIC KEY-----
', 1, 'TCBQRMBC'),
('VRXndJWrxEOtIeZYEiLaDxMbAyVdhFXn', 'PNJPROD', '-----BEGIN PUBLIC KEY-----
MIIBIjANBgkqhkiG9w0BAQEFAAOCAQ8AMIIBCgKCAQEAwKcbi0/P4lSJKz8WIumO
6mbfvZjKlGFarj7P1r8AprvPXH7S+TtJvueLOFaU6K6n2HadjIATfXHhLRKDqifv
BFPCf6aKt0XdMG9aJ+Kon7ojdxS27wR67+uxVgrwcMXpu9U4gk+N4MrTX/mWdW4q
wv1DWpeOBar7I+VXVpNMvnnHKbrTy6rh13zv0A9/MkYFazTGkBxWloe9hNPbTlzc
W12OjzTbi6gGC9iCY57+ZLyuUyL27XWvijhul4+vkdjIjUiLnXgEJRViwqNIkAdf
ib4Q+vMYB6iRquwAsyBAAbKXHwdxaHbMvVyjKjJ/Haezou7QkQSQfICKt2QZwsbz
zwIDAQAB
-----END PUBLIC KEY-----
', 1, 'TCBQRMTG'),
('VRXndJWrxEOtIeZYEiLaDxMbAyVdhFXn', 'PNJPROD', '-----BEGIN PUBLIC KEY-----
MIIBIjANBgkqhkiG9w0BAQEFAAOCAQ8AMIIBCgKCAQEAwKcbi0/P4lSJKz8WIumO
6mbfvZjKlGFarj7P1r8AprvPXH7S+TtJvueLOFaU6K6n2HadjIATfXHhLRKDqifv
BFPCf6aKt0XdMG9aJ+Kon7ojdxS27wR67+uxVgrwcMXpu9U4gk+N4MrTX/mWdW4q
wv1DWpeOBar7I+VXVpNMvnnHKbrTy6rh13zv0A9/MkYFazTGkBxWloe9hNPbTlzc
W12OjzTbi6gGC9iCY57+ZLyuUyL27XWvijhul4+vkdjIjUiLnXgEJRViwqNIkAdf
ib4Q+vMYB6iRquwAsyBAAbKXHwdxaHbMvVyjKjJ/Haezou7QkQSQfICKt2QZwsbz
zwIDAQAB
-----END PUBLIC KEY-----
', 1, 'TCBQRMTY'),
('VRXndJWrxEOtIeZYEiLaDxMbAyVdhFXn', 'PNJPROD', '-----BEGIN PUBLIC KEY-----
MIIBIjANBgkqhkiG9w0BAQEFAAOCAQ8AMIIBCgKCAQEAwKcbi0/P4lSJKz8WIumO
6mbfvZjKlGFarj7P1r8AprvPXH7S+TtJvueLOFaU6K6n2HadjIATfXHhLRKDqifv
BFPCf6aKt0XdMG9aJ+Kon7ojdxS27wR67+uxVgrwcMXpu9U4gk+N4MrTX/mWdW4q
wv1DWpeOBar7I+VXVpNMvnnHKbrTy6rh13zv0A9/MkYFazTGkBxWloe9hNPbTlzc
W12OjzTbi6gGC9iCY57+ZLyuUyL27XWvijhul4+vkdjIjUiLnXgEJRViwqNIkAdf
ib4Q+vMYB6iRquwAsyBAAbKXHwdxaHbMvVyjKjJ/Haezou7QkQSQfICKt2QZwsbz
zwIDAQAB
-----END PUBLIC KEY-----
', 1, 'TCBQRTNN'),
('VRXndJWrxEOtIeZYEiLaDxMbAyVdhFXn', 'PNJPROD', '-----BEGIN PUBLIC KEY-----
MIIBIjANBgkqhkiG9w0BAQEFAAOCAQ8AMIIBCgKCAQEAwKcbi0/P4lSJKz8WIumO
6mbfvZjKlGFarj7P1r8AprvPXH7S+TtJvueLOFaU6K6n2HadjIATfXHhLRKDqifv
BFPCf6aKt0XdMG9aJ+Kon7ojdxS27wR67+uxVgrwcMXpu9U4gk+N4MrTX/mWdW4q
wv1DWpeOBar7I+VXVpNMvnnHKbrTy6rh13zv0A9/MkYFazTGkBxWloe9hNPbTlzc
W12OjzTbi6gGC9iCY57+ZLyuUyL27XWvijhul4+vkdjIjUiLnXgEJRViwqNIkAdf
ib4Q+vMYB6iRquwAsyBAAbKXHwdxaHbMvVyjKjJ/Haezou7QkQSQfICKt2QZwsbz
zwIDAQAB
-----END PUBLIC KEY-----
', 1, 'TCBQRDNB');
UPDATE MERCHANT_RECONCILE SET MERCHANT_CODE='TCBQRPNJ' WHERE MERCHANT_CODE='PNJPROD';
INSERT INTO MERCHANT_RECONCILE
(merchant_code,
 tenant,
 enable,
 sftp_folder,
 pgp_public_key_base64,
 pgp_partner_id,
 days_to_subtract,
 max_records_per_file)
VALUES ('TCBQRHCM',
        'OME',
        '1',
        '/pnj',
        'LS0tLS1CRUdJTiBQR1AgUFVCTElDIEtFWSBCTE9DSy0tLS0tCgptUUlOQkdoZEVLY0JFQUNpMnFMTDFadWk1UVBMaFRtT3RLWEgvWHlEM2JMdENVTHFCcGpjN3ZmRW9HdXZtWkliCjVEV3B0L2tkTERqeGtxak1oN081aDA4OWVTMVVVRmN1UGpOUXVzTTgwT2luZTVOQUl4MDJGdzhyQzZRNXpNMlUKTmN1VEU3d0ZiMzZBK3VXM0xITldoUE5XNkMvSi9TNXZHQkIrSklPeUw0L0FEY0pmdjd4QUswa1JPMHZsN0kxYgpna2FFcUVFM2pSVWREbk5YOEJGcy92YXRxZGdaVy9KTmQyV280cVVOZVlkditGNmhEWmwxSmJYUE82dE9kcGpWCk1lMm03K21qd3BNeTBKUVA1dCtwK0IzblE0OG9uVUNCRmJxQ1JYZ3B1Unozdzl1U1ZTZFZYSHRIWEVOc0xjWGQKYTF4djdNbjFLUG9iUjlQU0Jycjl2dXYvczFraGF3Um5DRXJsR3A3Nk4yN0wwakdKalJvdWlkS3BZSVNFWXd0bwpPSUNDR2V5VFB0d3cveXJBS0I1L3lZNUlMaDkxREp1ZXVzcVpkajlPaDNLT284MHlMUzJEZWd1a25OL1dTV1RZClZXZWl0OVBGVU1tQm9uL2E4SjBOMDFFTnI3Z1NNbkptUENOK0VkV0tPSHBuU0FNcms1WlVLMlV1bHhMMkFpbDAKV2x2TEtPY1hlQVlhRit1c0RJSFZLUzB4RFVXd0xHM21zS2czRmRkVmFYTk1oMVo3QjRMZWdPY2ZkckNzUm5BawpWZEh1T0lKUGpXS0crN1NmS1BHb3QvdVVkdXVhRFlwQ1pKYmI4Q1BwQVBzbHFXNXZ2ZXo4UkpJMlVZd0hFajZjCmhteHVzbm9NZGkvSURyYWdZbHhDR0UwNlR4bUxQOVI2M01jMjN3UGpqaS93WVc2TXF4ZGM2R05vM3dBUkFRQUIKdENaUVRrb2dWRU5DSUZGU0lGQlNUMFFnUEhSMVlXNHVhR0V3TTBCd2Jtb3VZMjl0TG5adVBva0NWd1FUQVFnQQpRUlloQkN4bTlOMWlDSmlxcDE5bkwxN0VPd2NBL29NeUJRSm9YUkNuQWhzREJRa0R3bWNBQlFzSkNBY0NBaUlDCkJoVUtDUWdMQWdRV0FnTUJBaDRIQWhlQUFBb0pFRjdFT3djQS9vTXl2cGdQLzBBcVBhRi9iWmxaZjExay95ejAKNnk4MWZlWmh5czBiT1ZHNlFFR29CUHRrZkRIT1JmdzFJZkJrWENneXg4NUxjci9RY1dtTFJNcXNHblROdENBSgpLUHhoaFRwRnEvZnhrR2RFTElOYlVza3JUaVk0OUdzdVVmVTc3OEM1N3FZbzMzY3NPQWQ5WTJCcXY5ZVVFVitvCi9yRkkwSE1yRzZWRUpSaktUYnBEUTNqVWVYcFdPZU9XSWZSSDcveUVqSE1EdHVLUWkrWXI0ZnZiOXdGYklDMm8KNVVieUtwQlJYT24vdUFRQUl2dnFiNDBFWUoxZDI0aFkxNFJ6UHJEU0FlVi83YkZOTXBYR3NzZERLRDNSTlRUTgpJMWkrWjZxaXI1OFpyMHFKVzFYWDNKejJqZUc5RHpPdU5mbjl0N0Q0Yy84RGdkU0dHckh0ZjNrNjZBbGdTa2FmCjR2dUxqY0lvY2w3UFBIc2VQMFlEZmlVOGV0SHFKNlE0TnhUcTM2VHh6dmxRRFg5V2dtQUZBY1RkLzdkQUVsSWEKMG9TQ1R6Mk1iRUNFczFFV3N5YmE4MDdQZjBsU3hqNUYzTWVGd0ZCaDd3TDhhbXdnOUV6Z0tYSFNhcndsK2hySwpySFBhdHhlcUE2SGtSSGlPd2VuY0t6UDFiT2RtcXllM3lzLzNoVTV1UWEvelhZNGh4a0NlcE1sclJBcGN2cDZpCnZNYXJFRFZmYk5vWHEwVXpKVXBPQ0w0UnJHVEF0dDhFKzUwbWF1d3lzd1lPY1gyUC94UVkzTVNzQVE3VWQvdHoKalNBdEwvSEdGd3ZDamNIU253VUlhZDUza2N3M25USnFuRU1VQ3RWY1h6ZCtvd0tqVGswS043c05MUktXYnFkMQpRVFBoY1NsRjdtRGVObG4xRk52YlhPOTV1UUlOQkdoZEVLY0JFQUM0Q2IrM2tCL25hRmRBSDRuQytudUNmS1U0CjVNaVZnVzB4aWFkU1JTU1AwRm02eTZPNzZJNDA4cm5mRmc2QUM1OHRIb1F3UjlxUm5lL0F2WUdvaWZKRk43VEcKQnRFRkUrVEtMQUJIYk12NU9CSm45ODNRRGRmOStnUHA4V3hUUXdtdUNwbFFHMHpaeFV6dTVaQkVId0xYc0tZZApPS2U4a0IzZEJpTldLWXZLRkVvMWgyRTI2WkRtZmxBTm9oSjc2NGhTOCtNM09iSFNQOVEyT0d6VDhYdjRsaHVaCitEQUpQdVAreEhDY3hadlBCSFJ4MEVQZUs0cVYzTmwwMC9wVVcyc0JpMW9jcTJCQ0R5VlkvU29ra1h1QVRURFkKY1J6dnlmUVM3QmZxajJDUlkvSnFwdkNBejVDcDJ0Y1NkMThkT2RFNUllTCtUaDJkNnBBbTBldEhmVHZYbnZjWgprTUhnVHNZcUJZSVVoZUJXYW44bUlnY0tEbmoxVnNsL2Y0MWNYUkU3SHZDNy9hUWdFM2oyR2R2a0pvSWZXZTRnCnVIb3ZnS0xxczZ5R1c4V1NqVDVxZXg1Rk9VeVF6WjNsNFI2am5xUXZnZ3VLRWZQRC9mMWk2ekJtcTdJTjU3NDUKK2ZtYXVpMEYvREFJRFVqRE9XQjlkTXhPSHkyZnB2Nk1FWVJvSmJpQ1cycWVJcmh6WGRlVDNlNTlxd0MyVkdESgpSdXpNeDZpN3Z0VFgvaHJidmNDbENsUWFHNmJYQStGZFZwcUlTelhWMlNKQldseGxqZzNLMkFMd3JPYm13UUNoCnFSTUowT3JIYjI4ME9iL0VzWVlwOUI2Vms5aHpZdktrd2NXclBvTFROejZGNm9iTmcvS1pTWkRVWXJXMDlYeXkKU3RlZ2drdzhmL29sQzVOL053QVJBUUFCaVFJN0JCZ0JDQUFtRmlFRUxHYjAzV0lJbUtxblgyY3ZYc1E3QndEKwpneklGQW1oZEVLY0NHd3dGQ1FQQ1p3QUFDZ2tRWHNRN0J3RCtnektHL1EvM1NXL0pRS0c0YVVZa2tENHowZXNWCktsSVNWRmlYbU9zeWZpMVBKSzUxYjNTeWVvYU9VVFJWdXVUaVJzVTE2QXo5eFJRSmNaYm5tSlhuTjdIOUlPblcKRWw1c3kvUW02WWNVTWNGeGZoVzluaWR6eGp3Z3Z3MTdYUmJZSFJSbUpCbVZoRmlHRGlNVkowOVVId253VjlUTgpUU0x3QTBYV0YzaGpwd0p6bUNUbUtzS3BoRDg2VEY2YUExVXVFRnFJZktnbTRnNTZIZGVPcWtGTnlscjEwY0NwCmpGVEZ2VUFXRDg1M3pFMzFrWDdyb3VzYkQ0c2g4cUJnWmdVT0U4Q3JFYzVsb0d4RnhrU05KNDRQRnRkMDhVSnEKSzhWanhkZ0ZHL1Y0NW1zSGhWYzhQWGtTeTg2TitFeVJCZElrYmtwVDZNN3Izc2hROUxNQUMwQTRrdklNdTRFNgpKRVpIUk0rUDBWVW8zL2FXK2NtNzNuRXJYWWh5a0NBZ1pkVVpaWUJPNTlqQ1k4NGY0TktwS2NacUFoZWxmS0NWCkNjUXJwWDcyK2NUbWc1K1R2YmlWQVA3bnRtMDhCNEJwRmhYbnhkQXJBaS9GQnk3dW94VFpPeDd5d2dlbHFieHEKbGExYlpYMDVnaEU4RElPdjJkWmRYaTlHSTAyYnBpOHhZUnBhTWN2Skw0M1BZSFkxdzZEeFoyMHl3M3NiNVZvUgpiM2pMaUw4aEJjdEdQVVEySE1RZkU3M2NXVEd2TldCRWliVVVFOHdSLzNpaWFPNFA3KzhPTWN3RDVPLzFzb3V4CnJZOXJpMHQ4TjdibHhNRW1FRFArako3N0NZRzRMRTdTZXV1YVNVaXFLVWlvcXdHdTBtTTNwN042TkJ2OGk4d3kKQmsxUTdDMVVaelZGbzA1c2lwc2NXdz09Cj1uclRhCi0tLS0tRU5EIFBHUCBQVUJMSUMgS0VZIEJMT0NLLS0tLS0K',
        'tuan.ha03@pnj.com.vn',
        '1',
        '10000'),
        ('TCBQRMBC',
        'OME',
        '1',
        '/pnj',
        'LS0tLS1CRUdJTiBQR1AgUFVCTElDIEtFWSBCTE9DSy0tLS0tCgptUUlOQkdoZEVLY0JFQUNpMnFMTDFadWk1UVBMaFRtT3RLWEgvWHlEM2JMdENVTHFCcGpjN3ZmRW9HdXZtWkliCjVEV3B0L2tkTERqeGtxak1oN081aDA4OWVTMVVVRmN1UGpOUXVzTTgwT2luZTVOQUl4MDJGdzhyQzZRNXpNMlUKTmN1VEU3d0ZiMzZBK3VXM0xITldoUE5XNkMvSi9TNXZHQkIrSklPeUw0L0FEY0pmdjd4QUswa1JPMHZsN0kxYgpna2FFcUVFM2pSVWREbk5YOEJGcy92YXRxZGdaVy9KTmQyV280cVVOZVlkditGNmhEWmwxSmJYUE82dE9kcGpWCk1lMm03K21qd3BNeTBKUVA1dCtwK0IzblE0OG9uVUNCRmJxQ1JYZ3B1Unozdzl1U1ZTZFZYSHRIWEVOc0xjWGQKYTF4djdNbjFLUG9iUjlQU0Jycjl2dXYvczFraGF3Um5DRXJsR3A3Nk4yN0wwakdKalJvdWlkS3BZSVNFWXd0bwpPSUNDR2V5VFB0d3cveXJBS0I1L3lZNUlMaDkxREp1ZXVzcVpkajlPaDNLT284MHlMUzJEZWd1a25OL1dTV1RZClZXZWl0OVBGVU1tQm9uL2E4SjBOMDFFTnI3Z1NNbkptUENOK0VkV0tPSHBuU0FNcms1WlVLMlV1bHhMMkFpbDAKV2x2TEtPY1hlQVlhRit1c0RJSFZLUzB4RFVXd0xHM21zS2czRmRkVmFYTk1oMVo3QjRMZWdPY2ZkckNzUm5BawpWZEh1T0lKUGpXS0crN1NmS1BHb3QvdVVkdXVhRFlwQ1pKYmI4Q1BwQVBzbHFXNXZ2ZXo4UkpJMlVZd0hFajZjCmhteHVzbm9NZGkvSURyYWdZbHhDR0UwNlR4bUxQOVI2M01jMjN3UGpqaS93WVc2TXF4ZGM2R05vM3dBUkFRQUIKdENaUVRrb2dWRU5DSUZGU0lGQlNUMFFnUEhSMVlXNHVhR0V3TTBCd2Jtb3VZMjl0TG5adVBva0NWd1FUQVFnQQpRUlloQkN4bTlOMWlDSmlxcDE5bkwxN0VPd2NBL29NeUJRSm9YUkNuQWhzREJRa0R3bWNBQlFzSkNBY0NBaUlDCkJoVUtDUWdMQWdRV0FnTUJBaDRIQWhlQUFBb0pFRjdFT3djQS9vTXl2cGdQLzBBcVBhRi9iWmxaZjExay95ejAKNnk4MWZlWmh5czBiT1ZHNlFFR29CUHRrZkRIT1JmdzFJZkJrWENneXg4NUxjci9RY1dtTFJNcXNHblROdENBSgpLUHhoaFRwRnEvZnhrR2RFTElOYlVza3JUaVk0OUdzdVVmVTc3OEM1N3FZbzMzY3NPQWQ5WTJCcXY5ZVVFVitvCi9yRkkwSE1yRzZWRUpSaktUYnBEUTNqVWVYcFdPZU9XSWZSSDcveUVqSE1EdHVLUWkrWXI0ZnZiOXdGYklDMm8KNVVieUtwQlJYT24vdUFRQUl2dnFiNDBFWUoxZDI0aFkxNFJ6UHJEU0FlVi83YkZOTXBYR3NzZERLRDNSTlRUTgpJMWkrWjZxaXI1OFpyMHFKVzFYWDNKejJqZUc5RHpPdU5mbjl0N0Q0Yy84RGdkU0dHckh0ZjNrNjZBbGdTa2FmCjR2dUxqY0lvY2w3UFBIc2VQMFlEZmlVOGV0SHFKNlE0TnhUcTM2VHh6dmxRRFg5V2dtQUZBY1RkLzdkQUVsSWEKMG9TQ1R6Mk1iRUNFczFFV3N5YmE4MDdQZjBsU3hqNUYzTWVGd0ZCaDd3TDhhbXdnOUV6Z0tYSFNhcndsK2hySwpySFBhdHhlcUE2SGtSSGlPd2VuY0t6UDFiT2RtcXllM3lzLzNoVTV1UWEvelhZNGh4a0NlcE1sclJBcGN2cDZpCnZNYXJFRFZmYk5vWHEwVXpKVXBPQ0w0UnJHVEF0dDhFKzUwbWF1d3lzd1lPY1gyUC94UVkzTVNzQVE3VWQvdHoKalNBdEwvSEdGd3ZDamNIU253VUlhZDUza2N3M25USnFuRU1VQ3RWY1h6ZCtvd0tqVGswS043c05MUktXYnFkMQpRVFBoY1NsRjdtRGVObG4xRk52YlhPOTV1UUlOQkdoZEVLY0JFQUM0Q2IrM2tCL25hRmRBSDRuQytudUNmS1U0CjVNaVZnVzB4aWFkU1JTU1AwRm02eTZPNzZJNDA4cm5mRmc2QUM1OHRIb1F3UjlxUm5lL0F2WUdvaWZKRk43VEcKQnRFRkUrVEtMQUJIYk12NU9CSm45ODNRRGRmOStnUHA4V3hUUXdtdUNwbFFHMHpaeFV6dTVaQkVId0xYc0tZZApPS2U4a0IzZEJpTldLWXZLRkVvMWgyRTI2WkRtZmxBTm9oSjc2NGhTOCtNM09iSFNQOVEyT0d6VDhYdjRsaHVaCitEQUpQdVAreEhDY3hadlBCSFJ4MEVQZUs0cVYzTmwwMC9wVVcyc0JpMW9jcTJCQ0R5VlkvU29ra1h1QVRURFkKY1J6dnlmUVM3QmZxajJDUlkvSnFwdkNBejVDcDJ0Y1NkMThkT2RFNUllTCtUaDJkNnBBbTBldEhmVHZYbnZjWgprTUhnVHNZcUJZSVVoZUJXYW44bUlnY0tEbmoxVnNsL2Y0MWNYUkU3SHZDNy9hUWdFM2oyR2R2a0pvSWZXZTRnCnVIb3ZnS0xxczZ5R1c4V1NqVDVxZXg1Rk9VeVF6WjNsNFI2am5xUXZnZ3VLRWZQRC9mMWk2ekJtcTdJTjU3NDUKK2ZtYXVpMEYvREFJRFVqRE9XQjlkTXhPSHkyZnB2Nk1FWVJvSmJpQ1cycWVJcmh6WGRlVDNlNTlxd0MyVkdESgpSdXpNeDZpN3Z0VFgvaHJidmNDbENsUWFHNmJYQStGZFZwcUlTelhWMlNKQldseGxqZzNLMkFMd3JPYm13UUNoCnFSTUowT3JIYjI4ME9iL0VzWVlwOUI2Vms5aHpZdktrd2NXclBvTFROejZGNm9iTmcvS1pTWkRVWXJXMDlYeXkKU3RlZ2drdzhmL29sQzVOL053QVJBUUFCaVFJN0JCZ0JDQUFtRmlFRUxHYjAzV0lJbUtxblgyY3ZYc1E3QndEKwpneklGQW1oZEVLY0NHd3dGQ1FQQ1p3QUFDZ2tRWHNRN0J3RCtnektHL1EvM1NXL0pRS0c0YVVZa2tENHowZXNWCktsSVNWRmlYbU9zeWZpMVBKSzUxYjNTeWVvYU9VVFJWdXVUaVJzVTE2QXo5eFJRSmNaYm5tSlhuTjdIOUlPblcKRWw1c3kvUW02WWNVTWNGeGZoVzluaWR6eGp3Z3Z3MTdYUmJZSFJSbUpCbVZoRmlHRGlNVkowOVVId253VjlUTgpUU0x3QTBYV0YzaGpwd0p6bUNUbUtzS3BoRDg2VEY2YUExVXVFRnFJZktnbTRnNTZIZGVPcWtGTnlscjEwY0NwCmpGVEZ2VUFXRDg1M3pFMzFrWDdyb3VzYkQ0c2g4cUJnWmdVT0U4Q3JFYzVsb0d4RnhrU05KNDRQRnRkMDhVSnEKSzhWanhkZ0ZHL1Y0NW1zSGhWYzhQWGtTeTg2TitFeVJCZElrYmtwVDZNN3Izc2hROUxNQUMwQTRrdklNdTRFNgpKRVpIUk0rUDBWVW8zL2FXK2NtNzNuRXJYWWh5a0NBZ1pkVVpaWUJPNTlqQ1k4NGY0TktwS2NacUFoZWxmS0NWCkNjUXJwWDcyK2NUbWc1K1R2YmlWQVA3bnRtMDhCNEJwRmhYbnhkQXJBaS9GQnk3dW94VFpPeDd5d2dlbHFieHEKbGExYlpYMDVnaEU4RElPdjJkWmRYaTlHSTAyYnBpOHhZUnBhTWN2Skw0M1BZSFkxdzZEeFoyMHl3M3NiNVZvUgpiM2pMaUw4aEJjdEdQVVEySE1RZkU3M2NXVEd2TldCRWliVVVFOHdSLzNpaWFPNFA3KzhPTWN3RDVPLzFzb3V4CnJZOXJpMHQ4TjdibHhNRW1FRFArako3N0NZRzRMRTdTZXV1YVNVaXFLVWlvcXdHdTBtTTNwN042TkJ2OGk4d3kKQmsxUTdDMVVaelZGbzA1c2lwc2NXdz09Cj1uclRhCi0tLS0tRU5EIFBHUCBQVUJMSUMgS0VZIEJMT0NLLS0tLS0K',
        'tuan.ha03@pnj.com.vn',
        '1',
        '10000'),
        ('TCBQRDNB',
        'OME',
        '1',
        '/pnj',
        'LS0tLS1CRUdJTiBQR1AgUFVCTElDIEtFWSBCTE9DSy0tLS0tCgptUUlOQkdoZEVLY0JFQUNpMnFMTDFadWk1UVBMaFRtT3RLWEgvWHlEM2JMdENVTHFCcGpjN3ZmRW9HdXZtWkliCjVEV3B0L2tkTERqeGtxak1oN081aDA4OWVTMVVVRmN1UGpOUXVzTTgwT2luZTVOQUl4MDJGdzhyQzZRNXpNMlUKTmN1VEU3d0ZiMzZBK3VXM0xITldoUE5XNkMvSi9TNXZHQkIrSklPeUw0L0FEY0pmdjd4QUswa1JPMHZsN0kxYgpna2FFcUVFM2pSVWREbk5YOEJGcy92YXRxZGdaVy9KTmQyV280cVVOZVlkditGNmhEWmwxSmJYUE82dE9kcGpWCk1lMm03K21qd3BNeTBKUVA1dCtwK0IzblE0OG9uVUNCRmJxQ1JYZ3B1Unozdzl1U1ZTZFZYSHRIWEVOc0xjWGQKYTF4djdNbjFLUG9iUjlQU0Jycjl2dXYvczFraGF3Um5DRXJsR3A3Nk4yN0wwakdKalJvdWlkS3BZSVNFWXd0bwpPSUNDR2V5VFB0d3cveXJBS0I1L3lZNUlMaDkxREp1ZXVzcVpkajlPaDNLT284MHlMUzJEZWd1a25OL1dTV1RZClZXZWl0OVBGVU1tQm9uL2E4SjBOMDFFTnI3Z1NNbkptUENOK0VkV0tPSHBuU0FNcms1WlVLMlV1bHhMMkFpbDAKV2x2TEtPY1hlQVlhRit1c0RJSFZLUzB4RFVXd0xHM21zS2czRmRkVmFYTk1oMVo3QjRMZWdPY2ZkckNzUm5BawpWZEh1T0lKUGpXS0crN1NmS1BHb3QvdVVkdXVhRFlwQ1pKYmI4Q1BwQVBzbHFXNXZ2ZXo4UkpJMlVZd0hFajZjCmhteHVzbm9NZGkvSURyYWdZbHhDR0UwNlR4bUxQOVI2M01jMjN3UGpqaS93WVc2TXF4ZGM2R05vM3dBUkFRQUIKdENaUVRrb2dWRU5DSUZGU0lGQlNUMFFnUEhSMVlXNHVhR0V3TTBCd2Jtb3VZMjl0TG5adVBva0NWd1FUQVFnQQpRUlloQkN4bTlOMWlDSmlxcDE5bkwxN0VPd2NBL29NeUJRSm9YUkNuQWhzREJRa0R3bWNBQlFzSkNBY0NBaUlDCkJoVUtDUWdMQWdRV0FnTUJBaDRIQWhlQUFBb0pFRjdFT3djQS9vTXl2cGdQLzBBcVBhRi9iWmxaZjExay95ejAKNnk4MWZlWmh5czBiT1ZHNlFFR29CUHRrZkRIT1JmdzFJZkJrWENneXg4NUxjci9RY1dtTFJNcXNHblROdENBSgpLUHhoaFRwRnEvZnhrR2RFTElOYlVza3JUaVk0OUdzdVVmVTc3OEM1N3FZbzMzY3NPQWQ5WTJCcXY5ZVVFVitvCi9yRkkwSE1yRzZWRUpSaktUYnBEUTNqVWVYcFdPZU9XSWZSSDcveUVqSE1EdHVLUWkrWXI0ZnZiOXdGYklDMm8KNVVieUtwQlJYT24vdUFRQUl2dnFiNDBFWUoxZDI0aFkxNFJ6UHJEU0FlVi83YkZOTXBYR3NzZERLRDNSTlRUTgpJMWkrWjZxaXI1OFpyMHFKVzFYWDNKejJqZUc5RHpPdU5mbjl0N0Q0Yy84RGdkU0dHckh0ZjNrNjZBbGdTa2FmCjR2dUxqY0lvY2w3UFBIc2VQMFlEZmlVOGV0SHFKNlE0TnhUcTM2VHh6dmxRRFg5V2dtQUZBY1RkLzdkQUVsSWEKMG9TQ1R6Mk1iRUNFczFFV3N5YmE4MDdQZjBsU3hqNUYzTWVGd0ZCaDd3TDhhbXdnOUV6Z0tYSFNhcndsK2hySwpySFBhdHhlcUE2SGtSSGlPd2VuY0t6UDFiT2RtcXllM3lzLzNoVTV1UWEvelhZNGh4a0NlcE1sclJBcGN2cDZpCnZNYXJFRFZmYk5vWHEwVXpKVXBPQ0w0UnJHVEF0dDhFKzUwbWF1d3lzd1lPY1gyUC94UVkzTVNzQVE3VWQvdHoKalNBdEwvSEdGd3ZDamNIU253VUlhZDUza2N3M25USnFuRU1VQ3RWY1h6ZCtvd0tqVGswS043c05MUktXYnFkMQpRVFBoY1NsRjdtRGVObG4xRk52YlhPOTV1UUlOQkdoZEVLY0JFQUM0Q2IrM2tCL25hRmRBSDRuQytudUNmS1U0CjVNaVZnVzB4aWFkU1JTU1AwRm02eTZPNzZJNDA4cm5mRmc2QUM1OHRIb1F3UjlxUm5lL0F2WUdvaWZKRk43VEcKQnRFRkUrVEtMQUJIYk12NU9CSm45ODNRRGRmOStnUHA4V3hUUXdtdUNwbFFHMHpaeFV6dTVaQkVId0xYc0tZZApPS2U4a0IzZEJpTldLWXZLRkVvMWgyRTI2WkRtZmxBTm9oSjc2NGhTOCtNM09iSFNQOVEyT0d6VDhYdjRsaHVaCitEQUpQdVAreEhDY3hadlBCSFJ4MEVQZUs0cVYzTmwwMC9wVVcyc0JpMW9jcTJCQ0R5VlkvU29ra1h1QVRURFkKY1J6dnlmUVM3QmZxajJDUlkvSnFwdkNBejVDcDJ0Y1NkMThkT2RFNUllTCtUaDJkNnBBbTBldEhmVHZYbnZjWgprTUhnVHNZcUJZSVVoZUJXYW44bUlnY0tEbmoxVnNsL2Y0MWNYUkU3SHZDNy9hUWdFM2oyR2R2a0pvSWZXZTRnCnVIb3ZnS0xxczZ5R1c4V1NqVDVxZXg1Rk9VeVF6WjNsNFI2am5xUXZnZ3VLRWZQRC9mMWk2ekJtcTdJTjU3NDUKK2ZtYXVpMEYvREFJRFVqRE9XQjlkTXhPSHkyZnB2Nk1FWVJvSmJpQ1cycWVJcmh6WGRlVDNlNTlxd0MyVkdESgpSdXpNeDZpN3Z0VFgvaHJidmNDbENsUWFHNmJYQStGZFZwcUlTelhWMlNKQldseGxqZzNLMkFMd3JPYm13UUNoCnFSTUowT3JIYjI4ME9iL0VzWVlwOUI2Vms5aHpZdktrd2NXclBvTFROejZGNm9iTmcvS1pTWkRVWXJXMDlYeXkKU3RlZ2drdzhmL29sQzVOL053QVJBUUFCaVFJN0JCZ0JDQUFtRmlFRUxHYjAzV0lJbUtxblgyY3ZYc1E3QndEKwpneklGQW1oZEVLY0NHd3dGQ1FQQ1p3QUFDZ2tRWHNRN0J3RCtnektHL1EvM1NXL0pRS0c0YVVZa2tENHowZXNWCktsSVNWRmlYbU9zeWZpMVBKSzUxYjNTeWVvYU9VVFJWdXVUaVJzVTE2QXo5eFJRSmNaYm5tSlhuTjdIOUlPblcKRWw1c3kvUW02WWNVTWNGeGZoVzluaWR6eGp3Z3Z3MTdYUmJZSFJSbUpCbVZoRmlHRGlNVkowOVVId253VjlUTgpUU0x3QTBYV0YzaGpwd0p6bUNUbUtzS3BoRDg2VEY2YUExVXVFRnFJZktnbTRnNTZIZGVPcWtGTnlscjEwY0NwCmpGVEZ2VUFXRDg1M3pFMzFrWDdyb3VzYkQ0c2g4cUJnWmdVT0U4Q3JFYzVsb0d4RnhrU05KNDRQRnRkMDhVSnEKSzhWanhkZ0ZHL1Y0NW1zSGhWYzhQWGtTeTg2TitFeVJCZElrYmtwVDZNN3Izc2hROUxNQUMwQTRrdklNdTRFNgpKRVpIUk0rUDBWVW8zL2FXK2NtNzNuRXJYWWh5a0NBZ1pkVVpaWUJPNTlqQ1k4NGY0TktwS2NacUFoZWxmS0NWCkNjUXJwWDcyK2NUbWc1K1R2YmlWQVA3bnRtMDhCNEJwRmhYbnhkQXJBaS9GQnk3dW94VFpPeDd5d2dlbHFieHEKbGExYlpYMDVnaEU4RElPdjJkWmRYaTlHSTAyYnBpOHhZUnBhTWN2Skw0M1BZSFkxdzZEeFoyMHl3M3NiNVZvUgpiM2pMaUw4aEJjdEdQVVEySE1RZkU3M2NXVEd2TldCRWliVVVFOHdSLzNpaWFPNFA3KzhPTWN3RDVPLzFzb3V4CnJZOXJpMHQ4TjdibHhNRW1FRFArako3N0NZRzRMRTdTZXV1YVNVaXFLVWlvcXdHdTBtTTNwN042TkJ2OGk4d3kKQmsxUTdDMVVaelZGbzA1c2lwc2NXdz09Cj1uclRhCi0tLS0tRU5EIFBHUCBQVUJMSUMgS0VZIEJMT0NLLS0tLS0K',
        'tuan.ha03@pnj.com.vn',
        '1',
        '10000'),
        ('TCBQRMTG',
        'OME',
        '1',
        '/pnj',
        'LS0tLS1CRUdJTiBQR1AgUFVCTElDIEtFWSBCTE9DSy0tLS0tCgptUUlOQkdoZEVLY0JFQUNpMnFMTDFadWk1UVBMaFRtT3RLWEgvWHlEM2JMdENVTHFCcGpjN3ZmRW9HdXZtWkliCjVEV3B0L2tkTERqeGtxak1oN081aDA4OWVTMVVVRmN1UGpOUXVzTTgwT2luZTVOQUl4MDJGdzhyQzZRNXpNMlUKTmN1VEU3d0ZiMzZBK3VXM0xITldoUE5XNkMvSi9TNXZHQkIrSklPeUw0L0FEY0pmdjd4QUswa1JPMHZsN0kxYgpna2FFcUVFM2pSVWREbk5YOEJGcy92YXRxZGdaVy9KTmQyV280cVVOZVlkditGNmhEWmwxSmJYUE82dE9kcGpWCk1lMm03K21qd3BNeTBKUVA1dCtwK0IzblE0OG9uVUNCRmJxQ1JYZ3B1Unozdzl1U1ZTZFZYSHRIWEVOc0xjWGQKYTF4djdNbjFLUG9iUjlQU0Jycjl2dXYvczFraGF3Um5DRXJsR3A3Nk4yN0wwakdKalJvdWlkS3BZSVNFWXd0bwpPSUNDR2V5VFB0d3cveXJBS0I1L3lZNUlMaDkxREp1ZXVzcVpkajlPaDNLT284MHlMUzJEZWd1a25OL1dTV1RZClZXZWl0OVBGVU1tQm9uL2E4SjBOMDFFTnI3Z1NNbkptUENOK0VkV0tPSHBuU0FNcms1WlVLMlV1bHhMMkFpbDAKV2x2TEtPY1hlQVlhRit1c0RJSFZLUzB4RFVXd0xHM21zS2czRmRkVmFYTk1oMVo3QjRMZWdPY2ZkckNzUm5BawpWZEh1T0lKUGpXS0crN1NmS1BHb3QvdVVkdXVhRFlwQ1pKYmI4Q1BwQVBzbHFXNXZ2ZXo4UkpJMlVZd0hFajZjCmhteHVzbm9NZGkvSURyYWdZbHhDR0UwNlR4bUxQOVI2M01jMjN3UGpqaS93WVc2TXF4ZGM2R05vM3dBUkFRQUIKdENaUVRrb2dWRU5DSUZGU0lGQlNUMFFnUEhSMVlXNHVhR0V3TTBCd2Jtb3VZMjl0TG5adVBva0NWd1FUQVFnQQpRUlloQkN4bTlOMWlDSmlxcDE5bkwxN0VPd2NBL29NeUJRSm9YUkNuQWhzREJRa0R3bWNBQlFzSkNBY0NBaUlDCkJoVUtDUWdMQWdRV0FnTUJBaDRIQWhlQUFBb0pFRjdFT3djQS9vTXl2cGdQLzBBcVBhRi9iWmxaZjExay95ejAKNnk4MWZlWmh5czBiT1ZHNlFFR29CUHRrZkRIT1JmdzFJZkJrWENneXg4NUxjci9RY1dtTFJNcXNHblROdENBSgpLUHhoaFRwRnEvZnhrR2RFTElOYlVza3JUaVk0OUdzdVVmVTc3OEM1N3FZbzMzY3NPQWQ5WTJCcXY5ZVVFVitvCi9yRkkwSE1yRzZWRUpSaktUYnBEUTNqVWVYcFdPZU9XSWZSSDcveUVqSE1EdHVLUWkrWXI0ZnZiOXdGYklDMm8KNVVieUtwQlJYT24vdUFRQUl2dnFiNDBFWUoxZDI0aFkxNFJ6UHJEU0FlVi83YkZOTXBYR3NzZERLRDNSTlRUTgpJMWkrWjZxaXI1OFpyMHFKVzFYWDNKejJqZUc5RHpPdU5mbjl0N0Q0Yy84RGdkU0dHckh0ZjNrNjZBbGdTa2FmCjR2dUxqY0lvY2w3UFBIc2VQMFlEZmlVOGV0SHFKNlE0TnhUcTM2VHh6dmxRRFg5V2dtQUZBY1RkLzdkQUVsSWEKMG9TQ1R6Mk1iRUNFczFFV3N5YmE4MDdQZjBsU3hqNUYzTWVGd0ZCaDd3TDhhbXdnOUV6Z0tYSFNhcndsK2hySwpySFBhdHhlcUE2SGtSSGlPd2VuY0t6UDFiT2RtcXllM3lzLzNoVTV1UWEvelhZNGh4a0NlcE1sclJBcGN2cDZpCnZNYXJFRFZmYk5vWHEwVXpKVXBPQ0w0UnJHVEF0dDhFKzUwbWF1d3lzd1lPY1gyUC94UVkzTVNzQVE3VWQvdHoKalNBdEwvSEdGd3ZDamNIU253VUlhZDUza2N3M25USnFuRU1VQ3RWY1h6ZCtvd0tqVGswS043c05MUktXYnFkMQpRVFBoY1NsRjdtRGVObG4xRk52YlhPOTV1UUlOQkdoZEVLY0JFQUM0Q2IrM2tCL25hRmRBSDRuQytudUNmS1U0CjVNaVZnVzB4aWFkU1JTU1AwRm02eTZPNzZJNDA4cm5mRmc2QUM1OHRIb1F3UjlxUm5lL0F2WUdvaWZKRk43VEcKQnRFRkUrVEtMQUJIYk12NU9CSm45ODNRRGRmOStnUHA4V3hUUXdtdUNwbFFHMHpaeFV6dTVaQkVId0xYc0tZZApPS2U4a0IzZEJpTldLWXZLRkVvMWgyRTI2WkRtZmxBTm9oSjc2NGhTOCtNM09iSFNQOVEyT0d6VDhYdjRsaHVaCitEQUpQdVAreEhDY3hadlBCSFJ4MEVQZUs0cVYzTmwwMC9wVVcyc0JpMW9jcTJCQ0R5VlkvU29ra1h1QVRURFkKY1J6dnlmUVM3QmZxajJDUlkvSnFwdkNBejVDcDJ0Y1NkMThkT2RFNUllTCtUaDJkNnBBbTBldEhmVHZYbnZjWgprTUhnVHNZcUJZSVVoZUJXYW44bUlnY0tEbmoxVnNsL2Y0MWNYUkU3SHZDNy9hUWdFM2oyR2R2a0pvSWZXZTRnCnVIb3ZnS0xxczZ5R1c4V1NqVDVxZXg1Rk9VeVF6WjNsNFI2am5xUXZnZ3VLRWZQRC9mMWk2ekJtcTdJTjU3NDUKK2ZtYXVpMEYvREFJRFVqRE9XQjlkTXhPSHkyZnB2Nk1FWVJvSmJpQ1cycWVJcmh6WGRlVDNlNTlxd0MyVkdESgpSdXpNeDZpN3Z0VFgvaHJidmNDbENsUWFHNmJYQStGZFZwcUlTelhWMlNKQldseGxqZzNLMkFMd3JPYm13UUNoCnFSTUowT3JIYjI4ME9iL0VzWVlwOUI2Vms5aHpZdktrd2NXclBvTFROejZGNm9iTmcvS1pTWkRVWXJXMDlYeXkKU3RlZ2drdzhmL29sQzVOL053QVJBUUFCaVFJN0JCZ0JDQUFtRmlFRUxHYjAzV0lJbUtxblgyY3ZYc1E3QndEKwpneklGQW1oZEVLY0NHd3dGQ1FQQ1p3QUFDZ2tRWHNRN0J3RCtnektHL1EvM1NXL0pRS0c0YVVZa2tENHowZXNWCktsSVNWRmlYbU9zeWZpMVBKSzUxYjNTeWVvYU9VVFJWdXVUaVJzVTE2QXo5eFJRSmNaYm5tSlhuTjdIOUlPblcKRWw1c3kvUW02WWNVTWNGeGZoVzluaWR6eGp3Z3Z3MTdYUmJZSFJSbUpCbVZoRmlHRGlNVkowOVVId253VjlUTgpUU0x3QTBYV0YzaGpwd0p6bUNUbUtzS3BoRDg2VEY2YUExVXVFRnFJZktnbTRnNTZIZGVPcWtGTnlscjEwY0NwCmpGVEZ2VUFXRDg1M3pFMzFrWDdyb3VzYkQ0c2g4cUJnWmdVT0U4Q3JFYzVsb0d4RnhrU05KNDRQRnRkMDhVSnEKSzhWanhkZ0ZHL1Y0NW1zSGhWYzhQWGtTeTg2TitFeVJCZElrYmtwVDZNN3Izc2hROUxNQUMwQTRrdklNdTRFNgpKRVpIUk0rUDBWVW8zL2FXK2NtNzNuRXJYWWh5a0NBZ1pkVVpaWUJPNTlqQ1k4NGY0TktwS2NacUFoZWxmS0NWCkNjUXJwWDcyK2NUbWc1K1R2YmlWQVA3bnRtMDhCNEJwRmhYbnhkQXJBaS9GQnk3dW94VFpPeDd5d2dlbHFieHEKbGExYlpYMDVnaEU4RElPdjJkWmRYaTlHSTAyYnBpOHhZUnBhTWN2Skw0M1BZSFkxdzZEeFoyMHl3M3NiNVZvUgpiM2pMaUw4aEJjdEdQVVEySE1RZkU3M2NXVEd2TldCRWliVVVFOHdSLzNpaWFPNFA3KzhPTWN3RDVPLzFzb3V4CnJZOXJpMHQ4TjdibHhNRW1FRFArako3N0NZRzRMRTdTZXV1YVNVaXFLVWlvcXdHdTBtTTNwN042TkJ2OGk4d3kKQmsxUTdDMVVaelZGbzA1c2lwc2NXdz09Cj1uclRhCi0tLS0tRU5EIFBHUCBQVUJMSUMgS0VZIEJMT0NLLS0tLS0K',
        'tuan.ha03@pnj.com.vn',
        '1',
        '10000'),
        ('TCBQRMTY',
        'OME',
        '1',
        '/pnj',
        'LS0tLS1CRUdJTiBQR1AgUFVCTElDIEtFWSBCTE9DSy0tLS0tCgptUUlOQkdoZEVLY0JFQUNpMnFMTDFadWk1UVBMaFRtT3RLWEgvWHlEM2JMdENVTHFCcGpjN3ZmRW9HdXZtWkliCjVEV3B0L2tkTERqeGtxak1oN081aDA4OWVTMVVVRmN1UGpOUXVzTTgwT2luZTVOQUl4MDJGdzhyQzZRNXpNMlUKTmN1VEU3d0ZiMzZBK3VXM0xITldoUE5XNkMvSi9TNXZHQkIrSklPeUw0L0FEY0pmdjd4QUswa1JPMHZsN0kxYgpna2FFcUVFM2pSVWREbk5YOEJGcy92YXRxZGdaVy9KTmQyV280cVVOZVlkditGNmhEWmwxSmJYUE82dE9kcGpWCk1lMm03K21qd3BNeTBKUVA1dCtwK0IzblE0OG9uVUNCRmJxQ1JYZ3B1Unozdzl1U1ZTZFZYSHRIWEVOc0xjWGQKYTF4djdNbjFLUG9iUjlQU0Jycjl2dXYvczFraGF3Um5DRXJsR3A3Nk4yN0wwakdKalJvdWlkS3BZSVNFWXd0bwpPSUNDR2V5VFB0d3cveXJBS0I1L3lZNUlMaDkxREp1ZXVzcVpkajlPaDNLT284MHlMUzJEZWd1a25OL1dTV1RZClZXZWl0OVBGVU1tQm9uL2E4SjBOMDFFTnI3Z1NNbkptUENOK0VkV0tPSHBuU0FNcms1WlVLMlV1bHhMMkFpbDAKV2x2TEtPY1hlQVlhRit1c0RJSFZLUzB4RFVXd0xHM21zS2czRmRkVmFYTk1oMVo3QjRMZWdPY2ZkckNzUm5BawpWZEh1T0lKUGpXS0crN1NmS1BHb3QvdVVkdXVhRFlwQ1pKYmI4Q1BwQVBzbHFXNXZ2ZXo4UkpJMlVZd0hFajZjCmhteHVzbm9NZGkvSURyYWdZbHhDR0UwNlR4bUxQOVI2M01jMjN3UGpqaS93WVc2TXF4ZGM2R05vM3dBUkFRQUIKdENaUVRrb2dWRU5DSUZGU0lGQlNUMFFnUEhSMVlXNHVhR0V3TTBCd2Jtb3VZMjl0TG5adVBva0NWd1FUQVFnQQpRUlloQkN4bTlOMWlDSmlxcDE5bkwxN0VPd2NBL29NeUJRSm9YUkNuQWhzREJRa0R3bWNBQlFzSkNBY0NBaUlDCkJoVUtDUWdMQWdRV0FnTUJBaDRIQWhlQUFBb0pFRjdFT3djQS9vTXl2cGdQLzBBcVBhRi9iWmxaZjExay95ejAKNnk4MWZlWmh5czBiT1ZHNlFFR29CUHRrZkRIT1JmdzFJZkJrWENneXg4NUxjci9RY1dtTFJNcXNHblROdENBSgpLUHhoaFRwRnEvZnhrR2RFTElOYlVza3JUaVk0OUdzdVVmVTc3OEM1N3FZbzMzY3NPQWQ5WTJCcXY5ZVVFVitvCi9yRkkwSE1yRzZWRUpSaktUYnBEUTNqVWVYcFdPZU9XSWZSSDcveUVqSE1EdHVLUWkrWXI0ZnZiOXdGYklDMm8KNVVieUtwQlJYT24vdUFRQUl2dnFiNDBFWUoxZDI0aFkxNFJ6UHJEU0FlVi83YkZOTXBYR3NzZERLRDNSTlRUTgpJMWkrWjZxaXI1OFpyMHFKVzFYWDNKejJqZUc5RHpPdU5mbjl0N0Q0Yy84RGdkU0dHckh0ZjNrNjZBbGdTa2FmCjR2dUxqY0lvY2w3UFBIc2VQMFlEZmlVOGV0SHFKNlE0TnhUcTM2VHh6dmxRRFg5V2dtQUZBY1RkLzdkQUVsSWEKMG9TQ1R6Mk1iRUNFczFFV3N5YmE4MDdQZjBsU3hqNUYzTWVGd0ZCaDd3TDhhbXdnOUV6Z0tYSFNhcndsK2hySwpySFBhdHhlcUE2SGtSSGlPd2VuY0t6UDFiT2RtcXllM3lzLzNoVTV1UWEvelhZNGh4a0NlcE1sclJBcGN2cDZpCnZNYXJFRFZmYk5vWHEwVXpKVXBPQ0w0UnJHVEF0dDhFKzUwbWF1d3lzd1lPY1gyUC94UVkzTVNzQVE3VWQvdHoKalNBdEwvSEdGd3ZDamNIU253VUlhZDUza2N3M25USnFuRU1VQ3RWY1h6ZCtvd0tqVGswS043c05MUktXYnFkMQpRVFBoY1NsRjdtRGVObG4xRk52YlhPOTV1UUlOQkdoZEVLY0JFQUM0Q2IrM2tCL25hRmRBSDRuQytudUNmS1U0CjVNaVZnVzB4aWFkU1JTU1AwRm02eTZPNzZJNDA4cm5mRmc2QUM1OHRIb1F3UjlxUm5lL0F2WUdvaWZKRk43VEcKQnRFRkUrVEtMQUJIYk12NU9CSm45ODNRRGRmOStnUHA4V3hUUXdtdUNwbFFHMHpaeFV6dTVaQkVId0xYc0tZZApPS2U4a0IzZEJpTldLWXZLRkVvMWgyRTI2WkRtZmxBTm9oSjc2NGhTOCtNM09iSFNQOVEyT0d6VDhYdjRsaHVaCitEQUpQdVAreEhDY3hadlBCSFJ4MEVQZUs0cVYzTmwwMC9wVVcyc0JpMW9jcTJCQ0R5VlkvU29ra1h1QVRURFkKY1J6dnlmUVM3QmZxajJDUlkvSnFwdkNBejVDcDJ0Y1NkMThkT2RFNUllTCtUaDJkNnBBbTBldEhmVHZYbnZjWgprTUhnVHNZcUJZSVVoZUJXYW44bUlnY0tEbmoxVnNsL2Y0MWNYUkU3SHZDNy9hUWdFM2oyR2R2a0pvSWZXZTRnCnVIb3ZnS0xxczZ5R1c4V1NqVDVxZXg1Rk9VeVF6WjNsNFI2am5xUXZnZ3VLRWZQRC9mMWk2ekJtcTdJTjU3NDUKK2ZtYXVpMEYvREFJRFVqRE9XQjlkTXhPSHkyZnB2Nk1FWVJvSmJpQ1cycWVJcmh6WGRlVDNlNTlxd0MyVkdESgpSdXpNeDZpN3Z0VFgvaHJidmNDbENsUWFHNmJYQStGZFZwcUlTelhWMlNKQldseGxqZzNLMkFMd3JPYm13UUNoCnFSTUowT3JIYjI4ME9iL0VzWVlwOUI2Vms5aHpZdktrd2NXclBvTFROejZGNm9iTmcvS1pTWkRVWXJXMDlYeXkKU3RlZ2drdzhmL29sQzVOL053QVJBUUFCaVFJN0JCZ0JDQUFtRmlFRUxHYjAzV0lJbUtxblgyY3ZYc1E3QndEKwpneklGQW1oZEVLY0NHd3dGQ1FQQ1p3QUFDZ2tRWHNRN0J3RCtnektHL1EvM1NXL0pRS0c0YVVZa2tENHowZXNWCktsSVNWRmlYbU9zeWZpMVBKSzUxYjNTeWVvYU9VVFJWdXVUaVJzVTE2QXo5eFJRSmNaYm5tSlhuTjdIOUlPblcKRWw1c3kvUW02WWNVTWNGeGZoVzluaWR6eGp3Z3Z3MTdYUmJZSFJSbUpCbVZoRmlHRGlNVkowOVVId253VjlUTgpUU0x3QTBYV0YzaGpwd0p6bUNUbUtzS3BoRDg2VEY2YUExVXVFRnFJZktnbTRnNTZIZGVPcWtGTnlscjEwY0NwCmpGVEZ2VUFXRDg1M3pFMzFrWDdyb3VzYkQ0c2g4cUJnWmdVT0U4Q3JFYzVsb0d4RnhrU05KNDRQRnRkMDhVSnEKSzhWanhkZ0ZHL1Y0NW1zSGhWYzhQWGtTeTg2TitFeVJCZElrYmtwVDZNN3Izc2hROUxNQUMwQTRrdklNdTRFNgpKRVpIUk0rUDBWVW8zL2FXK2NtNzNuRXJYWWh5a0NBZ1pkVVpaWUJPNTlqQ1k4NGY0TktwS2NacUFoZWxmS0NWCkNjUXJwWDcyK2NUbWc1K1R2YmlWQVA3bnRtMDhCNEJwRmhYbnhkQXJBaS9GQnk3dW94VFpPeDd5d2dlbHFieHEKbGExYlpYMDVnaEU4RElPdjJkWmRYaTlHSTAyYnBpOHhZUnBhTWN2Skw0M1BZSFkxdzZEeFoyMHl3M3NiNVZvUgpiM2pMaUw4aEJjdEdQVVEySE1RZkU3M2NXVEd2TldCRWliVVVFOHdSLzNpaWFPNFA3KzhPTWN3RDVPLzFzb3V4CnJZOXJpMHQ4TjdibHhNRW1FRFArako3N0NZRzRMRTdTZXV1YVNVaXFLVWlvcXdHdTBtTTNwN042TkJ2OGk4d3kKQmsxUTdDMVVaelZGbzA1c2lwc2NXdz09Cj1uclRhCi0tLS0tRU5EIFBHUCBQVUJMSUMgS0VZIEJMT0NLLS0tLS0K',
        'tuan.ha03@pnj.com.vn',
        '1',
        '10000'),
        ('TCBQRTNN',
        'OME',
        '1',
        '/pnj',
        'LS0tLS1CRUdJTiBQR1AgUFVCTElDIEtFWSBCTE9DSy0tLS0tCgptUUlOQkdoZEVLY0JFQUNpMnFMTDFadWk1UVBMaFRtT3RLWEgvWHlEM2JMdENVTHFCcGpjN3ZmRW9HdXZtWkliCjVEV3B0L2tkTERqeGtxak1oN081aDA4OWVTMVVVRmN1UGpOUXVzTTgwT2luZTVOQUl4MDJGdzhyQzZRNXpNMlUKTmN1VEU3d0ZiMzZBK3VXM0xITldoUE5XNkMvSi9TNXZHQkIrSklPeUw0L0FEY0pmdjd4QUswa1JPMHZsN0kxYgpna2FFcUVFM2pSVWREbk5YOEJGcy92YXRxZGdaVy9KTmQyV280cVVOZVlkditGNmhEWmwxSmJYUE82dE9kcGpWCk1lMm03K21qd3BNeTBKUVA1dCtwK0IzblE0OG9uVUNCRmJxQ1JYZ3B1Unozdzl1U1ZTZFZYSHRIWEVOc0xjWGQKYTF4djdNbjFLUG9iUjlQU0Jycjl2dXYvczFraGF3Um5DRXJsR3A3Nk4yN0wwakdKalJvdWlkS3BZSVNFWXd0bwpPSUNDR2V5VFB0d3cveXJBS0I1L3lZNUlMaDkxREp1ZXVzcVpkajlPaDNLT284MHlMUzJEZWd1a25OL1dTV1RZClZXZWl0OVBGVU1tQm9uL2E4SjBOMDFFTnI3Z1NNbkptUENOK0VkV0tPSHBuU0FNcms1WlVLMlV1bHhMMkFpbDAKV2x2TEtPY1hlQVlhRit1c0RJSFZLUzB4RFVXd0xHM21zS2czRmRkVmFYTk1oMVo3QjRMZWdPY2ZkckNzUm5BawpWZEh1T0lKUGpXS0crN1NmS1BHb3QvdVVkdXVhRFlwQ1pKYmI4Q1BwQVBzbHFXNXZ2ZXo4UkpJMlVZd0hFajZjCmhteHVzbm9NZGkvSURyYWdZbHhDR0UwNlR4bUxQOVI2M01jMjN3UGpqaS93WVc2TXF4ZGM2R05vM3dBUkFRQUIKdENaUVRrb2dWRU5DSUZGU0lGQlNUMFFnUEhSMVlXNHVhR0V3TTBCd2Jtb3VZMjl0TG5adVBva0NWd1FUQVFnQQpRUlloQkN4bTlOMWlDSmlxcDE5bkwxN0VPd2NBL29NeUJRSm9YUkNuQWhzREJRa0R3bWNBQlFzSkNBY0NBaUlDCkJoVUtDUWdMQWdRV0FnTUJBaDRIQWhlQUFBb0pFRjdFT3djQS9vTXl2cGdQLzBBcVBhRi9iWmxaZjExay95ejAKNnk4MWZlWmh5czBiT1ZHNlFFR29CUHRrZkRIT1JmdzFJZkJrWENneXg4NUxjci9RY1dtTFJNcXNHblROdENBSgpLUHhoaFRwRnEvZnhrR2RFTElOYlVza3JUaVk0OUdzdVVmVTc3OEM1N3FZbzMzY3NPQWQ5WTJCcXY5ZVVFVitvCi9yRkkwSE1yRzZWRUpSaktUYnBEUTNqVWVYcFdPZU9XSWZSSDcveUVqSE1EdHVLUWkrWXI0ZnZiOXdGYklDMm8KNVVieUtwQlJYT24vdUFRQUl2dnFiNDBFWUoxZDI0aFkxNFJ6UHJEU0FlVi83YkZOTXBYR3NzZERLRDNSTlRUTgpJMWkrWjZxaXI1OFpyMHFKVzFYWDNKejJqZUc5RHpPdU5mbjl0N0Q0Yy84RGdkU0dHckh0ZjNrNjZBbGdTa2FmCjR2dUxqY0lvY2w3UFBIc2VQMFlEZmlVOGV0SHFKNlE0TnhUcTM2VHh6dmxRRFg5V2dtQUZBY1RkLzdkQUVsSWEKMG9TQ1R6Mk1iRUNFczFFV3N5YmE4MDdQZjBsU3hqNUYzTWVGd0ZCaDd3TDhhbXdnOUV6Z0tYSFNhcndsK2hySwpySFBhdHhlcUE2SGtSSGlPd2VuY0t6UDFiT2RtcXllM3lzLzNoVTV1UWEvelhZNGh4a0NlcE1sclJBcGN2cDZpCnZNYXJFRFZmYk5vWHEwVXpKVXBPQ0w0UnJHVEF0dDhFKzUwbWF1d3lzd1lPY1gyUC94UVkzTVNzQVE3VWQvdHoKalNBdEwvSEdGd3ZDamNIU253VUlhZDUza2N3M25USnFuRU1VQ3RWY1h6ZCtvd0tqVGswS043c05MUktXYnFkMQpRVFBoY1NsRjdtRGVObG4xRk52YlhPOTV1UUlOQkdoZEVLY0JFQUM0Q2IrM2tCL25hRmRBSDRuQytudUNmS1U0CjVNaVZnVzB4aWFkU1JTU1AwRm02eTZPNzZJNDA4cm5mRmc2QUM1OHRIb1F3UjlxUm5lL0F2WUdvaWZKRk43VEcKQnRFRkUrVEtMQUJIYk12NU9CSm45ODNRRGRmOStnUHA4V3hUUXdtdUNwbFFHMHpaeFV6dTVaQkVId0xYc0tZZApPS2U4a0IzZEJpTldLWXZLRkVvMWgyRTI2WkRtZmxBTm9oSjc2NGhTOCtNM09iSFNQOVEyT0d6VDhYdjRsaHVaCitEQUpQdVAreEhDY3hadlBCSFJ4MEVQZUs0cVYzTmwwMC9wVVcyc0JpMW9jcTJCQ0R5VlkvU29ra1h1QVRURFkKY1J6dnlmUVM3QmZxajJDUlkvSnFwdkNBejVDcDJ0Y1NkMThkT2RFNUllTCtUaDJkNnBBbTBldEhmVHZYbnZjWgprTUhnVHNZcUJZSVVoZUJXYW44bUlnY0tEbmoxVnNsL2Y0MWNYUkU3SHZDNy9hUWdFM2oyR2R2a0pvSWZXZTRnCnVIb3ZnS0xxczZ5R1c4V1NqVDVxZXg1Rk9VeVF6WjNsNFI2am5xUXZnZ3VLRWZQRC9mMWk2ekJtcTdJTjU3NDUKK2ZtYXVpMEYvREFJRFVqRE9XQjlkTXhPSHkyZnB2Nk1FWVJvSmJpQ1cycWVJcmh6WGRlVDNlNTlxd0MyVkdESgpSdXpNeDZpN3Z0VFgvaHJidmNDbENsUWFHNmJYQStGZFZwcUlTelhWMlNKQldseGxqZzNLMkFMd3JPYm13UUNoCnFSTUowT3JIYjI4ME9iL0VzWVlwOUI2Vms5aHpZdktrd2NXclBvTFROejZGNm9iTmcvS1pTWkRVWXJXMDlYeXkKU3RlZ2drdzhmL29sQzVOL053QVJBUUFCaVFJN0JCZ0JDQUFtRmlFRUxHYjAzV0lJbUtxblgyY3ZYc1E3QndEKwpneklGQW1oZEVLY0NHd3dGQ1FQQ1p3QUFDZ2tRWHNRN0J3RCtnektHL1EvM1NXL0pRS0c0YVVZa2tENHowZXNWCktsSVNWRmlYbU9zeWZpMVBKSzUxYjNTeWVvYU9VVFJWdXVUaVJzVTE2QXo5eFJRSmNaYm5tSlhuTjdIOUlPblcKRWw1c3kvUW02WWNVTWNGeGZoVzluaWR6eGp3Z3Z3MTdYUmJZSFJSbUpCbVZoRmlHRGlNVkowOVVId253VjlUTgpUU0x3QTBYV0YzaGpwd0p6bUNUbUtzS3BoRDg2VEY2YUExVXVFRnFJZktnbTRnNTZIZGVPcWtGTnlscjEwY0NwCmpGVEZ2VUFXRDg1M3pFMzFrWDdyb3VzYkQ0c2g4cUJnWmdVT0U4Q3JFYzVsb0d4RnhrU05KNDRQRnRkMDhVSnEKSzhWanhkZ0ZHL1Y0NW1zSGhWYzhQWGtTeTg2TitFeVJCZElrYmtwVDZNN3Izc2hROUxNQUMwQTRrdklNdTRFNgpKRVpIUk0rUDBWVW8zL2FXK2NtNzNuRXJYWWh5a0NBZ1pkVVpaWUJPNTlqQ1k4NGY0TktwS2NacUFoZWxmS0NWCkNjUXJwWDcyK2NUbWc1K1R2YmlWQVA3bnRtMDhCNEJwRmhYbnhkQXJBaS9GQnk3dW94VFpPeDd5d2dlbHFieHEKbGExYlpYMDVnaEU4RElPdjJkWmRYaTlHSTAyYnBpOHhZUnBhTWN2Skw0M1BZSFkxdzZEeFoyMHl3M3NiNVZvUgpiM2pMaUw4aEJjdEdQVVEySE1RZkU3M2NXVEd2TldCRWliVVVFOHdSLzNpaWFPNFA3KzhPTWN3RDVPLzFzb3V4CnJZOXJpMHQ4TjdibHhNRW1FRFArako3N0NZRzRMRTdTZXV1YVNVaXFLVWlvcXdHdTBtTTNwN042TkJ2OGk4d3kKQmsxUTdDMVVaelZGbzA1c2lwc2NXdz09Cj1uclRhCi0tLS0tRU5EIFBHUCBQVUJMSUMgS0VZIEJMT0NLLS0tLS0K',
        'tuan.ha03@pnj.com.vn',
        '1',
        '10000');</t>
  </si>
  <si>
    <t>Hỗ trợ cập nhật Gen Config kho PHO04</t>
  </si>
  <si>
    <t>2025-07-05T14:14:44.178+0700</t>
  </si>
  <si>
    <t>2025-07-05T14:24:34.058+0700</t>
  </si>
  <si>
    <t>Hi DBA team, Trên db của kho PHO04 có phần gen config cần update lại đúng format. Nhờ team cập nhật giúp em Project : vinid-b2b-platform-prod Instance/IP : main (read-write): 172.31.4.59 Port : 3306 Database name : omd_wms_core Query update gen_config set prefix = REPLACE(prefix, 'PH02', 'PH04') where dc_code = 'PHO04'; Các câu query đánh giá là an toàn nên có thể thực hiện cập nhật bất kỳ lúc nào mà không ảnh hưởng đến vận hành hệ thống.</t>
  </si>
  <si>
    <t xml:space="preserve">SH-65867 bổ sung </t>
  </si>
  <si>
    <t>2025-07-04T18:53:21.024+0700</t>
  </si>
  <si>
    <t>2025-07-04T18:53:53.146+0700</t>
  </si>
  <si>
    <t>seeder</t>
  </si>
  <si>
    <t>CR:  https://vinid-team.atlassian.net/servicedesk/customer/portal/15/SH-65867 ticket bổ sung update tên sản phẩm ( ticket 1    ) IP:  IP: 172.31.1.41 Db name: vincart_mm_product query ( attachment ) Đã verify script ở UAT (attachment)</t>
  </si>
  <si>
    <t>[BO] Tích hợp thông tin cá nhân lên SAP cho luồng TOPUP</t>
  </si>
  <si>
    <t>2025-07-04T18:38:11.955+0700</t>
  </si>
  <si>
    <t>2025-07-04T18:40:49.851+0700</t>
  </si>
  <si>
    <t>Hi a  @Nguyễn Văn Dũng  , nhờ a chạy giúp e script bên dưới với ạ Thông tin database:  172.31.1.133:3306/bo Ticket CR:    INSERT INTO SAP_SO_MAP (COMPANY_ID, DOMAIN_ID, SERVICE_ID, LEVEL, SAP_FIELD_NAME, DESCRIPTION, DATA_TYPE, VALUE_TYPE, VALUE, VERSION, INSERT_DATETIME, UPDATE_DATETIME, AUTHOR_DATETIME)
VALUES
    ('VN0010002','VN0010016','VN0010050',  'H', 'MA_CCCD', 'MaCCCD', '2', 'R', 'MA_CCCD', '1', CURRENT_TIMESTAMP, CURRENT_TIMESTAMP, CURRENT_TIMESTAMP),
    ('VN0010002','VN0010016','VN0010050',  'P', 'NAME2', 'Name2', '2', 'R', 'NAME2', '1', CURRENT_TIMESTAMP, CURRENT_TIMESTAMP, CURRENT_TIMESTAMP),
    ('VN0010002','VN0010016','VN0010050',  'P', 'EMAIL', 'Email', '2', 'R', 'P_EMAIL', '1', CURRENT_TIMESTAMP, CURRENT_TIMESTAMP, CURRENT_TIMESTAMP),
    ('VN0010002','VN0010016','VN0010050',  'P', 'SF_STREET', 'Cắt chuỗi truyền vào SF_Stress2, hoặc SF_Stress3 (Do mỗi field SAP đang validate 40 ký tự)', '2', 'R', 'SF_STREET', '1', CURRENT_TIMESTAMP, CURRENT_TIMESTAMP, CURRENT_TIMESTAMP),
;</t>
  </si>
  <si>
    <t>[TPAY][NON-PROD] Tạo tài khoản SFTP cho merchant TokyoLife lấy file báo cáo đối soát</t>
  </si>
  <si>
    <t>2025-07-04T18:00:26.451+0700</t>
  </si>
  <si>
    <t>2025-07-04T18:00:36.907+0700</t>
  </si>
  <si>
    <t>Dự án Tpay cần cấp tài khoản và 1 thư mục con trong thư mục trong thư mục tpay dành cho đối tác TOKYOLIFE để đọc file từ sFTP server. Thông tin sFTP server cần kết nối đến: Non-prod:  35.229.130.107:2022 Nhờ team support tạo server và cấp account cho dự án. Em tên thư mục và folder ạ. Account: tokyolife Folder: tokyolife</t>
  </si>
  <si>
    <t>[OMC][PS2][Loyalty][PROD] - Thực hiện insert data yêu cầu chạy Campaign của TCB 04-07-2025</t>
  </si>
  <si>
    <t>2025-07-04T17:55:23.440+0700</t>
  </si>
  <si>
    <t>2025-07-04T18:37:08.589+0700</t>
  </si>
  <si>
    <t>Dear DBA team, Nhờ team chạy các file sql scripts đính kèm trên môi trường PROD của DB loyalty oracle IP: 10.255.23.119 Service name: oneloyaltydb Port: 1521 schema app: OLOYALTY CR:    Thanks!</t>
  </si>
  <si>
    <t>Hỗ trợ xóa sản phẩm trong kho PHO04</t>
  </si>
  <si>
    <t>2025-07-04T16:41:03.840+0700</t>
  </si>
  <si>
    <t>2025-07-04T16:45:51.045+0700</t>
  </si>
  <si>
    <t>Hi DBA team, Trên db của kho PHO04 đang có khoảng 1500 sản phẩm bị import nhầm mã sản phẩm và chưa phát sinh giao dịch. Do đó cần DBA hỗ trợ xóa các sản phẩm đó ra khỏi các bảng liên quan.  1. Data base omd_wms_thuanphong2 Project : vinid-b2b-platform-prod Instance/IP : main (read-write): 172.31.4.59 Port : 3306 Database name : omd_wms_core Query delete from agg_product_inventory where dc_code = 'PHO04' and product_code != 'TEST'; 2. Data base omd_wms_thuanphong2 Project : vinid-b2b-platform-prod Instance/IP : main (read-write): 172.31.4.59 Port : 3306 Database : omd_wms_thuanphong2 Query DELETE pu from prod_master pm 
join prod_uom pu on pu.prod_master_id = pm.prod_id
where pm.dc_code = 'PHO04' and pm.prod_id != 869;
DELETE from prod_master pm 
where pm.dc_code = 'PHO04' and pm.prod_id != 869; 3. Database wes_thuanphong2 Project : vinid-b2b-platform-prod Instance/IP : main (read-write): 172.31.1.143 Port : 3306 Database : wes_thuanphong2 Query delete u from item i 
join uom u on u.item_id = i.id
where i.dc_code = 'PHO04' and i.id not in (3148, 3159);
delete i from item i where i.dc_code = 'PHO04' and i.id not in (3148, 3159); Các câu query đánh giá là an toàn nên có thể thực hiện cập nhật bất kỳ lúc nào mà không ảnh hưởng đến vận hành hệ thống.</t>
  </si>
  <si>
    <t>2025-07-04T16:25:50.534+0700</t>
  </si>
  <si>
    <t>2025-07-04T16:25:57.201+0700</t>
  </si>
  <si>
    <t>Dear team DBA Do vận hành thay đổi cấu hình phương thức thanh toán nhờ team xóa giúp em cache theo thông tin sau ạ key :  ecom:order-orchestrator:get_payment_methods::SimpleKey [MOBILE_PHONE_CARD,OITOPUP,OIMobi,MOBILE_PHONE_CARD,NEW_CHECKOUT] host :  vincart-prod--cache.memstore.int port : 6379 database : 0</t>
  </si>
  <si>
    <t>2025-07-04T16:15:20.145+0700</t>
  </si>
  <si>
    <t>2025-07-04T17:12:27.947+0700</t>
  </si>
  <si>
    <t>2025-07-04T15:06:54.669+0700</t>
  </si>
  <si>
    <t>2025-07-04T15:25:17.233+0700</t>
  </si>
  <si>
    <t>Dear team DBA Do có lỗi trong quá trình vận hành nên cần cập nhật lại trạng thái thanh toán của đơn hàng, nhờ team hỗ trợ chạy script sau Có thể chạy ngay khi được approve link CR:  project: vincart-prod instance: main ip: 172.31.1.41 DB: vincart_mm_order UPDATE `orders`
SET payment_method_code = 'ATM',
    payment_method_name = 'Thẻ ATM nội địa',
    payment_status      = 'PAID',
    paid_amount         = upoint_value
WHERE code in ('ML2N57N', 'MB7BNAL', 'MADBLA6', 'M4B63KG');
UPDATE master_orders
SET payment_method_code     = 'ATM',
    payment_method_name     = 'Thẻ ATM nội địa',
    payment_status          = 'PAID',
    grand_total_paid_amount = grand_total_amount
WHERE id in (SELECT master_order_id
             FROM orders
             WHERE code in ('ML2N57N', 'MB7BNAL', 'MADBLA6', 'M4B63KG'));</t>
  </si>
  <si>
    <t>[OMC][MTP][PROD] Cập nhật dữ liệu production</t>
  </si>
  <si>
    <t>2025-07-04T11:11:34.270+0700</t>
  </si>
  <si>
    <t>2025-07-04T11:11:39.681+0700</t>
  </si>
  <si>
    <t>Dear anh  @Nguyễn Văn Dũng  , Nhờ a thực hiện update bản ghi giúp em ạ, thông tin DB Postgres mtp_audience_management   POSTGRES_HOST: 172.31.3.49
POSTGRES_PORT: "5432" UPDATE segments SET segment_config = e'{
  "AND": [
    {
      "AND": [
        {
          "label_code": "hv_tt_up_amount",
          "operator": "&lt;=",
          "data_type": "INT",
          "value": 100000
        },
        {
          "label_code": "hv_tt_up_amount",
          "operator": "&gt;",
          "data_type": "INT",
          "value": 0
        }
      ]
    }
  ]
}' WHERE id = 81 Thanks.</t>
  </si>
  <si>
    <t>[OMC][Flash Sale TCB] Hạ cấu hình các instance DB mysql/postgreSQL sau Flash Sale 03/07/2025</t>
  </si>
  <si>
    <t>2025-07-04T01:11:02.985+0700</t>
  </si>
  <si>
    <t>2025-07-04T01:26:13.462+0700</t>
  </si>
  <si>
    <t xml:space="preserve">Team DBA thực hiện hạ cấu hình các instance DB mysql/postgreSQL sau sự kiện Flash Sale 03/07/2025 Thời gian thực hiện:  1h 04/07/2025 Chi tiết như sau: https://console.cloud.google.com/sql/instances/main/overview?project=vincart-prod 172.31.1.41 Từ: 48 CPUs	64 GB RAM, innodb_buffer_pool_size	42748736000 Xuống: 4 CPUs	16 GB RAM, innodb_buffer_pool_size		8589934592 https://console.cloud.google.com/sql/instances/ecom-medium-mysql/overview?project=vincart-prod 172.31.4.9 Từ: 16 CPUs	32 GB RAM , innodb_buffer_pool_size  18874368000 Xuống: 4 vCPU 8GB RAM , innodb_buffer_pool_size= 4294967296 https://console.cloud.google.com/sql/instances/oneloyalty/overview?project=vinid-loyalty-prod 172.31.7.6 Từ: 16 CPUs	24 GB RAM , innodb_buffer_pool_size   15737418240 Xuống: 4 vCPU 8GB RAM , innodb_buffer_pool_size= 4294967296 https://console.cloud.google.com/sql/instances/onevoucher/overview?project=vinid-loyalty-prod 172.31.4.126 Từ: 16 CPUs	32 GB RAM , innodb_buffer_pool_size  18874368000 Xuống: 4 CPUs	16 GB RAM, innodb_buffer_pool_size		8589934592 https://console.cloud.google.com/sql/instances/voucher-distribution/overview?project=vinid-loyalty-prod 172.31.4.82 Từ: 8 CPUs	16 GB RAM , innodb_buffer_pool_size  10037418240 Xuống: 2 vCPU 8GB RAM , innodb_buffer_pool_size= 4294967296 https://console.cloud.google.com/sql/instances/postgres-01/overview?authuser=0&amp;project=vinid-service-platform-prod 172.31.7.11 Từ: 4 CPUs	16 GB RAM Xuống: 2 CPUs	8 GB RAM https://console.cloud.google.com/sql/instances/omc-authentication/overview?project=omc-base-platform-prod 172.31.3.40 Từ: 8 CPUs	16 GB RAM Xuống: 4 CPUs	8 GB RAM CR:   </t>
  </si>
  <si>
    <t>[MTP][Prod] Request chạy script cho golive 3/7</t>
  </si>
  <si>
    <t>2025-07-03T16:49:45.928+0700</t>
  </si>
  <si>
    <t>2025-07-03T21:01:12.632+0700</t>
  </si>
  <si>
    <t>Dear a  @Trần Trương Dương  , team em có golive ngày 3/7. Nhờ a chạy các script sau giúp em ạ: Note : Thời điểm golive dự kiến 21h ngày 3/7 1. MySQL IP:  172.31.1.21:3306 DB:  martech_campaign_prod Script: ALTER TABLE campaign ADD COLUMN use_cdp_audience boolean NOT NULL DEFAULT FALSE; 2. Postgres IP:  172.31.3.49:5432 DB:  mtp_campaign_management Script: ALTER TABLE mtp_campaign_targeting ADD COLUMN use_cdp_audience boolean NOT NULL DEFAULT FALSE;
ALTER TABLE mtp_campaign_campaign ADD COLUMN use_cdp_audience boolean NOT NULL DEFAULT FALSE; Release Note :  Thanks.</t>
  </si>
  <si>
    <t>SH-65867</t>
  </si>
  <si>
    <t>2025-07-03T16:46:28.495+0700</t>
  </si>
  <si>
    <t>2025-07-03T23:41:57.925+0700</t>
  </si>
  <si>
    <t>CR:  https://vinid-team.atlassian.net/servicedesk/customer/portal/15/SH-65867  ( approved ) IP: 172.31.1.41 Db name: vincart_mm_product query ( attachment )</t>
  </si>
  <si>
    <t>2025-07-03T14:19:27.636+0700</t>
  </si>
  <si>
    <t>2025-07-03T16:39:58.626+0700</t>
  </si>
  <si>
    <t>Nhờ team chạy các lệnh UPDATE trên MySQL Production như sau ạ: URL:  mysql://omre-onehs-mysql-main.int.onemount.com:3306/onehs_dictionary Query: UPDATE HIGH_RISE_PROPERTIES SET floor_id="5c2dd707-e9d9-1d1f-81f7-8dd5cc13607a" WHERE id="5f6b4d72-be99-4daf-bcd4-54b586857011";
UPDATE HIGH_RISE_PROPERTIES SET floor_id="f80c4281-b911-0826-3aa8-e8db08e3470d" WHERE id="760f8030-02ce-4e73-a8e2-7f114b34d9c7";
UPDATE HIGH_RISE_PROPERTIES SET floor_id="7bac7976-3c85-f697-ad60-2743ed126ec8" WHERE id="b8f5f3a4-a04b-4609-bdcd-8621eb5540d5";
UPDATE HIGH_RISE_PROPERTIES SET floor_id="f80c4281-b911-0826-3aa8-e8db08e3470d" WHERE id="c795ab41-04ed-4e40-8823-f0958168ae4e";
UPDATE HIGH_RISE_PROPERTIES SET floor_id="f80c4281-b911-0826-3aa8-e8db08e3470d" WHERE id="450d7f7b-a1c1-4513-8c06-6e40f09de44f";
UPDATE HIGH_RISE_PROPERTIES SET floor_id="0271d71d-7064-b0db-be24-efa204677461" WHERE id="822c180b-6a7a-449c-9262-70fa8ff0b8b9";
UPDATE HIGH_RISE_PROPERTIES SET floor_id="0271d71d-7064-b0db-be24-efa204677461" WHERE id="8edef933-f8ea-43a7-b6f0-cfde6d9375d2";</t>
  </si>
  <si>
    <t>[Prod] Seeding trạng thái đơn hàng Flash Sale 30/06</t>
  </si>
  <si>
    <t>2025-07-03T14:10:55.231+0700</t>
  </si>
  <si>
    <t>2025-07-03T21:04:54.072+0700</t>
  </si>
  <si>
    <t>Dear DBA team, Nhờ các anh em support chạy script update trạng thái đơn hàng. https://mail.google.com/chat/u/0/#chat/space/AAQA3sMgmxo/8h2owwbChFo/pN8J7A05BA4 Thông tin DB Mysql: Database name: vincart_mm_order 
IP: 172.31.1.41 -- Update order status
update orders a
set a.status = 'CANCELLED'
where a.code in (
                 'MXQAV32',
                 'MYQ8YRG',
                 'MXQAV62',
                 'M86NX77',
                 'MYQ8YBG',
                 'MYQ8Y8G',
                 'MRQX35D',
                 'MB64DND',
                 'ME7YK35',
                 'M86NA7A',
                 'MB64NRK',
                 'MVQ97GN',
                 'MNGNL2N',
                 'M86NAKD',
                 'MKYLB6Q',
                 'MXQAKQL',
                 'M2B9YN2',
                 'M96LKQQ',
                 'M4BAQRK',
                 'MRQX5GN',
                 'MXQAKDN',
                 'MLA3L45',
                 'MYQ829L',
                 'ME7YKGR',
                 'M2B9E54',
                 'MYQ8Y5D',
                 'MB64DBD',
                 'MGK8AX6',
                 'MYQ82RD',
                 'MRQX5KQ',
                 'MLA3LKB',
                 'MVQ97G3',
                 'M4BAQ9Q',
                 'MRQX5V8',
                 'MVQ97R2',
                 'M4BAQXK',
                 'MQQ7K2X',
                 'M86NA53',
                 'MKYLB22',
                 'MXQAKNR',
                 'M4BAQ85',
                 'MDD9BXV',
                 'MGK8AA8',
                 'M4BAQQ5',
                 'MVQ976D',
                 'MVQ9AKG',
                 'M4BA8GL',
                 'M4BA74L',
                 'MQQ73XB',
                 'ME7YDRG',
                 'MXQAVDD',
                 'MB64D52',
                 'M35YD8Q',
                 'M2B9YDD',
                 'M4BAQ2A',
                 'MB64NV9',
                 'MYQ82L3',
                 'MKYLBAQ',
                 'MQQ7K4V',
                 'M35YQL9',
                 'MVQ9722',
                 'MNGNL8L',
                 'M86NA43',
                 'M7B27QY',
                 'MB64NEK',
                 'M86NXVN',
                 'M86NXQ8',
                 'M7B2LXG',
                 'ME7YKXL',
                 'M5B8RKG',
                 'M2B9YL2',
                 'MLA3LBK',
                 'MRQX34E',
                 'M5B8R6G'
    );
-- Update status order payment
update order_payments
set status = 'REFUNDED'
where order_id in (select id
                   from orders
                   where code in
                         (
                          'MXQAV32',
                          'MYQ8YRG',
                          'MXQAV62',
                          'M86NX77',
                          'MYQ8YBG',
                          'MYQ8Y8G',
                          'MRQX35D',
                          'MB64DND',
                          'ME7YK35',
                          'M86NA7A',
                          'MB64NRK',
                          'MVQ97GN',
                          'MNGNL2N',
                          'M86NAKD',
                          'MKYLB6Q',
                          'MXQAKQL',
                          'M2B9YN2',
                          'M96LKQQ',
                          'M4BAQRK',
                          'MRQX5GN',
                          'MXQAKDN',
                          'MLA3L45',
                          'MYQ829L',
                          'ME7YKGR',
                          'M2B9E54',
                          'MYQ8Y5D',
                          'MB64DBD',
                          'MGK8AX6',
                          'MYQ82RD',
                          'MRQX5KQ',
                          'MLA3LKB',
                          'MVQ97G3',
                          'M4BAQ9Q',
                          'MRQX5V8',
                          'MVQ97R2',
                          'M4BAQXK',
                          'MQQ7K2X',
                          'M86NA53',
                          'MKYLB22',
                          'MXQAKNR',
                          'M4BAQ85',
                          'MDD9BXV',
                          'MGK8AA8',
                          'M4BAQQ5',
                          'MVQ976D',
                          'MVQ9AKG',
                          'M4BA8GL',
                          'M4BA74L',
                          'MQQ73XB',
                          'ME7YDRG',
                          'MXQAVDD',
                          'MB64D52',
                          'M35YD8Q',
                          'M2B9YDD',
                          'M4BAQ2A',
                          'MB64NV9',
                          'MYQ82L3',
                          'MKYLBAQ',
                          'MQQ7K4V',
                          'M35YQL9',
                          'MVQ9722',
                          'MNGNL8L',
                          'M86NA43',
                          'M7B27QY',
                          'MB64NEK',
                          'M86NXVN',
                          'M86NXQ8',
                          'M7B2LXG',
                          'ME7YKXL',
                          'M5B8RKG',
                          'M2B9YL2',
                          'MLA3LBK',
                          'MRQX34E',
                          'M5B8R6G',
                          'MXQAV32',
                          'MYQ8YRG',
                          'MXQAV62',
                          'M86NX77',
                          'MYQ8YBG',
                          'MYQ8Y8G',
                          'MRQX35D',
                          'MB64DND',
                          'ME7YK35',
                          'M86NA7A',
                          'MB64NRK',
                          'MVQ97GN',
                          'MNGNL2N',
                          'M86NAKD',
                          'MKYLB6Q',
                          'MXQAKQL',
                          'M2B9YN2',
                          'M96LKQQ',
                          'M4BAQRK',
                          'MRQX5GN',
                          'MXQAKDN',
                          'MLA3L45',
                          'MYQ829L',
                          'ME7YKGR',
                          'M2B9E54',
                          'MYQ8Y5D',
                          'MB64DBD',
                          'MGK8AX6',
                          'MYQ82RD',
                          'MRQX5KQ',
                          'MLA3LKB',
                          'MVQ97G3',
                          'M4BAQ9Q',
                          'MRQX5V8',
                          'MVQ97R2',
                          'M4BAQXK',
                          'MQQ7K2X',
                          'M86NA53',
                          'MKYLB22',
                          'MXQAKNR',
                          'M4BAQ85',
                          'MDD9BXV',
                          'MGK8AA8',
                          'M4BAQQ5',
                          'MVQ976D',
                          'MVQ9AKG',
                          'M4BA8GL',
                          'M4BA74L',
                          'MQQ73XB',
                          'ME7YDRG',
                          'MXQAVDD',
                          'MB64D52',
                          'M35YD8Q',
                          'M2B9YDD',
                          'M4BAQ2A',
                          'MB64NV9',
                          'MYQ82L3',
                          'MKYLBAQ',
                          'MQQ7K4V',
                          'M35YQL9',
                          'MVQ9722',
                          'MNGNL8L',
                          'M86NA43',
                          'M7B27QY',
                          'MB64NEK',
                          'M86NXVN',
                          'M86NXQ8',
                          'M7B2LXG',
                          'ME7YKXL',
                          'M5B8RKG',
                          'M2B9YL2',
                          'MLA3LBK',
                          'MRQX34E',
                          'M5B8R6G'
                             ));
-- insert serial for 19 order
insert into serial_fulfillment_items (user_id, order_id, order_code, fulfillment_id,
                                      fulfillment_item_id, variant_id, serial_code, distribute_code,
                                      expired_time)
values (1006730701, 2307763, 'MDD9NE5', 2240309, 2547256, 1010876,
        'e5a527b4017f4ba1af37e2a03df51d89', 'XiZ3t3NyfTWXsVrHv01I', '2025-11-30 23:59:59'),
       (1015451665, 2307754, 'ME7Y26G', 2240300, 2547245, 1010876,
        'b21c3cd097d44498a911999fe88ab72c', '8KQLt8ss8UERd65RYHyr', '2025-11-30 23:59:59'),
       (1014748553, 2307742, 'MDD9X65', 2240298, 2547246, 1010876,
        '332fbdfc1e9949c5a4d2961d8f2a499c', '7Exy0BxSD9wHvVCHqcfZg', '2025-11-30 23:59:59'),
       (1003539802, 2307727, 'M96L9XD', 2240274, 2547222, 1010876,
        '0ec8a327654c4db9826c306a66bf377f', 'XUoaaZsLHfyA1LwxiKm6q', '2025-11-30 23:59:59'),
       (1009439303, 2307718, 'MRQX3AE', 2240262, 2547209, 1010876,
        '9d85a88a2e854001af70e56eb16df7df', '3Am9wxd7ff19Jbx0TSM5f', '2025-11-30 23:59:59'),
       (1013839132, 2307717, 'MQQ73YB', 2240259, 2547208, 1010876,
        'fa6add3463c1489c8f25fe3968f58a02', 'wA522zlvpMB1Itq0aebkC', '2025-11-30 23:59:59'),
       (1010125338, 2307481, 'MRQX32Y', 2240037, 2546989, 1010876,
        '7d6a9bde787045e5b7e0d5752fddc2f5', 'YukBElILxzi1feOxDtHt', '2025-11-30 23:59:59'),
       (1009454460, 2307466, 'MKYLDEE', 2240015, 2546963, 1010876,
        '909bf83929574d01b3510ca336163bd9', 'tfhgmz9Ot5K1X80O2QZ13', '2025-11-30 23:59:59'),
       (1015076985, 2307412, 'ME7YD2E', 2239956, 2546903, 1010876,
        '52e3282b97074ecba0d61fbc7d4e8315', 'vxPz12YReThbDEH5ptXR', '2025-11-30 23:59:59'),
       (1015608015, 2307348, 'M96L9A2', 2239886, 2546832, 1010876,
        'e57b345b005f45919ba3f0b43f220cbd', 'aRaWLaTIT0SYkrZWR4Pve', '2025-11-30 23:59:59'),
       (1003692370, 2307344, 'MXQAV5Q', 2239922, 2546888, 1010876,
        '0b95eb2e9e024bfab5a14efa94da7cc1', 'yW7DkGTp01bvnLX4j68', '2025-11-30 23:59:59'),
       (1000767482, 2307343, 'M7B27RV', 2239877, 2546825, 1010876,
        '67f64e99c81f48f6aa891f6ee2012cf9', 'HxZk9O0eqlXpll9xAwzG1', '2025-11-30 23:59:59'),
       (1016231073, 2307278, 'MB64N2K', 2239835, 2546782, 1010876,
        '50af20164d7543d89ceb9f2e714dbcba', 'xsbnaaYEMIMFw23FvT5T7', '2025-11-30 23:59:59'),
       (1003011459, 2307153, 'M2B9YKR', 2239701, 2546644, 1010876,
        '3bada88aba0345d9854482660bdb977f', 'cAPmKh8Cg8wYABFuziw5i', '2025-11-30 23:59:59'),
       (1004229684, 2307136, 'MB64N79', 2239647, 2546589, 1010876,
        '2a99320f07d647d981fbe613162e55d9', 'Kun3lGMhvIY4MPiTIUgjr', '2025-11-30 23:59:59'),
       (1014632990, 2307117, 'MQQ7KQV', 2239671, 2546617, 1010876,
        'bb5f7d0b77264cacace81dc065ec4afe', '6Iu6mqiauaNZ_2xf2RhIy', '2025-11-30 23:59:59'),
       (1015049998, 2307024, 'MKYLBE2', 2239554, 2546499, 1010876,
        '39f7b3f88b104f7ca175f5bc16316841', 'WJLHziOkJP6ah4FrfCZOq', '2025-11-30 23:59:59'),
       (1005375369, 2307001, 'M7B2LKQ', 2239536, 2546480, 1010876,
        '9c53cdbc262649ee88e1df7a482e3c23', 'GNhUgeQZmivrpgnaGSVL2', '2025-11-30 23:59:59'),
       (1015589107, 2306963, 'MDD9BNV', 2239509, 2546456, 1010876,
        '172a75f4bdff416194de5033281db6aa', 't8opXrAxhhpP9elaO3lw', '2025-11-30 23:59:59');</t>
  </si>
  <si>
    <t>[VINPAY][PROD] Script Onboard QR247 cho PNJ &amp; Tắt cầu hình thẻ quốc tế MC cổng</t>
  </si>
  <si>
    <t>2025-07-03T14:05:19.539+0700</t>
  </si>
  <si>
    <t>2025-07-03T14:05:26.028+0700</t>
  </si>
  <si>
    <t>Dear team DBA, Team dự án có các script sau cần chạy, nhờ các anh chạy các script theo thông tin bên dưới giúp em ạ:= 1. Onboard MC QR247 PNJ Thông tin DB: pay-tidb.int.onemount.com:4000/saas_tpay Script: 
INSERT INTO PARTNER (client_id, name, public_key, enable, merchant_code)
VALUES ('VRXndJWrxEOtIeZYEiLaDxMbAyVdhFXn', 'PNJPROD', '-----BEGIN PUBLIC KEY-----
MIIBIjANBgkqhkiG9w0BAQEFAAOCAQ8AMIIBCgKCAQEAwKcbi0/P4lSJKz8WIumO
6mbfvZjKlGFarj7P1r8AprvPXH7S+TtJvueLOFaU6K6n2HadjIATfXHhLRKDqifv
BFPCf6aKt0XdMG9aJ+Kon7ojdxS27wR67+uxVgrwcMXpu9U4gk+N4MrTX/mWdW4q
wv1DWpeOBar7I+VXVpNMvnnHKbrTy6rh13zv0A9/MkYFazTGkBxWloe9hNPbTlzc
W12OjzTbi6gGC9iCY57+ZLyuUyL27XWvijhul4+vkdjIjUiLnXgEJRViwqNIkAdf
ib4Q+vMYB6iRquwAsyBAAbKXHwdxaHbMvVyjKjJ/Haezou7QkQSQfICKt2QZwsbz
zwIDAQAB
-----END PUBLIC KEY-----
', 1, 'PNJPROD');
INSERT INTO MERCHANT_RECONCILE
(merchant_code,
 tenant,
 enable,
 sftp_folder,
 pgp_public_key_base64,
 pgp_partner_id,
 days_to_subtract,
 max_records_per_file)
VALUES ('PNJPROD',
        'OME',
        '1',
        '/pnj',
        'LS0tLS1CRUdJTiBQR1AgUFVCTElDIEtFWSBCTE9DSy0tLS0tCgptUUlOQkdoZEVLY0JFQUNpMnFMTDFadWk1UVBMaFRtT3RLWEgvWHlEM2JMdENVTHFCcGpjN3ZmRW9HdXZtWkliCjVEV3B0L2tkTERqeGtxak1oN081aDA4OWVTMVVVRmN1UGpOUXVzTTgwT2luZTVOQUl4MDJGdzhyQzZRNXpNMlUKTmN1VEU3d0ZiMzZBK3VXM0xITldoUE5XNkMvSi9TNXZHQkIrSklPeUw0L0FEY0pmdjd4QUswa1JPMHZsN0kxYgpna2FFcUVFM2pSVWREbk5YOEJGcy92YXRxZGdaVy9KTmQyV280cVVOZVlkditGNmhEWmwxSmJYUE82dE9kcGpWCk1lMm03K21qd3BNeTBKUVA1dCtwK0IzblE0OG9uVUNCRmJxQ1JYZ3B1Unozdzl1U1ZTZFZYSHRIWEVOc0xjWGQKYTF4djdNbjFLUG9iUjlQU0Jycjl2dXYvczFraGF3Um5DRXJsR3A3Nk4yN0wwakdKalJvdWlkS3BZSVNFWXd0bwpPSUNDR2V5VFB0d3cveXJBS0I1L3lZNUlMaDkxREp1ZXVzcVpkajlPaDNLT284MHlMUzJEZWd1a25OL1dTV1RZClZXZWl0OVBGVU1tQm9uL2E4SjBOMDFFTnI3Z1NNbkptUENOK0VkV0tPSHBuU0FNcms1WlVLMlV1bHhMMkFpbDAKV2x2TEtPY1hlQVlhRit1c0RJSFZLUzB4RFVXd0xHM21zS2czRmRkVmFYTk1oMVo3QjRMZWdPY2ZkckNzUm5BawpWZEh1T0lKUGpXS0crN1NmS1BHb3QvdVVkdXVhRFlwQ1pKYmI4Q1BwQVBzbHFXNXZ2ZXo4UkpJMlVZd0hFajZjCmhteHVzbm9NZGkvSURyYWdZbHhDR0UwNlR4bUxQOVI2M01jMjN3UGpqaS93WVc2TXF4ZGM2R05vM3dBUkFRQUIKdENaUVRrb2dWRU5DSUZGU0lGQlNUMFFnUEhSMVlXNHVhR0V3TTBCd2Jtb3VZMjl0TG5adVBva0NWd1FUQVFnQQpRUlloQkN4bTlOMWlDSmlxcDE5bkwxN0VPd2NBL29NeUJRSm9YUkNuQWhzREJRa0R3bWNBQlFzSkNBY0NBaUlDCkJoVUtDUWdMQWdRV0FnTUJBaDRIQWhlQUFBb0pFRjdFT3djQS9vTXl2cGdQLzBBcVBhRi9iWmxaZjExay95ejAKNnk4MWZlWmh5czBiT1ZHNlFFR29CUHRrZkRIT1JmdzFJZkJrWENneXg4NUxjci9RY1dtTFJNcXNHblROdENBSgpLUHhoaFRwRnEvZnhrR2RFTElOYlVza3JUaVk0OUdzdVVmVTc3OEM1N3FZbzMzY3NPQWQ5WTJCcXY5ZVVFVitvCi9yRkkwSE1yRzZWRUpSaktUYnBEUTNqVWVYcFdPZU9XSWZSSDcveUVqSE1EdHVLUWkrWXI0ZnZiOXdGYklDMm8KNVVieUtwQlJYT24vdUFRQUl2dnFiNDBFWUoxZDI0aFkxNFJ6UHJEU0FlVi83YkZOTXBYR3NzZERLRDNSTlRUTgpJMWkrWjZxaXI1OFpyMHFKVzFYWDNKejJqZUc5RHpPdU5mbjl0N0Q0Yy84RGdkU0dHckh0ZjNrNjZBbGdTa2FmCjR2dUxqY0lvY2w3UFBIc2VQMFlEZmlVOGV0SHFKNlE0TnhUcTM2VHh6dmxRRFg5V2dtQUZBY1RkLzdkQUVsSWEKMG9TQ1R6Mk1iRUNFczFFV3N5YmE4MDdQZjBsU3hqNUYzTWVGd0ZCaDd3TDhhbXdnOUV6Z0tYSFNhcndsK2hySwpySFBhdHhlcUE2SGtSSGlPd2VuY0t6UDFiT2RtcXllM3lzLzNoVTV1UWEvelhZNGh4a0NlcE1sclJBcGN2cDZpCnZNYXJFRFZmYk5vWHEwVXpKVXBPQ0w0UnJHVEF0dDhFKzUwbWF1d3lzd1lPY1gyUC94UVkzTVNzQVE3VWQvdHoKalNBdEwvSEdGd3ZDamNIU253VUlhZDUza2N3M25USnFuRU1VQ3RWY1h6ZCtvd0tqVGswS043c05MUktXYnFkMQpRVFBoY1NsRjdtRGVObG4xRk52YlhPOTV1UUlOQkdoZEVLY0JFQUM0Q2IrM2tCL25hRmRBSDRuQytudUNmS1U0CjVNaVZnVzB4aWFkU1JTU1AwRm02eTZPNzZJNDA4cm5mRmc2QUM1OHRIb1F3UjlxUm5lL0F2WUdvaWZKRk43VEcKQnRFRkUrVEtMQUJIYk12NU9CSm45ODNRRGRmOStnUHA4V3hUUXdtdUNwbFFHMHpaeFV6dTVaQkVId0xYc0tZZApPS2U4a0IzZEJpTldLWXZLRkVvMWgyRTI2WkRtZmxBTm9oSjc2NGhTOCtNM09iSFNQOVEyT0d6VDhYdjRsaHVaCitEQUpQdVAreEhDY3hadlBCSFJ4MEVQZUs0cVYzTmwwMC9wVVcyc0JpMW9jcTJCQ0R5VlkvU29ra1h1QVRURFkKY1J6dnlmUVM3QmZxajJDUlkvSnFwdkNBejVDcDJ0Y1NkMThkT2RFNUllTCtUaDJkNnBBbTBldEhmVHZYbnZjWgprTUhnVHNZcUJZSVVoZUJXYW44bUlnY0tEbmoxVnNsL2Y0MWNYUkU3SHZDNy9hUWdFM2oyR2R2a0pvSWZXZTRnCnVIb3ZnS0xxczZ5R1c4V1NqVDVxZXg1Rk9VeVF6WjNsNFI2am5xUXZnZ3VLRWZQRC9mMWk2ekJtcTdJTjU3NDUKK2ZtYXVpMEYvREFJRFVqRE9XQjlkTXhPSHkyZnB2Nk1FWVJvSmJpQ1cycWVJcmh6WGRlVDNlNTlxd0MyVkdESgpSdXpNeDZpN3Z0VFgvaHJidmNDbENsUWFHNmJYQStGZFZwcUlTelhWMlNKQldseGxqZzNLMkFMd3JPYm13UUNoCnFSTUowT3JIYjI4ME9iL0VzWVlwOUI2Vms5aHpZdktrd2NXclBvTFROejZGNm9iTmcvS1pTWkRVWXJXMDlYeXkKU3RlZ2drdzhmL29sQzVOL053QVJBUUFCaVFJN0JCZ0JDQUFtRmlFRUxHYjAzV0lJbUtxblgyY3ZYc1E3QndEKwpneklGQW1oZEVLY0NHd3dGQ1FQQ1p3QUFDZ2tRWHNRN0J3RCtnektHL1EvM1NXL0pRS0c0YVVZa2tENHowZXNWCktsSVNWRmlYbU9zeWZpMVBKSzUxYjNTeWVvYU9VVFJWdXVUaVJzVTE2QXo5eFJRSmNaYm5tSlhuTjdIOUlPblcKRWw1c3kvUW02WWNVTWNGeGZoVzluaWR6eGp3Z3Z3MTdYUmJZSFJSbUpCbVZoRmlHRGlNVkowOVVId253VjlUTgpUU0x3QTBYV0YzaGpwd0p6bUNUbUtzS3BoRDg2VEY2YUExVXVFRnFJZktnbTRnNTZIZGVPcWtGTnlscjEwY0NwCmpGVEZ2VUFXRDg1M3pFMzFrWDdyb3VzYkQ0c2g4cUJnWmdVT0U4Q3JFYzVsb0d4RnhrU05KNDRQRnRkMDhVSnEKSzhWanhkZ0ZHL1Y0NW1zSGhWYzhQWGtTeTg2TitFeVJCZElrYmtwVDZNN3Izc2hROUxNQUMwQTRrdklNdTRFNgpKRVpIUk0rUDBWVW8zL2FXK2NtNzNuRXJYWWh5a0NBZ1pkVVpaWUJPNTlqQ1k4NGY0TktwS2NacUFoZWxmS0NWCkNjUXJwWDcyK2NUbWc1K1R2YmlWQVA3bnRtMDhCNEJwRmhYbnhkQXJBaS9GQnk3dW94VFpPeDd5d2dlbHFieHEKbGExYlpYMDVnaEU4RElPdjJkWmRYaTlHSTAyYnBpOHhZUnBhTWN2Skw0M1BZSFkxdzZEeFoyMHl3M3NiNVZvUgpiM2pMaUw4aEJjdEdQVVEySE1RZkU3M2NXVEd2TldCRWliVVVFOHdSLzNpaWFPNFA3KzhPTWN3RDVPLzFzb3V4CnJZOXJpMHQ4TjdibHhNRW1FRFArako3N0NZRzRMRTdTZXV1YVNVaXFLVWlvcXdHdTBtTTNwN042TkJ2OGk4d3kKQmsxUTdDMVVaelZGbzA1c2lwc2NXdz09Cj1uclRhCi0tLS0tRU5EIFBHUCBQVUJMSUMgS0VZIEJMT0NLLS0tLS0K',
        'tuan.ha03@pnj.com.vn',
        '1',
        '10000'); ================================================================= Payment Gateway: Tắt cấu hình thẻ quốc tế đối với 1 số TID thuộc MC OMCTOPUPIMEDIA Thông tin DB: vinpay-sql-onehub-master.int.vinid.net:3306/qrdb Script: 
UPDATE MERCHANT_CONFIG SET is_active=0 
WHERE 
(SUB_MERCHANT_CODE='OMCTOPUPIMEDIA' AND MID = 'OITOPUP' AND TID = 'OIViettel' AND SOURCE_OF_FUND_SUB_TYPE_CODE='INTERNATIONAL')
OR (SUB_MERCHANT_CODE='OMCTOPUPIMEDIA' AND MID = 'OITOPUP' AND TID = 'OIVnmobile' AND SOURCE_OF_FUND_SUB_TYPE_CODE='INTERNATIONAL')
OR (SUB_MERCHANT_CODE='OMCTOPUPIMEDIA' AND MID = 'OITOPUP' AND TID = 'OIVina' AND SOURCE_OF_FUND_SUB_TYPE_CODE='INTERNATIONAL')
OR (SUB_MERCHANT_CODE='OMCTOPUPIMEDIA' AND MID = 'OITOPUP' AND TID = 'OIMobi' AND SOURCE_OF_FUND_SUB_TYPE_CODE='INTERNATIONAL')
OR (SUB_MERCHANT_CODE='OMCTOPUPIMEDIA' AND MID = 'OIMOBILETOPUP' AND TID = 'TPVMOBILE' AND SOURCE_OF_FUND_SUB_TYPE_CODE='INTERNATIONAL')
OR (SUB_MERCHANT_CODE='OMCTOPUPIMEDIA' AND MID = 'OIMOBILETOPUP' AND TID = 'TPVNPHONE' AND SOURCE_OF_FUND_SUB_TYPE_CODE='INTERNATIONAL')
OR (SUB_MERCHANT_CODE='OMCTOPUPIMEDIA' AND MID = 'OIMOBILETOPUP' AND TID = 'TPMOBIFONE' AND SOURCE_OF_FUND_SUB_TYPE_CODE='INTERNATIONAL')
OR (SUB_MERCHANT_CODE='OMCTOPUPIMEDIA' AND MID = 'OIMOBILETOPUP' AND TID = 'TPVIETTEL' AND SOURCE_OF_FUND_SUB_TYPE_CODE='INTERNATIONAL')
OR (SUB_MERCHANT_CODE='OMCTOPUPIMEDIA' AND MID = 'OITOPUPDATA' AND TID = 'VN3G4G' AND SOURCE_OF_FUND_SUB_TYPE_CODE='INTERNATIONAL')
OR (SUB_MERCHANT_CODE='OMCTOPUPIMEDIA' AND MID = 'OITOPUPDATA' AND TID = 'MB3G4G' AND SOURCE_OF_FUND_SUB_TYPE_CODE='INTERNATIONAL')
OR (SUB_MERCHANT_CODE='OMCTOPUPIMEDIA' AND MID = 'OITOPUPDATA' AND TID = 'VT3G4G' AND SOURCE_OF_FUND_SUB_TYPE_CODE='INTERNATIONAL')</t>
  </si>
  <si>
    <t>[TPAY][NON-PROD] Tạo tài khoản SFTP cho merchant THADICO lấy file báo cáo đối soát</t>
  </si>
  <si>
    <t>2025-07-03T14:01:29.207+0700</t>
  </si>
  <si>
    <t>2025-07-03T14:01:43.844+0700</t>
  </si>
  <si>
    <t>Dự án Tpay cần cấp tài khoản và 1 thư mục con trong thư mục trong thư mục tpay dành cho đối tác THADICO để đọc file từ sFTP server. Thông tin sFTP server cần kết nối đến: Non-prod:  35.229.130.107:2022 Nhờ team support tạo server và cấp account cho dự án. Em tên thư mục và folder ạ. Account: thadicouat Folder: thadico</t>
  </si>
  <si>
    <t>[OPS] [PRODUCTION]Thêm quyền module User Management</t>
  </si>
  <si>
    <t>2025-07-03T12:06:02.208+0700</t>
  </si>
  <si>
    <t>2025-07-03T12:06:18.516+0700</t>
  </si>
  <si>
    <t>Dear team DBA, Để thêm quyền ở  module SalesTools_HrmIncentives cho nhờ team DBA support thực hiện câu SQL query sau: instance:   https://console.cloud.google.com/sql/instances/common/overview?authuser=1&amp;hl=en&amp;inv=1&amp;invt=Ab0bnA&amp;project=vinid-service-platform-prod Dbname: admin_service SQL Query select @service_id := id
from service
where code = 'user_management';
INSERT INTO module (name, code, service_id)
VALUES ('Link Account Management', 'Link_Account_Management', @service_id);
SET @module_id = LAST_INSERT_ID();
INSERT INTO permission (module, name, code, new_code, new_name, module_id)
VALUES ('Link_Account_Management', 'View', 1000, 1000, 'Delete', @module_id),
       ('Link_Account_Management', 'Create', 1001, 1001, 'Create', @module_id),
       ('Link_Account_Management', 'Edit', 1002, 1002, 'Edit', @module_id);</t>
  </si>
  <si>
    <t>2025-07-03T10:37:21.095+0700</t>
  </si>
  <si>
    <t>2025-07-03T10:45:51.041+0700</t>
  </si>
  <si>
    <t>Nhờ team chạy các lệnh UPDATE trên MySQL Production như sau ạ: URL:  mysql://omre-onehs-mysql-main.int.onemount.com:3306/onehs_dictionary Query: UPDATE  HIGH_RISE_PROPERTIES  SET block_id="b61157ae-1350-8b3b-0bed-0e548026a8ff" WHERE id="5f6b4d72-be99-4daf-bcd4-54b586857011"; UPDATE  HIGH_RISE_PROPERTIES  SET block_id="2e9e7307-dbff-a316-87ab-33623b37ad43" WHERE id="760f8030-02ce-4e73-a8e2-7f114b34d9c7"; UPDATE  HIGH_RISE_PROPERTIES  SET block_id="0271d71d-7064-b0db-be24-efa204677461" WHERE id="b8f5f3a4-a04b-4609-bdcd-8621eb5540d5"; UPDATE  HIGH_RISE_PROPERTIES  SET block_id="2e9e7307-dbff-a316-87ab-33623b37ad43" WHERE id="c795ab41-04ed-4e40-8823-f0958168ae4e"; UPDATE  HIGH_RISE_PROPERTIES  SET block_id="2e9e7307-dbff-a316-87ab-33623b37ad43" WHERE id="450d7f7b-a1c1-4513-8c06-6e40f09de44f"; UPDATE  HIGH_RISE_PROPERTIES  SET block_id="0271d71d-7064-b0db-be24-efa204677461" WHERE id="822c180b-6a7a-449c-9262-70fa8ff0b8b9"; UPDATE  HIGH_RISE_PROPERTIES  SET block_id="0271d71d-7064-b0db-be24-efa204677461" WHERE id="8edef933-f8ea-43a7-b6f0-cfde6d9375d2";</t>
  </si>
  <si>
    <t>[VCM] Đánh index cho bảng language trên VMM Product service.</t>
  </si>
  <si>
    <t>2025-07-03T09:32:48.317+0700</t>
  </si>
  <si>
    <t>2025-07-03T09:32:57.900+0700</t>
  </si>
  <si>
    <t>Nhờ các anh DBA hỗ trợ chạy các script dưới đây: Database  vincart_mm_product IP:  172.31.1.41 Script đánh index: alter table vincart_mm_product.languages add index idx_enid_lang_channel_enname (entity_id,language,channel,entity_name) , ALGORITHM=INPLACE, LOCK=NONE; CR:  https://vinid-team.atlassian.net/browse/SH-65848</t>
  </si>
  <si>
    <t>[PROD] Smartpos Script onboard gán thiếu bị VVIP TCB</t>
  </si>
  <si>
    <t>2025-07-03T09:31:54.720+0700</t>
  </si>
  <si>
    <t>2025-07-03T09:32:14.522+0700</t>
  </si>
  <si>
    <t>Dear team DBA, để phục vụ việc gán thiếu bị cho khách hàng VVIP của TCB nhờ team run script SQL  đính kèm phía dưới với thông tin cụ thể như sau: Thời gian chạy script: sau khi được approve Thông tin database  saas_tpay: mysql://pay-tidb.int.onemount.com:4000/saas_tpay INSERT INTO SMARTPOS_DEVICE_MAPPING (
    device_id, device_serial_number, merchant_code, store_code,
    terminal_code, tcb_card_merchant_id, tcb_card_store_id, tcb_card_terminal_id,
    tcb_qr_merchant_id, tcb_qr_store_id, tcb_qr_terminal_id, device_public_key,
    device_private_key, warranty_status, delivery_status, delivery_at,
    config_status, authen_key_reference, key_id, status,
    created_at, created_by, updated_at, updated_by,
    terminal_name, store_name, merchant_name, mid_tid_card,
    mid_tid_qr, address, unique_terminal_key, object_id,
    extra_data, partner_expiry_at
) VALUES
('SP_GINI_X990_V9E0719167', 'V9E0719167', 'NCCW4M5T', 'CH45AF2Q', 'QTTFMPYQM', '099999999999999', 'SID123456789', '28955559', 'MID123456789', 'SID123456789', 'TID123456789', '', '', null, null, null, null, '', null, 'ACTIVE', CURRENT_TIMESTAMP, 'dung.do1', null, null, 'MC_VVIP', 'MC_VVIP', 'MC_VVIP', '099999999999999-28955559', 'MID123456789-TID123456789', '19036716236019, P. Hoàng Văn Thụ, Q. Hoàng Mai, TP. Hà Nội', 'NCCW4M5T|CH45AF2Q|QTTFMPYQM', '17327', '{"maker_id":"39169c5f91904eb6baec4f123189ce2a","maker_email":"omqc123@techcombank.com.vn","checker_id":"39169c5f91904eb6baec4f123189ce2a","checker_email":"omqc123@techcombank.com.vn","approved_at":1745229171000}', null),
('SP_GINI_X990_V9E0719189', 'V9E0719189', 'NCCW4M5T', 'CH45AF2Q', 'QTTFMPYQM', '099999999999999', 'SID123456789', '28955559', 'MID123456789', 'SID123456789', 'TID123456789', '', '', null, null, null, null, '', null, 'ACTIVE', CURRENT_TIMESTAMP, 'dung.do1', null, null, 'MC_VVIP', 'MC_VVIP', 'MC_VVIP', '099999999999999-28955559', 'MID123456789-TID123456789', '19036716236019, P. Hoàng Văn Thụ, Q. Hoàng Mai, TP. Hà Nội', 'NCCW4M5T|CH45AF2Q|QTTFMPYQM', '17327', '{"maker_id":"39169c5f91904eb6baec4f123189ce2a","maker_email":"omqc123@techcombank.com.vn","checker_id":"39169c5f91904eb6baec4f123189ce2a","checker_email":"omqc123@techcombank.com.vn","approved_at":1745229171000}', null),
('SP_GINI_X990_V9E0718046', 'V9E0718046', 'NCCW4M5T', 'CH45AF2Q', 'QTTFMPYQM', '099999999999999', 'SID123456789', '28955559', 'MID123456789', 'SID123456789', 'TID123456789', '', '', null, null, null, null, '', null, 'ACTIVE', CURRENT_TIMESTAMP, 'dung.do1', null, null, 'MC_VVIP', 'MC_VVIP', 'MC_VVIP', '099999999999999-28955559', 'MID123456789-TID123456789', '19036716236019, P. Hoàng Văn Thụ, Q. Hoàng Mai, TP. Hà Nội', 'NCCW4M5T|CH45AF2Q|QTTFMPYQM', '17327', '{"maker_id":"39169c5f91904eb6baec4f123189ce2a","maker_email":"omqc123@techcombank.com.vn","checker_id":"39169c5f91904eb6baec4f123189ce2a","checker_email":"omqc123@techcombank.com.vn","approved_at":1745229171000}', null),
('SP_GINI_X990_V9E0718052', 'V9E0718052', 'NCCW4M5T', 'CH45AF2Q', 'QTTFMPYQM', '099999999999999', 'SID123456789', '28955559', 'MID123456789', 'SID123456789', 'TID123456789', '', '', null, null, null, null, '', null, 'ACTIVE', CURRENT_TIMESTAMP, 'dung.do1', null, null, 'MC_VVIP', 'MC_VVIP', 'MC_VVIP', '099999999999999-28955559', 'MID123456789-TID123456789', '19036716236019, P. Hoàng Văn Thụ, Q. Hoàng Mai, TP. Hà Nội', 'NCCW4M5T|CH45AF2Q|QTTFMPYQM', '17327', '{"maker_id":"39169c5f91904eb6baec4f123189ce2a","maker_email":"omqc123@techcombank.com.vn","checker_id":"39169c5f91904eb6baec4f123189ce2a","checker_email":"omqc123@techcombank.com.vn","approved_at":1745229171000}', null),
('SP_GINI_X990_V9E0719171', 'V9E0719171', 'NCCW4M5T', 'CH45AF2Q', 'QTTFMPYQM', '099999999999999', 'SID123456789', '28955559', 'MID123456789', 'SID123456789', 'TID123456789', '', '', null, null, null, null, '', null, 'ACTIVE', CURRENT_TIMESTAMP, 'dung.do1', null, null, 'MC_VVIP', 'MC_VVIP', 'MC_VVIP', '099999999999999-28955559', 'MID123456789-TID123456789', '19036716236019, P. Hoàng Văn Thụ, Q. Hoàng Mai, TP. Hà Nội', 'NCCW4M5T|CH45AF2Q|QTTFMPYQM', '17327', '{"maker_id":"39169c5f91904eb6baec4f123189ce2a","maker_email":"omqc123@techcombank.com.vn","checker_id":"39169c5f91904eb6baec4f123189ce2a","checker_email":"omqc123@techcombank.com.vn","approved_at":1745229171000}', null); UPDATE TCB_DEVICE
SET device_status = 'ACTIVE'
WHERE device_serial_number IN (
    'V9E0719167',
    'V9E0719189',
    'V9E0718046',
    'V9E0718052',
    'V9E0719171'
);</t>
  </si>
  <si>
    <t>[OMC][Flash Sale TCB] Nâng cấu hình các instance mysql/postgreSQL phục vụ Flash Sale 03/07/2025</t>
  </si>
  <si>
    <t>2025-07-03T01:21:44.225+0700</t>
  </si>
  <si>
    <t>2025-07-03T01:21:48.303+0700</t>
  </si>
  <si>
    <t>Thời gian thực hiện: sau 1h 03/07/2025 Thông tin CR:    Chi tiết như sau: https://console.cloud.google.com/sql/instances/main/overview?project=vincart-prod 172.31.1.41 Từ: 4 vCPUs 16 GB RAM , 20000 connections, innodb_buffer_pool_size  8589934592 Lên: 48 CPUs	64 GB RAM, innodb_buffer_pool_size	42748736000 https://console.cloud.google.com/sql/instances/ecom-medium-mysql/overview?project=vincart-prod 172.31.4.9 Từ: 4 vCPUs 8 GB RAM, 10000 connections , innodb_buffer_pool_size  4294967296 Lên: 16 CPUs	32 GB RAM , innodb_buffer_pool_size  18874368000 https://console.cloud.google.com/sql/instances/oneloyalty/overview?project=vinid-loyalty-prod 172.31.7.6 Từ: 4 CPUs	8 GB RAM , innodb_buffer_pool_size   4294967296 Lên: 16 CPUs	24 GB RAM , 4000 connections, innodb_buffer_pool_size   15737418240 https://console.cloud.google.com/sql/instances/onevoucher/overview?project=vinid-loyalty-prod 172.31.4.126 Từ: 4 CPUs	16 GB RAM, 10000 connections , innodb_buffer_pool_size		8589934592 Lên: 16 CPUs	32 GB RAM , innodb_buffer_pool_size  18874368000 https://console.cloud.google.com/sql/instances/voucher-distribution/overview?project=vinid-loyalty-prod 172.31.4.82 Từ: 2 CPUs	8 GB RAM , innodb_buffer_pool_size   4294967283 Lên: 8 CPUs	16 GB RAM , 4000 connections, innodb_buffer_pool_size  10037418240 https://console.cloud.google.com/sql/instances/postgres-01/overview?authuser=0&amp;project=vinid-service-platform-prod 172.31.7.11 Từ: 2 CPUs	8 GB RAM Lên: 4 CPUs	16 GB RAM https://console.cloud.google.com/sql/instances/omc-authentication/overview?project=omc-base-platform-prod 172.31.3.40 Từ: 4 CPUs	8 GB RAM Lên: 8 CPUs	16 GB RAM https://console.cloud.google.com/memorystore/redis/locations/asia-east1/instances/onevoucher/details/overview?inv=1&amp;invt=Ab1sUg&amp;project=vincart-prod 172.31.0.196 Từ: 11 GB ram Xuống: 5 GB ram</t>
  </si>
  <si>
    <t>2025-07-02T18:17:10.283+0700</t>
  </si>
  <si>
    <t>2025-07-02T18:22:32.399+0700</t>
  </si>
  <si>
    <t>SAD:    Em chào anh chị, Anh chị tạo giúp em schema cho môi trường non-prod cho service này giúp em với ạ. Tên schema: cbp_reference_data_uat name:  omre-cbp-mysql8  IP: 172.31.0.67 project: omre-cobroker-np DNS:  omre-cobroker-np--omre-cbp-mysql8.cloudsql.int .</t>
  </si>
  <si>
    <t>[VCM] Đánh index  trên database vincart_mm_order</t>
  </si>
  <si>
    <t>2025-07-02T17:29:42.554+0700</t>
  </si>
  <si>
    <t>2025-07-02T17:29:46.723+0700</t>
  </si>
  <si>
    <t>Nhờ các anh DBA hỗ trợ chạy các script dưới đây: Database  vincart_mm_order IP:  172.31.1.41 Script đánh index: 1. alter table vincart_mm_order.fulfillments add index idx_ff_status_pushingStatus_packedAt (status,pushing_status,packed_at) , ALGORITHM=INPLACE, LOCK=NONE;
2. alter table vincart_mm_order.order_notes add index idx_order_notes_orderId_type (order_id,type) , ALGORITHM=INPLACE, LOCK=NONE; CR:  https://vinid-team.atlassian.net/browse/SH-65848</t>
  </si>
  <si>
    <t>[OMRE][Non-Prod]-Build hạ tầng DB cho dự án CoBroker Platform</t>
  </si>
  <si>
    <t>2025-07-02T12:38:18.708+0700</t>
  </si>
  <si>
    <t>2025-07-15T11:07:15.440+0700</t>
  </si>
  <si>
    <t>Description Về phần hạ tầng MySQL: chính: volume và cấu hình như hiện tại MongoDB: phụ: volume và cấu hình như hiện tại Memstore: dùng để caching là chính: 1GB Ram Weaviate - chưa xác định, tạm thời volume và cấu hình như hiện tại ==&gt; chưa cần tạo mới PostGre - chưa xác định, tạm thời volume và cấu hình như hiện tại ==&gt; chưa cần tạo mới Anh  @Nguyễn Văn Duy  ntt nhé Đây là ticket tracking, còn sau đó anh em sẽ tạo ticket ở các board của hạ tầng</t>
  </si>
  <si>
    <t>2025-07-02T11:36:51.207+0700</t>
  </si>
  <si>
    <t>2025-07-02T11:43:07.632+0700</t>
  </si>
  <si>
    <t>Dear team DBA Do có lỗi trong quá trình vận hành nên cần cập nhật lại trạng thái thanh toán của đơn hàng, nhờ team hỗ trợ chạy script sau Có thể chạy ngay khi được approve project: vincart-prod instance: main ip: 172.31.1.41 DB: vincart_mm_order UPDATE `orders` SET payment_method_code = 'ATM', payment_method_name = 'Thẻ ATM nội địa', payment_status = 'PAID' WHERE code = 'M4B63KG';
UPDATE master_orders SET payment_method_code = 'ATM', payment_method_name = 'Thẻ ATM nội địa', payment_status = 'PAID' WHERE id = '8116';</t>
  </si>
  <si>
    <t>[OMC][PS2][Loyalty][PROD] - Thực hiện insert data yêu cầu chạy Campaign của TCB 01-07-2025</t>
  </si>
  <si>
    <t>2025-07-01T17:11:24.459+0700</t>
  </si>
  <si>
    <t>2025-07-02T11:19:33.771+0700</t>
  </si>
  <si>
    <t>Thực hiện insert data Production cho database loyalty core theo yều từ TCB, mục đích hỗ trợ triển khai 2 chương trình dành riêng cho khách hàng NTB (hơn 1 triệu khách hàng) và chương trình Spin to win Các bước thực hiện. B1: Thực hiện insert Member Attribute theo file CR01072025_30_members.sql B2: Tạo bảng tạm để insert danh sách khách hàng CREATE TABLE OLOYALTY.PS2_TARGET_SEGMENT_CODE_010725_01 (
    "ID"                NUMBER(10, 0) GENERATED BY DEFAULT ON NULL AS IDENTITY,
    "LOYALTY_CODE"      VARCHAR2(256) NULL,
    PRIMARY KEY (ID)
); B3: Insert khách hàng vào bảng  PS2_TARGET_SEGMENT_CODE_010725_01   (11 files: CR01072025_1M_members_1.sql, CR01072025_1M_members_2.sql, CR01072025_1M_members_3.sql, CR01072025_1M_members_4.sql, CR01072025_1M_members_5.sql, CR01072025_1M_members_6.sql, CR01072025_1M_members_7.sql, CR01072025_1M_members_8.sql, CR01072025_1M_members_9.sql, CR01072025_1M_members_10.sql, CR01072025_1M_members_11.sql) B4: Insert Member Attribute INSERT INTO OLOYALTY.MEMBER_ATTRIBUTE
(PROGRAM_ID, MEMBER_ID, PROGRAM_ATTRIBUTE_ID, VALUE, STATUS)
SELECT m.PROGRAM_ID AS ,m.id AS MEMBER_ID,143 AS PROGRAM_ATTRIBUTE_ID,'NTB2025' AS VALUE,'A' AS STATUS
FROM OLOYALTY.MEMBER m JOIN OLOYALTY.PS2_TARGET_SEGMENT_CODE_010725_01 b ON m.PARTNER_CUSTOMER_ID = b.LOYALTY_CODE 
WHERE 1 = 1
AND m.PROGRAM_ID = 426
;</t>
  </si>
  <si>
    <t>[OMC][MTP][PROD] Hỗ trợ tạo account, schema mới.</t>
  </si>
  <si>
    <t>2025-07-01T16:45:39.099+0700</t>
  </si>
  <si>
    <t>2025-07-01T17:55:31.736+0700</t>
  </si>
  <si>
    <t>Dear a  @Trần Trương Dương  , team em chuẩn bị thực hiện golive. Nhờ a setup Db giúp em với thông tin như sau: Cấp account truy cập vào ods:   Nhờ a thực hiện cấp account grant quyền (thêm sửa xoá) cho phép service truy cập vào schema:  dp_omc_semantic_omc_bsi_cdp   , DB host :  tidb.int.onemount.com:4000 Tạo schema mới và cung cấp account Nhờ a tạo schema mới trên  POSTGRES  và cung cấp cho e account full quyền schema name :  mtp_audience_management  và thực hiện chạy script e đính kém dưới comment ạ POSTGRES_HOST: 172.31.3.49
POSTGRES_PORT: "5432" Note : Thời điểm golive dự kiến 22h ngày 1/7 Release Note :    Thanks.</t>
  </si>
  <si>
    <t>[OMC][Kafka][NON-PROD] Hỗ trợ tạo kafka topic cho bảng ở db gami_discount_uat</t>
  </si>
  <si>
    <t>2025-07-01T14:34:04.248+0700</t>
  </si>
  <si>
    <t>2025-07-01T15:03:08.053+0700</t>
  </si>
  <si>
    <t>Dear anh Linh, Phục vụ khai thác dữ liệu dự án Merchant Loyalty, nhờ anh tạo kafka topic cho các bảng sau: IP Databases Tables 172.31.0.16:3306 gami_discount_uat conditions condition_templates items merchant_loyalty_event_logs partner_templates tags tags_items transactions transaction_details transaction_history vinid-app-common-dev--main-mysql-8.cloudsql.int:3306 b2b_voucher_distribution_uat mark_used_request master_category_merchant master_category Em cảm ơn ạ.</t>
  </si>
  <si>
    <t>Quyền update trên db auth và linkage</t>
  </si>
  <si>
    <t>2025-07-01T12:38:32.721+0700</t>
  </si>
  <si>
    <t>2025-07-01T19:09:28.866+0700</t>
  </si>
  <si>
    <t>Nhờ link bổ dung thêm quyền update (nếu cần hạn thì để đến 2030 nhé) để support phần login lỗi và ko liên kết được TK 1: db authSDK 172.31.3.40 bảng users , device_log,users_profile_vinid_verified_email,app_vinid_users 2: db linkage 172.31.7.11 bảng sources , products  Hoàng confirm hộ anh với nhé</t>
  </si>
  <si>
    <t>[VINPAY][PGW][PROD] Hỗ trợ disable cấu hình merchant bị duplicate</t>
  </si>
  <si>
    <t>2025-07-01T12:27:25.640+0700</t>
  </si>
  <si>
    <t>2025-07-01T12:27:57.059+0700</t>
  </si>
  <si>
    <t>Hi team, Nhờ các anh chạy giúp em câu lệnh bên dưới để disable cấu hình bị duplicate của merchant Cổng thanh toán VinID Pay Thông tin DB:  vinpay-sql-onehub-master.int.vinid.net:3306/qrdb Script: UPDATE MERCHANT_CONFIG SET IS_ACTIVE=0 WHERE MERCHANT_CONFIG_ID='2023032287'</t>
  </si>
  <si>
    <t xml:space="preserve">[OMRE][NONPROD] Request tạo schema cho dự án CBP </t>
  </si>
  <si>
    <t>2025-07-01T11:07:01.228+0700</t>
  </si>
  <si>
    <t>2025-07-01T11:19:39.439+0700</t>
  </si>
  <si>
    <t>Repo:  https://gitlab.id.vin/1housing/cbp/apply/backend/collab SAD:    Em chào anh chị, Anh chị tạo giúp em schema cho môi trường non-prod cho service này giúp em với ạ. Tên schema: omre_cbp_collab_uat name:  omre-cbp-mysql8  IP: 172.31.0.67 project: omre-cobroker-np DNS:  omre-cobroker-np--omre-cbp-mysql8.cloudsql.int .</t>
  </si>
  <si>
    <t>[OMC][PROD] Thêm mới dữ liệu phần micro auth</t>
  </si>
  <si>
    <t>2025-07-01T10:56:17.173+0700</t>
  </si>
  <si>
    <t>2025-07-01T10:57:58.206+0700</t>
  </si>
  <si>
    <t>Dear team DBA, Trong tối 30/06/2025, team OneU sẽ golive phần thêm apphost mới cho phần MicroAuth. Release plan:  Nhờ team support thêm dữ liệu vào database: Instance ID:  https://console.cloud.google.com/sql/instances/main/insights;duration=PT1H;sort_by=TOTAL_EXEC_TIME/executed?authuser=0&amp;inv=1&amp;invt=Ab1exA&amp;project=vinid-service-platform-prod Database name: microapp CREATE TABLE `app_host`
(
    `id`     INT          NOT NULL AUTO_INCREMENT,
    `name`   VARCHAR(255) NOT NULL,
    `issuer` VARCHAR(255) NOT NULL,
    PRIMARY KEY (`id`)
) ENGINE = InnoDB;
INSERT INTO app_host(id, name, issuer)
values (1, "VinId", "https://auth-om.onemount.com/iam/v1/vinid-user-prod/"),
       (2, "PayMent POS", "https://auth-om.onemount.com/iam/v1/payment-pos-login-sdk/"),
       (3, "ePOS", "https://auth-om.onemount.com/iam/v1/tpay/"),
       (4, "Vinshop", "https://apex-merchant.vinid.net/general/v3/"),
       (5, "1SEAL", "https://auth-om.onemount.com/iam/v1/vinshop/"); Em cảm ơn!</t>
  </si>
  <si>
    <t>[VinID Pay][PROD] Tác động database phục vụ cho release 30/06/2025</t>
  </si>
  <si>
    <t>2025-07-01T10:39:42.093+0700</t>
  </si>
  <si>
    <t>2025-07-01T10:40:03.300+0700</t>
  </si>
  <si>
    <t>OMC, Vinpay</t>
  </si>
  <si>
    <t>Hi anh, nhờ anh chạy giúp em script này ở môi trường PRODUCTION theo thông tin dưới đây ạ: Thông tin database saas_tpay:  mysql://pay-tidb.int.onemount.com:4000/saas_tpay Ticket CR:    Scrips: DDL alter table SOUNDBOX_NOTIFICATION add index idx_transaction_id_updated_at_device_serial_number (transaction_id, updated_at, device_serial_number);
alter table TRANSACTION_MASTER add index idx_mercode_merorder (merchant_code, merchant_order_id);
-- PB-25838
CREATE TABLE GA_GROUP_CONFIG
(
    ID           BIGINT PRIMARY KEY AUTO_INCREMENT,
    GROUP_CODE   VARCHAR(50) COLLATE utf8mb4_unicode_ci NOT NULL,
    GROUP_NAME   VARCHAR(100) COLLATE utf8mb4_unicode_ci,
    POSITION     INT,
    DESCRIPTION  TEXT COLLATE utf8mb4_unicode_ci,
    CHART_CODE   VARCHAR(20) COLLATE utf8mb4_unicode_ci NOT NULL,
    STATUS       varchar(10) COLLATE utf8mb4_unicode_ci      DEFAULT NULL,
    DELETED      BOOLEAN                                     DEFAULT 0,
    CREATED_DATE timestamp                              NULL DEFAULT NULL,
    CREATED_BY   varchar(50) COLLATE utf8mb4_unicode_ci      DEFAULT NULL,
    UPDATED_DATE timestamp                              NULL DEFAULT NULL,
    UPDATED_BY   varchar(50) COLLATE utf8mb4_unicode_ci      DEFAULT NULL,
    INDEX (CHART_CODE),
    INDEX (GROUP_CODE)
) ENGINE = InnoDB
  DEFAULT CHARSET = utf8mb4
  COLLATE = utf8mb4_unicode_ci AUTO_ID_CACHE=1;
CREATE TABLE GA_EVENT_GROUP_CONFIG
(
    ID           BIGINT PRIMARY KEY AUTO_INCREMENT,
    GROUP_CODE   VARCHAR(50) COLLATE utf8mb4_unicode_ci      DEFAULT NULL,
    EVENT_CODE   VARCHAR(50) COLLATE utf8mb4_unicode_ci NOT NULL,
    POSITION     INT,
    STATUS       varchar(10) COLLATE utf8mb4_unicode_ci      DEFAULT NULL,
    DELETED      BOOLEAN                                     DEFAULT 0,
    CREATED_DATE timestamp                              NULL DEFAULT NULL,
    CREATED_BY   varchar(50) COLLATE utf8mb4_unicode_ci      DEFAULT NULL,
    UPDATED_DATE timestamp                              NULL DEFAULT NULL,
    UPDATED_BY   varchar(50) COLLATE utf8mb4_unicode_ci      DEFAULT NULL,
    INDEX (EVENT_CODE),
    INDEX (GROUP_CODE)
) ENGINE = InnoDB
  DEFAULT CHARSET = utf8mb4
  COLLATE = utf8mb4_unicode_ci AUTO_ID_CACHE=1; DML UPDATE SYSTEM_CONFIGURATION SET SYSTEM_PARAM_VALUE = '685a7b8f2d49622a806f468b' where SYSTEM_PARAM_VALUE ='d-7c4aa8360cf4492a97eaf15ab16740de';
UPDATE SYSTEM_CONFIGURATION SET SYSTEM_PARAM_VALUE = '685a7be5cec1d96108716b2c' where SYSTEM_PARAM_VALUE ='d-3b4ad5f7532f4887bfeb94b650f27c2a';
UPDATE SYSTEM_CONFIGURATION SET SYSTEM_PARAM_VALUE = '685a7aefb28b0e2af82b1159' where SYSTEM_PARAM_VALUE ='d-8fa2eb3a67b94925800179df2d31b1c6';
UPDATE SYSTEM_CONFIGURATION SET SYSTEM_PARAM_VALUE = '685a7b342d49622a806f4688' where SYSTEM_PARAM_VALUE ='d-bdf943d1cb8144dba4a1cd27ee47569e';
UPDATE SYSTEM_CONFIGURATION SET SYSTEM_PARAM_VALUE = '685a7c24b28b0e2af82b115d' where SYSTEM_PARAM_VALUE ='d-78a44c2a54d546bab2748048f583c30e';
UPDATE SYSTEM_CONFIGURATION SET SYSTEM_PARAM_VALUE = '685a7a272d49622a806f4685' where SYSTEM_PARAM_VALUE ='d-cb30c294fc8646a38403a4c155ace5b6';
UPDATE SYSTEM_CONFIGURATION SET SYSTEM_PARAM_VALUE = '685b7432b28b0e2af82b116f' where SYSTEM_PARAM_VALUE ='d-12d1827eb3bf455aa9aecade8bb7400b';
UPDATE SYSTEM_CONFIGURATION SET SYSTEM_PARAM_VALUE = '685cfb79f45a981f32becaf9' where SYSTEM_PARAM_VALUE ='d-8e73fa3d746d484babbb6bb7d9e80109';
UPDATE SYSTEM_CONFIGURATION SET SYSTEM_PARAM_VALUE = '685b73ed2d49622a806f469d' where SYSTEM_PARAM_VALUE ='d-46393f7232d749f38309c47a13cc12ff';
UPDATE SYSTEM_CONFIGURATION SET SYSTEM_PARAM_VALUE = '685cfbd92d49622a806f46a2' where SYSTEM_PARAM_VALUE ='d-314b5ce6a294422bb367cff4f8aa6d02';
UPDATE SYSTEM_CONFIGURATION SET SYSTEM_PARAM_VALUE = '685a79d0cec1d96108716b29' where SYSTEM_PARAM_VALUE ='d-bed8ca88025e4092ab68243d7e6887f5';
UPDATE SYSTEM_CONFIGURATION SET SYSTEM_PARAM_VALUE = '685a6a3f2d49622a806f4680' where SYSTEM_PARAM_VALUE ='d-3d6ccba6ad024999b368cb576c49d66e';
UPDATE SYSTEM_CONFIGURATION SET SYSTEM_PARAM_VALUE = '685a7912b28b0e2af82b1156' where SYSTEM_PARAM_VALUE ='d-ea8c4467242e4b22949032c676ba1f2b';
UPDATE SYSTEM_CONFIGURATION SET SYSTEM_PARAM_VALUE = '685a6b5fcec1d96108716b26' where SYSTEM_PARAM_VALUE ='d-d1206b3696334256b87aedc764b42553';
UPDATE SYSTEM_CONFIGURATION SET SYSTEM_PARAM_VALUE = '685a61d02d49622a806f467d' where SYSTEM_PARAM_VALUE ='d-39a2cfd45dc349968366b47ad2e7195f';
UPDATE SYSTEM_CONFIGURATION SET SYSTEM_PARAM_VALUE = '685a6ad9f45a981f32becae7' where SYSTEM_PARAM_VALUE ='d-2098651902a84f02b15473c923983e6f';
UPDATE SYSTEM_CONFIGURATION SET SYSTEM_PARAM_VALUE = '685a7f23b28b0e2af82b1163' where SYSTEM_PARAM_VALUE ='d-c5aa715b7eee45078e9787043a168553';
UPDATE SYSTEM_CONFIGURATION SET SYSTEM_PARAM_VALUE = '685a7e89cec1d96108716b2f' where SYSTEM_PARAM_VALUE ='d-c3968c12577c488496a31593d095d6ba';
UPDATE SYSTEM_CONFIGURATION SET SYSTEM_PARAM_VALUE = '685a8394b28b0e2af82b1166' where SYSTEM_PARAM_VALUE ='d-ad9ba462860d477db4265f33853e3689';
UPDATE SYSTEM_CONFIGURATION SET SYSTEM_PARAM_VALUE = '685a7c6bf45a981f32becaeb' where SYSTEM_PARAM_VALUE ='d-a7f72eb5c16e4f20a74b8ecf801fc05c';
UPDATE SYSTEM_CONFIGURATION SET SYSTEM_PARAM_VALUE = '685a7f6fcec1d96108716b32' where SYSTEM_PARAM_VALUE ='d-d434aa8b90794829879f2a6ade6a7d10';
UPDATE SYSTEM_CONFIGURATION SET SYSTEM_PARAM_VALUE = '685a8097f45a981f32becaf2' where SYSTEM_PARAM_VALUE ='d-d43752af108e49a19bb7428c5ab12e44';
UPDATE SYSTEM_CONFIGURATION SET SYSTEM_PARAM_VALUE = '685a7ec9b28b0e2af82b1160' where SYSTEM_PARAM_VALUE ='d-9ce4e676a80d49378fda1bfcdfbd2455';
UPDATE SYSTEM_CONFIGURATION SET SYSTEM_PARAM_VALUE = '685a7e392d49622a806f468e' where SYSTEM_PARAM_VALUE ='d-a60c78f2c912441dbabddc2aa145c858';
UPDATE SYSTEM_CONFIGURATION SET SYSTEM_PARAM_VALUE = '685a8047f45a981f32becaee' where SYSTEM_PARAM_VALUE ='d-66af0e82400d44248409fdbacde1b9bc';
UPDATE SYSTEM_CONFIGURATION SET SYSTEM_PARAM_VALUE = '685a834c2d49622a806f4691' where SYSTEM_PARAM_VALUE ='d-7ca28aaea8414ad4beaae98f51e7b8be';
UPDATE SYSTEM_CONFIGURATION SET SYSTEM_PARAM_VALUE = '685b735ecec1d96108716b41' where SYSTEM_PARAM_VALUE ='d-5aaf3795d37c41e5ab2adea0f0c79bd9';
UPDATE SYSTEM_CONFIGURATION SET SYSTEM_PARAM_VALUE = '685b7231b28b0e2af82b1169' where SYSTEM_PARAM_VALUE ='d-19cb01bbb7ed4359a5af6125a9a15008';
UPDATE SYSTEM_CONFIGURATION SET SYSTEM_PARAM_VALUE = '685a8548f45a981f32becaf5' where SYSTEM_PARAM_VALUE ='d-d95f4619f5ab496a945ff995962f94e2';
UPDATE SYSTEM_CONFIGURATION SET SYSTEM_PARAM_VALUE = '685b73a4cec1d96108716b44' where SYSTEM_PARAM_VALUE ='d-bee2c0cb99964789a7b62f524a8113c1';
UPDATE SYSTEM_CONFIGURATION SET SYSTEM_PARAM_VALUE = '685b72bdb28b0e2af82b116c' where SYSTEM_PARAM_VALUE ='d-2939f8622d9c4482bddce36802d14a1a';
UPDATE SYSTEM_CONFIGURATION SET SYSTEM_PARAM_VALUE = '685a84b12d49622a806f4694' where SYSTEM_PARAM_VALUE ='d-2ef1c62494ae4b709c0147d371ca090d';
UPDATE SYSTEM_CONFIGURATION SET SYSTEM_PARAM_VALUE = '685a8595cec1d96108716b38' where SYSTEM_PARAM_VALUE ='d-5d57b66398904cd9bd2fadc7f0b350ac';
UPDATE SYSTEM_CONFIGURATION SET SYSTEM_PARAM_VALUE = '685a845bcec1d96108716b35' where SYSTEM_PARAM_VALUE ='d-2263bfa120504c31bc7b1db3665c6ade';
UPDATE SYSTEM_CONFIGURATION SET SYSTEM_PARAM_VALUE = '685b73172d49622a806f469a' where SYSTEM_PARAM_VALUE ='d-89a65e048e9a4fddadad81636b7cd81b';
UPDATE SYSTEM_CONFIGURATION SET SYSTEM_PARAM_VALUE = '685b7181cec1d96108716b3b' where SYSTEM_PARAM_VALUE ='d-f529861a5f664802ab8c4ca4c0bae877';
UPDATE SYSTEM_CONFIGURATION SET SYSTEM_PARAM_VALUE = '685b71da2d49622a806f4697' where SYSTEM_PARAM_VALUE ='d-e53522c1244644afb73b1c2d94e712a9';
UPDATE SYSTEM_CONFIGURATION SET SYSTEM_PARAM_VALUE = '685b7277cec1d96108716b3e' where SYSTEM_PARAM_VALUE ='d-b23fccec12844381aebaaa508a03375f';
-- PB-25838
INSERT INTO GA_EVENT_CONFIG(EVENT_CODE, EVENT_NAME, DESCRIPTION, FORMULA, TYPE, PLATFORM, STATUS, CREATED_DATE, CREATED_BY)
VALUES
    ('active_device_no_confirm', 'User không thực hiện xác nhận kích hoạt thiết bị', 'User không thực hiện xác nhận kích hoạt thiết bị', 'add_device-confirm_device', 'DEVICE', 'mobile', 'ACTIVE', CURRENT_TIMESTAMP, 'PB-24385'),
    ('change_device_no_confirm', 'User không thực hiện xác nhận đổi thiết bị', 'User không thực hiện xác nhận đổi thiết bị', 'request_change_device-change_device_success-change_device_failed', 'DEVICE', 'mobile', 'ACTIVE', CURRENT_TIMESTAMP, 'PB-24385'),
    ('stop_device_no_confirm', 'User không thực hiện xác nhận dừng thiết bị', 'User không thực hiện xác nhận dừng thiết bị', 'request_stop_device-stop_device_success-stop_device_failed', 'DEVICE', 'mobile', 'ACTIVE', CURRENT_TIMESTAMP, 'PB-24385')
;
INSERT INTO GA_GROUP_CONFIG
    (GROUP_CODE, GROUP_NAME, `POSITION`, DESCRIPTION, CHART_CODE, STATUS, CREATED_DATE, CREATED_BY)
VALUES
    -- Import funnel groups
    ('BAM_DANG_KY', 'Bấm "Đăng ký"', 1, 'Funnel step: Click Register', 'funnel', 'ACTIVE', CURRENT_TIMESTAMP, 'system'),
    ('XAC_THUC_TAI_KHOAN_THANH_CONG', 'Xác thực tài khoản thành công', 2, 'Funnel step: Account verification successful', 'funnel', 'ACTIVE', CURRENT_TIMESTAMP, 'system'),
    ('SUBMIT_THANH_CONG', 'Submit thành công', 3, 'Funnel step: Successful submission', 'funnel', 'ACTIVE', CURRENT_TIMESTAMP, 'system'),
    -- Import funnel detail groups
    ('XAC_THUC_TAI_KHOAN', 'Xác thực tài khoản', 1, 'Xác thực tài khoản', 'funnel_detail', 'ACTIVE', CURRENT_TIMESTAMP, 'system'),
    ('THONG_TIN_DANG_KY', 'Thông tin đăng ký', 2, 'Thông tin đăng ký', 'funnel_detail', 'ACTIVE', CURRENT_TIMESTAMP, 'system'),
    ('TAI_HO_SO', 'Tải hồ sơ', 3, 'Tải hồ sơ', 'funnel_detail', 'ACTIVE', CURRENT_TIMESTAMP, 'system'),
    ('THONG_TIN_CUA_HANG', 'Thông tin cửa hàng', 4, 'Thông tin cửa hàng', 'funnel_detail', 'ACTIVE', CURRENT_TIMESTAMP, 'system'),
    ('KY_HOP_DONG', 'Ký hợp đồng', 5, 'Ký hợp đồng', 'funnel_detail', 'ACTIVE', CURRENT_TIMESTAMP, 'system'),
    ('HOAN_TAT', 'Hoàn tất', 6, 'Hoàn tất', 'funnel_detail', 'ACTIVE', CURRENT_TIMESTAMP, 'system'),
    -- Import devices
    ('KICH_HOAT_THIET_BI', 'Kích hoạt thiết bị', 1, 'Nhóm các sự kiện liên quan đến kích hoạt thiết bị', 'device', 'ACTIVE', CURRENT_TIMESTAMP, 'system'),
    ('DOI_THIET_BI', 'Đổi thiết bị', 2, 'Nhóm các sự kiện liên quan đến đổi thiết bị', 'device', 'ACTIVE', CURRENT_TIMESTAMP, 'system'),
    ('DUNG_THIET_BI', 'Dừng thiết bị', 3, 'Nhóm các sự kiện liên quan đến dừng thiết bị', 'device', 'ACTIVE', CURRENT_TIMESTAMP, 'system')
;
INSERT INTO GA_EVENT_GROUP_CONFIG
    (GROUP_CODE, EVENT_CODE, `POSITION`, STATUS, CREATED_DATE, CREATED_BY)
VALUES
    -- Import funnel events
    ('BAM_DANG_KY', 'onboard_register', 1, 'ACTIVE', CURRENT_TIMESTAMP, 'system'),
    ('XAC_THUC_TAI_KHOAN_THANH_CONG', 'onboard_input_otp', 1, 'ACTIVE', CURRENT_TIMESTAMP, 'system'),
    ('SUBMIT_THANH_CONG', 'onboard_submit_success', 1, 'ACTIVE', CURRENT_TIMESTAMP, 'system'),
    -- Import funnel detail events
    ('XAC_THUC_TAI_KHOAN', 'onboard_register', 1, 'ACTIVE', CURRENT_TIMESTAMP, 'system'),
    ('XAC_THUC_TAI_KHOAN', 'onboard_start_register', 2, 'ACTIVE', CURRENT_TIMESTAMP, 'system'),
    ('XAC_THUC_TAI_KHOAN', 'onboard_request_OTP', 3, 'ACTIVE', CURRENT_TIMESTAMP, 'system'),
    ('XAC_THUC_TAI_KHOAN', 'onboard_non_master_account', 4, 'ACTIVE', CURRENT_TIMESTAMP, 'system'),
    ('XAC_THUC_TAI_KHOAN', 'onboard_input_otp', 5, 'ACTIVE', CURRENT_TIMESTAMP, 'system'),
    ('XAC_THUC_TAI_KHOAN', 'onboard_input_otp_failed', 6, 'ACTIVE', CURRENT_TIMESTAMP, 'system'),
    ('XAC_THUC_TAI_KHOAN', 'onboard_request_OTP_no_fill', 7, 'ACTIVE', CURRENT_TIMESTAMP, 'system'),
    ('THONG_TIN_DANG_KY', 'onboard_input_brandOrsupporter', 1, 'ACTIVE', CURRENT_TIMESTAMP, 'system'),
    ('THONG_TIN_DANG_KY', 'onboard_input_phone', 2, 'ACTIVE', CURRENT_TIMESTAMP, 'system'),
    ('THONG_TIN_DANG_KY', 'onboard_input_phone_2', 3, 'ACTIVE', CURRENT_TIMESTAMP, 'system'),
    ('THONG_TIN_DANG_KY', 'onboard_select_business_sector', 4, 'ACTIVE', CURRENT_TIMESTAMP, 'system'),
    ('THONG_TIN_DANG_KY', 'onboard_input_infor_1_5', 5, 'ACTIVE', CURRENT_TIMESTAMP, 'system'),
    ('THONG_TIN_DANG_KY', 'onboard_input_infor_2_5', 6, 'ACTIVE', CURRENT_TIMESTAMP, 'system'),
    ('THONG_TIN_DANG_KY', 'onboard_input_infor_3_5', 7, 'ACTIVE', CURRENT_TIMESTAMP, 'system'),
    ('THONG_TIN_DANG_KY', 'onboard_input_infor_4_5', 8, 'ACTIVE', CURRENT_TIMESTAMP, 'system'),
    ('THONG_TIN_DANG_KY', 'onboard_input_infor_5_5', 9, 'ACTIVE', CURRENT_TIMESTAMP, 'system'),
    ('TAI_HO_SO', 'onboard_open_upload_file', 1, 'ACTIVE', CURRENT_TIMESTAMP, 'system'),
    ('TAI_HO_SO', 'onboard_upload_file_success', 2, 'ACTIVE', CURRENT_TIMESTAMP, 'system'),
    ('TAI_HO_SO', 'onboard_upload_file_failed', 3, 'ACTIVE', CURRENT_TIMESTAMP, 'system'),
    ('TAI_HO_SO', 'onboard_open_upload_file_no_download', 4, 'ACTIVE', CURRENT_TIMESTAMP, 'system'),
    ('THONG_TIN_CUA_HANG', 'onboard_open_upload_store_image', 1, 'ACTIVE', CURRENT_TIMESTAMP, 'system'),
    ('THONG_TIN_CUA_HANG', 'onboard_input_terminal', 2, 'ACTIVE', CURRENT_TIMESTAMP, 'system'),
    ('THONG_TIN_CUA_HANG', 'onboard_input_store', 3, 'ACTIVE', CURRENT_TIMESTAMP, 'system'),
    ('KY_HOP_DONG', 'onboard_view_contract', 1, 'ACTIVE', CURRENT_TIMESTAMP, 'system'),
    ('KY_HOP_DONG', 'onboard_confirm_contract', 2, 'ACTIVE', CURRENT_TIMESTAMP, 'system'),
    ('KY_HOP_DONG', 'onboard_user_sign_directly', 3, 'ACTIVE', CURRENT_TIMESTAMP, 'system'),
    ('KY_HOP_DONG', 'onboard_user_digital_signature', 4, 'ACTIVE', CURRENT_TIMESTAMP, 'system'),
    ('KY_HOP_DONG', 'onboard_requestOTP_signature_failed', 5, 'ACTIVE', CURRENT_TIMESTAMP, 'system'),
    ('KY_HOP_DONG', 'onboard_requestOTP_digital_signature', 6, 'ACTIVE', CURRENT_TIMESTAMP, 'system'),
    ('KY_HOP_DONG', 'onboard_digital_signature_success', 7, 'ACTIVE', CURRENT_TIMESTAMP, 'system'),
    ('KY_HOP_DONG', 'onboard_digital_signature_failed', 8, 'ACTIVE', CURRENT_TIMESTAMP, 'system'),
    ('KY_HOP_DONG', 'onboard_not_digital_signature', 9, 'ACTIVE', CURRENT_TIMESTAMP, 'system'),
    ('HOAN_TAT', 'onboard_submit_success', 1, 'ACTIVE', CURRENT_TIMESTAMP, 'system'),
    -- Import devices
    ('KICH_HOAT_THIET_BI', 'add_device', 1, 'ACTIVE', CURRENT_TIMESTAMP, 'system'),
    ('KICH_HOAT_THIET_BI', 'confirm_device', 2, 'ACTIVE', CURRENT_TIMESTAMP, 'system'),
    ('KICH_HOAT_THIET_BI', 'active_device_success', 3, 'ACTIVE', CURRENT_TIMESTAMP, 'system'),
    ('KICH_HOAT_THIET_BI', 'active_device_failed', 4, 'ACTIVE', CURRENT_TIMESTAMP, 'system'),
    ('KICH_HOAT_THIET_BI', 'active_device_no_confirm', 5, 'ACTIVE', CURRENT_TIMESTAMP, 'system'),
    ('DOI_THIET_BI', 'request_change_device', 1, 'ACTIVE', CURRENT_TIMESTAMP, 'system'),
    ('DOI_THIET_BI', 'change_device_success', 2, 'ACTIVE', CURRENT_TIMESTAMP, 'system'),
    ('DOI_THIET_BI', 'change_device_failed', 3, 'ACTIVE', CURRENT_TIMESTAMP, 'system'),
    ('DOI_THIET_BI', 'change_device_no_confirm', 4, 'ACTIVE', CURRENT_TIMESTAMP, 'system'),
    ('DUNG_THIET_BI', 'request_stop_device', 1, 'ACTIVE', CURRENT_TIMESTAMP, 'system'),
    ('DUNG_THIET_BI', 'stop_device_success', 2, 'ACTIVE', CURRENT_TIMESTAMP, 'system'),
    ('DUNG_THIET_BI', 'stop_device_failed', 3, 'ACTIVE', CURRENT_TIMESTAMP, 'system'),
    ('DUNG_THIET_BI', 'stop_device_no_confirm', 4, 'ACTIVE', CURRENT_TIMESTAMP, 'system')
; vinpay-sql-saas-master.int.vinid.net:3306/saas_maker_checker UPDATE CHECKER_CONFIG SET TEMPLATE_ID = '685a5a28b28b0e2af82b1152' WHERE TEMPLATE_ID = 'd-8985235a4d274c0db6bd3bdb0a8dfc25';
UPDATE CHECKER_CONFIG SET TEMPLATE_ID = '685a60f9f45a981f32becae3' WHERE TEMPLATE_ID = 'd-4a40862122b74152887fd87d9e71a79d';
UPDATE MAKER_CONFIG SET TEMPLATE_ID = '685a60f9f45a981f32becae3' WHERE TEMPLATE_ID = 'd-4a40862122b74152887fd87d9e71a79d';
UPDATE CHECKER_CONFIG SET TEMPLATE_ID = '685a61752d49622a806f467a' WHERE TEMPLATE_ID = 'd-0e1006eea386496d911d949fbd6ef734';</t>
  </si>
  <si>
    <t>[VinIDPay] [SMARTPOS] Script release SMARTPOS ngày 30/06/2025</t>
  </si>
  <si>
    <t>2025-07-01T10:39:11.788+0700</t>
  </si>
  <si>
    <t>2025-07-01T10:39:19.856+0700</t>
  </si>
  <si>
    <t>Hi anh Nhờ anh chạy các script sau giúp em trên: PROD  vào lúc  23h59 30/06/2025 ạ Stagging ngay sau khi approve Thông tin database: Prod : pay-tidb.int.onemount.com:4000/saas_tpay Stagging : tidb.int.onemount.dev:4000/vinpay_saas_tpay_staging</t>
  </si>
  <si>
    <t>[PSS][DB][Monitor]-Tích hợp cảnh báo cho các hệ thống database</t>
  </si>
  <si>
    <t>2025-07-01T09:45:44.661+0700</t>
  </si>
  <si>
    <t>2025-07-15T19:12:55.105+0700</t>
  </si>
  <si>
    <t>Hệ thống cảnh báo cần bắn được ra google chat group #nexa-pss-database-health-prod https://chat.google.com/room/AAQApN7TTHc?cls=7</t>
  </si>
  <si>
    <t>[PGW][DB][Monitor]-Tích hợp cảnh báo cho các hệ thống database</t>
  </si>
  <si>
    <t>2025-07-01T09:44:19.239+0700</t>
  </si>
  <si>
    <t>2025-07-15T19:11:47.691+0700</t>
  </si>
  <si>
    <t>Hệ thống cảnh báo cần bắn được ra google chat group #nexa-pgw-database-health-prod   https://chat.google.com/room/AAQAYj9lR00?cls=7</t>
  </si>
  <si>
    <t>[OMC][GAMI][PS2][Prod] Hỗ trợ xuất báo cáo vé tuần cho campaign Spin to Win tuần 10</t>
  </si>
  <si>
    <t>2025-07-01T09:36:43.345+0700</t>
  </si>
  <si>
    <t>2025-07-01T09:36:48.286+0700</t>
  </si>
  <si>
    <t>Hỗ trợ xuất báo cáo vé tuần cho campaign Spin to Win tuần 10 Host:  172.31.4.75 Db:  promo_gamezone Query: SELECT SUM(claim_amount) FROM `rule_logs` WHERE campaign_id = 44 &amp;&amp; reward_type='TURN' &amp;&amp; `status` = 'SUCCESS';
SELECT COUNT(DISTINCT(user_id)) FROM `rule_logs` WHERE campaign_id = 44 &amp;&amp; reward_type='TURN' &amp;&amp; `status` = 'SUCCESS';  </t>
  </si>
  <si>
    <t>[PSS][DB][Security]-Hoàn thành checklist security</t>
  </si>
  <si>
    <t>2025-07-01T09:32:39.852+0700</t>
  </si>
  <si>
    <t>2025-07-18T15:50:10.483+0700</t>
  </si>
  <si>
    <t xml:space="preserve">Phối hợp cùng ANBM, hoàn thành và bổ sung về checklist security cho các hệ thống Database theo yêu cầu tuân thủ theo checklist    </t>
  </si>
  <si>
    <t>[PGW][DB][Security]-Hoàn thành checklist về security cho dự án PGW</t>
  </si>
  <si>
    <t>2025-07-01T09:29:04.393+0700</t>
  </si>
  <si>
    <t>2025-07-15T19:11:11.871+0700</t>
  </si>
  <si>
    <t xml:space="preserve">Phối hợp với ANBM và hoàn thành và bổ sung các checklist theo yêu cầu về tuân thủ cho dự án theo các tài liệu sau cho dự án Payment Gateway     </t>
  </si>
  <si>
    <t>[OMC][ONEU] [Prod] Tạo bảng mới cho luồng đồng bộ staff</t>
  </si>
  <si>
    <t>2025-06-30T14:17:18.566+0700</t>
  </si>
  <si>
    <t>2025-06-30T15:13:07.233+0700</t>
  </si>
  <si>
    <t>Dear team DBA Để phục vụ cho luồng đồng bộ staff từ merchant-platform nhờ team hỗ trợ chạy script sau Có thể chạy ngay khi được approve project: vincart-prod instance: main ip: 172.31.1.41 DB: vincart_mm_merchant CREATE TABLE `staff`
(
    `id`            int PRIMARY KEY AUTO_INCREMENT,
    `created_at`    datetime default CURRENT_TIMESTAMP not null,
    `updated_at`    datetime default CURRENT_TIMESTAMP not null,
    `phone_number`  varchar(20),
    `username`      varchar(255),
    `full_name`     varchar(255),
    `status`        varchar(20),
    `email`         varchar(255),
    `one_u_user_id` varchar(50),
    `staff_level` varchar(50),
    `enable_one_u`  boolean  default 0
);
CREATE UNIQUE INDEX staff_phone_number_index
    ON staff (phone_number);
CREATE TABLE `staff_merchant_store`
(
    `id`            int PRIMARY KEY AUTO_INCREMENT,
    `merchant_id`   int,
    `merchant_code` varchar(255),
    `store_id`      int,
    `store_code`    varchar(255),
    `staff_id`      int
);
CREATE INDEX staff_merchant_store_index
    ON staff_merchant_store (staff_id, merchant_code, store_code);</t>
  </si>
  <si>
    <t>Xin phân quyền view dremio</t>
  </si>
  <si>
    <t>2025-06-30T14:10:51.414+0700</t>
  </si>
  <si>
    <t>2025-06-30T14:15:04.762+0700</t>
  </si>
  <si>
    <t>Logistics</t>
  </si>
  <si>
    <t>xin phân quyền view bảng  "tidb_ods"."omd_vinid_b2b_platform_prod_main_omd_wms_8115".report_order_header; "tidb_ods"."omd_vinid_b2b_platform_prod_main_omd_wms_8115".report_order_item;</t>
  </si>
  <si>
    <t>[VCM] Cập nhật lại thông tin tồn cho campaign variant</t>
  </si>
  <si>
    <t>2025-06-30T13:26:08.478+0700</t>
  </si>
  <si>
    <t>2025-06-30T13:26:33.415+0700</t>
  </si>
  <si>
    <t>Nhờ các anh DBA hỗ trợ chạy các script dưới đây: Database  vincart_mm_product IP:  172.31.1.41 Script migrate ticket_code trên bảng  campaign_variant UPDATE `campaign_variant` SET `quantity` = '0' WHERE variant_id = 1010360 and campaign_code = 'EJqAPR2N1';
UPDATE `campaign_variant` SET `quantity` = '0' WHERE variant_id = 1010853 and campaign_code = 'MGD6KBYxN';
UPDATE `campaign_variant` SET `quantity` = '0' WHERE variant_id = 1010847 and campaign_code = 'MGD6KBYxN';
UPDATE `campaign_variant` SET `quantity` = '0' WHERE variant_id = 1010854 and campaign_code = 'MGD6KBYxN';
UPDATE `campaign_variant` SET `quantity` = '0' WHERE variant_id = 1010876 and campaign_code = 'MGD6KBYxN';</t>
  </si>
  <si>
    <t xml:space="preserve">Tăng size dữ liệu của cột config_value trong bảng wms_config </t>
  </si>
  <si>
    <t>2025-06-30T12:39:13.992+0700</t>
  </si>
  <si>
    <t>2025-06-30T15:45:38.033+0700</t>
  </si>
  <si>
    <t>Hi DBA team, Hiện tại dữ liệu của cột {{config_value }}trong bảng {{wms_config }}cần tăng size cần tăng size để lưu dữ liệu, nhờ team DBA hỗ trợ cập nhật giá trị theo thông tin dưới đây. Project : vinid-b2b-platform-prod Instance/IP : main (read-write): 172.31.4.59 Port : 3306 Database : omd_wms_core Query alter table wms_config modify column config_value varchar(500); Câu query đánh giá là an toàn nên có thể thực hiện cập nhật cuối ngày để không ảnh hưởng đến vận hành hệ thống.</t>
  </si>
  <si>
    <t>2025-06-30T12:22:21.662+0700</t>
  </si>
  <si>
    <t>2025-06-30T17:34:26.087+0700</t>
  </si>
  <si>
    <t>Dear anh Dương, Nhờ anh hỗ trợ team thực hiện chạy các câu lệnh sql với các thông tin dưới đây ạ Thời gian chạy: 22h 30/06/205 Project: vinid-topup-prod
IP:    172.31.1.197
DB name: topup Step 1: Backup bảng  topup_products Step 2: Chạy câu lệnh dưới đây START TRANSACTION;
UPDATE topup_product SET product_name = '250MB' WHERE product_code = 'Mobifone_Data_DC5';
UPDATE topup_product SET product_name = '1GB' WHERE product_code = 'Mobifone_Data_DC10';
UPDATE topup_product SET product_name = '1.4GB' WHERE product_code = 'Mobifone_Data_DataQT14';
UPDATE topup_product SET product_name = '2.5GB' WHERE product_code = 'Mobifone_Data_DataQT20';
UPDATE topup_product SET product_name = '2.8GB' WHERE product_code = 'Mobifone_Data_DataQT28';
UPDATE topup_product SET product_name = '4GB' WHERE product_code = 'Mobifone_Data_DataQT42';
UPDATE topup_product SET product_name = '5GB' WHERE product_code = 'Mobifone_Data_DataQT56';
UPDATE topup_product SET product_name = '8GB' WHERE product_code = 'Mobifone_Data_DataQT84';
UPDATE topup_product SET product_name = '50MB' WHERE product_code = 'Mobifone_Data_DC1';
UPDATE topup_product SET product_name = '100MB' WHERE product_code = 'Mobifone_Data_DC2';
UPDATE topup_product SET product_name = '150MB' WHERE product_code = 'Mobifone_Data_DC3';
UPDATE topup_product SET product_name = '5MB' WHERE product_code = 'Vinaphone_Data_MD5';
UPDATE topup_product SET product_name = '10MB' WHERE product_code = 'Vinaphone_Data_MD10';
UPDATE topup_product SET product_name = '20MB' WHERE product_code = 'Vinaphone_Data_MD20';
UPDATE topup_product SET product_name = '30MB' WHERE product_code = 'Vinaphone_Data_MD30';
UPDATE topup_product SET product_name = '50MB' WHERE product_code = 'Vinaphone_Data_MD50';
UPDATE topup_product SET product_name = '100MB' WHERE product_code = 'Vinaphone_Data_MD100';
UPDATE topup_product SET product_name = '200MB' WHERE product_code = 'Vinaphone_Data_MD200';
UPDATE topup_product SET product_name = '300MB' WHERE product_code = 'Vinaphone_Data_MD300';
UPDATE topup_product SET product_name = '500MB' WHERE product_code = 'Vinaphone_Data_MD500';
UPDATE topup_product SET product_name = '1GB' WHERE product_code = 'Vinaphone_Data_MD1G';
UPDATE topup_product SET product_name = '3GB' WHERE product_code = 'Vinaphone_Data_MD3G';
UPDATE topup_product SET product_name = '5GB' WHERE product_code = 'Vinaphone_Data_MD5G';
UPDATE topup_product SET product_name = '8GB' WHERE product_code = 'Vinaphone_Data_MD8G';
UPDATE topup_product SET product_name = '10GB' WHERE product_code = 'Vinaphone_Data_MD10G';
UPDATE topup_product SET product_name = '12GB' WHERE product_code = 'Vinaphone_Data_MD12G';
UPDATE topup_product SET product_name = '15GB' WHERE product_code = 'Vinaphone_Data_MD15G';
UPDATE topup_product SET product_name = '500MB' WHERE product_code = 'Viettel_Data_VT10';
UPDATE topup_product SET product_name = '2.5GB' WHERE product_code = 'Viettel_Data_VT50';
UPDATE topup_product SET product_name = '1GB' WHERE product_code = 'Viettel_Data_VT1';
UPDATE topup_product SET product_name = '3GB' WHERE product_code = 'Viettel_Data_VT3';
UPDATE topup_product SET product_name = '5GB' WHERE product_code = 'Viettel_Data_VT5';
UPDATE topup_product SET product_name = '8GB' WHERE product_code = 'Viettel_Data_VT8';
UPDATE topup_product SET product_name = '15GB' WHERE product_code = 'Viettel_Data_VT15';
UPDATE topup_product SET product_name = '0.5G/ngày' WHERE product_code = 'ST70KDS';
UPDATE topup_product SET product_name = '1G/ngày' WHERE product_code = 'ST90KDS';
UPDATE topup_product SET product_name = '2G/ngày' WHERE product_code = 'ST120KDS';
UPDATE topup_product SET product_name = '3G/ngày' WHERE product_code = 'ST150KDS';
COMMIT;</t>
  </si>
  <si>
    <t>Add column for database ecom_promotion</t>
  </si>
  <si>
    <t>2025-06-30T09:33:27.608+0700</t>
  </si>
  <si>
    <t>2025-06-30T09:47:58.853+0700</t>
  </si>
  <si>
    <t>Instance: ecom-medium-mysql IP: 172.31.4.9 Database: ecom_promotion Add column for existing table and create index CREATE INDEX idx_rule_type ON rules(type);
CREATE INDEX idx_campaign_rule_campaign_rule_id ON campaign_rule(campaign_id, rule_id);
ALTER TABLE campaign_locations ADD column supported_province varchar(5); Thời gian thực hiện:  22:00 PM 30/06/2025</t>
  </si>
  <si>
    <t>CLONE - Truy cập csdl tidb cụm OMRE/MTP</t>
  </si>
  <si>
    <t>2025-06-30T08:58:07.869+0700</t>
  </si>
  <si>
    <t>2025-06-30T09:00:46.758+0700</t>
  </si>
  <si>
    <t>Nhờ team hỗ trợ phân quyền truy cập csdl tidb cụm OMRE/MTP</t>
  </si>
  <si>
    <t>[PROD] Đánh index bổ sung cho bảng của booking service</t>
  </si>
  <si>
    <t>2025-06-29T19:51:26.263+0700</t>
  </si>
  <si>
    <t>2025-06-30T00:06:30.886+0700</t>
  </si>
  <si>
    <t>booking</t>
  </si>
  <si>
    <t>Dear anh Dũng, Nhờ anh hỗ trợ team bổ sung thêm index cho hệ thống booking: Em cảm ơn project: vincart-prod instance: main ip: 172.31.1.41 db name:  booking_transportation CREATE INDEX trip_trackings_user_updated_idx ON trip_trackings (vinid_user_id, updated_at DESC);</t>
  </si>
  <si>
    <t>Nâng tải database phục vụ FS 30/06</t>
  </si>
  <si>
    <t>2025-06-29T19:47:10.481+0700</t>
  </si>
  <si>
    <t>2025-06-30T01:12:47.081+0700</t>
  </si>
  <si>
    <t>FS</t>
  </si>
  <si>
    <t xml:space="preserve">Nâng tải database Instance main IP 172.31.1.41 từ 4vCPU 16GB lên 12vCPU 32GB https://console.cloud.google.com/sql/instances/main/overview?inv=1&amp;invt=Ab1aSg&amp;project=vincart-prod Đánh index cho các bảng của IP 172.31.1.41 Database vincart_mm_product. Table languages:   CREATE INDEX idx_language_entity_name ON languages (entity_name); Database vincart_mm_order. Table voucher_activity_logs CREATE INDEX idx_val_action_type ON voucher_activity_logs (action_type); CR:   </t>
  </si>
  <si>
    <t>[PROD][OMRE][RIMS] Alter table max length phục vụ fix lỗi luồng RIMS</t>
  </si>
  <si>
    <t>2025-06-28T13:22:12.303+0700</t>
  </si>
  <si>
    <t>2025-06-28T13:36:49.289+0700</t>
  </si>
  <si>
    <t>Dear team DBA và anh Duân. Hiện tại luồng RIMS đang lỗi do dữ liệu ở input dài hơn max length bảng output Giải pháp: nhờ team DBA hỗ trợ mở rộng max kí tự từ  350 lên 450 cho Cột: DONGSOHUU Host: 172.31.4.18 Port: 1433 Database: rimsprod Bảng: dbo.V_BDS_PHIEUYEUCAU Em xin cảm ơn</t>
  </si>
  <si>
    <t>[BO] Import bổ sung cấu hình dịch vụ chuyển từ FScore sang BO</t>
  </si>
  <si>
    <t>2025-06-27T16:00:03.259+0700</t>
  </si>
  <si>
    <t>2025-06-27T16:00:07.484+0700</t>
  </si>
  <si>
    <t>Hi anh  @Nguyễn Văn Dũng  ,   Nhờ a chạy giúp e script bên dưới ạ Thông tin database:  172.31.1.133:3306/bo INSERT INTO MATERIAL(MATERIAL_CODE, DESCRIPTION, PRICE, SAP_MATERIAL, ID, MATERIAL.MATERIAL_ID, DOMAIN_ID, SERVICE_ID, COMPANY_ID, EVENT_ID, DIM_EFF_DATE, TYPE, METHOD_TYPE, VERSION, INSERT_OPERATOR, UPDATE_OPERATOR, AUTHORISE_OPERATOR, INSERT_DATETIME, UPDATE_DATETIME)
VALUES
    ('Mobifone_Data_DC5', 'Mobifone Data 250MB', 5000, '90008562', 'VN0010050|900540', 900540, 'VN0010006', 'VN0010050', 'VN0010002', 1, '2025-01-01', 'TOPUP', '2', '1', 0, 0, 0, CURRENT_TIMESTAMP, CURRENT_TIMESTAMP),
    ('Mobifone_Data_DC10', 'Mobifone Data 1GB', 10000, '90008573', 'VN0010050|900541', 900541, 'VN0010006', 'VN0010050', 'VN0010002', 1, '2025-01-01', 'TOPUP', '2', '1', 0, 0, 0, CURRENT_TIMESTAMP, CURRENT_TIMESTAMP),
    ('Mobifone_Data_DataQT14', 'Mobifone Data 1.4GB', 14000, '90008584', 'VN0010050|900542', 900542, 'VN0010006', 'VN0010050', 'VN0010002', 1, '2025-01-01', 'TOPUP', '2', '1', 0, 0, 0, CURRENT_TIMESTAMP, CURRENT_TIMESTAMP),
    ('Mobifone_Data_DataQT20', 'Mobifone Data 2.5GB', 20000, '90008593', 'VN0010050|900543', 900543, 'VN0010006', 'VN0010050', 'VN0010002', 1, '2025-01-01', 'TOPUP', '2', '1', 0, 0, 0, CURRENT_TIMESTAMP, CURRENT_TIMESTAMP),
    ('Mobifone_Data_DataQT28', 'Mobifone Data 2.8GB', 28000, '90008594', 'VN0010050|900544', 900544, 'VN0010006', 'VN0010050', 'VN0010002', 1, '2025-01-01', 'TOPUP', '2', '1', 0, 0, 0, CURRENT_TIMESTAMP, CURRENT_TIMESTAMP),
    ('Mobifone_Data_DataQT42', 'Mobifone Data 4GB', 42000, '90008595', 'VN0010050|900545', 900545, 'VN0010006', 'VN0010050', 'VN0010002', 1, '2025-01-01', 'TOPUP', '2', '1', 0, 0, 0, CURRENT_TIMESTAMP, CURRENT_TIMESTAMP),
    ('Mobifone_Data_DataQT56', 'Mobifone Data 5GB', 56000, '90008596', 'VN0010050|900546', 900546, 'VN0010006', 'VN0010050', 'VN0010002', 1, '2025-01-01', 'TOPUP', '2', '1', 0, 0, 0, CURRENT_TIMESTAMP, CURRENT_TIMESTAMP),
    ('Mobifone_Data_DataQT84', 'Mobifone Data 8GB', 84000, '90008597', 'VN0010050|900547', 900547, 'VN0010006', 'VN0010050', 'VN0010002', 1, '2025-01-01', 'TOPUP', '2', '1', 0, 0, 0, CURRENT_TIMESTAMP, CURRENT_TIMESTAMP),
    ('Mobifone_Data_DC1', 'Mobifone Data 50MB', 1000, '90008591', 'VN0010050|900548', 900548, 'VN0010006', 'VN0010050', 'VN0010002', 1, '2025-01-01', 'TOPUP', '2', '1', 0, 0, 0, CURRENT_TIMESTAMP, CURRENT_TIMESTAMP),
    ('Mobifone_Data_DC2', 'Mobifone Data 100MB', 2000, '90008592', 'VN0010050|900549', 900549, 'VN0010006', 'VN0010050', 'VN0010002', 1, '2025-01-01', 'TOPUP', '2', '1', 0, 0, 0, CURRENT_TIMESTAMP, CURRENT_TIMESTAMP),
    ('Mobifone_Data_DC3', 'Mobifone Data 150MB', 3000, '90008593', 'VN0010050|900550', 900550, 'VN0010006', 'VN0010050', 'VN0010002', 1, '2025-01-01', 'TOPUP', '2', '1', 0, 0, 0, CURRENT_TIMESTAMP, CURRENT_TIMESTAMP),
    ('Vinaphone_Data_MD5', 'Vinaphone Data 5MB',150, '90008598', 'VN0010050|900551', 900551, 'VN0010006', 'VN0010050', 'VN0010002', 1, '2025-01-01', 'TOPUP', '2', '1', 0, 0, 0, CURRENT_TIMESTAMP, CURRENT_TIMESTAMP),
    ('Vinaphone_Data_MD10', 'Vinaphone Data 10MB',300, '90008563', 'VN0010050|900552', 900552, 'VN0010006', 'VN0010050', 'VN0010002', 1, '2025-01-01', 'TOPUP', '2', '1', 0, 0, 0, CURRENT_TIMESTAMP, CURRENT_TIMESTAMP),
    ('Vinaphone_Data_MD20', 'Vinaphone Data 20MB',600, '90008564', 'VN0010050|900553', 900553, 'VN0010006', 'VN0010050', 'VN0010002', 1, '2025-01-01', 'TOPUP', '2', '1', 0, 0, 0, CURRENT_TIMESTAMP, CURRENT_TIMESTAMP),
    ('Vinaphone_Data_MD30', 'Vinaphone Data 30MB',900, '90008565', 'VN0010050|900554', 900554, 'VN0010006', 'VN0010050', 'VN0010002', 1, '2025-01-01', 'TOPUP', '2', '1', 0, 0, 0, CURRENT_TIMESTAMP, CURRENT_TIMESTAMP),
    ('Vinaphone_Data_MD50', 'Vinaphone Data 50MB', 1500, '90008566', 'VN0010050|900555', 900555, 'VN0010006', 'VN0010050', 'VN0010002', 1, '2025-01-01', 'TOPUP', '2', '1', 0, 0, 0, CURRENT_TIMESTAMP, CURRENT_TIMESTAMP),
    ('Vinaphone_Data_MD100', 'Vinaphone Data 100MB', 3000, '90008567', 'VN0010050|900556', 900556, 'VN0010006', 'VN0010050', 'VN0010002', 1, '2025-01-01', 'TOPUP', '2', '1', 0, 0, 0, CURRENT_TIMESTAMP, CURRENT_TIMESTAMP),
    ('Vinaphone_Data_MD200', 'Vinaphone Data 200MB', 5200, '90008568', 'VN0010050|900557', 900557, 'VN0010006', 'VN0010050', 'VN0010002', 1, '2025-01-01', 'TOPUP', '2', '1', 0, 0, 0, CURRENT_TIMESTAMP, CURRENT_TIMESTAMP),
    ('Vinaphone_Data_MD300', 'Vinaphone Data 300MB', 7800, '90008569', 'VN0010050|900558', 900558, 'VN0010006', 'VN0010050', 'VN0010002', 1, '2025-01-01', 'TOPUP', '2', '1', 0, 0, 0, CURRENT_TIMESTAMP, CURRENT_TIMESTAMP),
    ('Vinaphone_Data_MD500', 'Vinaphone Data 500MB', 13000, '90008570', 'VN0010050|900559', 900559, 'VN0010006', 'VN0010050', 'VN0010002', 1, '2025-01-01', 'TOPUP', '2', '1', 0, 0, 0, CURRENT_TIMESTAMP, CURRENT_TIMESTAMP),
    ('Vinaphone_Data_MD1G', 'Vinaphone Data 1GB', 20000, '90008571', 'VN0010050|900560', 900560, 'VN0010006', 'VN0010050', 'VN0010002', 1, '2025-01-01', 'TOPUP', '2', '1', 0, 0, 0, CURRENT_TIMESTAMP, CURRENT_TIMESTAMP),
    ('Vinaphone_Data_MD3G', 'Vinaphone Data 3GB', 60000, '90008572', 'VN0010050|900561', 900561, 'VN0010006', 'VN0010050', 'VN0010002', 1, '2025-01-01', 'TOPUP', '2', '1', 0, 0, 0, CURRENT_TIMESTAMP, CURRENT_TIMESTAMP),
    ('Vinaphone_Data_MD5G', 'Vinaphone Data 5GB', 100000, '90008574', 'VN0010050|900562', 900562, 'VN0010006', 'VN0010050', 'VN0010002', 1, '2025-01-01', 'TOPUP', '2', '1', 0, 0, 0, CURRENT_TIMESTAMP, CURRENT_TIMESTAMP),
    ('Vinaphone_Data_MD8G', 'Vinaphone Data 8GB', 160000, '90008575', 'VN0010050|900563', 900563, 'VN0010006', 'VN0010050', 'VN0010002', 1, '2025-01-01', 'TOPUP', '2', '1', 0, 0, 0, CURRENT_TIMESTAMP, CURRENT_TIMESTAMP),
    ('Vinaphone_Data_MD10G', 'Vinaphone Data 10GB', 185000, '90008576', 'VN0010050|900564', 900564, 'VN0010006', 'VN0010050', 'VN0010002', 1, '2025-01-01', 'TOPUP', '2', '1', 0, 0, 0, CURRENT_TIMESTAMP, CURRENT_TIMESTAMP),
    ('Vinaphone_Data_MD12G', 'Vinaphone Data 12GB', 220000, '90008577', 'VN0010050|900565', 900565, 'VN0010006', 'VN0010050', 'VN0010002', 1, '2025-01-01', 'TOPUP', '2', '1', 0, 0, 0, CURRENT_TIMESTAMP, CURRENT_TIMESTAMP),
    ('Vinaphone_Data_MD15G', 'Vinaphone Data 15GB', 275000, '90008578', 'VN0010050|900566', 900566, 'VN0010006', 'VN0010050', 'VN0010002', 1, '2025-01-01', 'TOPUP', '2', '1', 0, 0, 0, CURRENT_TIMESTAMP, CURRENT_TIMESTAMP),
    ('Viettel_10K', 'Viettel Nạp trực tiếp 10.000', 10000, '90006155', 'VN0010050|900567', 900567, 'VN0010006', 'VN0010050', 'VN0010002', 1, '2025-01-01', 'TOPUP', '2', '1', 0, 0, 0, CURRENT_TIMESTAMP, CURRENT_TIMESTAMP),
    ('Viettel_20K', 'Viettel Nạp trực tiếp 20.000', 20000, '90006156', 'VN0010050|900568', 900568, 'VN0010006', 'VN0010050', 'VN0010002', 1, '2025-01-01', 'TOPUP', '2', '1', 0, 0, 0, CURRENT_TIMESTAMP, CURRENT_TIMESTAMP),
    ('Viettel_30K', 'Viettel Nạp trực tiếp 30.000', 30000, '90006157', 'VN0010050|900569', 900569, 'VN0010006', 'VN0010050', 'VN0010002', 1, '2025-01-01', 'TOPUP', '2', '1', 0, 0, 0, CURRENT_TIMESTAMP, CURRENT_TIMESTAMP),
    ('Viettel_50K', 'Viettel Nạp trực tiếp 50.000', 50000, '90006158', 'VN0010050|900570', 900570, 'VN0010006', 'VN0010050', 'VN0010002', 1, '2025-01-01', 'TOPUP', '2', '1', 0, 0, 0, CURRENT_TIMESTAMP, CURRENT_TIMESTAMP),
    ('Viettel_100K', 'Viettel Nạp trực tiếp 100.000', 100000, '90006159', 'VN0010050|900571', 900571, 'VN0010006', 'VN0010050', 'VN0010002', 1, '2025-01-01', 'TOPUP', '2', '1', 0, 0, 0, CURRENT_TIMESTAMP, CURRENT_TIMESTAMP),
    ('Viettel_200K', 'Viettel Nạp trực tiếp 200.000', 200000, '90006160', 'VN0010050|900572', 900572, 'VN0010006', 'VN0010050', 'VN0010002', 1, '2025-01-01', 'TOPUP', '2', '1', 0, 0, 0, CURRENT_TIMESTAMP, CURRENT_TIMESTAMP),
    ('Viettel_300K', 'Viettel Nạp trực tiếp 300.000', 300000, '90006161', 'VN0010050|900573', 900573, 'VN0010006', 'VN0010050', 'VN0010002', 1, '2025-01-01', 'TOPUP', '2', '1', 0, 0, 0, CURRENT_TIMESTAMP, CURRENT_TIMESTAMP),
    ('Viettel_500K', 'Viettel Nạp trực tiếp 500.000', 500000, '90006162', 'VN0010050|900574', 900574, 'VN0010006', 'VN0010050', 'VN0010002', 1, '2025-01-01', 'TOPUP', '2', '1', 0, 0, 0, CURRENT_TIMESTAMP, CURRENT_TIMESTAMP),
    ('Vinaphone_10K', 'Vinaphone Nạp trực tiếp 10.000', 10000, '90006171', 'VN0010050|900575', 900575, 'VN0010006', 'VN0010050', 'VN0010002', 1, '2025-01-01', 'TOPUP', '2', '1', 0, 0, 0, CURRENT_TIMESTAMP, CURRENT_TIMESTAMP),
    ('Vinaphone_20K', 'Vinaphone Nạp trực tiếp 20.000', 20000, '90006156', 'VN0010050|900576', 900576, 'VN0010006', 'VN0010050', 'VN0010002', 1, '2025-01-01', 'TOPUP', '2', '1', 0, 0, 0, CURRENT_TIMESTAMP, CURRENT_TIMESTAMP),
    ('Vinaphone_30K', 'Vinaphone Nạp trực tiếp 30.000', 30000, '90006173', 'VN0010050|900577', 900577, 'VN0010006', 'VN0010050', 'VN0010002', 1, '2025-01-01', 'TOPUP', '2', '1', 0, 0, 0, CURRENT_TIMESTAMP, CURRENT_TIMESTAMP),
    ('Vinaphone_50K', 'Vinaphone Nạp trực tiếp 50.000', 50000, '90006174', 'VN0010050|900578', 900578, 'VN0010006', 'VN0010050', 'VN0010002', 1, '2025-01-01', 'TOPUP', '2', '1', 0, 0, 0, CURRENT_TIMESTAMP, CURRENT_TIMESTAMP),
    ('Vinaphone_100K', 'Vinaphone Nạp trực tiếp 100.000', 100000, '90006175', 'VN0010050|900579', 900579, 'VN0010006', 'VN0010050', 'VN0010002', 1, '2025-01-01', 'TOPUP', '2', '1', 0, 0, 0, CURRENT_TIMESTAMP, CURRENT_TIMESTAMP),
    ('Vinaphone_200K', 'Vinaphone Nạp trực tiếp 200.000', 200000, '90006176', 'VN0010050|900580', 900580, 'VN0010006', 'VN0010050', 'VN0010002', 1, '2025-01-01', 'TOPUP', '2', '1', 0, 0, 0, CURRENT_TIMESTAMP, CURRENT_TIMESTAMP),
    ('Vinaphone_300K', 'Vinaphone Nạp trực tiếp 300.000', 300000, '90006177', 'VN0010050|900581', 900581, 'VN0010006', 'VN0010050', 'VN0010002', 1, '2025-01-01', 'TOPUP', '2', '1', 0, 0, 0, CURRENT_TIMESTAMP, CURRENT_TIMESTAMP),
    ('Vinaphone_500K', 'Vinaphone Nạp trực tiếp 500.000', 500000, '90006178', 'VN0010050|900582', 900582, 'VN0010006', 'VN0010050', 'VN0010002', 1, '2025-01-01', 'TOPUP', '2', '1', 0, 0, 0, CURRENT_TIMESTAMP, CURRENT_TIMESTAMP),
    ('Mobifone_10K', 'Mobifone Nạp trực tiếp 10.000', 10000, '90006163', 'VN0010050|900583', 900583, 'VN0010006', 'VN0010050', 'VN0010002', 1, '2025-01-01', 'TOPUP', '2', '1', 0, 0, 0, CURRENT_TIMESTAMP, CURRENT_TIMESTAMP),
    ('Mobifone_20K', 'Mobifone Nạp trực tiếp 20.000', 20000, '90006164', 'VN0010050|900584', 900584, 'VN0010006', 'VN0010050', 'VN0010002', 1, '2025-01-01', 'TOPUP', '2', '1', 0, 0, 0, CURRENT_TIMESTAMP, CURRENT_TIMESTAMP),
    ('Mobifone_30K', 'Mobifone Nạp trực tiếp 30.000', 30000, '90006165', 'VN0010050|900585', 900585, 'VN0010006', 'VN0010050', 'VN0010002', 1, '2025-01-01', 'TOPUP', '2', '1', 0, 0, 0, CURRENT_TIMESTAMP, CURRENT_TIMESTAMP),
    ('Mobifone_50K', 'Mobifone Nạp trực tiếp 50.000', 50000, '90006166', 'VN0010050|900586', 900586, 'VN0010006', 'VN0010050', 'VN0010002', 1, '2025-01-01', 'TOPUP', '2', '1', 0, 0, 0, CURRENT_TIMESTAMP, CURRENT_TIMESTAMP),
    ('Mobifone_100K', 'Mobifone Nạp trực tiếp 100.000', 100000, '90006167', 'VN0010050|900587', 900587, 'VN0010006', 'VN0010050', 'VN0010002', 1, '2025-01-01', 'TOPUP', '2', '1', 0, 0, 0, CURRENT_TIMESTAMP, CURRENT_TIMESTAMP),
    ('Mobifone_200K', 'Mobifone Nạp trực tiếp 200.000', 200000, '90006168', 'VN0010050|900588', 900588, 'VN0010006', 'VN0010050', 'VN0010002', 1, '2025-01-01', 'TOPUP', '2', '1', 0, 0, 0, CURRENT_TIMESTAMP, CURRENT_TIMESTAMP),
    ('Mobifone_300K', 'Mobifone Nạp trực tiếp 300.000', 300000, '90006169', 'VN0010050|900589', 900589, 'VN0010006', 'VN0010050', 'VN0010002', 1, '2025-01-01', 'TOPUP', '2', '1', 0, 0, 0, CURRENT_TIMESTAMP, CURRENT_TIMESTAMP),
    ('Mobifone_500K', 'Mobifone Nạp trực tiếp 500.000', 500000, '90006170', 'VN0010050|900590', 900590, 'VN0010006', 'VN0010050', 'VN0010002', 1, '2025-01-01', 'TOPUP', '2', '1', 0, 0, 0, CURRENT_TIMESTAMP, CURRENT_TIMESTAMP),
    ('vnmobile_10K', 'Vnmobile Nạp trực tiếp 10.000', 10000, '90006179', 'VN0010050|900591', 900591, 'VN0010006', 'VN0010050', 'VN0010002', 1, '2025-01-01', 'TOPUP', '2', '1', 0, 0, 0, CURRENT_TIMESTAMP, CURRENT_TIMESTAMP),
    ('vnmobile_20K', 'Vnmobile Nạp trực tiếp 20.000', 20000, '90006180', 'VN0010050|900592', 900592, 'VN0010006', 'VN0010050', 'VN0010002', 1, '2025-01-01', 'TOPUP', '2', '1', 0, 0, 0, CURRENT_TIMESTAMP, CURRENT_TIMESTAMP),
    ('vnmobile_30K', 'Vnmobile Nạp trực tiếp 30.000', 30000, '90006181', 'VN0010050|900593', 900593, 'VN0010006', 'VN0010050', 'VN0010002', 1, '2025-01-01', 'TOPUP', '2', '1', 0, 0, 0, CURRENT_TIMESTAMP, CURRENT_TIMESTAMP),
    ('vnmobile_50K', 'Vnmobile Nạp trực tiếp 50.000', 50000, '90006182', 'VN0010050|900594', 900594, 'VN0010006', 'VN0010050', 'VN0010002', 1, '2025-01-01', 'TOPUP', '2', '1', 0, 0, 0, CURRENT_TIMESTAMP, CURRENT_TIMESTAMP),
    ('vnmobile_100K', 'Vnmobile Nạp trực tiếp 100.000', 100000, '90006183', 'VN0010050|900595', 900595, 'VN0010006', 'VN0010050', 'VN0010002', 1, '2025-01-01', 'TOPUP', '2', '1', 0, 0, 0, CURRENT_TIMESTAMP, CURRENT_TIMESTAMP),
    ('vnmobile_200K', 'Vnmobile Nạp trực tiếp 200.000', 200000, '90006184', 'VN0010050|900596', 900596, 'VN0010006', 'VN0010050', 'VN0010002', 1, '2025-01-01', 'TOPUP', '2', '1', 0, 0, 0, CURRENT_TIMESTAMP, CURRENT_TIMESTAMP),
    ('vnmobile_300K', 'Vnmobile Nạp trực tiếp 300.000', 300000, '90006185', 'VN0010050|900597', 900597, 'VN0010006', 'VN0010050', 'VN0010002', 1, '2025-01-01', 'TOPUP', '2', '1', 0, 0, 0, CURRENT_TIMESTAMP, CURRENT_TIMESTAMP),
    ('vnmobile_500K', 'Vnmobile Nạp trực tiếp 500.000', 500000, '90006186', 'VN0010050|900598', 900598, 'VN0010006', 'VN0010050', 'VN0010002', 1, '2025-01-01', 'TOPUP', '2', '1', 0, 0, 0, CURRENT_TIMESTAMP, CURRENT_TIMESTAMP),
    ('Viettel_Data_VT10', 'Viettel Data 500MB', 10000, '90008583', 'VN0010050|900599', 900599, 'VN0010006', 'VN0010050', 'VN0010002', 1, '2025-01-01', 'TOPUP', '2', '1', 0, 0, 0, CURRENT_TIMESTAMP, CURRENT_TIMESTAMP),
    ('Viettel_Data_VT50', 'Viettel Data 2.5GB', 50000, '90008585', 'VN0010050|900600', 900600, 'VN0010006', 'VN0010050', 'VN0010002', 1, '2025-01-01', 'TOPUP', '2', '1', 0, 0, 0, CURRENT_TIMESTAMP, CURRENT_TIMESTAMP),
    ('Viettel_Data_VT1', 'Viettel Data 1GB', 40000, '90008586', 'VN0010050|900601', 900601, 'VN0010006', 'VN0010050', 'VN0010002', 1, '2025-01-01', 'TOPUP', '2', '1', 0, 0, 0, CURRENT_TIMESTAMP, CURRENT_TIMESTAMP),
    ('Viettel_Data_VT3', 'Viettel Data 3GB', 70000, '90008587', 'VN0010050|900602', 900602, 'VN0010006', 'VN0010050', 'VN0010002', 1, '2025-01-01', 'TOPUP', '2', '1', 0, 0, 0, CURRENT_TIMESTAMP, CURRENT_TIMESTAMP),
    ('Viettel_Data_VT5', 'Viettel Data 5GB', 90000, '90008588', 'VN0010050|900603', 900603, 'VN0010006', 'VN0010050', 'VN0010002', 1, '2025-01-01', 'TOPUP', '2', '1', 0, 0, 0, CURRENT_TIMESTAMP, CURRENT_TIMESTAMP),
    ('Viettel_Data_VT8', 'Viettel Data 8GB', 125000, '90008589', 'VN0010050|900604', 900604, 'VN0010006', 'VN0010050', 'VN0010002', 1, '2025-01-01', 'TOPUP', '2', '1', 0, 0, 0, CURRENT_TIMESTAMP, CURRENT_TIMESTAMP),
    ('Viettel_Data_VT15', 'Viettel Data 15GB', 200000, '90008590', 'VN0010050|900605', 900605, 'VN0010006', 'VN0010050', 'VN0010002', 1, '2025-01-01', 'TOPUP', '2', '1', 0, 0, 0, CURRENT_TIMESTAMP, CURRENT_TIMESTAMP),
    ('ST70KDS', 'Viettel Data 0.5G/ngày', 70000, '90008579', 'VN0010050|900606', 900606, 'VN0010006', 'VN0010050', 'VN0010002', 1, '2025-01-01', 'TOPUP', '2', '1', 0, 0, 0, CURRENT_TIMESTAMP, CURRENT_TIMESTAMP),
    ('ST90KDS', 'Viettel Data 1G/ngày', 90000, '90008580', 'VN0010050|900607', 900607, 'VN0010006', 'VN0010050', 'VN0010002', 1, '2025-01-01', 'TOPUP', '2', '1', 0, 0, 0, CURRENT_TIMESTAMP, CURRENT_TIMESTAMP),
    ('ST120KDS', 'Viettel Data 2G/ngày', 120000, '90008581', 'VN0010050|900608', 900608, 'VN0010006', 'VN0010050', 'VN0010002', 1, '2025-01-01', 'TOPUP', '2', '1', 0, 0, 0, CURRENT_TIMESTAMP, CURRENT_TIMESTAMP),
    ('ST150KDS', 'Viettel Data 3G/ngày', 150000, '90008582', 'VN0010050|900609', 900609, 'VN0010006', 'VN0010050', 'VN0010002', 1, '2025-01-01', 'TOPUP', '2', '1', 0, 0, 0, CURRENT_TIMESTAMP, CURRENT_TIMESTAMP)
;</t>
  </si>
  <si>
    <t>[VINIDPAY][NONPROD][SOUNDBOX] Thêm cột dữ liệu bảng TCB_DEVICE_MODEL</t>
  </si>
  <si>
    <t>2025-06-27T15:36:28.719+0700</t>
  </si>
  <si>
    <t>2025-06-27T15:36:36.700+0700</t>
  </si>
  <si>
    <t>Hiện tại em cần update data trên staging bảng TCB_DEVICE_MODEL, nhờ anh review và chạy giúp em với . Thông tin DB :  jdbc:mysql://tidb.int.onemount.dev:4000/vinpay_saas_tpay_staging alter table TCB_DEVICE_MODEL add SERVICE varchar(32) null after ID;
UPDATE TCB_DEVICE_MODEL t SET t.SERVICE = 'SOUNDBOX' WHERE t.ID = 1;
UPDATE TCB_DEVICE_MODEL t SET t.SERVICE = 'SOUNDBOX' WHERE t.ID = 2; Thanks anh,</t>
  </si>
  <si>
    <t>[NON-PROD] [VINPAY]  Tác động database saas_tpay staging</t>
  </si>
  <si>
    <t>2025-06-27T09:14:52.936+0700</t>
  </si>
  <si>
    <t>2025-06-27T09:14:58.370+0700</t>
  </si>
  <si>
    <t>Hi anh, nhờ anh chạy giúp em script này ở môi trường Staging theo thông tin dưới đây ạ: Thời gian chạy script: chạy luôn trong giờ, sau khi ticket được approve Thông tin database saas_tpay: mysql:// tidb.int.onemount.dev :4000 Em gửi script ạ UPDATE SYSTEM_CONFIGURATION SET SYSTEM_PARAM_VALUE = '685137542da43f45f62c5ac9' where    SYSTEM_PARAM_VALUE ='d-7c4aa8360cf4492a97eaf15ab16740de';
UPDATE SYSTEM_CONFIGURATION SET SYSTEM_PARAM_VALUE = '685139212da43f45f62c5acc' where    SYSTEM_PARAM_VALUE ='d-cb30c294fc8646a38403a4c155ace5b6';
UPDATE SYSTEM_CONFIGURATION SET SYSTEM_PARAM_VALUE = '685139dc2da43f45f62c5acf' where    SYSTEM_PARAM_VALUE ='d-3b4ad5f7532f4887bfeb94b650f27c2a';
UPDATE SYSTEM_CONFIGURATION SET SYSTEM_PARAM_VALUE = '6859065b93cf8d636b614d83' where    SYSTEM_PARAM_VALUE ='d-8fa2eb3a67b94925800179df2d31b1c6';
UPDATE SYSTEM_CONFIGURATION SET SYSTEM_PARAM_VALUE = '68513b7b2da43f45f62c5adb' where    SYSTEM_PARAM_VALUE ='d-bdf943d1cb8144dba4a1cd27ee47569e';
UPDATE SYSTEM_CONFIGURATION SET SYSTEM_PARAM_VALUE = '68513ce12da43f45f62c5ae4' where    SYSTEM_PARAM_VALUE ='d-823340825cdb4106865271c35ea8dc90';
UPDATE SYSTEM_CONFIGURATION SET SYSTEM_PARAM_VALUE = '68513ded2da43f45f62c5aeb' where    SYSTEM_PARAM_VALUE ='d-78a44c2a54d546bab2748048f583c30e';
UPDATE SYSTEM_CONFIGURATION SET SYSTEM_PARAM_VALUE = '68513e902da43f45f62c5aef' where    SYSTEM_PARAM_VALUE ='d-d95f4619f5ab496a945ff995962f94e2';
UPDATE SYSTEM_CONFIGURATION SET SYSTEM_PARAM_VALUE = '68513f432da43f45f62c5af4' where    SYSTEM_PARAM_VALUE ='d-bee2c0cb99964789a7b62f524a8113c1';
UPDATE SYSTEM_CONFIGURATION SET SYSTEM_PARAM_VALUE = '685142152da43f45f62c5afa' where    SYSTEM_PARAM_VALUE ='d-2939f8622d9c4482bddce36802d14a1a';
UPDATE SYSTEM_CONFIGURATION SET SYSTEM_PARAM_VALUE = '685144b62da43f45f62c5afd' where    SYSTEM_PARAM_VALUE ='d-5d57b66398904cd9bd2fadc7f0b350ac';
UPDATE SYSTEM_CONFIGURATION SET SYSTEM_PARAM_VALUE = '6851486a2da43f45f62c5b07' where    SYSTEM_PARAM_VALUE ='d-e53522c1244644afb73b1c2d94e712a9';
UPDATE SYSTEM_CONFIGURATION SET SYSTEM_PARAM_VALUE = '685149102da43f45f62c5b0a' where    SYSTEM_PARAM_VALUE ='d-19cb01bbb7ed4359a5af6125a9a15008';
UPDATE SYSTEM_CONFIGURATION SET SYSTEM_PARAM_VALUE = '6851498e2da43f45f62c5b0d' where    SYSTEM_PARAM_VALUE ='d-b23fccec12844381aebaaa508a03375f';
UPDATE SYSTEM_CONFIGURATION SET SYSTEM_PARAM_VALUE = '685149df2da43f45f62c5b10' where    SYSTEM_PARAM_VALUE ='d-89a65e048e9a4fddadad81636b7cd81b';
UPDATE SYSTEM_CONFIGURATION SET SYSTEM_PARAM_VALUE = '685247579982c247bcf980ec' where    SYSTEM_PARAM_VALUE ='d-2ef1c62494ae4b709c0147d371ca090d';
UPDATE SYSTEM_CONFIGURATION SET SYSTEM_PARAM_VALUE = '6852785c9982c247bcf98117' where    SYSTEM_PARAM_VALUE ='d-2263bfa120504c31bc7b1db3665c6ade';
UPDATE SYSTEM_CONFIGURATION SET SYSTEM_PARAM_VALUE = '68524a7e9982c247bcf980f0' where    SYSTEM_PARAM_VALUE ='d-f529861a5f664802ab8c4ca4c0bae877';
UPDATE SYSTEM_CONFIGURATION SET SYSTEM_PARAM_VALUE = '68526b479982c247bcf980f4' where    SYSTEM_PARAM_VALUE ='d-5aaf3795d37c41e5ab2adea0f0c79bd9';
UPDATE SYSTEM_CONFIGURATION SET SYSTEM_PARAM_VALUE = '68526bc99982c247bcf980f8' where    SYSTEM_PARAM_VALUE ='d-12d1827eb3bf455aa9aecade8bb7400b';
UPDATE SYSTEM_CONFIGURATION SET SYSTEM_PARAM_VALUE = '68526c389982c247bcf980fb' where    SYSTEM_PARAM_VALUE ='d-8e73fa3d746d484babbb6bb7d9e80109';
UPDATE SYSTEM_CONFIGURATION SET SYSTEM_PARAM_VALUE = '68514ad32da43f45f62c5b13' where    SYSTEM_PARAM_VALUE ='d-46393f7232d749f38309c47a13cc12ff';
UPDATE SYSTEM_CONFIGURATION SET SYSTEM_PARAM_VALUE = '68514b762da43f45f62c5b16' where    SYSTEM_PARAM_VALUE ='d-314b5ce6a294422bb367cff4f8aa6d02';
UPDATE SYSTEM_CONFIGURATION SET SYSTEM_PARAM_VALUE = '68514be62da43f45f62c5b19' where    SYSTEM_PARAM_VALUE ='d-5f3689f5efb04dd3b7e1ad7bb16e25b9';
UPDATE SYSTEM_CONFIGURATION SET SYSTEM_PARAM_VALUE = '68526d139982c247bcf980fe' where    SYSTEM_PARAM_VALUE ='d-d1206b3696334256b87aedc764b42553';
UPDATE SYSTEM_CONFIGURATION SET SYSTEM_PARAM_VALUE = '68526d5f9982c247bcf98101' where    SYSTEM_PARAM_VALUE ='d-39a2cfd45dc349968366b47ad2e7195f';
UPDATE SYSTEM_CONFIGURATION SET SYSTEM_PARAM_VALUE = '685278c49982c247bcf9811a' where    SYSTEM_PARAM_VALUE ='d-2098651902a84f02b15473c923983e6f';
UPDATE SYSTEM_CONFIGURATION SET SYSTEM_PARAM_VALUE = '68526dfa9982c247bcf98104' where    SYSTEM_PARAM_VALUE ='d-bed8ca88025e4092ab68243d7e6887f5';
UPDATE SYSTEM_CONFIGURATION SET SYSTEM_PARAM_VALUE = '68526e4d9982c247bcf98107' where    SYSTEM_PARAM_VALUE ='d-3d6ccba6ad024999b368cb576c49d66e';
UPDATE SYSTEM_CONFIGURATION SET SYSTEM_PARAM_VALUE = '68514ce12da43f45f62c5b1c' where    SYSTEM_PARAM_VALUE ='d-ea8c4467242e4b22949032c676ba1f2b';
UPDATE SYSTEM_CONFIGURATION SET SYSTEM_PARAM_VALUE = '68514d8a2da43f45f62c5b1f' where    SYSTEM_PARAM_VALUE ='d-89b84e9c9eb74a378728334fc539916e';
UPDATE SYSTEM_CONFIGURATION SET SYSTEM_PARAM_VALUE = '68514eae2da43f45f62c5b22' where    SYSTEM_PARAM_VALUE ='d-ad9ba462860d477db4265f33853e3689';
UPDATE SYSTEM_CONFIGURATION SET SYSTEM_PARAM_VALUE = '68514f472da43f45f62c5b26' where    SYSTEM_PARAM_VALUE ='d-d43752af108e49a19bb7428c5ab12e44';
UPDATE SYSTEM_CONFIGURATION SET SYSTEM_PARAM_VALUE = '68514fb72da43f45f62c5b2a' where    SYSTEM_PARAM_VALUE ='d-9ce4e676a80d49378fda1bfcdfbd2455';
UPDATE SYSTEM_CONFIGURATION SET SYSTEM_PARAM_VALUE = '68526f929982c247bcf9810a' where    SYSTEM_PARAM_VALUE ='d-a60c78f2c912441dbabddc2aa145c858';
UPDATE SYSTEM_CONFIGURATION SET SYSTEM_PARAM_VALUE = '68526ffc9982c247bcf9810e' where    SYSTEM_PARAM_VALUE ='d-c5aa715b7eee45078e9787043a168553';
UPDATE SYSTEM_CONFIGURATION SET SYSTEM_PARAM_VALUE = '685270649982c247bcf98111' where    SYSTEM_PARAM_VALUE ='d-7ca28aaea8414ad4beaae98f51e7b8be';
UPDATE SYSTEM_CONFIGURATION SET SYSTEM_PARAM_VALUE = '685270cc9982c247bcf98114' where    SYSTEM_PARAM_VALUE ='d-c3968c12577c488496a31593d095d6ba';
UPDATE SYSTEM_CONFIGURATION SET SYSTEM_PARAM_VALUE = '685150d82da43f45f62c5b2e' where    SYSTEM_PARAM_VALUE ='d-a7f72eb5c16e4f20a74b8ecf801fc05c';
UPDATE SYSTEM_CONFIGURATION SET SYSTEM_PARAM_VALUE = '6851516e2da43f45f62c5b32' where    SYSTEM_PARAM_VALUE ='d-d434aa8b90794829879f2a6ade6a7d10';
UPDATE SYSTEM_CONFIGURATION SET SYSTEM_PARAM_VALUE = '685151e42da43f45f62c5b36' where    SYSTEM_PARAM_VALUE ='d-66af0e82400d44248409fdbacde1b9bc';</t>
  </si>
  <si>
    <t>[AuthOM] Modify column bảng Session DB auth_om</t>
  </si>
  <si>
    <t>2025-06-27T08:46:17.289+0700</t>
  </si>
  <si>
    <t>2025-06-27T08:46:24.442+0700</t>
  </si>
  <si>
    <t>Hi các anh DBA, Hiện tai table authOM bảng Session bên em cần modify và đánh index column, nhờ các anh review và process giúp bên em với ạ. alter table `Session` modify `name` varchar(64) null;
ALTER TABLE `Session` ADD INDEX Name__Session__index(`name`); Thông tin max col hiện tại là 64 ạ. Nhờ anh  @Vương Đình Dũng  review và approve giúp em với ạ. Em cảm ơn,</t>
  </si>
  <si>
    <t>Khởi tạo kho mới PHO04 - Khánh An 02</t>
  </si>
  <si>
    <t>2025-06-26T22:45:46.591+0700</t>
  </si>
  <si>
    <t>2025-06-26T22:53:49.410+0700</t>
  </si>
  <si>
    <t>Description Hi DBA team, Hiện tại nghiệp vụ có nhu cầu mở mới kho PHO04 - Khánh An 02,  nhờ team DBA hỗ trợ cập nhật giá trị theo thông tin dưới đây.   Cụm WMS Project : vinid-b2b-platform-prod Instance/IP : main (read-write): 172.31.4.59 Port : 3306 Database : omd_wms_core Script : file  omd_wms_core_pho04.sql  trong file đính kèm Database : omd_wms_thuanphong2 Script : file  omd_wms_pho04.sql  trong file đính kèm Cum WES Project : vinid-b2b-platform-prod Instance/IP : main (read-write): 172.31.1.143 Port : 3306 Database : wes_master Script : file  wes_master_pho04.sql  trong file đính kèm Database : wes_thuanphong2 Script : file  wes_pho04.sql  trong file đính kèm Câu query đánh giá là có thể ảnh hưởng đến vận hành hệ thống nên mong muốn chạy vào thời gian vận hành thấp điểm (từ 22h-2h sáng).</t>
  </si>
  <si>
    <t>[OMC][PS2][Loyalty][PROD] - Thực hiện insert data yêu cầu chạy Campaign của TCB 26-06-2025</t>
  </si>
  <si>
    <t>2025-06-26T22:22:56.753+0700</t>
  </si>
  <si>
    <t>2025-06-26T22:23:26.465+0700</t>
  </si>
  <si>
    <t>Thực hiện insert data Production cho database loyalty core theo yều từ TCB, mục đích Hỗ trợ triển khai chương trình "Sinh lời trúng lớn" Nhờ team chạy script này trên PROD env của DB loyalty oracle giúp team Loyalty ạ. IP: 10.255.23.119 Service name: oneloyaltydb Port: 1521 schema app: OLOYALTY Link CR:    Thời gian thực hiện:  22h ngày 26/06/2025</t>
  </si>
  <si>
    <t>2025-06-26T17:21:38.737+0700</t>
  </si>
  <si>
    <t>2025-06-26T17:26:35.050+0700</t>
  </si>
  <si>
    <t>Dear team, Do OPS chưa hỗ trợ sửa dữ liệu, nên nhờ team chạy giúp câu lệnh bên dưới để cập nhật lại cho đúng ạ. Thông tin database https://console.cloud.google.com/sql/instances/main/overview?inv=1&amp;invt=Abqw_w&amp;project=vinid-merchant-prod DB_MYSQL_HOST=172.31.1.44
DB_MYSQL_DATABASE=merchant_service Câu lệnh UPDATE
	`merchant`
SET
	`tax_code` = ''
WHERE
	`code` ='MCL0C78EU2RBY';</t>
  </si>
  <si>
    <t>2025-06-26T17:13:28.243+0700</t>
  </si>
  <si>
    <t>2025-06-26T17:20:17.313+0700</t>
  </si>
  <si>
    <t xml:space="preserve">Dear Team. Nhờ team support tạo db mysql mới nonprod cho service cbp-agent-core giúp em với ạ. Thông tin database: url:  jdbc:mysql://omre-onehs-mysql-main.int.onemount.com:3306 tên DB:  omre_cbp_agent_core_uat SAD:   </t>
  </si>
  <si>
    <t>[TPAY][NON-PROD] Tạo tài khoản SFTP cho merchant PNJ lấy file báo cáo đối soát</t>
  </si>
  <si>
    <t>2025-06-26T15:46:32.448+0700</t>
  </si>
  <si>
    <t>2025-06-26T15:46:44.658+0700</t>
  </si>
  <si>
    <t>Dự án Tpay cần cấp tài khoản và 1 thư mục con trong thư mục trong thư mục tpay dành cho đối tác PNJ để đọc file từ sFTP server. Thông tin sFTP server cần kết nối đến: Non-prod:  35.229.130.107:2022 Nhờ team support tạo server và cấp account cho dự án. Em tên thư mục và folder ạ. Account: pnjuat Folder: pnjuat</t>
  </si>
  <si>
    <t>2025-06-26T15:28:07.777+0700</t>
  </si>
  <si>
    <t>2025-06-26T22:37:13.452+0700</t>
  </si>
  <si>
    <t>Dear anh Dương, Nhờ anh hỗ trợ team thực hiện các câu lệnh SQL với thông tin dưới đây Project: vinid-service-platform-prod
IP: 172.31.1.102
DB name: reminder_service Bước 1: backup table  reminders SQL: START TRANSACTION;
UPDATE reminders
SET is_deleted = 1
WHERE serivce_code = 'UTILITY_SERVICE'
COMMIT; Project: vinid-billservicc-prod
IP: 172.31.1.225
DB name: bill_service Bước 1 backup bảng  billing_services   billing_providers   billing_user_profiles SQL: START TRANSACTION;
UPDATE billing_services
SET `status` = 'DISABLE'
UPDATE billing_providers
SET `status` = 'DISABLE'
UPDATE billing_user_profiles
SET is_display = 0
COMMIT;</t>
  </si>
  <si>
    <t>[OMD][b2b-platform][PROD] Update database camunda prod</t>
  </si>
  <si>
    <t>2025-06-26T15:01:51.327+0700</t>
  </si>
  <si>
    <t>2025-06-26T15:07:57.819+0700</t>
  </si>
  <si>
    <t>Nhờ team DBA  chạy upgrade database camunda vào lúc  23h thứ 5 ngày 26/06/2025 Database ip:   172.31.3.10:5432 database name prod:  camunda_bpm_prod Query ALTER TABLE bpm_approval_request
ALTER COLUMN expected_time_from TYPE TIMESTAMP USING expected_time_from::timestamp;
ALTER TABLE bpm_approval_request
ALTER COLUMN expected_time_to TYPE TIMESTAMP USING expected_time_to::timestamp;</t>
  </si>
  <si>
    <t>Tạo Instance DB trên nonprod cho dự án CBP</t>
  </si>
  <si>
    <t>2025-06-26T11:06:55.436+0700</t>
  </si>
  <si>
    <t>2025-06-26T12:39:58.641+0700</t>
  </si>
  <si>
    <t>Dear team, Nhờ team tạo giúp em 1 instance trên nonprod cho dự án CBP theo cấu hình sau để phục vụ cho dự án mới CBP của OMRE 2vCPU - 8GiB RAM và 10GiB Disk Thanks,</t>
  </si>
  <si>
    <t>2025-06-26T11:02:17.552+0700</t>
  </si>
  <si>
    <t>2025-06-26T11:05:42.405+0700</t>
  </si>
  <si>
    <t>Nhờ team chạy các lệnh UPDATE trên MySQL Production như sau ạ: URL:  mysql://omre-onehs-mysql-main.int.onemount.com:3306/onehs_cloud_config Query: UPDATE properties SET value = JSON_SET(value, '$.TCU_TAMDUNG', '#E52E22') WHERE prop_key="property_label_color"</t>
  </si>
  <si>
    <t>Xin cấp tài khoản read only db service common</t>
  </si>
  <si>
    <t>2025-06-26T10:45:37.688+0700</t>
  </si>
  <si>
    <t>2025-06-26T10:59:24.086+0700</t>
  </si>
  <si>
    <t>Dear team DBA, Để tiện hỗ trợ các issue liên quan đến off ví Vinid Pay trên production . Team mong muốn tạo ra 1 tài khoản readonly trên database để tiện xử lý. Thông tin database: Project: vinid-service-platform-prod IP: 172.31.1.102 Port: 3306 Read all tables trong các database thuộc Host này Em cảm ơn ạ.</t>
  </si>
  <si>
    <t>[OMC][ServicePlatform][PROD] Hỗ trợ trích xuất địa chỉ ip white list của luồng automation</t>
  </si>
  <si>
    <t>2025-06-26T10:34:53.895+0700</t>
  </si>
  <si>
    <t>2025-06-26T10:35:49.149+0700</t>
  </si>
  <si>
    <t>Dear anh Linh, Nhờ anh hỗ trợ xuất giúp em data địa chỉ ip của luồng auto mation trên one shield v3 IP:  10.255.24.22:27017 db: one-shield-v3 collection: ip-automation Em cảm ơn</t>
  </si>
  <si>
    <t>Y/c sửa lại thuộc tính của bảng EInvoice</t>
  </si>
  <si>
    <t>2025-06-25T23:09:10.409+0700</t>
  </si>
  <si>
    <t>2025-06-25T23:22:22.610+0700</t>
  </si>
  <si>
    <t>Sau khi deploy oms xong nhờ các a chạy giúp e các câu SQL sau với ạ: DB OMS: 172.31.4.113 b2b_oms_prod SQL: ALTER TABLE  EInvoice CHANGE COLUMN  arisingDate   arisingDate  DATETIME NULL , CHANGE COLUMN  businessDate   businessDate  DATETIME NULL , CHANGE COLUMN  invoiceKey   invoiceKey  VARCHAR(255) NULL , CHANGE COLUMN  pattern   pattern  VARCHAR(255) NULL , CHANGE COLUMN  serial   serial  VARCHAR(255) NULL , CHANGE COLUMN  type   type  VARCHAR(255) NULL ;</t>
  </si>
  <si>
    <t>Y/c thêm index cho taskbox</t>
  </si>
  <si>
    <t>2025-06-25T17:08:08.301+0700</t>
  </si>
  <si>
    <t>2025-06-25T23:55:37.888+0700</t>
  </si>
  <si>
    <t>Sau khi deploy, Nhờ các a chạy giúp e đoạn sql dưới để thêm index cho DB taskbox với ạ DB taskBox: jdbc:mysql://onemg-integration-platform-prd--main.cloudsql.int:3306/omd_taskbox 172.31.1.118 CREATE INDEX idx_said ON Whitelist(saId); CREATE INDEX idx_customerInfo Whitelist(customerInfo);</t>
  </si>
  <si>
    <t>[PROD] Hủy gán thiếu bị SmartPos</t>
  </si>
  <si>
    <t>2025-06-25T16:30:49.845+0700</t>
  </si>
  <si>
    <t>2025-06-25T16:31:04.131+0700</t>
  </si>
  <si>
    <t>Dear team DBA, để phục vụ việc hủy gán thiết bị cho khách hàng nhờ team run script SQL theo file đính kèm phía dưới với thông tin cụ thể như sau: Thời gian chạy script: sau khi được approve Thông tin database  saas_tpay: mysql://pay-tidb.int.onemount.com:4000/saas_tpay DELETE
FROM TCB_DEVICE
WHERE device_serial_number = 'V9E0597669';
DELETE
FROM TCB_DEVICE_HISTORY
WHERE device_serial_number = 'V9E0597669';
DELETE
FROM SMARTPOS_DEVICE_MAPPING
WHERE device_serial_number = 'V9E0597669';
DELETE
FROM SMARTPOS_DEVICE_MAPPING_HISTORY
WHERE device_serial_number = 'V9E0597669';</t>
  </si>
  <si>
    <t>2025-06-25T15:29:43.266+0700</t>
  </si>
  <si>
    <t>2025-06-25T22:15:44.709+0700</t>
  </si>
  <si>
    <t>Dear anh Dương, Nhờ anh hỗ trợ team thực hiện chạy các câu lệnh sql với các thông tin dưới đây ạ Thời gian chạy: 22h 25/06/205 Project: vinid-service-platform-prod
IP:	172.31.4.55
DB name: customer_engagement Step 1: Backup bảng  cp_plugin_template Step 2: Chạy câu lệnh dưới đây: START TRANSACTION;
UPDATE `cp_plugin_template`
SET `status` = 0
WHERE `id` in (11, 12, 13, 54, 55, 63, 64, 65, 66, 67, 68, 69, 70, 97, 98, 99, 100, 103, 104, 105, 107);
UPDATE cp_plugin_template
SET `template` = '{"code":"utility_connected_app_plugin_group4","banner":{"type":"","cta_en":"","cta_vn":"","img_url":"","deeplink":"","img_size":"","title_en":"","title_vn":"","text_color":"","cta_deeplink":"","background_url":"","description_en":"","description_vn":""},"order_id":"","title_en":"Utility","title_vn":"Tiện ích","item_list":[{"deeplink":"one://superapp/event/event_home","icon_url":"https://cdn-vincart.vinid.net/cdn-cgi/image/fit=scale-down,w=1200,quality=75,f=auto/connected-apps/ic_48service_connectedapp_ticket@3x.png","order_id":"1","title_en":"Ticket","title_vn":"Mua vé","label_color":"","label_value":"","description_en":"","description_vn":""},{"deeplink":"one://superapp/community/donation","icon_url":"https://cdn-vincart.vinid.net/cdn-cgi/image/fit=scale-down,w=1200,quality=75,f=auto/connected-apps/ic_48service_connectedapp_community2@3x.png","order_id":"2","title_en":"Community","title_vn":"Cộng đồng","label_color":"","label_value":"","description_en":"","description_vn":""},{"deeplink":"one://superapp/coach_ticket/home","icon_url":"https://cdn-vincart.vinid.net/cdn-cgi/image/fit=scale-down,w=1200,quality=75,f=auto/connected-apps/ic_48service_3rd_coachbus@3x.png","order_id":"5","title_en":"Buy coach ticket","title_vn":"Mua vé xe khách","label_color":"","label_value":"","description_en":"","description_vn":""},{"deeplink":"one://mnminiapp.com?url=https://weather-miniapp.onemount.com/","icon_url":"https://cdn-vincart.vinid.net/cdn-cgi/image/fit=scale-down,w=1200,quality=75,f=auto/connected-apps/ic_48service_3rd_weather@3x.png","order_id":"7","title_en":"Check weather","title_vn":"Xem thời tiết","label_color":"","label_value":"","description_en":"","description_vn":""},{"deeplink":"one://mnminiapp.com?url=https://air-quality-miniapp.onemount.com/","icon_url":"https://cdn-vincart.vinid.net/cdn-cgi/image/fit=scale-down,w=1200,quality=75,f=auto/connected-apps/ic_48service_3rd_airquality@3x.png","order_id":"8","title_en":"View air quality","title_vn":"Chất lượng không khí","label_color":"","label_value":"","description_en":"","description_vn":""}]}'
WHERE id = 42;
UPDATE cp_plugin_template
SET `template` = '{"code":"utility_connected_app_plugin_group2","banner":{"type":"1","cta_en":"Top up","cta_vn":"Nạp ngay","img_url":"https://cdn.vinid.net/image/image_c8dd13c38b344cb7a7756d3c08977b34.png","deeplink":"one://superapp/utility/service/mobile_topup","img_size":"40","title_en":"Quick top up","title_vn":"Nạp điện thoại nhanh cho","text_color":"#22313F","cta_deeplink":"one://superapp/utility/service/mobile_topup","background_url":"https://cdn.vinid.net/image/image_dfdaf07a9bdc49f1b661ac041455b62a.png","description_en":"{{phone_number}}","description_vn":"{{phone_number}}"},"order_id":"","title_en":"Telecomunication","title_vn":"Viễn thông","item_list":[{"deeplink":"one://superapp/utility/service/mobile_topup","icon_url":"https://cdn-vincart.vinid.net/cdn-cgi/image/fit=scale-down,w=1200,quality=75,f=auto/connected-apps//ic_48service_3rd_mobiletopup@3x.png","order_id":"1","title_en":"Top up","title_vn":"Nạp tiền điện thoại","label_color":"#00BC3C","label_value":"-{{discount_value}}","description_en":"","description_vn":""},{"deeplink":"one://superapp/utility/service/mobile_phone_card","icon_url":"https://cdn-vincart.vinid.net/cdn-cgi/image/fit=scale-down,w=1200,quality=75,f=auto/connected-apps/ic_48service_3rd_phonecard@3x.png","order_id":"2","title_en":"Phone card","title_vn":"Mua thẻ điện thoại","label_color":"","label_value":"","description_en":"","description_vn":""},{"deeplink":"one://superapp/utility/service/mobile_data","icon_url":"https://cdn-vincart.vinid.net/cdn-cgi/image/fit=scale-down,w=1200,quality=75,f=auto/connected-apps/ic_48service_3rd_mobiledata@3x.png","order_id":"4","title_en":"Data 3G/4G","title_vn":"Data 3G/4G","label_color":"","label_value":"","description_en":"","description_vn":""}]}'
WHERE id in (90, 91, 92, 93, 94, 95);
UPDATE cp_plugin_template
SET `template` = '{"code":"utility_connected_app_plugin_group2","banner":{"type":"","cta_en":"","cta_vn":"","img_url":"","deeplink":"","img_size":"","title_en":"","title_vn":"","text_color":"","cta_deeplink":"","background_url":"","description_en":"","description_vn":""},"order_id":"","title_en":"Telecomunication","title_vn":"Viễn thông","item_list":[{"deeplink":"one://superapp/utility/service/mobile_topup","icon_url":"https://cdn-vincart.vinid.net/cdn-cgi/image/fit=scale-down,w=1200,quality=75,f=auto/connected-apps//ic_48service_3rd_mobiletopup@3x.png","order_id":"1","title_en":"Mobile top up","title_vn":"Nạp tiền điện thoại","label_color":"","label_value":"","description_en":"","description_vn":""},{"deeplink":"one://superapp/utility/service/mobile_phone_card","icon_url":"https://cdn-vincart.vinid.net/cdn-cgi/image/fit=scale-down,w=1200,quality=75,f=auto/connected-apps/ic_48service_3rd_phonecard@3x.png","order_id":"2","title_en":"Phone card","title_vn":"Mua thẻ điện thoại","label_color":"","label_value":"","description_en":"","description_vn":""},{"deeplink":"one://superapp/utility/service/mobile_data","icon_url":"https://cdn-vincart.vinid.net/cdn-cgi/image/fit=scale-down,w=1200,quality=75,f=auto/connected-apps/ic_48service_3rd_mobiledata@3x.png","order_id":"4","title_en":"Data 3G/4G","title_vn":"Data 3G/4G","label_color":"","label_value":"","description_en":"","description_vn":""}]}'
WHERE id = 96;
UPDATE cp_plugin_template
SET `template` = '{"code":"utility_connected_app_plugin_group2","banner":{"type":"1","cta_en":"Top up","cta_vn":"Nạp ngay","img_url":"https://cdn.vinid.net/image/image_c8dd13c38b344cb7a7756d3c08977b34.png","deeplink":"one://superapp/utility/service/mobile_topup","img_size":"40","title_en":"Quick top up","title_vn":"Nạp điện thoại nhanh cho","text_color":"#22313F","cta_deeplink":"one://superapp/utility/service/mobile_topup","background_url":"https://cdn.vinid.net/image/image_dfdaf07a9bdc49f1b661ac041455b62a.png","description_en":"{{phone_number}}","description_vn":"{{phone_number}}"},"order_id":"","title_en":"Telecomunication","title_vn":"Viễn thông","item_list":[{"deeplink":"one://superapp/utility/service/mobile_topup","icon_url":"https://cdn-vincart.vinid.net/cdn-cgi/image/fit=scale-down,w=1200,quality=75,f=auto/connected-apps//ic_48service_3rd_mobiletopup@3x.png","order_id":"1","title_en":"Top up","title_vn":"Nạp tiền điện thoại","label_color":"#00BC3C","label_value":"-{{discount_provider_value}}","description_en":"","description_vn":""},{"deeplink":"one://superapp/utility/service/mobile_phone_card","icon_url":"https://cdn-vincart.vinid.net/cdn-cgi/image/fit=scale-down,w=1200,quality=75,f=auto/connected-apps/ic_48service_3rd_phonecard@3x.png","order_id":"2","title_en":"Phone card","title_vn":"Mua thẻ điện thoại","label_color":"","label_value":"","description_en":"","description_vn":""},{"deeplink":"one://superapp/utility/service/mobile_data","icon_url":"https://cdn-vincart.vinid.net/cdn-cgi/image/fit=scale-down,w=1200,quality=75,f=auto/connected-apps/ic_48service_3rd_mobiledata@3x.png","order_id":"4","title_en":"Data 3G/4G","title_vn":"Data 3G/4G","label_color":"","label_value":"","description_en":"","description_vn":""}]}'
WHERE id = 111;
COMMIT; Project: vinid-topup-prod
IP:    172.31.1.197
DB name: topup Step 1: Backup bảng  topup_services ,  topup_providers ,  topup_products Step 2: Chạy câu lệnh dưới đây START TRANSACTION;
-- topup_services
UPDATE `topup_services`
SET `topup_aggregator_info` = '{"ZOTA":{"mid":"TOPUPZOTA","service_code":"MOBILE_TOPUP","service_name":"Nap tien dien thoai","merchant_code":"ZOTA"},"IMEDIA":{"mid":"TOPUPIMED","service_code":"MOBILE_TOPUP","service_name":"Nap tien dien thoai","merchant_code":"IMEDIA"},"OMCTOPUPIMEDIA":{"mid":"OIMOBILETOPUP","service_code":"MOBILE_TOPUP","service_name":"Nap tien dien thoai","merchant_code":"OMCTOPUPIMEDIA"}}'
WHERE id = 1
UPDATE `topup_services`
SET `topup_aggregator_info` = '{"IMEDIA":{"mid":"TP3G4G","service_code":"MOBILE_PHONE_DATA","service_name":"Mua ma the cao dien thoai","merchant_code":"IMEDIA"},"OMCTOPUPIMEDIA":{"mid":"OITOPUPDATA","service_code":"MOBILE_PHONE_DATA","service_name":"Mua ma the cao dien thoai","merchant_code":"OMCTOPUPIMEDIA"}}'
WHERE id = 3
------------------------------------------------------
-- topup_providers
UPDATE topup_providers
SET topup_aggregator_info = '{"ZOTA":{"tid":"TPZVIETTEL","provider_code":"VTM","provider_name":"Viettel"},"IMEDIA":{"tid":"TPVIETTEL","provider_code":"Viettel","provider_name":"Viettel"},"OMCTOPUPIMEDIA":{"tid":"TPVIETTEL","provider_code":"Viettel","provider_name":"Viettel"}}'
WHERE id = 1;
UPDATE topup_providers
SET topup_aggregator_info = '{"ZOTA":{"tid":"TPZMOBIFONE","provider_code":"VMS","provider_name":"MobiFone"},"IMEDIA":{"tid":"TPMOBIFONE","provider_code":"Mobifone","provider_name":"MobiFone"},"OMCTOPUPIMEDIA":{"tid":"TPMOBIFONE","provider_code":"Mobifone","provider_name":"MobiFone"}}'
WHERE id = 2;
UPDATE topup_providers
SET topup_aggregator_info = '{"ZOTA":{"tid":"TPZVNPHONE","provider_code":"VNP","provider_name":"Vinaphone"},"IMEDIA":{"tid":"TPVNPHONE","provider_code":"VINAPHONE","provider_name":"Vinaphone"},"OMCTOPUPIMEDIA":{"tid":"TPVNPHONE","provider_code":"VINAPHONE","provider_name":"Vinaphone"}}'
WHERE id = 3;
UPDATE topup_providers
SET topup_aggregator_info = '{"ZOTA":{"tid":"TPZTVMOBILE","provider_code":"VNM","provider_name":"Vietnamobile"},"IMEDIA":{"tid":"TPVMOBILE","provider_code":"VNmobile","provider_name":"Vietnamobile"},"OMCTOPUPIMEDIA":{"tid":"TPVMOBILE","provider_code":"VNmobile","provider_name":"Vietnamobile"}}'
WHERE id = 4;
UPDATE topup_providers
SET topup_aggregator_info = '{"ZOTA":{"tid":"TPZTGMOBILE","provider_code":"GMOBILE","provider_name":"GMobile"},"IMEDIA":{"tid":"TPGMOBILE","provider_code":"Beeline","provider_name":"GMobile"},"OMCTOPUPIMEDIA":{"tid":"TPGMOBILE","provider_code":"Beeline","provider_name":"GMobile"}}'
WHERE id = 5;
UPDATE topup_providers
SET topup_aggregator_info = '{"ZOTA":{"tid":"TCZTGMOBILE","provider_code":"GMOBILE","provider_name":"GMobile"},"IMEDIA":{"tid":"TCGMOBILE","provider_code":"Beeline","provider_name":"GMobile"},"OMCTOPUPIMEDIA":{"tid":"TCGMOBILE","provider_code":"Beeline","provider_name":"GMobile"}}'
WHERE id = 10;
UPDATE topup_providers
SET topup_aggregator_info = '{"IMEDIA":{"tid":"TP3G4G","provider_code":"DataVTT2","provider_name":"Viettel Datacode"},"OMCTOPUPIMEDIA":{"tid":"VT3G4G","provider_code":"DataVTT2","provider_name":"Viettel Datacode"}}'
WHERE id = 11;
UPDATE topup_providers
SET topup_aggregator_info = '{"IMEDIA":{"tid":"MB3G4G","provider_code":"DataVMS","provider_name":"MobiFone Datacode"},"OMCTOPUPIMEDIA":{"tid":"MB3G4G","provider_code":"DataVMS","provider_name":"MobiFone Datacode"}}'
WHERE id = 12;
UPDATE topup_providers
SET topup_aggregator_info = '{"IMEDIA":{"tid":"VN3G4G","provider_code":"DataVNP","provider_name":"Vinaphone Datacode"},"OMCTOPUPIMEDIA":{"tid":"VN3G4G","provider_code":"DataVNP","provider_name":"Vinaphone Datacode"}}'
WHERE id = 13;
------------------------------------------------------
-- topup_products
UPDATE topup_product SET default_aggregator = 'OMCTOPUPIMEDIA' WHERE topup_provider_id in (1, 2, 3, 4, 5, 10, 11, 12, 13);
UPDATE topup_product
SET topup_aggregator_discount_config = '{"ZOTA":{"discount_unit":"PERCENT","discount_value":4.8,"max_discount_value":500000},"IMEDIA":{"discount_unit":"PERCENT","discount_value":5.9,"max_discount_value":500000},"OMCTOPUPIMEDIA":{"discount_unit":"PERCENT","discount_value":5.9,"max_discount_value":500000}}'
WHERE id in (37, 33, 38, 34, 39, 35, 40, 36);
UPDATE topup_product
SET topup_aggregator_discount_config = '{"ZOTA":{"discount_unit":"PERCENT","discount_value":5.5,"max_discount_value":500000},"IMEDIA":{"discount_unit":"PERCENT","discount_value":6,"max_discount_value":500000},"OMCTOPUPIMEDIA":{"discount_unit":"PERCENT","discount_value":6,"max_discount_value":500000}}'
WHERE id in (86, 82, 87, 83, 88, 84, 89, 85);
UPDATE topup_product
SET topup_aggregator_discount_config = '{"ZOTA":{"discount_unit":"PERCENT","discount_value":3.5,"max_discount_value":500000},"IMEDIA":{"discount_unit":"PERCENT","discount_value":2.93,"max_discount_value":500000},"OMCTOPUPIMEDIA":{"discount_unit":"PERCENT","discount_value":2.93,"max_discount_value":500000}}'
WHERE id in (21, 17, 22, 18, 23, 19, 24, 20);
UPDATE topup_product
SET topup_aggregator_discount_config = '{"IMEDIA":{"discount_unit":"PERCENT","discount_value":20,"max_discount_value":500000},"OMCTOPUPIMEDIA":{"discount_unit":"PERCENT","discount_value":20,"max_discount_value":500000}}'
WHERE id in (102, 103, 105, 107, 101, 98 ,99);
UPDATE topup_product
SET topup_aggregator_discount_config = '{"ZOTA":{"discount_unit":"PERCENT","discount_value":0,"max_discount_value":0},"IMEDIA":{"discount_unit":"PERCENT","discount_value":14,"max_discount_value":500000},"OMCTOPUPIMEDIA":{"discount_unit":"PERCENT","discount_value":14,"max_discount_value":500000}}'
WHERE id in (104, 106, 97, 100);
UPDATE topup_product
SET topup_aggregator_discount_config = '{"ZOTA":{"discount_unit":"PERCENT","discount_value":0,"max_discount_value":0},"IMEDIA":{"discount_unit":"PERCENT","discount_value":10,"max_discount_value":500000},"OMCTOPUPIMEDIA":{"discount_unit":"PERCENT","discount_value":10,"max_discount_value":500000}}'
WHERE id in (126, 127, 124, 125);
UPDATE topup_product
SET topup_aggregator_discount_config = '{"ZOTA":{"discount_unit":"PERCENT","discount_value":3.5,"max_discount_value":500000},"IMEDIA":{"discount_unit":"PERCENT","discount_value":2.2,"max_discount_value":500000},"OMCTOPUPIMEDIA":{"discount_unit":"PERCENT","discount_value":2.2,"max_discount_value":500000}}'
WHERE id in (5, 1, 6, 2, 7, 8, 4);
UPDATE topup_product
SET topup_aggregator_discount_config = '{"ZOTA":{"discount_unit":"PERCENT","discount_value":3.5,"max_discount_value":500000},"IMEDIA":{"discount_unit":"PERCENT","discount_value":2.8,"max_discount_value":500000},"OMCTOPUPIMEDIA":{"discount_unit":"PERCENT","discount_value":2.8,"max_discount_value":500000}}'
WHERE id = 3;
UPDATE topup_product
SET topup_aggregator_discount_config = '{"IMEDIA":{"discount_unit":"PERCENT","discount_value":20,"max_discount_value":500000},"OMCTOPUPIMEDIA":{"discount_unit":"PERCENT","discount_value":20,"max_discount_value":500000}}'
WHERE id in (92, 90, 96, 93, 94, 91, 95);
UPDATE topup_product
SET topup_aggregator_discount_config = '{"ZOTA":{"discount_unit":"PERCENT","discount_value":4.5,"max_discount_value":500000},"IMEDIA":{"discount_unit":"PERCENT","discount_value":3.5,"max_discount_value":500000},"OMCTOPUPIMEDIA":{"discount_unit":"PERCENT","discount_value":3.5,"max_discount_value":500000}}'
WHERE id in (13, 9, 14, 10, 15, 11, 12, 16);
UPDATE topup_product
SET topup_aggregator_discount_config = '{"ZOTA":{"discount_unit":"PERCENT","discount_value":0,"max_discount_value":0},"IMEDIA":{"discount_unit":"PERCENT","discount_value":14,"max_discount_value":500000},"OMCTOPUPIMEDIA":{"discount_unit":"PERCENT","discount_value":14,"max_discount_value":500000}}'
WHERE id in (109, 113, 121, 122, 123, 117, 110, 114, 111, 115, 118, 112, 116, 119, 120);
UPDATE topup_product
SET topup_aggregator_discount_config = '{"IMEDIA":{"discount_unit":"PERCENT","discount_value":10,"max_discount_value":500000},"OMCTOPUPIMEDIA":{"discount_unit":"PERCENT","discount_value":10,"max_discount_value":500000}}'
WHERE id = 108;
UPDATE topup_product
SET topup_aggregator_discount_config = '{"ZOTA":{"discount_unit":"PERCENT","discount_value":5.5,"max_discount_value":500000},"IMEDIA":{"discount_unit":"PERCENT","discount_value":5.2,"max_discount_value":500000},"OMCTOPUPIMEDIA":{"discount_unit":"PERCENT","discount_value":5.2,"max_discount_value":500000}}'
WHERE id in (29, 25, 30, 26, 31, 27, 32, 28);
COMMIT;</t>
  </si>
  <si>
    <t>[PROD] [VCM] Tạo bảng lịch sử import collection</t>
  </si>
  <si>
    <t>2025-06-25T14:53:29.042+0700</t>
  </si>
  <si>
    <t>2025-06-25T15:52:52.356+0700</t>
  </si>
  <si>
    <t>Dear a/e DBA, Nhờ team support chạy script tạo bảng . Thời gian chạy:   16h:00 25/06/2025 Thông tin database:  IP: 172.31.1.41
DB: vincart_mm_product Script sql: create table IF NOT EXISTS `collection_import_history`
(
    id            bigint auto_increment
        primary key,
    file_name  varchar(255)                              not null,
    collection_code varchar(255)                              not null,
    file_path     text                                not null,
    created_at    timestamp default CURRENT_TIMESTAMP not null,
    updated_at    datetime  default CURRENT_TIMESTAMP not null on update CURRENT_TIMESTAMP
);
create index collection_import_history_collection_code_index
    on collection_import_history (collection_code);</t>
  </si>
  <si>
    <t>[VCM] Cập nhật lại thông tin ticket_code của những đơn hàng develivery voucher thành công.</t>
  </si>
  <si>
    <t>2025-06-25T14:49:46.295+0700</t>
  </si>
  <si>
    <t>2025-06-25T15:12:16.471+0700</t>
  </si>
  <si>
    <t>Nhờ các anh DBA hỗ trợ chạy các script dưới đây: Database  vincart_mm_order IP:  172.31.1.41 Script migrate ticket_code trên bảng  serial_fulfillment_items UPDATE serial_fulfillment_items SET serial_code='5a98221f3d6144e198ed114c569f32b3' WHERE order_code ='M7V2G23';
UPDATE serial_fulfillment_items SET serial_code='948161b85955485f83975405442a4803' WHERE order_code ='MXRXYQE';
UPDATE serial_fulfillment_items SET serial_code='f614bc39dba24343b97579407a4e8a32' WHERE order_code ='ML96824';
UPDATE serial_fulfillment_items SET serial_code='f8b80b56070b487784780fbecc6c4eb3' WHERE order_code ='M64Y7AR';
UPDATE serial_fulfillment_items SET serial_code='3f2b84ad858c495085982e39afeecb95' WHERE order_code ='M374VQ9';
UPDATE serial_fulfillment_items SET serial_code='19cef84757e2402d952926ef759cb014' WHERE order_code ='MEL8XA2';
UPDATE serial_fulfillment_items SET serial_code='89517316026048299c801c2282387749' WHERE order_code ='MG7N5R8';
UPDATE serial_fulfillment_items SET serial_code='2f5cbdbcaeb647e6841531bace9f887c' WHERE order_code ='MXRXYER';
UPDATE serial_fulfillment_items SET serial_code='e1ae07e780c9455688db4422cc872a36' WHERE order_code ='MXRXYN6';
UPDATE serial_fulfillment_items SET serial_code='9bbabbbb47114b10968517a4c7e730ff' WHERE order_code ='M4XA4Y6';
UPDATE serial_fulfillment_items SET serial_code='5e761dafbf2349e8b6abe9e6fd2602a2' WHERE order_code ='MQR6DGD';
UPDATE serial_fulfillment_items SET serial_code='9c7f5f9228aa4d2ab27afa4812a82ad9' WHERE order_code ='MG7247B';
UPDATE serial_fulfillment_items SET serial_code='a16281547cfa49d6938a17fd121908c9' WHERE order_code ='MVR9EYE';
UPDATE serial_fulfillment_items SET serial_code='7053777d07a649e48361886f858ec989' WHERE order_code ='MRR69NN';
UPDATE serial_fulfillment_items SET serial_code='b74f7ac8aa55487eacad346d3da0b550' WHERE order_code ='M64YNKR';
UPDATE serial_fulfillment_items SET serial_code='dff47959744447d192a93b287b685ed8' WHERE order_code ='MB39L4N';
UPDATE serial_fulfillment_items SET serial_code='dcbd3232185740c283431bde63727b6d' WHERE order_code ='MEL8ADA';
UPDATE serial_fulfillment_items SET serial_code='7d9414f67c0f40a2a68981b8ea5cb037' WHERE order_code ='MVRDVE2';
UPDATE serial_fulfillment_items SET serial_code='33b829974a994e4999c47d0664567a52' WHERE order_code ='ML968E5';
UPDATE serial_fulfillment_items SET serial_code='82cf4bd0f4e64310adf9f725604898f2' WHERE order_code ='MYN8R85';
UPDATE serial_fulfillment_items SET serial_code='479ab2d4f0084fa69cc7cbad2a5b444f' WHERE order_code ='M9YG4GX';
UPDATE serial_fulfillment_items SET serial_code='3ba23c8ef41647f5871afefee6b55c97' WHERE order_code ='M9YG4NX';
UPDATE serial_fulfillment_items SET serial_code='d3fe9ef506b349d0a5f2c0c59710308e' WHERE order_code ='MRR67KB';
UPDATE serial_fulfillment_items SET serial_code='a8df1da0bdd84426bc29d55da9c9208b' WHERE order_code ='M5KND3B';
UPDATE serial_fulfillment_items SET serial_code='fb221271f1fb4dc1ac686d0504324264' WHERE order_code ='MRQGG79';
UPDATE serial_fulfillment_items SET serial_code='cbb6956c1a434939ba951f577e7268c6' WHERE order_code ='MRR6729';
UPDATE serial_fulfillment_items SET serial_code='e5499e183c3c457d9ab556f8ae8ee6de' WHERE order_code ='MD5A7G9';
UPDATE serial_fulfillment_items SET serial_code='00d76bc20f264887a8a32171ed268fd1' WHERE order_code ='ML968B9';
UPDATE serial_fulfillment_items SET serial_code='79615dc321c24b04b089227753fb800b' WHERE order_code ='M4XVLVY';
UPDATE serial_fulfillment_items SET serial_code='42f6c11e7f5b425588b1b803b4454a7a' WHERE order_code ='M2NK283';
UPDATE serial_fulfillment_items SET serial_code='f853d04c6c084b9b9d846dec1dcb1ca8' WHERE order_code ='M4XVLRN';
UPDATE serial_fulfillment_items SET serial_code='52510ec0782a4c959173ad1b01bdbbe5' WHERE order_code ='M37YX94';
UPDATE serial_fulfillment_items SET serial_code='6a69d96a3c4a469ea25c2c0ab3d811b5' WHERE order_code ='MYNKAAR';
UPDATE serial_fulfillment_items SET serial_code='3550d654b3ce468bae9a56a063893c5f' WHERE order_code ='M4XV9QK';
UPDATE serial_fulfillment_items SET serial_code='ef13759c5afd42d0bf3c083a50c36eda' WHERE order_code ='MB39LNR';
UPDATE serial_fulfillment_items SET serial_code='7d36f68f5ece4debba5a1b6dbdf42856' WHERE order_code ='M9YG4E4';
UPDATE serial_fulfillment_items SET serial_code='7d298ebe4aae47639863ddceed0a6202' WHERE order_code ='M9YG2AQ';</t>
  </si>
  <si>
    <t>[CAMUNDA_OFS][PROD]Delete data on table ACT_RU_JOB of camunda_ofs database</t>
  </si>
  <si>
    <t>2025-06-25T14:17:03.656+0700</t>
  </si>
  <si>
    <t>2025-06-25T22:36:25.386+0700</t>
  </si>
  <si>
    <t>camuda_ofs</t>
  </si>
  <si>
    <t>Dear anh Dương, Để giảm tải và tối ưu về resource (CPU….) nên  team cần xóa data thừa trong bảng ACT_RU_JOB của database camunda_ofs  Data được xóa trước ngày 01-01-2025 Vậy nhờ anh xóa hộ em data theo script SQL sau :  DELETE FROM `camunda_ofs`.`ACT_RU_JOB` WHERE CREATE_TIME_ &lt; '2025-01-01'; Thời gian thực hiện 2025-06-25 22:30 Thông tb db : schema:  camunda_ofs project: vinid-b2b-platform-prod instance: main-integration Master IP:  172.31.1.143 Thanks anh ạ!!!!</t>
  </si>
  <si>
    <t>[OMC][Authentication] [Prod] Update dữ liệu phân biệt AppID của user - Golive Authentication 24/06/2025</t>
  </si>
  <si>
    <t>2025-06-25T10:13:17.555+0700</t>
  </si>
  <si>
    <t>2025-06-25T10:14:20.497+0700</t>
  </si>
  <si>
    <t>Dear team DBA, Nhờ team support giúp golive phần phân biệt thông tin user authen giữa các app id khác nhau. Golive checklist:    Thời gian:  22h tối ngày 24/06/2025 Database:  Instance ID:  https://console.cloud.google.com/sql/instances/omc-authentication/overview?authuser=0&amp;inv=1&amp;invt=Ab0Vzw&amp;project=omc-base-platform-prod Database name:  omc_bp_authentication Các bước thực hiện: Thay đổi primary key cũ từ user_id sang (user_id, source)  ALTER TABLE users
    DROP CONSTRAINT users_pkey CASCADE;
ALTER TABLE users
    ADD PRIMARY KEY (user_id, source); Tìm những users đang login với cả 2 app My One Mount và app Pro Agent: SELECT * FROM users WHERE  
login_at::jsonb @&gt; '["my one mount"]' OR login_at::jsonb @&gt; '["OneHousing Pro Agent App 1"]' Lấy những user ở trên, check xem user nào bị thiếu thì insert thêm data vào bảng users (phần này dev sẽ gửi query sau khi nhận thông tin ở bước trên) INSERT INTO users (user_id, phone_number, source, login_at, status, email, socials, created_at, updated_at) VALUES
    ('{user_id}', '{phone_number}', '{new_source}', '{login_at}', '{status}', '{email}', '{socials}', CURRENT_DATE, CURRENT_DATE); Update lại thông tin với những user cũ: UPDATE users SET login_at = '["my one mount"]' 
WHERE source = 'AwnwekrBEmfdzdc' AND  login_at::text &lt;&gt; 'null';
UPDATE users SET login_at = '["OneHousing Pro Agent App 1"]' 
WHERE source = 'TCoaNatyyiNKARe' AND  login_at::text &lt;&gt; 'null'; Mình cảm ơn!</t>
  </si>
  <si>
    <t>[TMS][Prod] Execute sql migration script for Golive TMS Sprint LOG S87 (25/06/2025)</t>
  </si>
  <si>
    <t>2025-06-25T09:26:13.201+0700</t>
  </si>
  <si>
    <t>2025-06-25T22:28:10.994+0700</t>
  </si>
  <si>
    <t xml:space="preserve">Nhờ team thực hiện migration sql cho các database sau: Thực hiện trước 22h ngày 25/06/2025 Databasse:  omd_tms_planning_prod (SQL instance tms-mysql-01 (Private IP: 172.31.4.129)  https://console.cloud.google.com/sql/instances/tms-mysql-01/overview?project=onedc-tms-prod ): v0.0.8_change_tariff_tables.sql Database  omd_tms_audit_prod  ((SQL instance tms-mysql-01 (Private IP: 172.31.4.129)  https://console.cloud.google.com/sql/instances/tms-mysql-01/overview?project=onedc-tms-prod ): v2.0.1_increase_column_size.sql CR planning:   </t>
  </si>
  <si>
    <t>Hỗ trợ tạo dữ liệu mở mới kho 8119 - Hồ Chí Minh 02</t>
  </si>
  <si>
    <t>2025-06-25T09:23:41.884+0700</t>
  </si>
  <si>
    <t>2025-06-25T09:24:26.560+0700</t>
  </si>
  <si>
    <t>Hi DBA team,  Hiện tại nghiệp vụ có nhu cầu mở mới kho 8119 Hồ Chí Minh 02 ,  nhờ team DBA hỗ trợ cập nhật giá trị theo thông tin dưới đây   Cụm WMS Project : vinid-b2b-platform-prod Instance/IP : main (read-write): 172.31.4.59 Port : 3306 Database : omd_wms_core Script : file  omd_wms_core_8119.sql  trong file đính kèm Cum WES Project : vinid-b2b-platform-prod Instance/IP : main (read-write): 172.31.1.143 Port : 3306 Database : wes_master Script : file  wes_master_8119.sql  trong file đính kèm Câu query đánh giá là có thể ảnh hưởng đến vận hành hệ thống nên mong muốn chạy vào thời gian vận hành thấp điểm (từ 22h-2h sáng).</t>
  </si>
  <si>
    <t>[OMC][GAMI][PS2][Prod] Hỗ trợ xuất báo cáo vé tuần cho campaign Spin to Win tuần 9</t>
  </si>
  <si>
    <t>2025-06-25T09:21:38.754+0700</t>
  </si>
  <si>
    <t>2025-06-25T09:21:47.957+0700</t>
  </si>
  <si>
    <t>Hỗ trợ xuất báo cáo vé tuần cho campaign Spin to Win tuần 8 Host:  172.31.4.75 Db:  promo_gamezone Query: SELECT SUM(claim_amount) FROM `rule_logs` WHERE campaign_id = 42 &amp;&amp; reward_type='TURN' &amp;&amp; `status` = 'SUCCESS';
SELECT COUNT(DISTINCT(user_id)) FROM `rule_logs` WHERE campaign_id = 42 &amp;&amp; reward_type='TURN' &amp;&amp; `status` = 'SUCCESS';</t>
  </si>
  <si>
    <t>2025-06-24T22:52:05.048+0700</t>
  </si>
  <si>
    <t>2025-06-24T23:00:21.917+0700</t>
  </si>
  <si>
    <t>Hi DBA team,  Hiện tại nghiệp vụ có nhu cầu mở mới kho 8119 Hồ Chí Minh 02 ,  nhờ team DBA hỗ trợ cập nhật giá trị theo thông tin dưới đây Cụm WMS Project : vinid-b2b-platform-prod Instance/IP : main (read-write): 172.31.4.59 Port : 3306 Database : omd_wms_core Script : file  omd_wms_core_8119.sql  trong file đính kèm Cum WES Project : vinid-b2b-platform-prod Instance/IP : main (read-write): 172.31.1.143 Port : 3306 Database : wes_master Script : file  wes_master_8119.sql  trong file đính kèm Câu query đánh giá là có thể ảnh hưởng đến vận hành hệ thống nên mong muốn chạy vào thời gian vận hành thấp điểm (từ 22h-2h sáng).</t>
  </si>
  <si>
    <t>[Vinpay][PROD] Thêm index tối ưu query DB</t>
  </si>
  <si>
    <t>2025-06-24T17:58:02.027+0700</t>
  </si>
  <si>
    <t>2025-06-24T17:58:17.020+0700</t>
  </si>
  <si>
    <t>Hi anh Nhờ anh chạy các script giúp em  sau khi approve Thông tin database  saas_tpay: mysql://pay-tidb.int.onemount.com:4000/saas_tpay</t>
  </si>
  <si>
    <t>Hỗ trợ thay đổi thông tin voucher tại VMM</t>
  </si>
  <si>
    <t>2025-06-24T15:52:51.671+0700</t>
  </si>
  <si>
    <t>2025-06-24T17:36:57.482+0700</t>
  </si>
  <si>
    <t>Ticket / CR:    Database:  DB: vincart_mm_product instance: main ip: 172.31.1.41 query:  UPDATE entity_attributes_values SET value = 'TCB' WHERE name = 'biz_owner' AND entity_id IN (1010214, 1010215);</t>
  </si>
  <si>
    <t>OMC - CDP: Sync data từ Dremio về ODS / yêu cầu mới.</t>
  </si>
  <si>
    <t>2025-06-24T12:32:25.743+0700</t>
  </si>
  <si>
    <t>2025-06-28T11:17:38.697+0700</t>
  </si>
  <si>
    <t>Hi anh  @Trần Trương Dương   Nhờ anh hỗ trợ giúp team 2 việc sau với: Sync thêm data d Label từ DP về ODS của CDP OMC:  dp.omc.semantic."omc_bsi_cdp"."d_label" Remove Job Sync:  f_customer_segmentation  →  "tidb_new"."dp_omc_semantic_omc_bsi_cdp"."f_customer_segmentation" Lý do: Luồng CDP thống nhất, ko cần  customer_segmentation  từ phía data nữa https://chat.google.com/room/AAAA6DrFzCA/T4qJ-gNBETc/TtF-74xl1lQ?cls=10 2025-06-23   @Trần Trương Dương  anh ơi, Bảng:  dp.omc.semantic."omc_bsi_cdp"."d_label" Nhờ anh chỉnh giúp em cột:  id  : Ko lấy từ DP, mà tự sinh auto incr ở trên ODS với ạ. Lý do: Bên CNSP cũng sẽ insert vào bảng  d_label  này qua ODS → Để auto inc sẽ hợp lý hơn. 2 bên thống nhất vói nhau dùng label code là key Môi trường: Prod và dev. Em cảm ơn anh,</t>
  </si>
  <si>
    <t>[Discount][LE] Tạo discount database cho pt</t>
  </si>
  <si>
    <t>2025-06-24T11:40:13.236+0700</t>
  </si>
  <si>
    <t>2025-06-24T11:40:35.412+0700</t>
  </si>
  <si>
    <t>Hi a  @Nguyễn Văn Dũng  , a hỗ trợ tao giúp em discount database để pt với ạ. Tài liệu SAD    Instances:  https://console.cloud.google.com/sql/instances/loadtest-main/overview?inv=1&amp;invt=Ab08Tw&amp;project=vinid-loyalty-nonprod Thông tin DB gami_discount_pt gami_budget_management_pt</t>
  </si>
  <si>
    <t>[VINIDPAY][SOUNDBOX] Support backup table và tạo dữ liệu bảng system confugration</t>
  </si>
  <si>
    <t>2025-06-24T10:25:06.348+0700</t>
  </si>
  <si>
    <t>2025-06-24T10:25:26.932+0700</t>
  </si>
  <si>
    <t>Hi các anh DBA,  Hiện tại team em cần backup bảng SOUNDBOX_NOTIFICATION để thực hiện migrte dữ liệu, nhờ các anh backup giúp em table : SOUNDBOX_NOTIFICATION Sau đó nhờ các anh chạy câu lệnh thêm dữ liệu config giúp em INSERT INTO SYSTEM_CONFIGURATION (SYSTEM_PARAM_CODE, SYSTEM_PARAM_NAME, SYSTEM_PARAM_VALUE, IS_ACTIVE) VALUES ('SOUNDBOX_MIGRATE_DATA_LIMIT', 'SOUNDBOX_MIGRATE_DATA_LIMIT', '5000', 1);
INSERT INTO SYSTEM_CONFIGURATION (SYSTEM_PARAM_CODE, SYSTEM_PARAM_NAME, SYSTEM_PARAM_VALUE, IS_ACTIVE) VALUES ('SOUNDBOX_MIGRATE_DATA_SIZE', 'SOUNDBOX_MIGRATE_DATA_SIZE', '15000000', 1);
INSERT INTO SYSTEM_CONFIGURATION (SYSTEM_PARAM_CODE, SYSTEM_PARAM_NAME, SYSTEM_PARAM_VALUE, IS_ACTIVE) VALUES ('SOUNDBOX_MIGRATE_DATA_MESSAGE_IDS', 'SOUNDBOX_MIGRATE_DATA_MESSAGE_IDS', 'FT25160002488925|1,FT25167500820386|1,FT25167500820386|2,FT25151087283633|1,FT25151087283633|1,FT25151087283633|2', 1); Thanks các anh,</t>
  </si>
  <si>
    <t>2025-06-24T09:32:28.349+0700</t>
  </si>
  <si>
    <t>2025-06-24T10:06:57.796+0700</t>
  </si>
  <si>
    <t>Nhờ team chạy giúp em câu lệnh SELECT trên MySQL Production như sau ạ URL:  mysql://omre-onehs-mysql-main.int.onemount.com:3306/agent-platform Query: SELECT 
    a.*, 
    pjg.*, 
    wg.*, 
    MAX(m.uuid) AS manager_uuid, 
    e.*, 
    r.*, 
    ai.*
FROM agents a
JOIN pending_join_groups pjg ON a.uuid = pjg.agent_uuid
JOIN working_groups wg ON pjg.working_group_code = wg.code AND wg.status = 'ACTIVE'
LEFT JOIN agent_working_groups awg ON awg.role = 'MANAGER' AND awg.working_group_code = pjg.working_group_code AND awg.status = 'ACTIVE'
LEFT JOIN agents m ON awg.agent_uuid = m.uuid AND m.status = 'ACTIVE'
LEFT JOIN ekyc e ON a.uuid = e.agent_uuid AND e.status = 'ACTIVE'
LEFT JOIN agents r ON a.refer_by = r.code AND r.status = 'ACTIVE'
LEFT JOIN agent_invite_codes i ON a.invite_code = i.invite_code AND i.status = 'ACTIVE'
LEFT JOIN agents ai ON i.agent_code = ai.code
WHERE 
    (wg.code IN ("YBYMUHYDSIRS") OR wg.parent_code IN ("YBYMUHYDSIRS"))
    AND pjg.status IN ("PENDING")
    AND a.status = 'ACTIVE'
GROUP BY a.uuid, pjg.id, wg.code, e.id, r.uuid</t>
  </si>
  <si>
    <t>[OMRE] export dữ liệu phục vụ việc migration sang hệ thống mới</t>
  </si>
  <si>
    <t>2025-06-23T17:40:17.757+0700</t>
  </si>
  <si>
    <t>2025-06-23T17:51:17.005+0700</t>
  </si>
  <si>
    <t>MasterData</t>
  </si>
  <si>
    <t>Hi team Nhờ team export theo query sau: SELECT
c.name,
cv.constant_code,
cv.constant_value
FROM constants AS c
INNER JOIN constant_values AS cv on c.id = cv.constant_id
ORDER by c.name Thông tin DB: jdbc:mysql://omre-onehs-mysql-main.int.onemount.com:3306/onehs_reference_data</t>
  </si>
  <si>
    <t>[Merchant-OM] Hỗ trợ cập nhật dữ liệu địa chỉ</t>
  </si>
  <si>
    <t>2025-06-23T17:30:04.939+0700</t>
  </si>
  <si>
    <t>2025-06-23T17:38:07.394+0700</t>
  </si>
  <si>
    <t>Dear team, Do OPS chưa hỗ trợ sửa dữ liệu, nên nhờ team chạy giúp câu lệnh bên dưới để cập nhật lại cho đúng ạ. Thông tin database https://console.cloud.google.com/sql/instances/main/overview?inv=1&amp;invt=Abqw_w&amp;project=vinid-merchant-prod DB_MYSQL_HOST=172.31.1.44
DB_MYSQL_DATABASE=merchant_service Câu lệnh update address set default_delivery_address=0 where store_id = 285591;
update address set verification_status='VERIFIED', default_delivery_address=1 where id = 243231;</t>
  </si>
  <si>
    <t>2025-06-23T14:45:20.237+0700</t>
  </si>
  <si>
    <t>2025-06-23T14:55:25.322+0700</t>
  </si>
  <si>
    <t>Nhờ anh thực hiện script sau giúp em: Script: UPDATE mtp_campaign_content SET display_content = null WHERE owner_id in (8455); IP:  172.31.3.49:5432 DB:  mtp_campaign_management</t>
  </si>
  <si>
    <t xml:space="preserve">[PROD] [OMRE] Xin tạo kafka topic cho bảng ở MySQL </t>
  </si>
  <si>
    <t>2025-06-23T14:20:23.776+0700</t>
  </si>
  <si>
    <t>2025-06-23T17:49:37.039+0700</t>
  </si>
  <si>
    <t xml:space="preserve">Dear team DBA và anh Duân. Em hiện đang cần đồng bộ dữ liệu từ hệ thống về Dataplatform để phục vụ xử lý ticket  https://vinid-team.atlassian.net/browse/DWHV2-11645 Cụ thể, em cần tạo kafka topic cho 1 bảng . Thông tin DB và bảng như sau: Môi trường:  PROD Host:  172.31.4.83 Port:  3306 Database:  agent-platform Table: agent-platform.agent_invite_codes Em cảm ơn các anh. </t>
  </si>
  <si>
    <t>[OMC][DP][Kafka][PROD] Hỗ trợ tạo kafka topic cho bảng ở DB mtp_campaign_management</t>
  </si>
  <si>
    <t>2025-06-23T11:12:33.105+0700</t>
  </si>
  <si>
    <t>2025-06-23T18:17:46.827+0700</t>
  </si>
  <si>
    <t>Dear anh Linh,  Phục vụ tracking các thông tin về campaign_id của IAM và Email do MTP. Nhờ anh tạo topic cho các bảng sau: POSTGRES_HOST:  172.31.3.49:5432   POSTGRES_DB:  mtp_campaign_management Tables:  mtp_campaign_campaign mtp_campaign_ad_set mtp_campaign_ad Em cảm ơn ạ</t>
  </si>
  <si>
    <t>[Vinpay][PROD]  Tắt sync data luồng SMARTPOS</t>
  </si>
  <si>
    <t>2025-06-23T10:45:01.603+0700</t>
  </si>
  <si>
    <t>2025-06-23T10:45:24.039+0700</t>
  </si>
  <si>
    <t>Hi anh team có script, nhờ anh chạy các script giúp em  sau khi approve Thông tin database  saas_tpay: mysql://pay-tidb.int.onemount.com:4000/saas_tpay</t>
  </si>
  <si>
    <t>Kéo dữ liệu về ODS cho dự án OMD TMS</t>
  </si>
  <si>
    <t>2025-06-23T09:48:27.707+0700</t>
  </si>
  <si>
    <t>2025-06-28T09:26:30.356+0700</t>
  </si>
  <si>
    <t>Mục đích: Support cho BO/PA tạo các alert về các metrics bất thường liên quan đến hệ thống transportation Hiện tại đã có một số bảng của TMS được kéo về nguồn ODS, tuy nhiên do nhu cầu data để tạo alert cần bổ sung thêm bảng kéo về ODS Thông tin database nguồn: Database  bytm_prod  (Oracle instance on GCE oracle-primary (Private IP: 10.255.24.170) Danh sách bảng cần kéo bổ sung: T1_LD_LEG_DETL_EXT Cấp quyền truy cập dữ liệu ODS với quyền read-only cho: phuong.vu4 ngocvtp local.dremio.camunda.omd.int (tài khoản cho ứng dụng camunda của OMD) omd_superset_internal_01 (tài khoản cho ứng dụng superset internal của OMD)</t>
  </si>
  <si>
    <t>Tạo account database read only cho job kéo dữ liệu</t>
  </si>
  <si>
    <t>2025-06-23T09:40:39.105+0700</t>
  </si>
  <si>
    <t>2025-06-23T11:53:40.532+0700</t>
  </si>
  <si>
    <t>Team cần tạo account database cho job kéo dữ liệu form đăng ký app VinShop Mysql host IP: 172.31.1.44 Database: merchant_service Table xin quyền: customer_contact Quyền:  GRANT SELECT, RELOAD, SHOW DATABASES ON *.* TO &lt;user_name&gt;;</t>
  </si>
  <si>
    <t>[OMC][PS2][Loyalty][PROD] - Thực hiện release sản phẩm theo kế hoạch 21/06/2025</t>
  </si>
  <si>
    <t>2025-06-22T03:11:58.628+0700</t>
  </si>
  <si>
    <t>2025-06-23T14:35:05.431+0700</t>
  </si>
  <si>
    <t>Thực hiện insert data Production cho database loyalty core theo release sản phẩm theo kế hoạch. Link CR:  Nhờ team chạy script này trên PROD env của DB loyalty oracle giúp team Loyalty ạ. IP: 10.255.23.119 Service name: oneloyaltydb Port: 1521 schema app: OLOYALTY</t>
  </si>
  <si>
    <t>[OMC][Loyalty MFT] VCM - Hỗ trợ đội dự án chạy migration cho golive 22/06/2025</t>
  </si>
  <si>
    <t>2025-06-22T00:04:35.161+0700</t>
  </si>
  <si>
    <t>2025-06-23T14:36:46.225+0700</t>
  </si>
  <si>
    <t>Theo kế hoạch release của dự án ( release plan ), do lỗi project migration của dự án đang lỗi, nhờ team DBA hỗ trợ chạy các lệnh DDL giúp theo thông tin bên dưới ạ Thời gian chạy:   0h chủ nhật ngày 22/06/2025 Thông tin database GCP project : vinid-loyalty-prod Instance name : onevoucher Instance IP : 172.31.4.126 Database : onevc_vsm_prod Query 1 ALTER TABLE `sale_history`
    ADD COLUMN `name` varchar(255) NOT NULL,
    ADD COLUMN `name_eng` varchar(255) NOT NULL,
    ADD COLUMN `usage_oneu` TEXT NULL,
    ADD COLUMN `usage_oneu_eng` TEXT NULL,
    ADD COLUMN `sale_thumbnail_url` VARCHAR(512),
    ADD COLUMN `sale_banner_url` VARCHAR(512),
    ADD COLUMN `sale_logo_url` VARCHAR(512),
    ADD COLUMN `cta_title` TEXT NULL,
    ADD COLUMN `cta_title_eng` TEXT NULL,
    ADD COLUMN `cta_link` TEXT NULL,
ALGORITHM=INPLACE, LOCK=NONE; Query 2 ALTER TABLE `sale`
	ADD COLUMN `is_transferable` TINYINT UNSIGNED NULL DEFAULT 0, ALGORITHM=INPLACE, LOCK=NONE; Query 3 CREATE TABLE IF NOT EXISTS ticket_remove_group_request
(
	id                      SERIAL PRIMARY KEY,
	code                    VARCHAR(255) COLLATE utf8mb4_unicode_ci,
	ticket_id   BIGINT UNSIGNED,
	status                  VARCHAR(32) COLLATE utf8mb4_unicode_ci,
	error_code              VARCHAR(32) COLLATE utf8mb4_unicode_ci,
	error_message           VARCHAR(255) COLLATE utf8mb4_unicode_ci,
	created_at              DATETIME(6),
	created_by              VARCHAR(128),
	updated_at              DATETIME(6),
	updated_by              VARCHAR(128),
	deleted                 BOOLEAN NOT NULL DEFAULT FALSE
);
CREATE INDEX idx_ticket_remove_group_req_ticket_id ON ticket_remove_group_request (ticket_id); Query 4 ALTER TABLE `ticket_history`
	ADD COLUMN `related_request_id` BIGINT UNSIGNED, ALGORITHM=INPLACE, LOCK=NONE; Query 5 CREATE TABLE IF NOT EXISTS ticket_transfer_request
(
	id                       SERIAL PRIMARY KEY,
	code                     VARCHAR(255) COLLATE utf8mb4_unicode_ci,
	ticket_id                BIGINT UNSIGNED,
	sender_id                varchar(255) COLLATE utf8mb4_unicode_ci,
	recipient_id             varchar(255) COLLATE utf8mb4_unicode_ci,
	previous_claimed_channel varchar(32),
	current_claimed_channel  varchar(32),
	status                   VARCHAR(32) COLLATE utf8mb4_unicode_ci,
	error_code               VARCHAR(32) COLLATE utf8mb4_unicode_ci,
	error_message            VARCHAR(255) COLLATE utf8mb4_unicode_ci,
	created_at               DATETIME(6),
	created_by               VARCHAR(128),
	updated_at               DATETIME(6),
	updated_by               VARCHAR(128),
	deleted                  BOOLEAN NOT NULL DEFAULT FALSE
);
ALTER TABLE ticket_transfer_request
	ADD INDEX idx_ticket_transfer_req_ticket_id (ticket_id), ALGORITHM=INPLACE, LOCK=NONE;
ALTER TABLE ticket_transfer_request
	ADD INDEX idx_ticket_id_sender_id_previous_claim_channel (ticket_id, sender_id, previous_claimed_channel), ALGORITHM=INPLACE, LOCK=NONE; Query 6 INSERT INTO flyway_schema_history (installed_rank, version, description, `type`, script, checksum, installed_by, installed_on, execution_time, success) 
VALUES
(115, '0115', 'create  ticket revoke request', 'SQL', 'V0115__create__ticket_revoke_request.sql', -675806293, 'onevc_vsm_prod', '2025-04-18 00:11:04', 108, 1),
(116, '0116', 'alter  tb sale', 'SQL', 'V0116__alter__tb_sale.sql', 1393417706, 'onevc_vsm_prod', '2025-04-18 00:11:18', 1977, 1),
(117, '0117', 'alter  tb sale history', 'SQL', 'V0117__alter__tb_sale_history.sql', -1994914348, 'onevc_vsm_prod', '2025-06-22 00:01:00', 1890, 1),
(118, '0119', 'alter  tb sale', 'SQL', 'V0119__alter__tb_sale.sql', -1025632174, 'onevc_vsm_prod', '2025-06-22 00:02:00', 2157, 1),
(119, '0120', 'create  ticket remove group request', 'SQL', 'V0120__create__ticket_remove_group_request.sql', -2004470058, 'onevc_vsm_prod', '2025-06-22 00:03:00', 96, 1),
(120, '0121', 'alter tb ticket history', 'SQL', 'V0121__alter_tb_ticket_history.sql', -8605401, 'onevc_vsm_prod', '2025-06-22 00:04:00', 10781, 1),
(121, '0122', 'create  ticket transfer request', 'SQL', 'V0122__create__ticket_transfer_request.sql', 790499993, 'onevc_vsm_prod', '2025-06-22 00:05:00', 113, 1); Thanks ạ.</t>
  </si>
  <si>
    <t>[Non PROD] Hỗ trợ cập nhật quyền cho user TiDB</t>
  </si>
  <si>
    <t>2025-06-21T11:48:15.531+0700</t>
  </si>
  <si>
    <t>2025-06-21T12:04:18.617+0700</t>
  </si>
  <si>
    <t>Dear anh, Bên em có request 2 user để access vào schema  dp_omc_semantic_omc_bsi_cdp  theo 2 ticket dưới: Read:    Write:  https://vinid-team.atlassian.net/browse/DBASD-7923 User có quyền Write chỉ đang đc grant quyền INSERT, không thể chạy UPDATE vì thiếu quyền Read. Vậy nhờ DBA gộp 2 quyền read/write vào 1 user duy nhất, chỉ maintain 1 user đó và xoá user còn lại ạ Em cảm ơn</t>
  </si>
  <si>
    <t>2025-06-21T11:19:48.531+0700</t>
  </si>
  <si>
    <t>2025-06-21T11:20:12.849+0700</t>
  </si>
  <si>
    <t>Thực hiện insert data Production cho database loyalty core theo release sản phẩm theo kế hoạch. Link CR:    Nhờ team chạy script này trên PROD env của DB loyalty oracle giúp team Loyalty ạ. IP: 10.255.23.119 Service name: oneloyaltydb Port: 1521 schema app: OLOYALTY Giờ thực hiện: có thể chạy trong  giờ hành chính vào sáng ngày 21/06/2025</t>
  </si>
  <si>
    <t>[OMC][Authentication] [Prod] Update lại AppID cho user</t>
  </si>
  <si>
    <t>2025-06-20T22:28:11.912+0700</t>
  </si>
  <si>
    <t>2025-06-20T22:28:20.237+0700</t>
  </si>
  <si>
    <t>Dear team DBA, Nhờ team update lại thông tin AppID của user AuthenSDK mới là  mBTvKSJfjzaLbtZ  cho  tất cả user . Nhờ team thực hiện query: Instance ID:  https://console.cloud.google.com/sql/instances/omc-authentication/overview?authuser=0&amp;inv=1&amp;invt=Ab0Vzw&amp;project=omc-base-platform-prod Database name:  omc_bp_authentication Câu lệnh SQL: Update users_vinid
SET app_id = 'mBTvKSJfjzaLbtZ'
WHERE 1 = 1</t>
  </si>
  <si>
    <t>V/v Review and Sizing Database Instances của OMD ES</t>
  </si>
  <si>
    <t>2025-06-20T17:30:06.490+0700</t>
  </si>
  <si>
    <t>2025-10-10T14:17:56.781+0700</t>
  </si>
  <si>
    <t xml:space="preserve">Team DBA đánh giá và sizing database instance của OMD ES    </t>
  </si>
  <si>
    <t>2025-06-20T16:47:49.325+0700</t>
  </si>
  <si>
    <t>2025-06-20T16:48:08.852+0700</t>
  </si>
  <si>
    <t>Hi anh, nhờ anh chạy giúp em script này ở môi trường PRODUCTION theo thông tin dưới đây ạ: Thời gian chạy script: chạy luôn trong giờ, sau khi ticket được approve Thông tin database saas_tpay: mysql://pay-tidb.int.onemount.com:4000/saas_tpay Em gửi script ạ UPDATE TCB_DEVICE SET warranty_expired_at = '2026-06-14 00:00:00.000' WHERE device_serial_number IN (
    '38250523304926',
    '38250523304927',
    '38250523304928',
    '38250523304929',
    '38250523304930',
    '38250523304931',
    '38250523304932',
    '38250523304933',
    '38250523304934',
    '38250523304935',
    '38250523304936',
    '38250523304937',
    '38250523304938',
    '38250523304939',
    '38250523304941',
    '38250523304942',
    '38250523304943',
    '38250523304945',
    '38250523304946',
    '38250523312905',
    '38250523312904',
    '38250523312903',
    '38250523312902',
    '38250523312901',
    '38250523312906',
    '38250523312907',
    '38250523312908',
    '38250523312909',
    '38250523312910',
    '38250523312915',
    '38250523312914',
    '38250523312913',
    '38250523312912',
    '38250523312911',
    '38250523312916',
    '38250523312917',
    '38250523312918',
    '38250523312919',
    '38250523312920',
    '38250523312923',
    '38250523312922',
    '38250523312921',
    '38250523314630',
    '38250523314629',
    '38250523314628',
    '38250523314627',
    '38250523314626',
    '38250523314631',
    '38250523314632',
    '38250523314633',
    '38250523314634',
    '38250523314635',
    '38250523314640',
    '38250523314639',
    '38250523314638',
    '38250523314637',
    '38250523314636',
    '38250523314641',
    '38250523314642',
    '38250523314643',
    '38250523314644',
    '38250523314645',
    '38250523314650',
    '38250523314649',
    '38250523314648',
    '38250523314647',
    '38250523314646'
);
UPDATE SOUNDBOX_DEVICE_MAPPING SET handover_at = '2025-06-15 00:00:00.000'
WHERE DEVICE_ID IN (
    SELECT DEVICE_ID
    FROM TCB_DEVICE
    WHERE device_serial_number IN (
        '38250523304926',
        '38250523304927',
        '38250523304928',
        '38250523304929',
        '38250523304930',
        '38250523304931',
        '38250523304932',
        '38250523304933',
        '38250523304934',
        '38250523304935',
        '38250523304936',
        '38250523304937',
        '38250523304938',
        '38250523304939',
        '38250523304941',
        '38250523304942',
        '38250523304943',
        '38250523304945',
        '38250523304946',
        '38250523312905',
        '38250523312904',
        '38250523312903',
        '38250523312902',
        '38250523312901',
        '38250523312906',
        '38250523312907',
        '38250523312908',
        '38250523312909',
        '38250523312910',
        '38250523312915',
        '38250523312914',
        '38250523312913',
        '38250523312912',
        '38250523312911',
        '38250523312916',
        '38250523312917',
        '38250523312918',
        '38250523312919',
        '38250523312920',
        '38250523312923',
        '38250523312922',
        '38250523312921',
        '38250523314630',
        '38250523314629',
        '38250523314628',
        '38250523314627',
        '38250523314626',
        '38250523314631',
        '38250523314632',
        '38250523314633',
        '38250523314634',
        '38250523314635',
        '38250523314640',
        '38250523314639',
        '38250523314638',
        '38250523314637',
        '38250523314636',
        '38250523314641',
        '38250523314642',
        '38250523314643',
        '38250523314644',
        '38250523314645',
        '38250523314650',
        '38250523314649',
        '38250523314648',
        '38250523314647',
        '38250523314646'
    )
);</t>
  </si>
  <si>
    <t>[VINIDPAY][PS2][GL] add thêm column</t>
  </si>
  <si>
    <t>2025-06-20T16:29:19.697+0700</t>
  </si>
  <si>
    <t>2025-06-20T16:29:25.506+0700</t>
  </si>
  <si>
    <t xml:space="preserve">Hi các anh DBA, Vào lúc 23h ngay 20/06/2025 team em có relelease tính năng mới cho GL, nhờ các anh chạy giúp em câu tạo cột với , Em gửi thông tin DB :  jdbc:mysql://tidb.int.onemount.com:4000/vinpay_vinpay_prod_saas_ps2_general_ledger Thanks các anh, alter table general_ledger_cost_earning_detail add ticket_id varchar(128) null after txn_source;
alter table general_ledger_cost_earning_detail_his add ticket_id varchar(128) null after txn_source; Link CR :   </t>
  </si>
  <si>
    <t>2025-06-20T15:38:37.777+0700</t>
  </si>
  <si>
    <t>2025-06-20T15:39:10.510+0700</t>
  </si>
  <si>
    <t>Description Dear team DBA, để phục vụ việc hủy gán thiết bị cho khách hàng nhờ team run script SQL theo file đính kèm phía dưới với thông tin cụ thể như sau: Thời gian chạy script: sau khi được approve Thông tin database  saas_tpay: mysql://pay-tidb.int.onemount.com:4000/saas_tpay DELETE FROM TCB_DEVICE WHERE device_serial_number = 'V9E0719217';
DELETE FROM TCB_DEVICE_HISTORY WHERE device_serial_number = 'V9E0719217';
DELETE FROM SMARTPOS_DEVICE_MAPPING WHERE device_serial_number = 'V9E0719217';
DELETE FROM SMARTPOS_DEVICE_MAPPING_HISTORY WHERE device_serial_number = 'V9E0719217';</t>
  </si>
  <si>
    <t>2025-06-20T11:26:57.775+0700</t>
  </si>
  <si>
    <t>2025-06-23T09:54:58.339+0700</t>
  </si>
  <si>
    <t>Nhờ anh thực hiện script sau giúp em: Script: UPDATE mtp_campaign_content SET display_content = null WHERE owner_id in (8456, 8455, 8454, 8453); IP:  172.31.3.49:5432 DB:  mtp_campaign_management</t>
  </si>
  <si>
    <t xml:space="preserve">[VINIDPAY] Tác động database Tpay - remove device </t>
  </si>
  <si>
    <t>2025-06-20T10:58:18.633+0700</t>
  </si>
  <si>
    <t>2025-06-20T10:58:43.059+0700</t>
  </si>
  <si>
    <t>Hi anh, nhờ anh chạy giúp em script này ở môi trường PRODUCTION theo thông tin dưới đây ạ: Thời gian chạy script: Khi ticket được approval  Thông tin database saas_tpay:  mysql://pay-tidb.int.onemount.com:4000/saas_tpay SOUNDBOX_DEVICE_SALES DELETE FROM SOUNDBOX_DEVICE_SALES WHERE device_id = (SELECT device_id FROM TCB_DEVICE WHERE device_serial_number = '38250523317817');
DELETE FROM SOUNDBOX_DEVICE_SALES WHERE device_id = (SELECT device_id FROM TCB_DEVICE WHERE device_serial_number = '38250523317822');
DELETE FROM SOUNDBOX_DEVICE_SALES WHERE device_id = (SELECT device_id FROM TCB_DEVICE WHERE device_serial_number = '38250523319450'); SOUNDBOX_DEVICE_MAPPING DELETE FROM SOUNDBOX_DEVICE_MAPPING WHERE device_id = (SELECT device_id FROM TCB_DEVICE WHERE device_serial_number = '38250523317817');
DELETE FROM SOUNDBOX_DEVICE_MAPPING WHERE device_id = (SELECT device_id FROM TCB_DEVICE WHERE device_serial_number = '38250523317822');
DELETE FROM SOUNDBOX_DEVICE_MAPPING WHERE device_id = (SELECT device_id FROM TCB_DEVICE WHERE device_serial_number = '38250523319450'); TCB_DEVICE_HISTORY DELETE FROM TCB_DEVICE_HISTORY WHERE device_id = (SELECT device_id FROM TCB_DEVICE WHERE device_serial_number = '38250523317817');
DELETE FROM TCB_DEVICE_HISTORY WHERE device_id = (SELECT device_id FROM TCB_DEVICE WHERE device_serial_number = '38250523317822');
DELETE FROM TCB_DEVICE_HISTORY WHERE device_id = (SELECT device_id FROM TCB_DEVICE WHERE device_serial_number = '38250523319450'); TCB_DEVICE DELETE FROM TCB_DEVICE WHERE device_serial_number = '38250523317817';
DELETE FROM TCB_DEVICE WHERE device_serial_number = '38250523317822';
DELETE FROM TCB_DEVICE WHERE device_serial_number = '38250523319450';</t>
  </si>
  <si>
    <t>[OMC][MTP] Dừng dịch vụ Mongo Atlas</t>
  </si>
  <si>
    <t>2025-06-20T00:10:39.451+0700</t>
  </si>
  <si>
    <t>2025-06-20T00:14:04.211+0700</t>
  </si>
  <si>
    <t>realtime-reports</t>
  </si>
  <si>
    <t>Dear anh  @Phạm Tuấn Linh  , do không còn nhu cầu sử dụng Mongo Atlas nữa. Nhờ anh off giúp em instance  OMC-MTP-Realtime-Report-PROD  với ạ. Planning:    CR:    Best regards Dinh Quang Nguyen</t>
  </si>
  <si>
    <t>2025-06-19T23:02:56.428+0700</t>
  </si>
  <si>
    <t>2025-06-19T23:10:36.752+0700</t>
  </si>
  <si>
    <t xml:space="preserve">Nhờ anh   @Trần Trương Dương  chạy giúp em lệnh sau ạ: Thông tin db:  https://gitlab.id.vin/vinticket/ticketing-services IP:  172.31.1.3 DB name : vinticket SQL: ALTER TABLE `events`
	ADD COLUMN `is_tcb_only` boolean DEFAULT false; CR :    Release plan :   </t>
  </si>
  <si>
    <t>[OMC][PS2][Loyalty][PROD] - Thực hiện insert data yêu cầu chạy Campaign của TCB 19-06-2025</t>
  </si>
  <si>
    <t>2025-06-19T22:47:10.851+0700</t>
  </si>
  <si>
    <t>2025-06-20T09:34:59.940+0700</t>
  </si>
  <si>
    <t>Thực hiện insert data Production cho database loyalty core theo yều từ TCB, mục đích Hỗ trợ triển khai chương trình "Sinh lời trúng lớn" Nhờ team chạy script này trên PROD env của DB loyalty oracle giúp team Loyalty ạ. IP: 10.255.23.119 Service name: oneloyaltydb Port: 1521 schema app: OLOYALTY Link CR:    Thời gian thực hiện:  22h ngày 19/06/2025</t>
  </si>
  <si>
    <t>[OMC][MTP] Clear dữ liệu OMC TiDB 04/2025</t>
  </si>
  <si>
    <t>2025-06-19T22:05:20.723+0700</t>
  </si>
  <si>
    <t>2025-06-19T23:38:33.425+0700</t>
  </si>
  <si>
    <t>Dear anh  @Trần Trương Dương  , follow theo rule lưu trữ dữ liệu của MTP. Nhờ anh xoá giúp em dữ liệu tháng 04/2025 trên OMC TiDB giúp em với ạ. URI:  omc-mtp-tidb.int.onemount.com -- OMC
ALTER TABLE omc_mtp_tracking_events.mtp_tracking_events_omc DROP PARTITION p20250401;
ALTER TABLE omc_mtp_tracking_events.mtp_tracking_events_omc DROP PARTITION p20250402;
ALTER TABLE omc_mtp_tracking_events.mtp_tracking_event_sessions DROP PARTITION p2025_04;
ALTER TABLE omc_mtp_martech_activation.mtp_ads_events DROP PARTITION p2025_04;
ALTER TABLE omc_mtp_martech_activation.mtp_push_events DROP PARTITION p2025_04;
ALTER TABLE omc_mtp_martech_activation.mtp_tracking_email_events DROP PARTITION p2025_04;
ALTER TABLE omc_mtp_martech_activation.mtp_tracking_email_notifications DROP PARTITION p2025_04;
ALTER TABLE omc_mtp_martech_activation.mtp_tracking_fcm_messages DROP PARTITION p2025_04;
ALTER TABLE omc_mtp_martech_activation.mtp_tracking_push_notifications DROP PARTITION p2025_04;
-- OMRE
ALTER TABLE omre_mtp_tracking_events.mtp_tracking_events_omre drop partition p20250401;
ALTER TABLE omre_mtp_tracking_events.mtp_tracking_events_omre drop partition p20250402; Planning:  CR:  Best regards Dinh Quang Nguyen</t>
  </si>
  <si>
    <t>[PROD] Update migration SQL</t>
  </si>
  <si>
    <t>2025-06-19T22:04:26.594+0700</t>
  </si>
  <si>
    <t>2025-06-19T22:53:51.396+0700</t>
  </si>
  <si>
    <t>Nhờ các anh DBA hỗ trợ chạy các script dưới đây: Database  ecom_configuration  (IP: 172.31.4.9) Backup: Bảng  merchant_payment_configs Chạy script: Migrate sub_service_code UPDATE merchant_payment_configs t1
JOIN merchant_payment_configs t2 ON t2.id = t1.id
SET t1.sub_service_code = CONCAT('VOUCHER_', CONV(REVERSE(SUBSTRING(t2.sub_service_code, 9, LENGTH(t2.sub_service_code))), 2, 10))
WHERE t1.sub_service_code like ('VOUCHER_%') and 
t1.sub_service_code not in ('VOUCHER_UT', 'VOUCHER_OMC_UT'); Update loyalty_service_code: update merchant_payment_configs set loyalty_service_code = 'VOUCHER_REDEMPTION'
 where sub_service_code in ('VOUCHER_64', 'VOUCHER_98', 'VOUCHER_96'); Database  vincart_mm_product  (IP: 173.31.41) Backup bảng  entity_attribute_values Note: Chạy khi có yêu cầu.</t>
  </si>
  <si>
    <t>[Prod] Migrate cột mới cho service topup</t>
  </si>
  <si>
    <t>2025-06-19T21:55:38.972+0700</t>
  </si>
  <si>
    <t>2025-06-20T00:11:16.853+0700</t>
  </si>
  <si>
    <t>Dear anh Dương, Team OneU golive tính năng mới bổ sung thông tin địa chỉ và tên khách hàng theo nghị định 70, cần migrate thêm cột dự liệu, nhờ các anh hỗ trợ chạy script tạo cột giúp team với ạ Em cảm ơn. Project: vinid-topup-prod private ip: 172.31.1.197 SQL script: ALTER TABLE orders
    ADD COLUMN buyer_name VARCHAR(200),
    ADD COLUMN buyer_address VARCHAR(500); Thời gian thực hiện 22h ngày 19/06/2025</t>
  </si>
  <si>
    <t>[OMD][WES] Hỗ trợ cập nhật dữ liệu trạng thái bản ghi HO/TG cho kho 8115</t>
  </si>
  <si>
    <t>2025-06-19T17:01:53.281+0700</t>
  </si>
  <si>
    <t>2025-06-20T00:15:06.166+0700</t>
  </si>
  <si>
    <t>Hi DBA team, Hiện tại có 1 số bản ghi trong Database bị lỗi không cập nhật  Trạng thái  Yêu cầu xuất hàng (HO) và công việc xuất hàng (TG) tương ứng, nhờ team DBA hỗ trợ cập nhật giá trị theo thông tin dưới đây. Số lượng bản ghi nhiều, nên nhờ DBA update vào khoảng thời gian thấp điểm (Tương tự như lúc tạo kho) để tránh ảnh hưởng performance của kho. Project : vinid-b2b-platform-prod Instance/IP : main (read-write): 172.31.1.143 Port : 3306 Database : wes_8115 Query UPDATE host_order_line hol
    JOIN host_order ho on ho.id = hol.host_order_id
    JOIN work_task_info wti on wti.host_order_id = ho.id
    JOIN task t on t.id = wti.task_id
    JOIN host_wave hw on hw.id = ho.host_wave_id
SET
    t.last_modified_date = utc_timestamp,
    hol.last_modified_date = utc_timestamp
where ho.id in (2625, 2612, 2580, 2578, 2544, 2540, 2538, 2510, 2488, 2483, 2455, 2451, 2105, 2087, 1899, 1885, 1576); Câu query đánh giá là an toàn nên có thể thực hiện cập nhật bất kỳ lúc nào mà không ảnh hưởng đến vận hành hệ thống.</t>
  </si>
  <si>
    <t>[Salestools][Prod] Export dữ liệu làm báo báo luồng uỷ quyền đặt hộ</t>
  </si>
  <si>
    <t>2025-06-19T14:11:34.478+0700</t>
  </si>
  <si>
    <t>2025-06-19T15:04:27.666+0700</t>
  </si>
  <si>
    <t>Team cần export dữ liệu này qua file excel hoặc google sheet để làm báo cáo. Nhờ team DBA hỗ trợ SELECT merchant_code, enable_authorize, authorized, group_code_mp, group_code_1seal, created_by, updated_by, created_at, updated_at FROM gts_services WHERE deleted_at is NULL</t>
  </si>
  <si>
    <t>2025-06-19T11:57:54.613+0700</t>
  </si>
  <si>
    <t>2025-06-19T11:58:04.199+0700</t>
  </si>
  <si>
    <t>Dear team DBA, Theo thread trao đổi: https://chat.google.com/room/AAAAVcZUwpc/dsqUpr9o8LE/dsqUpr9o8LE?cls=10 Nhờ team update lại thông tin AppID của user của  @Nguyễn Thị Quỳnh  để test tiếp luồng đã golive. Hiện tại user này đang lưu AppID là  DaFpLSjFbcXoEFf  của App VinID cũ cần update theo AuthenSDK mới là  mBTvKSJfjzaLbtZ Nhờ team thực hiện query: Instance ID:  https://console.cloud.google.com/sql/instances/omc-authentication/overview?authuser=0&amp;inv=1&amp;invt=Ab0Vzw&amp;project=omc-base-platform-prod Database name:  omc_bp_authentication Câu lệnh SQL: Update users_vinid
SET app_id = 'mBTvKSJfjzaLbtZ'
WHERE id = 419800
and app_id = 'DaFpLSjFbcXoEFf'</t>
  </si>
  <si>
    <t>[OMRE] Update data config Production thêm ctkd</t>
  </si>
  <si>
    <t>2025-06-19T11:41:40.644+0700</t>
  </si>
  <si>
    <t>2025-06-19T14:16:19.660+0700</t>
  </si>
  <si>
    <t xml:space="preserve">Dear các anh. Nhờ các anh chạy giúp câu lệnh sql trên prod giúp em. insert into opportunity_campaigns (code, name, description, display)
values ('C250601139', 'CBNV HST 6% 150425', '', 1);
insert into `opportunity_campaigns_applying_targets` (campaign_code, target, value, description, create_time, update_time)
values ('C250601139', 'organization_code', '101', 'AGENT in house can see this campaign', now(), now()); link CR:   </t>
  </si>
  <si>
    <t>CLONE - [Dremio] Xin phân quyền truy cập vào database</t>
  </si>
  <si>
    <t>2025-06-18T17:54:22.587+0700</t>
  </si>
  <si>
    <t>2025-06-18T17:54:35.148+0700</t>
  </si>
  <si>
    <t>Dear anh chị, Liên quan đến nghiệp vụ chuyển API send Email từ V1 lên v2 em xin phép truy cập vào các DB sau với mục địch select và kiểm tra dữ liệu các templateId. 1: database: tidb_ods, schema: saas_tpay 2: 172.31.4.103:3306/auth_om 3:  vinpay-sql-saas-master.int.vinid.net:3306/saas_maker_checker Đây là các db liên quan tới nghiệp vụ này ạ. Link Release Plan/Plan : https://vinid-team.atlassian.net/browse/PB-25682 Em cảm ơn rất nhiều ạ.</t>
  </si>
  <si>
    <t>[BO] Kéo dữ liệu về ODS cho dự án Back Office</t>
  </si>
  <si>
    <t>2025-06-18T17:13:41.835+0700</t>
  </si>
  <si>
    <t>2025-06-18T17:13:48.790+0700</t>
  </si>
  <si>
    <t>Hi a Dũng Nhờ a kéo data từ nguồn về ODS để chạy luồng xuất nhập kho của back office Thông tin nguồn:  topup  - Database:  topup_uat Các bảng cần kéo:  orders, order_topup_item, order_transaction, topup_items, topup_product Thông tin database Non-Prod IP: 172.31.0.68 Database: omc_vinid_app_common_dev_main_topup_uat Project: vinid-app-common-dev</t>
  </si>
  <si>
    <t>2025-06-18T16:01:52.218+0700</t>
  </si>
  <si>
    <t>2025-06-18T16:02:08.799+0700</t>
  </si>
  <si>
    <t>Dear team DBA, Để thêm quyền ở  module SalesTools_HrmIncentives cho nhờ team DBA support thực hiện câu SQL query sau: instance:   https://console.cloud.google.com/sql/instances/common/overview?authuser=1&amp;hl=en&amp;inv=1&amp;invt=Ab0bnA&amp;project=vinid-service-platform-prod Dbname: admin_service SQL Query  INSERT INTO permission (module, name, code, new_code, new_name, module_id)
VALUES ('SalesTools_HrmIncentives', 'Create', 1001, 1001, 'Create', @module_id),
       ('SalesTools_HrmIncentives', 'Edit', 1002, 1002, 'Edit', @module_id),
       ('SalesTools_HrmIncentives', 'Delete', 1003, 1003, 'Delete', @module_id),
       ('SalesTools_HrmIncentives', 'Export', 1006, 1006, 'Export', @module_id);</t>
  </si>
  <si>
    <t>[VINPAY][PROD][Sync-Data] Tắt cấu hình whitelist partner_id luồng Sync Data</t>
  </si>
  <si>
    <t>2025-06-18T15:08:12.681+0700</t>
  </si>
  <si>
    <t>2025-06-18T15:08:18.470+0700</t>
  </si>
  <si>
    <t>Hi team, Do nhu cầu nghiệp vụ, nhờ các anh DBA chạy giúp em lệnh bên dưới để tắt whitelist partner luồng Sync Data Thông tin db:  tidb.int.onemount.com:4000 Script:  UPDATE SYSTEM_CONFIGURATION SET  IS_ACTIVE = 0  WHERE SYSTEM_PARAM_CODE= 'SYNC_DATA_IGNORE_PARTER_ID';</t>
  </si>
  <si>
    <t>Xin quyền update bảng linkages trên DB: 172.31.7.11</t>
  </si>
  <si>
    <t>2025-06-18T14:49:39.477+0700</t>
  </si>
  <si>
    <t>2025-06-18T17:24:47.616+0700</t>
  </si>
  <si>
    <t>Nhờ team DBA add quyền update giúp account của các thành viên trong team247 (DBA đã có group member) trên  bảng linkages ở DB: 172.31.7.11 với nhé Sếp Nhật, sếp Hoàng approval giúp với nhé</t>
  </si>
  <si>
    <t>[OPS][admin_service][PROD] Tạo Tài khoản quyền read only trên db admin_service</t>
  </si>
  <si>
    <t>2025-06-18T14:40:17.919+0700</t>
  </si>
  <si>
    <t>2025-06-18T14:40:34.777+0700</t>
  </si>
  <si>
    <t>Để tiện hỗ trợ các issue trên production của domain OPS . Dev team mong muốn tạo ra 1 tài khoản readonly trên database  admin_service  để tiện xử lý các issuse liên quan  Thông tin database: Instance ID:  https://console.cloud.google.com/sql/instances/common/overview?authuser=1&amp;hl=en&amp;inv=1&amp;invt=Ab0azg&amp;project=vinid-service-platform-prod Database name:  admin_service username:  admin_service_read read all tables trong các database thuộc Host này</t>
  </si>
  <si>
    <t>[OMC][Link Account] [Prod] Thực hiện inactive thông tin Link Account cho tài khoản thay đổi số điện thoại</t>
  </si>
  <si>
    <t>2025-06-18T09:55:23.068+0700</t>
  </si>
  <si>
    <t>2025-06-18T09:55:29.699+0700</t>
  </si>
  <si>
    <t>Dear team DBA, Theo thread trao đổi: https://chat.google.com/room/AAAAbcTWvJQ/W0l2clLDVn8/W0l2clLDVn8?cls=10 Hiện user bị gãy luồng, nên team cần thực hiện update record để đảm bảo luồng của user KH đã ấn ở bên app TCB rồi nhưng bị báo liên kết ko thành công. 
Trước đó KH có làm thủ tục thay đổi SĐT bên bank. Nhờ team thực hiện query: Instance ID:  https://console.cloud.google.com/sql/instances/postgres-01/overview?authuser=1&amp;project=vinid-service-platform-prod Database name:  sp_postgres_link_account Câu lệnh SQL: UPDATE linkages SET active = false
WHERE partner_customer_id = '1009664295'</t>
  </si>
  <si>
    <t>[VINPAY][PGW] Bổ sung config bật nguồn tiền TCB Account cho luồng cồng thanh toán</t>
  </si>
  <si>
    <t>2025-06-18T09:53:38.320+0700</t>
  </si>
  <si>
    <t>2025-06-18T09:53:46.301+0700</t>
  </si>
  <si>
    <t>Hi team, Nhờ các anh chạy giúp em script insert bên dưới để bổ sung cấu hình nguồn tiền TCB Account cho luồng cổng thanh toán. Thông tin DB  172.31.1.148:3306/pay_payment_gateway Script:</t>
  </si>
  <si>
    <t>[OMRE][NON-PROD][CBP] Request database cho service mới</t>
  </si>
  <si>
    <t>2025-06-17T21:50:55.074+0700</t>
  </si>
  <si>
    <t>2025-07-07T10:06:28.631+0700</t>
  </si>
  <si>
    <t>Repo:  https://gitlab.id.vin/1housing/cbp/apply/backend/collab SAD:    Em chào anh chị, Anh chị tạo giúp em database cho môi trường non-prod cho service này giúp em với ạ.  Tên database:  omre_cbp_collab_core_dev omre_cbp_collab_core_uat omre_cbp_collab_core_qc</t>
  </si>
  <si>
    <t>[OMC][OneU][PROD] Hỗ trợ chạy lệnh sql off các entry point ví trong màn tiện ích</t>
  </si>
  <si>
    <t>2025-06-17T21:47:18.920+0700</t>
  </si>
  <si>
    <t>2025-06-17T22:02:12.513+0700</t>
  </si>
  <si>
    <t>Dear anh Dương, Nhờ anh chạy giúp team câu lệnh sql với các thông tin dưới đây ạ Project: vinid-service-platform-prod
Ip: 172.31.4.55
Database: customer_engagement
Thời gian thực hiện: 22h ngày 17/06/2025 Các bước thực hiện Backup table: cp_plugin_template Chạy câu lệnh update dưới đây START TRANSACTION;
UPDATE cp_plugin_template
SET status = 0
WHERE id in (3, 5, 6, 9, 71, 72, 73, 74, 75, 77, 78, 79, 80, 81, 82, 83, 84, 86, 87, 113);
COMMIT; Em cảm ơn anh</t>
  </si>
  <si>
    <t>Cập nhật thông tin bản ghi các SO cho kho 8186</t>
  </si>
  <si>
    <t>2025-06-17T18:44:45.702+0700</t>
  </si>
  <si>
    <t>2025-06-17T18:52:12.856+0700</t>
  </si>
  <si>
    <t>Hi DBA team, Hiện tại có 1 bản ghi trong Database bị lỗi code logic nên bị cập nhật sai trạng thái, nhờ team DBA hỗ trợ cập nhật giá trị theo thông tin dưới đây. Project : vinid-b2b-platform-prod Instance/IP : main (read-write): 172.31.4.59 Port : 3306 Database : omd_wms_8186 Query UPDATE order_hdr oh
    JOIN order_item oi on oi.order_hdr_id = oh.order_hdr_id
SET
    oh.order_status = 'NEW',
    oi.item_status = 'NEW',
    oi.allocated_qty = 0,
    oi.planned_qty = 0
where oh.order_number in ('22565709750101','70167428270101','61038601660101','76052388510101',
                          '43802263750101','45634751200101','20912800240101','88284901050101',
                          '43972562090101','66229295420101','55813334230101','99058796570101',
                          '59854013470101','37629426250101','96244330000201','56702243360201',
                          '68215973800101','74081602600101','98582201380101','95074283730301',
                          '66129158400101','31753305250101','92927847640101','33408690760101',
                          '86502729440101','54516504270101','56810304230101','68554456380101',
                          '75903586720301','67120215230201','33171432240101','91351252770101',
                          '30500239220201','71665175600101','77217948030101','22737468420101',
                          '60142480310101','20502740810101','90893861720101','86470574570101',
                          '31275747090101','70668992090101','89908029210201','43031883060101',
                          '89071250660101','63189473870101','82447576570101','82113219740101',
                          '37741006670101','86634005990101','39792337430101','34755826430101',
                          '35044070930101','80810501580101','94763770810101','92587023160101',
                          '59218558460101','43087918980101','49554276970101','80514301630101',
                          '90507033970101','59125833650101','38376673480101','76433090600101',
                          '64766972110101','47707929940101','61768104120101','90131687200101',
                          '54766988980101','56208470110101','36259751430101','22076127140101',
                          '28141883770201','79166000210101','38381570180101','56023125620101',
                          '49814092280201','67823303580201','68895358000101','64192530980101',
                          '68779397820201','31945967000101','60361076770101','41178138590101',
                          '24925515080101','90344118510101','63290130790101','98882556770101',
                          '23639949850101','99256586760101')
and oh.main_instruction_type = 'SO';</t>
  </si>
  <si>
    <t>[OMC][GAMI][PS2][Prod] Hỗ trợ xuất báo cáo vé tuần cho campaign Spin to Win tuần 8</t>
  </si>
  <si>
    <t>2025-06-17T17:30:49.737+0700</t>
  </si>
  <si>
    <t>2025-06-17T17:31:46.177+0700</t>
  </si>
  <si>
    <t>Hỗ trợ xuất báo cáo vé tuần cho campaign Spin to Win tuần 8 Host:  172.31.4.75 Db:  promo_gamezone Query: SELECT SUM(claim_amount) FROM `rule_logs` WHERE campaign_id = 41 &amp;&amp; reward_type='TURN' &amp;&amp; `status` = 'SUCCESS';
SELECT COUNT(DISTINCT(user_id)) FROM `rule_logs` WHERE campaign_id = 41 &amp;&amp; reward_type='TURN' &amp;&amp; `status` = 'SUCCESS';</t>
  </si>
  <si>
    <t>V/v xin quyền truy cập data xuất hóa đơn của đơn hàng</t>
  </si>
  <si>
    <t>2025-06-17T16:52:59.496+0700</t>
  </si>
  <si>
    <t>2025-06-17T16:53:05.588+0700</t>
  </si>
  <si>
    <t>Dear các sếp, Team QLRR có nhu cầu truy cập thông tin xuất hóa đơn của đơn hàng (CCCD,…) để chạy 1 số tool phòng chống rủi ro Nghị định 70, nhờ các sếp hỗ trợ phân quyền vào bảng dưới với ạ. "tidb_ods"."omd_vinid_b2b_platform_prod_b2b_commerce_b2b_oms_prod".VatInfo</t>
  </si>
  <si>
    <t>[OMC][Loyalty MFT] VCM - Cập nhật cấu hình hết hạn của kho và thông tin TnC của ticket</t>
  </si>
  <si>
    <t>2025-06-17T15:21:04.865+0700</t>
  </si>
  <si>
    <t>2025-06-17T18:50:12.358+0700</t>
  </si>
  <si>
    <t>Theo yêu cầu từ phía đội vận hành CR     , cần cập nhật dữ liệu trong database của voucher, nhờ team hỗ trợ với ạ. Thông tin database - GCP project  vinid-loyalty-prod
- Instance name : onevoucher
- Instance IP : 172.31.4.126
- Database : 
   + onevc_vsm_prod
   + onevc_vwm_prod Script SH_65583_warehouse.sql  chạy cho DB  onevc_vwm_prod SH_65583_ticket_tnc.sql  chạy cho DB  onevc_vsm_prod</t>
  </si>
  <si>
    <t>[OMC][OneU][PROD] Chạy câu lệnh SQL</t>
  </si>
  <si>
    <t>2025-06-17T14:32:50.604+0700</t>
  </si>
  <si>
    <t>2025-06-18T09:54:16.239+0700</t>
  </si>
  <si>
    <t>Dear anh Dương, Nhờ anh hỗ trợ team chạy câu lệnh SQL với các thông tin dưới đây ạ Project: vincart-prod
IP: 172.31.1.41
DB name: booking_transportation Câu lệnh SQL: START TRANSACTION;
UPDATE `trips`
SET `status` = 'FINISHED', `previous_status` = 'JOURNEY'
WHERE `id` = 46561;
COMMIT;</t>
  </si>
  <si>
    <t>2025-06-17T14:18:28.913+0700</t>
  </si>
  <si>
    <t>2025-06-18T17:28:25.006+0700</t>
  </si>
  <si>
    <t>Dear anh Linh, Phục vụ đồng bộ các luồng Prod xuống Non-prod. Nhờ anh tạo kafka topic cho bảng sau: DB type:  Oracle IP:  10.255.128.90:1521 Tables:  OLOYALTY.CUSTOMER_PROFILE Em cảm ơn ạ.</t>
  </si>
  <si>
    <t>[TPAY][NON-PROD] Tạo tài khoản SFTP cho merchant EDUVATOR lấy file báo cáo đối soát</t>
  </si>
  <si>
    <t>2025-06-17T11:23:09.518+0700</t>
  </si>
  <si>
    <t>2025-06-17T11:23:21.222+0700</t>
  </si>
  <si>
    <t>Dự án Tpay cần cấp tài khoản và 1 thư mục con trong thư mục trong thư mục tpay dành cho đối tác EDUVATOR để đọc file từ sFTP server. Thông tin sFTP server cần kết nối đến: Non-prod:  35.229.130.107:2022 Nhờ team support tạo server và cấp account cho dự án. Em tên thư mục và folder ạ. Account: eduvator Folder: eduvator</t>
  </si>
  <si>
    <t>[Dify] Hỗ trợ clear data plugin</t>
  </si>
  <si>
    <t>2025-06-17T11:09:18.337+0700</t>
  </si>
  <si>
    <t>2025-06-17T11:09:37.837+0700</t>
  </si>
  <si>
    <t>Hi DBA team Nhờ các a hỗ trợ clear data plugin của dify để team setup lại plugin khi nâng câp version dify Script: delete from tool_installations where plugin_unique_identifier is not null; delete from plugin_installations where plugin_unique_identifier is not null; delete from plugin_declarations where plugin_unique_identifier is not null; delete from ai_model_installations where plugin_unique_identifier is not null; delete from plugins where plugin_unique_identifier is not null;</t>
  </si>
  <si>
    <t>[Dify] Clear data Redis</t>
  </si>
  <si>
    <t>2025-06-17T11:08:48.649+0700</t>
  </si>
  <si>
    <t>2025-06-17T11:09:48.869+0700</t>
  </si>
  <si>
    <t>Dear DBA team Nhờ các a clear hết data cache trên redis. mục đích: xóa dữ liệu cache để Reinstall lại các plugin IP: 172.31.0.251 Instance: om-dify</t>
  </si>
  <si>
    <t>[Vinpay][PROD][Ecom] Script release golive 15/06/2025</t>
  </si>
  <si>
    <t>2025-06-16T13:50:25.578+0700</t>
  </si>
  <si>
    <t>2025-06-16T13:50:31.612+0700</t>
  </si>
  <si>
    <t>Hi anh 23h59 ngày 14/06/2025 , team có release golive, nhờ anh chạy các script giúp em với nha ạ Thông tin database  saas_tpay: mysql://pay-tidb.int.onemount.com:4000/saas_tpay</t>
  </si>
  <si>
    <t>2025-06-16T13:48:02.216+0700</t>
  </si>
  <si>
    <t>2025-06-16T13:48:12.712+0700</t>
  </si>
  <si>
    <t>Hi anh, nhờ anh chạy giúp em script này ở môi trường PRODUCTION theo thông tin dưới đây ạ: Thời gian chạy script: Vào lúc  23h59p ngày 14/06/2025  (0h00p ngày 15/06/2025 - tối thứ 7 rạng sáng Chủ nhật) -  Khi team thông báo   Thông tin database saas_tpay: mysql://pay-tidb.int.onemount.com:4000/saas_tpay Em gửi script ạ Update bảng SOUNDBOX_NOTIFICATION alter table SOUNDBOX_NOTIFICATION add column connector_received_at timestamp(3) null; 
alter table SOUNDBOX_NOTIFICATION add column tcb_merchant_id varchar(15) null; 
alter table SOUNDBOX_NOTIFICATION add column tcb_store_id varchar(15) null; 
alter table SOUNDBOX_NOTIFICATION add column tcb_terminal_id varchar(15) null; 
alter table SOUNDBOX_NOTIFICATION add column customer_name varchar(255) null; 
alter table SOUNDBOX_NOTIFICATION add column store_name varchar(256) null; 
alter table SOUNDBOX_NOTIFICATION add column qr_store varchar(64) null; 
alter table SOUNDBOX_NOTIFICATION add column branch_code varchar(64) null; 
alter table SOUNDBOX_NOTIFICATION add column error_message varchar(500) null; 
alter table SOUNDBOX_NOTIFICATION add column transaction_date VARCHAR(20) GENERATED ALWAYS AS (`message_data` -&gt;&gt; '$.datetime');
alter table SOUNDBOX_NOTIFICATION add index idx_message_id (message_id);
alter table SOUNDBOX_NOTIFICATION add index idx_transaction_id_updated_at (transaction_id, updated_at);
alter table SOUNDBOX_NOTIFICATION add index idx_transaction_date (transaction_date);
alter table SOUNDBOX_NOTIFICATION add index idx_branch_code (branch_code);
UPDATE SOUNDBOX_NOTIFICATION 
SET transaction_id = REGEXP_REPLACE(message_id, '[|_][0-9]+$', '') 
WHERE transaction_id IS NULL AND message_id IS NOT NULL; Migrate data bảng SOUNDBOX_NOTIFICATION -  thực hiện chạy update lần lượt từng batch, mỗi batch 100K bản ghi, thực hiện chạy câu update ở dưới lặp đi lặp lại cho đến khi update hết toàn bộ bảng SOUNDBOX_NOTIFICATION (~11M bản ghi) UPDATE SOUNDBOX_NOTIFICATION sn 
  JOIN TCB_DEVICE td ON td.device_serial_number = sn.device_serial_number 
  JOIN SOUNDBOX_DEVICE_MAPPING sdm ON sdm.DEVICE_ID = td.device_id 
    AND sdm.SERVICE = 'SOUNDBOX' 
    AND sn.created_at &gt;= sdm.LINK_DEVICE_AT 
    AND sn.created_at &lt; COALESCE(sdm.UNLINK_DEVICE_AT, '2999-12-31 23:59:59') 
  JOIN SOUNDBOX_MERCHANT sm ON sm.MERCHANT_CODE = sdm.MERCHANT_CODE 
  JOIN SOUNDBOX_STORE ss ON ss.MERCHANT_CODE = sdm.MERCHANT_CODE AND ss.TCB_STORE_ID = sdm.TCB_STORE_ID 
SET sn.tcb_merchant_id = sdm.TCB_MERCHANT_ID, 
    sn.tcb_store_id = sdm.TCB_STORE_ID, 
    sn.tcb_terminal_id = sdm.TCB_TERMINAL_ID, 
    sn.branch_code = td.device_hub_code, 
    sn.customer_name = sm.CUSTOMER_NAME, 
    sn.store_name = ss.STORE_NAME, 
    sn.qr_store = ss.QR_STORE 
WHERE sn.transaction_id IN (
  SELECT transaction_id 
  FROM SOUNDBOX_NOTIFICATION 
  WHERE SOUNDBOX_NOTIFICATION.tcb_merchant_id IS NULL 
    AND SOUNDBOX_NOTIFICATION.tcb_store_id IS NULL 
    AND SOUNDBOX_NOTIFICATION.tcb_terminal_id IS NULL 
  LIMIT 100000
); TRANSACTION_DETAIL alter table TRANSACTION_DETAIL add index idx_mer_create (merchant_code,created_date), ALGORITHM=INPLACE, LOCK=NONE;
alter table TRANSACTION_DETAIL add index idx_mer_transaction_time (merchant_code,transaction_time), ALGORITHM=INPLACE, LOCK=NONE; SYSTEM_CONFIGURATION INSERT INTO SYSTEM_CONFIGURATION (SYSTEM_PARAM_CODE, SYSTEM_PARAM_NAME, SYSTEM_PARAM_VALUE, IS_ACTIVE, CREATED_DATE) VALUES ('EXPORT_LIST_SOUNDBOX_NOTIFICATION_MAX_RECORD', 'EXPORT_LIST_SOUNDBOX_NOTIFICATION_MAX_RECORD', '20000', 1, CURRENT_TIMESTAMP); 
INSERT INTO SYSTEM_CONFIGURATION (SYSTEM_PARAM_CODE, SYSTEM_PARAM_NAME, SYSTEM_PARAM_VALUE, IS_ACTIVE, CREATED_DATE) VALUES ('EXPORT_LIST_SOUNDBOX_NOTIFICATION_MAX_QUERY_SIZE', 'EXPORT_LIST_SOUNDBOX_NOTIFICATION_MAX_QUERY_SIZE', '5000', 1, CURRENT_TIMESTAMP);
INSERT INTO SYSTEM_CONFIGURATION
(
    SYSTEM_CONFIGURATION_ID,
    SYSTEM_PARAM_CODE,
    SYSTEM_PARAM_NAME,
    SYSTEM_PARAM_VALUE,
    IS_ACTIVE,
    IS_ENCRYPTED,
    CREATED_BY,
    UPDATED_BY,
    UPDATED_DATE,
    CREATED_DATE
)
VALUES
    (
        4561552,
        'GA_DASHBOARD_SLA_CONFIG',
        'GA_DASHBOARD_SLA_CONFIG',
        '[{"order":1,"upper_bound":null,"lower_bound":15},{"order":2,"upper_bound":15,"lower_bound":10},{"order":3,"upper_bound":10,"lower_bound":5,"include_null":true},{"order":4,"upper_bound":5,"lower_bound":null}]',
        1,
        null,
        null,
        null,
        null,
        '2025-05-28 10:13:23'
    ); GA DASHBOARD CREATE TABLE GA_BATCH_JOB_CONFIG
(
    ID           VARCHAR(50) COLLATE utf8mb4_unicode_ci PRIMARY KEY NOT NULL DEFAULT (UUID()),
    BATCH_ORDER  int                                                NOT NULL,
    R_ROWS       VARCHAR(200) COLLATE utf8mb4_unicode_ci            NOT NULL,
    R_COLUMNS    VARCHAR(200) COLLATE utf8mb4_unicode_ci,
    TYPE         VARCHAR(10) COLLATE utf8mb4_unicode_ci             NOT NULL,
    STATUS       varchar(10) COLLATE utf8mb4_unicode_ci                      DEFAULT NULL,
    DELETED      BOOLEAN                                                     DEFAULT 0,
    CREATED_DATE timestamp                                          NULL     DEFAULT NULL,
    CREATED_BY   varchar(100) COLLATE utf8mb4_unicode_ci                     DEFAULT NULL,
    UPDATED_DATE timestamp                                          NULL     DEFAULT NULL,
    UPDATED_BY   varchar(100) COLLATE utf8mb4_unicode_ci                     DEFAULT NULL,
    INDEX (TYPE)
) ENGINE = InnoDB
  DEFAULT CHARSET = utf8mb4
  COLLATE = utf8mb4_unicode_ci;
CREATE TABLE GA_EVENT_CONFIG_DEMO
(
    ID           VARCHAR(50) COLLATE utf8mb4_unicode_ci PRIMARY KEY NOT NULL DEFAULT (UUID()),
    EVENT_CODE   VARCHAR(50) COLLATE utf8mb4_unicode_ci             NOT NULL,
    EVENT_NAME   VARCHAR(100) COLLATE utf8mb4_unicode_ci            NOT NULL,
    PARAMETERS   VARCHAR(200) COLLATE utf8mb4_unicode_ci                     DEFAULT NULL,
    DESCRIPTION  TEXT COLLATE utf8mb4_unicode_ci,
    TYPE         VARCHAR(10) COLLATE utf8mb4_unicode_ci             NOT NULL,
    PLATFORM     CHAR(10) COLLATE utf8mb4_unicode_ci                NOT NULL,
    FORMULA      TEXT COLLATE utf8mb4_unicode_ci,
    STATUS       varchar(10) COLLATE utf8mb4_unicode_ci                      DEFAULT NULL,
    DELETED      BOOLEAN                                                     DEFAULT 0,
    CREATED_DATE timestamp                                          NULL     DEFAULT NULL,
    CREATED_BY   varchar(100) COLLATE utf8mb4_unicode_ci                     DEFAULT NULL,
    UPDATED_DATE timestamp                                          NULL     DEFAULT NULL,
    UPDATED_BY   varchar(100) COLLATE utf8mb4_unicode_ci                     DEFAULT NULL,
    INDEX (TYPE),
    INDEX (EVENT_CODE)
) ENGINE = InnoDB
  DEFAULT CHARSET = utf8mb4
  COLLATE = utf8mb4_unicode_ci;
CREATE TABLE GA_JOB_MANAGEMENT
(
    ID             VARCHAR(50) COLLATE utf8mb4_unicode_ci PRIMARY KEY NOT NULL DEFAULT (UUID()),
    EVENT_TYPE     VARCHAR(10) COLLATE utf8mb4_unicode_ci             NOT NULL,
    BATCH_ID       BIGINT                                             NOT NULL,
    TIME_START     timestamp                                          NOT NULL,
    TIME_END       timestamp,
    PARAMETERS     TEXT COLLATE utf8mb4_unicode_ci,
    TRIGGERED_TYPE char(6) COLLATE utf8mb4_unicode_ci                          DEFAULT NULL,
    TOTAL_RECORDS  BIGINT,
    STATUS         varchar(10) COLLATE utf8mb4_unicode_ci                      DEFAULT NULL,
    MESSAGE        TEXT COLLATE utf8mb4_unicode_ci                             DEFAULT NULL,
    CREATED_DATE   timestamp                                          NULL     DEFAULT NULL,
    CREATED_BY     varchar(100) COLLATE utf8mb4_unicode_ci                     DEFAULT NULL,
    UPDATED_DATE   timestamp                                          NULL     DEFAULT NULL,
    UPDATED_BY     varchar(100) COLLATE utf8mb4_unicode_ci                     DEFAULT NULL,
    INDEX(EVENT_TYPE),
    INDEX(BATCH_ID)
) ENGINE = InnoDB
  DEFAULT CHARSET = utf8mb4
  COLLATE = utf8mb4_unicode_ci;
CREATE TABLE GA_JOB_DETAIL
(
    ID             VARCHAR(50) COLLATE utf8mb4_unicode_ci PRIMARY KEY NOT NULL DEFAULT (UUID()),
    JOB_HISTORY_ID VARCHAR(50) COLLATE utf8mb4_unicode_ci             NOT NULL,
    EVENT_CODE     VARCHAR(50) COLLATE utf8mb4_unicode_ci,
    TOTAL_RECORDS  BIGINT,
    MESSAGE        TEXT COLLATE utf8mb4_unicode_ci,
    STATUS         varchar(10) COLLATE utf8mb4_unicode_ci                      DEFAULT NULL,
    CREATED_DATE   timestamp                                          NULL     DEFAULT NULL,
    CREATED_BY     varchar(100) COLLATE utf8mb4_unicode_ci                     DEFAULT NULL,
    UPDATED_DATE   timestamp                                          NULL     DEFAULT NULL,
    UPDATED_BY     varchar(100) COLLATE utf8mb4_unicode_ci                     DEFAULT NULL,
    INDEX(JOB_HISTORY_ID),
    INDEX(EVENT_CODE)
) ENGINE = InnoDB
  DEFAULT CHARSET = utf8mb4
  COLLATE = utf8mb4_unicode_ci;
CREATE TABLE GA_ONBOARD_TRACKING_REPORT
(
    ID             VARCHAR(50) COLLATE utf8mb4_unicode_ci PRIMARY KEY NOT NULL DEFAULT (UUID()),
    EVENT_CODE     VARCHAR(50) COLLATE utf8mb4_unicode_ci             NOT NULL,
    DEVICE_ID      VARCHAR(50) COLLATE utf8mb4_unicode_ci,
    SESSION_ID     VARCHAR(64) COLLATE utf8mb4_unicode_ci,
    BRANCH         VARCHAR(200) COLLATE utf8mb4_unicode_ci,
    INDUSTRY       VARCHAR(200) COLLATE utf8mb4_unicode_ci,
    PROVINCE       VARCHAR(50) COLLATE utf8mb4_unicode_ci,
    PLATFORM       CHAR(10) COLLATE utf8mb4_unicode_ci,
    TYPE           CHAR(10) COLLATE utf8mb4_unicode_ci,
    COMPLETED_TIME INT                                                         DEFAULT 0,
    TOTAL_TIMES    BIGINT                                                      DEFAULT 0,
    EVENT_TIME     TIMESTAMP                                          NOT NULL,
    DELETED        BIT                                                NOT NULL DEFAULT 0,
    CREATED_DATE   TIMESTAMP                                          NULL     DEFAULT NULL,
    CREATED_BY     VARCHAR(100) COLLATE utf8mb4_unicode_ci                     DEFAULT NULL,
    INDEX (EVENT_CODE),
    INDEX (EVENT_TIME),
    INDEX (INDUSTRY),
    INDEX (PROVINCE),
    INDEX (DEVICE_ID)
) ENGINE = InnoDB
  DEFAULT CHARSET = utf8mb4
  COLLATE = utf8mb4_unicode_ci;
CREATE TABLE GA_DEVICE_TRACKING_REPORT
(
    ID           VARCHAR(50) COLLATE utf8mb4_unicode_ci PRIMARY KEY NOT NULL DEFAULT (UUID()),
    EVENT_CODE   VARCHAR(50) COLLATE utf8mb4_unicode_ci             NOT NULL,
    USER_ID      VARCHAR(50) COLLATE utf8mb4_unicode_ci,
    DEVICE_ID    VARCHAR(50) COLLATE utf8mb4_unicode_ci,
    PLATFORM     CHAR(10) COLLATE utf8mb4_unicode_ci,
    TOTAL_TIMES  BIGINT                                                      DEFAULT 0,
    EVENT_TIME   TIMESTAMP                                          NOT NULL,
    DELETED      BIT                                                NOT NULL DEFAULT 0,
    CREATED_DATE TIMESTAMP                                          NULL     DEFAULT NULL,
    CREATED_BY   VARCHAR(100) COLLATE utf8mb4_unicode_ci                     DEFAULT NULL,
    INDEX (EVENT_CODE),
    INDEX (EVENT_TIME),
    INDEX (DEVICE_ID),
    INDEX (USER_ID)
) ENGINE = InnoDB
  DEFAULT CHARSET = utf8mb4
  COLLATE = utf8mb4_unicode_ci;
CREATE TABLE GA_TRANSACTION_TRACKING_REPORT
(
    ID           VARCHAR(50) COLLATE utf8mb4_unicode_ci PRIMARY KEY NOT NULL DEFAULT (UUID()),
    EVENT_CODE   VARCHAR(50) COLLATE utf8mb4_unicode_ci             NOT NULL,
    USER_ID      VARCHAR(50) COLLATE utf8mb4_unicode_ci,
    TRANS_TYPE   CHAR(10) COLLATE utf8mb4_unicode_ci,
    AMOUNT       DECIMAL COLLATE utf8mb4_unicode_ci,
    PLATFORM     CHAR(10) COLLATE utf8mb4_unicode_ci,
    TOTAL_TIMES  BIGINT                                                      DEFAULT 0,
    EVENT_TIME   TIMESTAMP                                          NOT NULL,
    DELETED      BIT                                                NOT NULL DEFAULT 0,
    CREATED_DATE TIMESTAMP                                          NULL     DEFAULT NULL,
    CREATED_BY   VARCHAR(100) COLLATE utf8mb4_unicode_ci                     DEFAULT NULL,
    INDEX (EVENT_CODE),
    INDEX (EVENT_TIME),
    INDEX (TRANS_TYPE),
    INDEX (USER_ID)
) ENGINE = InnoDB
  DEFAULT CHARSET = utf8mb4
  COLLATE = utf8mb4_unicode_ci;
INSERT INTO GA_BATCH_JOB_CONFIG
(
    BATCH_ORDER,
    R_ROWS,
    R_COLUMNS,
    TYPE,
    STATUS,
    DELETED,
    CREATED_DATE,
    CREATED_BY
)
VALUES
    (
        1,
        'eventName,dateHour,customEvent:device_id,customEvent:type,customEvent:province,customEvent:industry,customEvent:om_session_id,customEvent:completed_time',
        'eventCount',
        'ONBOARD',
        'ACTIVE',
        FALSE,
        CURRENT_TIMESTAMP,
        'system'
    ),
    (
        1,
        'eventName,dateHour,customEvent:om_user_id,customEvent:device_id',
        'eventCount',
        'DEVICE',
        'ACTIVE',
        FALSE,
        CURRENT_TIMESTAMP,
        'system'
    ),
    (
        1,
        'eventName,dateHour,customEvent:om_user_id,customEvent:trans_type',
        'eventCount',
        'TRANS',
        'ACTIVE',
        FALSE,
        CURRENT_TIMESTAMP,
        'system'
    );
INSERT INTO GA_EVENT_CONFIG(
                               EVENT_CODE,
                               EVENT_NAME,
                               PARAMETERS,
                               DESCRIPTION,
                               TYPE,
                               PLATFORM,
                               FORMULA,
                               STATUS,
                               CREATED_DATE,
                               CREATED_BY
                           )
VALUES
    (
        'first_open',
        'User tải app thành công',
        null,
        'User tải app thành công',
        'ONBOARD',
        'mobile',
        null,
        'ACTIVE',
        CURRENT_TIMESTAMP,
        'PB-24385'
    ),
    (
        'onboard_register',
        'Click &lt;Đăng ký&gt; ở màn hình Home',
        null,
        'Click &lt;Đăng ký&gt; ở màn hình Home',
        'ONBOARD',
        'mobile',
        null,
        'ACTIVE',
        CURRENT_TIMESTAMP,
        'PB-24385'
    ),
    (
        'onboard_start_register',
        'Click &lt;Bắt đầu&gt; ở Product page',
        'om_session_id',
        'Click &lt;Bắt đầu&gt; ở Product page',
        'ONBOARD',
        'web',
        null,
        'ACTIVE',
        CURRENT_TIMESTAMP,
        'PB-24385'
    ),
    (
        'onboard_request_OTP',
        'User request OTP',
        'type,device_id,om_session_id',
        'User request OTP',
        'ONBOARD',
        'web',
        null,
        'ACTIVE',
        CURRENT_TIMESTAMP,
        'PB-24385'
    ),
    (
        'onboard_request_OTP_no_fill',
        'User không nhập OTP',
        'type,device_id,om_session_id',
        'User không nhập OTP',
        'ONBOARD',
        'web',
        'onboard_request_OTP-onboard_non_master_account-onboard_input_otp-onboard_input_otp_failed',
        'ACTIVE',
        CURRENT_TIMESTAMP,
        'PB-24385'
    ),
    (
        'onboard_non_master_account',
        'User chưa có TK TCB',
        'type,device_id,om_session_id',
        'User chưa có TK TCB',
        'ONBOARD',
        'web',
        null,
        'ACTIVE',
        CURRENT_TIMESTAMP,
        'PB-24385'
    ),
    (
        'onboard_input_otp',
        'User nhập OTP đúng',
        'type,device_id,om_session_id',
        'User nhập OTP đúng',
        'ONBOARD',
        'web',
        null,
        'ACTIVE',
        CURRENT_TIMESTAMP,
        'PB-24385'
    ),
    (
        'onboard_input_otp_failed',
        'User nhập OTP sai',
        'type,device_id,om_session_id',
        'User nhập OTP sai',
        'ONBOARD',
        'web',
        null,
        'ACTIVE',
        CURRENT_TIMESTAMP,
        'PB-24385'
    ),
    (
        'onboard_input_brandOrsupporter',
        'User nhập thông tin chi nhánh/email hỗ trợ thành công',
        'type,device_id,om_session_id',
        'User nhập thông tin chi nhánh/email hỗ trợ thành công',
        'ONBOARD',
        'web',
        null,
        'ACTIVE',
        CURRENT_TIMESTAMP,
        'PB-24385'
    ),
    (
        'onboard_input_phone',
        'User có điền SĐT (trường bắt buộc) ',
        'type,device_id,om_session_id',
        'User có điền SĐT (trường bắt buộc) ',
        'ONBOARD',
        'web',
        null,
        'ACTIVE',
        CURRENT_TIMESTAMP,
        'PB-24385'
    ),
    (
        'onboard_input_phone_2',
        'User có điền SĐT (trường không bắt buộc)',
        'type,device_id,om_session_id',
        'User có điền SĐT (trường không bắt buộc)',
        'ONBOARD',
        'web',
        null,
        'ACTIVE',
        CURRENT_TIMESTAMP,
        'PB-24385'
    ),
    (
        'onboard_select_business_sector',
        'User chọn ngành nghề kinh doanh',
        'type,device_id,industry,om_session_id',
        'User chọn ngành nghề kinh doanh',
        'ONBOARD',
        'web',
        null,
        'ACTIVE',
        CURRENT_TIMESTAMP,
        'PB-24385'
    ),
    (
        'onboard_input_infor_1_5',
        'User hoàn thành bước 1/5',
        'type,device_id,industry,om_session_id',
        'User hoàn thành bước 1/5',
        'ONBOARD',
        'web',
        null,
        'ACTIVE',
        CURRENT_TIMESTAMP,
        'PB-24385'
    ),
    (
        'onboard_input_infor_2_5',
        'User hoàn thành bước 2/5',
        'type,device_id,industry,om_session_id',
        'User hoàn thành bước 2/5',
        'ONBOARD',
        'web',
        null,
        'ACTIVE',
        CURRENT_TIMESTAMP,
        'PB-24385'
    ),
    (
        'onboard_input_infor_3_5',
        'User hoàn thành bước 3/5',
        'type,device_id,industry,province,om_session_id',
        'User hoàn thành bước 3/5',
        'ONBOARD',
        'web',
        null,
        'ACTIVE',
        CURRENT_TIMESTAMP,
        'PB-24385'
    ),
    (
        'onboard_input_infor_4_5',
        'User hoàn thành bước 4/5',
        'type,device_id,industry,province,om_session_id',
        'User hoàn thành bước 4/5',
        'ONBOARD',
        'web',
        null,
        'ACTIVE',
        CURRENT_TIMESTAMP,
        'PB-24385'
    ),
    (
        'onboard_input_infor_5_5',
        'User mở màn hình kiểm tra thông tin',
        'type,device_id,industry,province,om_session_id',
        'User mở màn hình kiểm tra thông tin',
        'ONBOARD',
        'web',
        null,
        'ACTIVE',
        CURRENT_TIMESTAMP,
        'PB-24385'
    ),
    (
        'onboard_open_upload_file',
        'User mở màn hình tải hồ sơ',
        'type,device_id,industry,province,om_session_id',
        'User mở màn hình tải hồ sơ',
        'ONBOARD',
        'web',
        null,
        'ACTIVE',
        CURRENT_TIMESTAMP,
        'PB-24385'
    ),
    (
        'onboard_open_upload_file_no_download',
        'User không tải hồ sơ',
        'type,device_id,industry,province,om_session_id',
        'User không tải hồ sơ',
        'ONBOARD',
        'web',
        'onboard_open_upload_file-onboard_upload_file_success-onboard_upload_file_failed',
        'ACTIVE',
        CURRENT_TIMESTAMP,
        'PB-24385'
    ),
    (
        'onboard_upload_file_success',
        'User tải hồ sơ thành công',
        'type,device_id,industry,province,om_session_id',
        'User tải hồ sơ thành công',
        'ONBOARD',
        'web',
        null,
        'ACTIVE',
        CURRENT_TIMESTAMP,
        'PB-24385'
    ),
    (
        'onboard_upload_file_failed',
        'User tải hồ sơ thất bại',
        'type,device_id,industry,province,om_session_id',
        'User tải hồ sơ thất bại',
        'ONBOARD',
        'web',
        null,
        'ACTIVE',
        CURRENT_TIMESTAMP,
        'PB-24385'
    ),
    (
        'onboard_open_upload_store_image',
        'User tải ảnh cửa hàng',
        'type,device_id,industry,province,om_session_id',
        'User tải ảnh cửa hàng',
        'ONBOARD',
        'web',
        null,
        'ACTIVE',
        CURRENT_TIMESTAMP,
        'PB-24385'
    ),
    (
        'onboard_input_terminal',
        'User khai thông tin quầy hàng thành công',
        'type,device_id,industry,province,om_session_id',
        'User khai thông tin quầy hàng thành công',
        'ONBOARD',
        'web',
        null,
        'ACTIVE',
        CURRENT_TIMESTAMP,
        'PB-24385'
    ),
    (
        'onboard_input_store',
        'User khai thông tin cửa hàng thành công',
        'type,device_id,industry,province,om_session_id',
        'User khai thông tin cửa hàng thành công',
        'ONBOARD',
        'web',
        null,
        'ACTIVE',
        CURRENT_TIMESTAMP,
        'PB-24385'
    ),
    (
        'onboard_view_contract',
        'User mở màn hình xem hợp đồng',
        'type,device_id,industry,province,om_session_id',
        'User mở màn hình xem hợp đồng',
        'ONBOARD',
        'web',
        null,
        'ACTIVE',
        CURRENT_TIMESTAMP,
        'PB-24385'
    ),
    (
        'onboard_confirm_contract',
        'User xác nhận hợp đồng',
        'type,device_id,industry,province,om_session_id',
        'User xác nhận hợp đồng',
        'ONBOARD',
        'web',
        null,
        'ACTIVE',
        CURRENT_TIMESTAMP,
        'PB-24385'
    ),
    (
        'onboard_user_digital_signature',
        'User chọn ký số',
        'type,device_id,industry,province,om_session_id',
        'User chọn ký số',
        'ONBOARD',
        'web',
        null,
        'ACTIVE',
        CURRENT_TIMESTAMP,
        'PB-24385'
    ),
    (
        'onboard_user_sign_directly',
        'User chọn ký tươi',
        'type,device_id,industry,province,om_session_id',
        'User chọn ký tươi',
        'ONBOARD',
        'web',
        null,
        'ACTIVE',
        CURRENT_TIMESTAMP,
        'PB-24385'
    ),
    (
        'onboard_requestOTP_digital_signature',
        'User request OTP ký số thành công',
        'type,device_id,industry,province,om_session_id',
        'User request OTP ký số thành công',
        'ONBOARD',
        'web',
        null,
        'ACTIVE',
        CURRENT_TIMESTAMP,
        'PB-24385'
    ),
    (
        'onboard_requestOTP_signature_failed',
        'User request OTP ký số thất bại',
        'type,device_id,industry,province,om_session_id',
        'User request OTP ký số thất bại',
        'ONBOARD',
        'web',
        null,
        'ACTIVE',
        CURRENT_TIMESTAMP,
        'PB-24385'
    ),
    (
        'onboard_digital_signature_success',
        'User ký số thành công',
        'type,device_id,industry,province,om_session_id',
        'User ký số thành công',
        'ONBOARD',
        'web',
        null,
        'ACTIVE',
        CURRENT_TIMESTAMP,
        'PB-24385'
    ),
    (
        'onboard_not_digital_signature',
        'User không thực hiện ký số',
        'type,device_id,industry,province,om_session_id',
        'User không thực hiện ký số',
        'ONBOARD',
        'web',
        'onboard_user_digital_signature-onboard_requestOTP_signature_failed-onboard_requestOTP_digital_signature',
        'ACTIVE',
        CURRENT_TIMESTAMP,
        'PB-24385'
    ),
    (
        'onboard_digital_signature_failed',
        'User ký số thất bại',
        'type,device_id,industry,province,om_session_id',
        'User ký số thất bại',
        'ONBOARD',
        'web',
        null,
        'ACTIVE',
        CURRENT_TIMESTAMP,
        'PB-24385'
    ),
    (
        'onboard_submit_success',
        'User submit thành công',
        'type,device_id,industry,province,completed_time,om_session_id',
        'User submit thành công',
        'ONBOARD',
        'web',
        null,
        'ACTIVE',
        CURRENT_TIMESTAMP,
        'PB-24385'
    );
INSERT INTO GA_EVENT_CONFIG(
                               EVENT_CODE,
                               EVENT_NAME,
                               PARAMETERS,
                               DESCRIPTION,
                               TYPE,
                               PLATFORM,
                               STATUS,
                               CREATED_DATE,
                               CREATED_BY
                           )
VALUES
    (
        'add_device',
        'User yêu cầu kích hoạt (thêm thiết bị)',
        'om_user_id,device_id',
        'User yêu cầu kích hoạt (thêm thiết bị)',
        'DEVICE',
        'mobile',
        'ACTIVE',
        CURRENT_TIMESTAMP,
        'PB-24385'
    ),
    (
        'confirm_device',
        'User xác nhận thêm thiết bị',
        'om_user_id,device_id',
        'User xác nhận thêm thiết bị',
        'DEVICE',
        'mobile',
        'ACTIVE',
        CURRENT_TIMESTAMP,
        'PB-24385'
    ),
    (
        'active_device_success',
        'User kích hoạt thành công',
        'om_user_id,device_id',
        'User kích hoạt thành công',
        'DEVICE',
        'mobile',
        'ACTIVE',
        CURRENT_TIMESTAMP,
        'PB-24385'
    ),
    (
        'active_device_failed',
        'User kích hoạt thất bại',
        'om_user_id,device_id',
        'User kích hoạt thất bại',
        'DEVICE',
        'mobile',
        'ACTIVE',
        CURRENT_TIMESTAMP,
        'PB-24385'
    ),
    (
        'request_change_device',
        'User yêu cầu đổi thiết bị',
        'om_user_id,device_id',
        'User yêu cầu đổi thiết bị',
        'DEVICE',
        'mobile',
        'ACTIVE',
        CURRENT_TIMESTAMP,
        'PB-24385'
    ),
    (
        'change_device_success',
        'User đổi thiết bị thành công',
        'om_user_id,device_id',
        'User đổi thiết bị thành công',
        'DEVICE',
        'mobile',
        'ACTIVE',
        CURRENT_TIMESTAMP,
        'PB-24385'
    ),
    (
        'change_device_failed',
        'User đổi thiết bị thất bại',
        'om_user_id,device_id',
        'User đổi thiết bị thất bại',
        'DEVICE',
        'mobile',
        'ACTIVE',
        CURRENT_TIMESTAMP,
        'PB-24385'
    ),
    (
        'request_stop_device',
        'User yêu cầu dừng thiết bị',
        'om_user_id,device_id',
        'User yêu cầu dừng thiết bị',
        'DEVICE',
        'mobile',
        'ACTIVE',
        CURRENT_TIMESTAMP,
        'PB-24385'
    ),
    (
        'stop_device_success',
        'User dừng thiết bị thành công',
        'om_user_id,device_id',
        'User dừng thiết bị thành công',
        'DEVICE',
        'mobile',
        'ACTIVE',
        CURRENT_TIMESTAMP,
        'PB-24385'
    ),
    (
        'stop_device_failed',
        'User dừng thiết bị thất bại',
        'om_user_id,device_id',
        'User dừng thiết bị thất bại',
        'DEVICE',
        'mobile',
        'ACTIVE',
        CURRENT_TIMESTAMP,
        'PB-24385'
    );
INSERT INTO GA_EVENT_CONFIG(
                               EVENT_CODE,
                               EVENT_NAME,
                               PARAMETERS,
                               DESCRIPTION,
                               TYPE,
                               PLATFORM,
                               STATUS,
                               CREATED_DATE,
                               CREATED_BY
                           )
VALUES
    (
        'genQR_success',
        'Tạo đơn hàng QR thành công',
        'om_user_id,trans_type',
        'Tạo đơn hàng QR thành công',
        'TRANS',
        'mobile',
        'ACTIVE',
        CURRENT_TIMESTAMP,
        'PB-24385'
    ),
    (
        'QRpayment_success',
        'Giao dịch QR thành công',
        'om_user_id,trans_type',
        'Giao dịch QR thành công',
        'TRANS',
        'mobile',
        'ACTIVE',
        CURRENT_TIMESTAMP,
        'PB-24385'
    ),
    (
        'QRpayment_failed',
        'Giao dịch QR lỗi',
        'om_user_id,trans_type',
        'Giao dịch QR lỗi',
        'TRANS',
        'mobile',
        'ACTIVE',
        CURRENT_TIMESTAMP,
        'PB-24385'
    ),
    (
        'card_createOrder_success',
        'Tạo đơn hàng Card thành công',
        'om_user_id,trans_type',
        'Tạo đơn hàng Card thành công',
        'TRANS',
        'mobile',
        'ACTIVE',
        CURRENT_TIMESTAMP,
        'PB-24385'
    ),
    (
        'cardpayment_success',
        'Giao dịch Card thành công',
        'om_user_id,trans_type',
        'Giao dịch Card thành công',
        'TRANS',
        'mobile',
        'ACTIVE',
        CURRENT_TIMESTAMP,
        'PB-24385'
    ),
    (
        'cardpayment_failed',
        'Giao dịch Card lỗi',
        'om_user_id,trans_type',
        'Giao dịch Card lỗi',
        'TRANS',
        'mobile',
        'ACTIVE',
        CURRENT_TIMESTAMP,
        'PB-24385'
    );</t>
  </si>
  <si>
    <t>Hỗ trợ tạo dữ liệu mở mới kho 8118 - Sơn Tây</t>
  </si>
  <si>
    <t>2025-06-15T19:34:09.575+0700</t>
  </si>
  <si>
    <t>2025-06-15T22:19:14.723+0700</t>
  </si>
  <si>
    <t>Hi DBA team,  Hiện tại nghiệp vụ có nhu cầu mở mới kho 8118 Sơn Tây,  nhờ team DBA hỗ trợ cập nhật giá trị theo thông tin dưới đây Cụm WMS Project : vinid-b2b-platform-prod Instance/IP : main (read-write): 172.31.4.59 Port : 3306 Database : omd_wms_core Script : file  omd_wms_core_8118.sql  trong file đính kèm Cum WES Project : vinid-b2b-platform-prod Instance/IP : main (read-write): 172.31.1.143 Port : 3306 Database : wes_master Script : file  wes_master_8118.sql  trong file đính kèm Câu query đánh giá là có thể ảnh hưởng đến vận hành hệ thống nên mong muốn chạy vào thời gian vận hành thấp điểm (từ 22h-2h sáng).</t>
  </si>
  <si>
    <t>2025-06-14T13:38:39.832+0700</t>
  </si>
  <si>
    <t>2025-06-14T13:40:38.877+0700</t>
  </si>
  <si>
    <t>Hi anh  @Trần Trương Dương   Nhờ anh hỗ trợ giúp team 2 việc sau với: Sync thêm data d Label từ DP về ODS của CDP OMC:  dp.omc.semantic."omc_bsi_cdp"."d_label" Remove Job Sync:  f_customer_segmentation  →  "tidb_new"."dp_omc_semantic_omc_bsi_cdp"."f_customer_segmentation" Lý do: Luồng CDP thống nhất, ko cần  customer_segmentation  từ phía data nữa Môi trường: Prod và dev. Em cảm ơn anh,</t>
  </si>
  <si>
    <t>[OMC][Kafka][NON-PROD] Hỗ trợ tạo kafka topic cho bảng ở db sp_postgres_uat_link_account</t>
  </si>
  <si>
    <t>2025-06-14T09:44:42.781+0700</t>
  </si>
  <si>
    <t>2025-06-14T10:30:35.611+0700</t>
  </si>
  <si>
    <t>Dear anh Linh, Phục vụ xây dựng luồng dữ liệu phục vụ NĐ70 non-prod. Nhờ anh tạo kafka topic cho các bảng sau ạ IP:  172.31.1.242 DB:  sp_postgres_uat_link_account Tables:  public.products public.usecases Em cảm ơn ạ</t>
  </si>
  <si>
    <t>[PROD] Tác động database saas_tpay update chargecode cho merchant YOLA</t>
  </si>
  <si>
    <t>2025-06-13T15:31:33.107+0700</t>
  </si>
  <si>
    <t>2025-06-13T15:36:04.991+0700</t>
  </si>
  <si>
    <t>Hi anh, nhờ anh chạy giúp em script này ở môi trường PRODUCTION theo thông tin dưới đây ạ: Thời gian chạy khi ticket được approval Thông tin database  saas_tpay: mysql://pay-tidb.int.onemount.com:4000/saas_tpay update AUTO_SETTLEMENT set charge_code = 'DN15727'
                       where fee_period_from &gt;= '2024-11-01 00:00:00'
                       and fee_period_to &lt;= '2025-05-31 23:59:59'
                       and status = 'FAIL'
                       and merchant_code = 'YOLA';</t>
  </si>
  <si>
    <t>[Vinpay][PROD][Ecom][Stagging] Script release golive 15/06/2025</t>
  </si>
  <si>
    <t>2025-06-13T15:08:29.847+0700</t>
  </si>
  <si>
    <t>2025-06-13T15:08:43.802+0700</t>
  </si>
  <si>
    <t>Hi anh team có release golive, nhờ anh chạy các script trên  Stagging  giúp em với nha ạ,  chạy luôn sau khi approve Thông tin database  saas_tpay_staging: mysql://tidb.int.onemount.dev:4000/vinpay_saas_tpay_staging</t>
  </si>
  <si>
    <t>[VINIDPAY][STAGING] Tác động database vinpay_saas_tpay_staging</t>
  </si>
  <si>
    <t>2025-06-13T14:17:18.748+0700</t>
  </si>
  <si>
    <t>2025-06-16T14:08:41.418+0700</t>
  </si>
  <si>
    <t>Hi team, nhờ các anh hỗ trợ chạy script tác động database trên môi trường STAGING với thông tin dưới đây ạ: Thời điểm chạy script: chạy trong giờ sau khi ticket được approve Thông tin database: jdbc:mysql:// tidb.int.onemount.dev:4000/vinpay_saas_tpay_staging Em gửi script: alter table SOUNDBOX_NOTIFICATION add column connector_received_at timestamp(3) null; 
alter table SOUNDBOX_NOTIFICATION add column tcb_merchant_id varchar(15) null; 
alter table SOUNDBOX_NOTIFICATION add column tcb_store_id varchar(15) null; 
alter table SOUNDBOX_NOTIFICATION add column tcb_terminal_id varchar(15) null; 
alter table SOUNDBOX_NOTIFICATION add column customer_name varchar(255) null; 
alter table SOUNDBOX_NOTIFICATION add column store_name varchar(256) null; 
alter table SOUNDBOX_NOTIFICATION add column qr_store varchar(64) null; 
alter table SOUNDBOX_NOTIFICATION add column branch_code varchar(64) null; 
alter table SOUNDBOX_NOTIFICATION add column error_message varchar(500) null; 
alter table SOUNDBOX_NOTIFICATION add column transaction_date VARCHAR(20) GENERATED ALWAYS AS (message_data -&gt;&gt; '$.datetime'); 
alter table SOUNDBOX_NOTIFICATION add index idx_message_id (message_id);
alter table SOUNDBOX_NOTIFICATION add index idx_transaction_id_updated_at (transaction_id, updated_at);
alter table SOUNDBOX_NOTIFICATION add index idx_transaction_date (transaction_date);
alter table SOUNDBOX_NOTIFICATION add index idx_branch_code (branch_code);
UPDATE SOUNDBOX_NOTIFICATION sn 
  JOIN TCB_DEVICE td ON td.device_serial_number = sn.device_serial_number 
  JOIN SOUNDBOX_DEVICE_MAPPING sdm ON sdm.DEVICE_ID = td.device_id 
    AND sdm.SERVICE = 'SOUNDBOX' 
    AND sn.created_at &gt;= sdm.LINK_DEVICE_AT 
    AND sn.created_at &lt; COALESCE(sdm.UNLINK_DEVICE_AT, '2999-12-31 23:59:59') 
  JOIN SOUNDBOX_MERCHANT sm ON sm.MERCHANT_CODE = sdm.MERCHANT_CODE 
  JOIN SOUNDBOX_STORE ss ON ss.MERCHANT_CODE = sdm.MERCHANT_CODE AND ss.TCB_STORE_ID = sdm.TCB_STORE_ID 
SET sn.tcb_merchant_id = sdm.TCB_MERCHANT_ID, 
    sn.tcb_store_id = sdm.TCB_STORE_ID, 
    sn.tcb_terminal_id = sdm.TCB_TERMINAL_ID, 
    sn.branch_code = td.device_hub_code, 
    sn.customer_name = sm.CUSTOMER_NAME, 
    sn.store_name = ss.STORE_NAME, 
    sn.qr_store = ss.QR_STORE 
WHERE sn.transaction_id IN (
  SELECT transaction_id 
  FROM SOUNDBOX_NOTIFICATION 
  WHERE SOUNDBOX_NOTIFICATION.tcb_merchant_id IS NULL 
    AND SOUNDBOX_NOTIFICATION.tcb_store_id IS NULL 
    AND SOUNDBOX_NOTIFICATION.tcb_terminal_id IS NULL 
  LIMIT 100000
);</t>
  </si>
  <si>
    <t>[OMD][WMS] Hỗ trợ cập nhật dữ liệu bảng Slave trong database WMS</t>
  </si>
  <si>
    <t>2025-06-13T10:55:07.720+0700</t>
  </si>
  <si>
    <t>2025-06-13T10:59:53.558+0700</t>
  </si>
  <si>
    <t>Hi DBA team, Hiện tại Job SnapShot tồn kho của WMS đang bị lỗi, cần cập nhật Database WMS. Nhờ team DBA hỗ trợ cập nhật giá trị theo thông tin dưới đây. Project : vinid-b2b-platform-prod Instance/IP : main (read-write): 172.31.4.59 Port : 3306 Database : omd_wms_core Query INSERT INTO
    data_source_config_slave (dc_code, name, liquibase_enabled, username, password, url, driver_class_name, is_active, created_by, created_date, last_modified_by, last_modified_date, version, is_legacy)
SELECT
    '8117',
    '8117',
    true,
    username,
    password,
    url,
    driver_class_name,
    is_active,
    'System',
    now(),
    'System',
    last_modified_date,
    0,
    false
FROM
    data_source_config_slave
WHERE
    dc_code = '8115'; Câu query đánh giá là an toàn nên có thể thực hiện cập nhật bất kỳ lúc nào mà không ảnh hưởng đến vận hành hệ thống.</t>
  </si>
  <si>
    <t>[OMD CPD][PROD] Thêm cột cho bảng DP_CUSTOMER_GT</t>
  </si>
  <si>
    <t>2025-06-12T22:18:11.954+0700</t>
  </si>
  <si>
    <t>2025-06-12T22:58:55.408+0700</t>
  </si>
  <si>
    <t>CDP, OMD</t>
  </si>
  <si>
    <t>Để phục vụ việc phát triển OMD CDP trên môi trường prod (theo ticket  https://vinid-team.atlassian.net/browse/DWHV2-11630 ), nhờ team hỗ trợ giúp em trên TiDb  omd-tidb.int.onemount.com:4000 : Database: omd_cdp_data_from_dp Thêm cột cho bảng  omd_cdp_data_from_dp.DP_CUSTOMER_GT : Script: ALTER TABLE omd_cdp_data_from_dp.DP_CUSTOMER_GT ADD is_rtb_telesale_dailycall BOOLEAN;</t>
  </si>
  <si>
    <t>[OMC][PS2][Loyalty][PROD] - Thực hiện insert data yêu cầu chạy Campaign của TCB 12-06-2025</t>
  </si>
  <si>
    <t>2025-06-12T22:13:23.664+0700</t>
  </si>
  <si>
    <t>2025-06-12T22:53:50.533+0700</t>
  </si>
  <si>
    <t>Thực hiện insert data Production cho database loyalty core theo yều từ TCB, mục đích Hỗ trợ triển khai chương trình "Sinh lời trúng lớn" Nhờ team chạy script này trên PROD env của DB loyalty oracle giúp team Loyalty ạ. IP: 10.255.23.119 Service name: oneloyaltydb Port: 1521 schema app: OLOYALTY Link CR:    Thời gian thực hiện:  22h ngày 12/06/2025</t>
  </si>
  <si>
    <t>Dữ liệu của cột request trong bảng transactional_integration cần tăng size</t>
  </si>
  <si>
    <t>2025-06-12T21:53:20.051+0700</t>
  </si>
  <si>
    <t>2025-06-12T22:43:35.792+0700</t>
  </si>
  <si>
    <t>Hi DBA team, Hiện tại có 1 bản ghi trong Database cần tăng size nhờ team DBA hỗ trợ cập nhật theo thông tin dưới đây. Project : vinid-b2b-platform-prod Instance/IP : main (read-write): 172.31.1.143 Port : 3306 Database : wes_8111 Query ALTER TABLE transactional_integration
    MODIFY COLUMN request LONGTEXT Câu query đánh giá là an toàn nên có thể thực hiện cập nhật bất kỳ lúc nào mà không ảnh hưởng đến vận hành hệ thống.</t>
  </si>
  <si>
    <t>[Prod] Cập nhật thông tin ratelimit cho các sản phẩm được cấu hình trong campaign</t>
  </si>
  <si>
    <t>2025-06-12T17:39:18.034+0700</t>
  </si>
  <si>
    <t>2025-06-12T17:53:12.687+0700</t>
  </si>
  <si>
    <t>Nhờ anh  @Trần Trương Dương   chạy giúp em lệnh SQL sau: Project:  vincart-prod IP:  172.31.1.9 Database:   ecom_promotion SQL:  UPDATE `campaign_variant` SET `rate_limit_rule_id` = NULL WHERE `campaign_variant`.`id` = 2619;
UPDATE `campaign_variant` SET `rate_limit_rule_id` = NULL WHERE `campaign_variant`.`id` = 2614;
UPDATE `campaign_variant` SET `rate_limit_rule_id` = NULL WHERE `campaign_variant`.`id` = 2613; IP:  172.31.1.41 Database:   vincart_rate_limit DELETE FROM variant_limit_config WHERE limit_config_id in (2942, 2937, 2936);
UPDATE limit_config SET `status` = 'inactive' WHERE id in (2942, 2937, 2936);</t>
  </si>
  <si>
    <t>2025-06-12T17:12:27.593+0700</t>
  </si>
  <si>
    <t>2025-06-12T17:41:07.862+0700</t>
  </si>
  <si>
    <t>[MTP][Prod][Postgres] Request support golive 12/06</t>
  </si>
  <si>
    <t>2025-06-12T17:02:01.579+0700</t>
  </si>
  <si>
    <t>2025-06-12T22:15:05.530+0700</t>
  </si>
  <si>
    <t>Dear anh, Team MTP có lịch golive lúc 22h ngày 12/6. Nhờ anh support team MTP golive và thực hiện script sau ạ: IP:  172.31.3.49:5432 DB:  mtp_campaign_management Script:  UPDATE mtp_campaign_content SET display_content = null;</t>
  </si>
  <si>
    <t>[PROD] Query data TemplateId Email trên mô trường Production saas_tpay, auth_om, saas_maker_checker</t>
  </si>
  <si>
    <t>2025-06-12T16:47:32.509+0700</t>
  </si>
  <si>
    <t>2025-06-12T16:47:53.554+0700</t>
  </si>
  <si>
    <t xml:space="preserve">Hi anh, nhờ anh chạy giúp em script này ở môi trường PRODUCTION và gửi lại giúp em các thông tin query theo thông tin dưới đây ạ: Thời gian chạy script: chạy luôn trong giờ, sau khi ticket được approve Thông tin database em có mô tả ở trong file dưới ạ Em gửi script ạ   </t>
  </si>
  <si>
    <t>2025-06-12T16:30:25.420+0700</t>
  </si>
  <si>
    <t>2025-06-12T17:05:11.923+0700</t>
  </si>
  <si>
    <t>"ods-tidb"."omd_vinid_app_common_dev_main_omd_taskbox".TaskCenter https://dremio.ops.onemount.dev/new_query?jobId=17b583ac-04cb-222f-93d4-33f992681800&amp;scriptId=9b7d681a-e00f-4464-be18-4e07a9455bad&amp;tipVersion=0009290689958243&amp;version=0009290689958243 Nhờ a chạy lại job CDC giúp team với ạ, e thấy dữ liệu bên e có ngày 8 với 12 mà ở ODS chỉ đến 7/6 thôi. E cảm ơn</t>
  </si>
  <si>
    <t>2025-06-12T16:09:36.315+0700</t>
  </si>
  <si>
    <t>2025-06-12T22:00:26.606+0700</t>
  </si>
  <si>
    <t>Dear a  @Trần Trương Dương  ,  Team em chuẩn bị golive theo CR sau    Thời gian dự kiến golive khoảng 22h tối 12/6, Nhờ a thực update dữ liệu theo sript sau ạ MYSQL_ADDRESS {{: '172.31.1.21:3306' }} MYSQL_DATABASE : mtp_martech_profile UPDATE  mtp_anonymous_profile_segmentation  SET  category_id  = '4810d995f7c54be89bc33b4b795cba9f' WHERE  mtp_anonymous_profile_segmentation . id  = 'f83a1b2542cd4e7b9a8c7fd638e2b56f'; Thanks a.</t>
  </si>
  <si>
    <t>Kéo dữ liệu về ODS cho dự án B2B Commerce OMS</t>
  </si>
  <si>
    <t>2025-06-12T12:34:59.763+0700</t>
  </si>
  <si>
    <t>2025-06-12T16:01:47.487+0700</t>
  </si>
  <si>
    <t>Nhờ anh Dương kéo giúp e data môi trg QC của dự án B2B OMS lên ODS theo thông tin sau ạ: Schema:  omd_vinid_b2b_platform_non_prod_b2b_commerce_b2b_oms_non_prod Database:  jdbc:mysql://vinid-app-common-dev--main-mysql-8.cloudsql.int:3306/omd_b2b_custom_oms_qc Tables:  SaleOrder
SAPOrder
SaleOrderEntry
Shipment
ShipmentTracking
ShipmentPaymentDetail
RepairShipment
ConsignmentEntry
DistributedOrderEntry
DistributedConsignmentEntry
RepairConsignmentEntry
RepairDistributedConsignmentEntry
PaymentInfo
PaymentDetail
PaymentMethod
VatInfo
PaymentTransaction
Promotion
PromotionCampaignBudgetTransaction
PromotionOriginBudget
ContractFee
EInvoice
StatusManagement
AccountPaymentInfo
ContractFeeCondition mong muốn update gần real time như "tidb_ods"."omd_vinid_b2b_platform_prod_b2b_commerce_b2b_oms_prod" ít nhất trong giờ hành chính ạ, e cảm ơn</t>
  </si>
  <si>
    <t>[OMC][Link Account] [Prod] Thực hiện inactive thông tin Link Account cho tài khoản bị lệch số điện thoại</t>
  </si>
  <si>
    <t>2025-06-12T12:13:36.151+0700</t>
  </si>
  <si>
    <t>2025-06-12T12:13:59.434+0700</t>
  </si>
  <si>
    <t>Dear team DBA, Theo thread trao đổi: https://chat.google.com/room/AAAAbcTWvJQ/WZEQeTI_wvk/WZEQeTI_wvk?cls=10 Hiện user bị gãy luồng, nên team cần thực hiện update record để đảm bảo luồng của user Case này sdt 0325713473 đang có request từ OneU và status = processing. 
Màn hình này đang đi từ TCB qua OneU confirm và bị khác sdt nên đang báo lỗi. Nhờ team thực hiện query: Instance ID:  https://console.cloud.google.com/sql/instances/postgres-01/overview?authuser=1&amp;project=vinid-service-platform-prod Database name:  sp_postgres_link_account Câu lệnh SQL: update linkages
set active = false
where partner_customer_id = '1001258751' and link_status = 'PROCESSING'</t>
  </si>
  <si>
    <t>2025-06-12T12:12:34.351+0700</t>
  </si>
  <si>
    <t>2025-06-12T12:13:01.526+0700</t>
  </si>
  <si>
    <t>Dear team DBA, Theo thread trao đổi: https://chat.google.com/room/AAAAbcTWvJQ/hQsNM9Qz8gw/hQsNM9Qz8gw?cls=10 Hiện user bị gãy luồng, nên team cần thực hiện update record để đảm bảo luồng của user Case này KH đổi sdt lúc 2/6 16:07 -&gt; không kickout user và thực hiện request link 
lúc 2/6 16:52 với SDT cũ 0869374840
Nên record link acc với SDT 0869374840 đang active Nhờ team thực hiện query: Instance ID:  https://console.cloud.google.com/sql/instances/postgres-01/overview?authuser=1&amp;project=vinid-service-platform-prod Database name:  sp_postgres_link_account Câu lệnh SQL: UPDATE linkages SET active = false
WHERE user_id = 1118637</t>
  </si>
  <si>
    <t xml:space="preserve">Hỗ trợ tạo dữ liệu mở mới kho 8117 </t>
  </si>
  <si>
    <t>2025-06-12T12:04:56.409+0700</t>
  </si>
  <si>
    <t>2025-06-13T09:20:41.441+0700</t>
  </si>
  <si>
    <t>Hi DBA team, Hiện tại nghiệp vụ có nhu cầu mở mới kho MES_SMS_001,  nhờ team DBA hỗ trợ cập nhật giá trị theo thông tin dưới đây. Cụm WMS Project : vinid-b2b-platform-prod Instance/IP : main (read-write): 172.31.4.59 Port : 3306 Database : omd_wms_core Script : file  omd_wms_core_8117.sql  trong file đính kèm Database : omd_wms_8115 Script : file  omd_wms_8115.sql  trong file đính kèm Cum WES Project : vinid-b2b-platform-prod Instance/IP : main (read-write): 172.31.1.143 Port : 3306 Database : wes_master Script : file  wes_master_8117.sql  trong file đính kèm Database : wes_8115 Script : file  wes_8115.sql  trong file đính kèm Câu query đánh giá là có thể ảnh hưởng đến vận hành hệ thống nên mong muốn chạy vào thời gian vận hành thấp điểm (từ 22h-2h sáng).</t>
  </si>
  <si>
    <t>2025-06-12T10:23:13.372+0700</t>
  </si>
  <si>
    <t>2025-06-16T14:08:28.619+0700</t>
  </si>
  <si>
    <t>OMC, vinid_pay</t>
  </si>
  <si>
    <t>Hi anh, nhờ anh chạy giúp em script này ở môi trường PRODUCTION theo thông tin dưới đây ạ: Thời gian chạy script: chạy luôn trong giờ, sau khi ticket được approve Thông tin database saas_tpay: mysql://pay-tidb.int.onemount.com:4000/saas_tpay Em gửi script ạ update AUTO_SETTLEMENT
set status = 'SUCCESS',
    failed_message = null,
    failed_code = null,
    ft_id = 'CHG2515303569'
where id = '5901599482028757362'; # JOINS_PRO
update AUTO_SETTLEMENT
set status = 'SUCCESS',
    failed_message = null,
    failed_code = null,
    ft_id = 'CHG2515399932'
where id = '1873949872635144581'; # HASAKI
update AUTO_SETTLEMENT
set status = 'SUCCESS',
    failed_message = null,
    failed_code = null,
    ft_id = 'CHG2515306655'
where id = '5301381636934918583'; # GOLDENGATE
update AUTO_SETTLEMENT
set status = 'SUCCESS',
    failed_message = null,
    failed_code = null,
    ft_id = 'CHG2515308822'
where id = '428629663874134431'; # VNVCMB
update AUTO_SETTLEMENT
set status = 'SUCCESS',
    failed_message = null,
    failed_code = null,
    ft_id = 'CHG2515305883'
where id = '9188574331073447827'; # SUMIBI
update FEE_MERCHANT
set effective_date_from = '2024-11-01 00:00:00.000'
where merchant_code = 'YOLA';</t>
  </si>
  <si>
    <t>OMC - CDP: Thêm cột vào f Label OMC CDP trên ODS</t>
  </si>
  <si>
    <t>2025-06-12T09:41:17.337+0700</t>
  </si>
  <si>
    <t>2025-06-13T15:36:23.913+0700</t>
  </si>
  <si>
    <t>Hi Anh Dương, Như đã nói chuyện ở ggChat Nhờ anh xem và thêm hộ em vụ sau ạ. add thêm cột tcb_customer_id ( Với type giống với customer_id), snapshot_date_parttion vào bảng f_customer_label trên ODS.  Đồng bộ lại dữ liệu. Sửa lại job đồng bộ dữ liệu. Em cảm ơn anh.</t>
  </si>
  <si>
    <t xml:space="preserve">[OMC][Loyalty MFT] VCM - Cập nhật thông tin hạn sử dụng voucher ticket </t>
  </si>
  <si>
    <t>2025-06-11T17:19:51.092+0700</t>
  </si>
  <si>
    <t>2025-06-11T17:29:23.346+0700</t>
  </si>
  <si>
    <t>Theo yêu cầu từ phía đội vận hành CR   , cần cập nhật lại thông tin hạn sử dụng voucher ticket của user, nhờ team hỗ trợ với ạ. Thông tin database - GCP project  vinid-loyalty-prod
- Instance name : onevoucher
- Instance IP : 172.31.4.126
- Database : onevc_vsm_prod Query 1. Lấy danh sách ticket id cần update SELECT
	GROUP_CONCAT(id)
FROM
	ticket
WHERE code IN (
	'3e40fd671fc74ed49bce95a33e16c50a', 'a1caed6a93504b109742db1060d60fe7',
	'cfc41dbbeaa946fcbf9a3b1c4cbf7838', '5046ec88fb0d4c8182edd883612d7ce0',
	'433a2c1700914d0bb86da2792100bde1', '69ebeccd4bc24fcfaf6ee7a39a8bdb71',
	'b8f88b76cc1c4050a24c5c75579a3948', '3c8a6ef94ba949f4a082bfc3a2cd449b',
	'7856ee4ffb8242d6aed44b9b2f9e9e2a', '94c31d9ccea943de9c473f79a5a6fec3',
	'd3a253f8aa884829a94b447f35c86e8f', '5dc11d329d384254ba667688f3b9c2d3',
	'aba6979d14e3402f824cc3c4e20acd3b', 'b6c3a34728fb48fab5359e8dd0595335'
); 2. Cập nhật trạng thái và hạn sử dụng ticket UPDATE 
    ticket
SET 
    ticket_status = 'DISTRIBUTED', expired_time = '2025-06-20 23:59:59'
WHERE 
    ticket_status = 'EXPIRED' AND id IN (&lt;ticket_ids_bước_1&gt;); 3. Cập nhật lịch sử ticket UPDATE ticket_history
SET is_latest = 1
WHERE history_type = 'DISTRIBUTED' AND ticket_id IN (&lt;ticket_ids_bước_1&gt;);
UPDATE ticket_history
SET deleted = 1
WHERE history_type = 'EXPIRED' AND ticket_id IN (&lt;ticket_ids_bước_1&gt;); Thanks.</t>
  </si>
  <si>
    <t>[PROD] [OMRE] Xin tạo kafka topic cho bảng ở MySQL</t>
  </si>
  <si>
    <t>2025-06-11T17:15:45.809+0700</t>
  </si>
  <si>
    <t>2025-06-11T18:18:26.386+0700</t>
  </si>
  <si>
    <t>Dear team DBA và anh Duân. Em hiện đang cần đồng bộ dữ liệu từ hệ thống về Dataplatform để phục vụ xử lý ticket  https://vinid-team.atlassian.net/browse/DWHV2-11629 Cụ thể,em cần tạo kafka topic cho 2 bảng . Thông tin DB và bảng như sau: Môi trường:  PROD . Host:  172.31.4.83 Port:  3306 Database:  crm_deposit Table: crm_deposit.eav_attribute_json_values Em cảm ơn các anh</t>
  </si>
  <si>
    <t>[TMS][Prod] Execute sql migration script for Golive TMS Sprint LOG S86 (11/06/2025)</t>
  </si>
  <si>
    <t>2025-06-11T16:30:38.462+0700</t>
  </si>
  <si>
    <t>2025-06-11T21:44:38.899+0700</t>
  </si>
  <si>
    <t xml:space="preserve">Nhờ team thực hiện migration sql cho các database sau: Thực hiện trước 22h ngày 11/06/2025 Databasse:  omd_tms_planning_prod (SQL instance tms-mysql-01 (Private IP: 172.31.4.129)  https://console.cloud.google.com/sql/instances/tms-mysql-01/overview?project=onedc-tms-prod ): tms-tariff-engine-v1.12.0.sql CR planning:   </t>
  </si>
  <si>
    <t>[OMC][GAMI][PS2][Prod] Hỗ trợ xuất báo cáo vé tuần cho campaign Spin to Win tuần 7</t>
  </si>
  <si>
    <t>2025-06-11T14:41:29.027+0700</t>
  </si>
  <si>
    <t>2025-06-11T14:41:40.996+0700</t>
  </si>
  <si>
    <t>Hỗ trợ xuất báo cáo vé tuần cho campaign Spin to Win tuần 7 Host:  172.31.4.75 Db:  promo_gamezone Query: SELECT SUM(claim_amount) FROM `rule_logs` WHERE campaign_id = 40 &amp;&amp; reward_type='TURN' &amp;&amp; `status` = 'SUCCESS';
SELECT COUNT(DISTINCT(user_id)) FROM `rule_logs` WHERE campaign_id = 40 &amp;&amp; reward_type='TURN' &amp;&amp; `status` = 'SUCCESS';</t>
  </si>
  <si>
    <t>[VINPAY] [NON-PROD] Hỗ trợ tạo schema database và phân quyền cho user vinidpay_reconciliation_uat</t>
  </si>
  <si>
    <t>2025-06-11T12:02:29.251+0700</t>
  </si>
  <si>
    <t>2025-06-11T12:02:50.405+0700</t>
  </si>
  <si>
    <t>Nhờ các anh DBA Hỗ trợ tạo schema database và phân quyền cho user vinidpay_reconciliation_uat trên NON-PROD giúp team ạ: Thông tin database tidb.int.onemount.dev/4000 thông tin schema Tạo thêm schemas:  vinidpay_tcb_payment_reporting Phân quyền users  vinidpay_reconciliation_uat  tương ứng với schemas: Permission: INSERT + SELECT + UPDATE + DELETE tất cả table trong schema  vinidpay_tcb_payment_reporting Permission: SELECT trên schema  vinidpay_tcb_payment_uat   vinidpay_tcb_payment_qc Mục đích: lưu trữ tạo báo cáo đẩy file giao dịch merchant cho TCB Em cảm ơn ạ</t>
  </si>
  <si>
    <t>2025-06-11T11:12:40.531+0700</t>
  </si>
  <si>
    <t>2025-06-11T11:12:54.220+0700</t>
  </si>
  <si>
    <t>Dear team DBA, để phục vụ việc gán thiếu bị cho khách hàng VVIP của TCB nhờ team run script SQL theo file đính kèm phía dưới với thông tin cụ thể như sau: Thời gian chạy script: sau khi được approve Thông tin database  saas_tpay: mysql://pay-tidb.int.onemount.com:4000/saas_tpay</t>
  </si>
  <si>
    <t xml:space="preserve">[Loyalty MFT][Prod][20250610_LE_Challenge_Release] Migrate database phục vụ xử lý concept game challenge v2 </t>
  </si>
  <si>
    <t>2025-06-11T00:57:39.614+0700</t>
  </si>
  <si>
    <t>2025-06-11T00:58:14.221+0700</t>
  </si>
  <si>
    <t>Migrate database để phục xử lý logic theo template cho concept game challenge  Hỗ trợ update migration release  CR 23h59' 10/06 Host:  172.31.4.75 DB:   promo_gamezone, promo_quest CR:    Phần migrate với MySQL # DB: promo_quest
#############################################################################################################################################
# Step1: Update campaign_values table to add new columns, drop old unique and add new unique index
# Update campaign_values table to add new columns
alter table campaign_values
    drop constraint campaign_id;
alter table campaign_values
    drop index `idx_campaign_values`;
alter table campaign_values
    add column is_finish boolean not null default false;
alter table campaign_values
    add column received_reward boolean not null default false;
alter table campaign_values
    add column mission_id varchar(255) not null default '';
alter table campaign_values
    add column customer_id varchar(255) not null default '';
alter table campaign_values
    add constraint unq_campaign_values
        unique (user_id, campaign_id, phrase_id, mission_id, rule_id);
create index idx_batch_upsert
    on `campaign_values` (user_id, campaign_id, effective_from, effective_to);
create index idx_update
    on `campaign_values` (user_id, campaign_id, phrase_id, mission_id, is_finish, received_reward);
create index idx_auto_redeem
    on `campaign_values` (user_id, campaign_id, is_finish, received_reward);
create index idx_job_redeem
    on `campaign_values` (campaign_id, is_finish, received_reward);
create index idx_campaignId_customerId
    on `campaign_values` (campaign_id, customer_id);
# Step2: Update transaction_logs_v2 table to add new columns, drop old unique and add new unique index
############################## transaction_logs_v2 ##############################
alter table transaction_logs_v2
    drop constraint unique_transaction_log_v2;
alter table transaction_logs_v2
    add column txn_key varchar(255) default 'EMPTY_TXN_KEY' not null;
create unique index unique_index_transaction_log_v2
    on transaction_logs_v2 (user_id, campaign_id, phrase_id, txn_key);
# Step3: Update campaign_progress table to add new index
alter table `campaign_progress`
    drop index `idx_isfinish_receivedreward_campaignid`;
alter table `campaign_progress`
    drop index `idx_campaign_progress`;
create index idx_auto_redeem
    on `campaign_progress` (user_id, campaign_id, is_finish, received_reward);
create index idx_update
    on `campaign_progress` (user_id, campaign_id, phrase_id, is_finish, received_reward);
create index idx_job_redeem
    on `campaign_progress` (campaign_id, is_finish, received_reward);
create index idx_campaignId_customerId
    on `campaign_progress` (campaign_id, customer_id);
# Step4: Update transaction_status table to add new columns and add new unique index
############################## transaction_status ##############################
# Update transaction_status table to add new columns and new unique index
alter table transaction_status
    add column txn_key varchar(255) default 'EMPTY_TXN_KEY' not null;
create index idx_transaction_status
    on transaction_status (user_id, campaign_id, phrase_id, txn_key, status);
# DB: promo_gamezone
# Step5: This migration updates the `phrase_type` field in the `phrases` array of the `config` JSON column
#############################################################################################################################################
DELIMITER $$
create procedure UpdateCampaignConfigJson()
BEGIN
    DECLARE done INT DEFAULT FALSE;
    declare current_id int;
    DECLARE i int default 0;
    DECLARE len int;
    DECLARE updated_data JSON;
    Declare cur cursor for select id
                           from campaigns
                           where type = 'CHALLENGE_V2'
                             and JSON_EXTRACT(campaigns.config, '$.phrases') is not null
                             and (JSON_EXTRACT(campaigns.config, '$.phrases[0].phrase_type') is null
                               or JSON_EXTRACT(campaigns.config, '$.phrases[0].phrase_type') = '');
    declare continue handler for not found set done = TRUE;
    open cur;
    read_loop:
    LOOP
        fetch cur into current_id;
        if done then
            leave read_loop;
        end if;
        select json_length(config -&gt; "$.phrases") into len from campaigns where id = current_id;
        set updated_data = (select config from campaigns where id = current_id);
        # Index for each phrase in list phrases
        set i = 0;
        while i &lt; len
            do
                set updated_data =
                        json_set(updated_data, concat('$.phrases[', i, '].phrase_type'), 'NUMBER_OF_MISSION');
                set i = i + 1;
            end while;
        update campaigns set config = updated_data where id = current_id;
    end LOOP;
    close cur;
END;
DELIMITER $$
call UpdateCampaignConfigJson();
select id
from campaigns
where type = 'CHALLENGE_V2'
  and JSON_EXTRACT(campaigns.config, '$.phrases') is not null
  and (JSON_EXTRACT(campaigns.config, '$.phrases[0].phrase_type') is null
    or JSON_EXTRACT(campaigns.config, '$.phrases[0].phrase_type') = '');
select id, code, created_at, JSON_EXTRACT(campaigns.config, '$.phrases')
from campaigns
where type = 'CHALLENGE_V2'
order by created_at desc;
drop procedure UpdateCampaignConfigJson; Phần migrate với redis Clear cache redis các dữ liệu đến campaign challenge cũ đang chạy Key:  gms_campaign_code_STICKY_JUN gms_campaign_38</t>
  </si>
  <si>
    <t>[VinPay][Production] Script tắt logic check whitelist user sử dụng tính năng TCB Direct</t>
  </si>
  <si>
    <t>2025-06-10T16:58:57.443+0700</t>
  </si>
  <si>
    <t>2025-06-10T16:59:55.792+0700</t>
  </si>
  <si>
    <t>Hi team, Nhờ các anh DBA chạy giúp em script bên dưới để mở tính năng thanh toán TCB Direct cho all user &amp; merchant Thông tin DB: 172.31.1.148:3306/pay_payment_gateway Script: có thể run luôn update SYSTEM_CONFIGURATION
set is_active = 1
where system_param_code in ('MERCHANT_CONFIG_PILOT_TCB_DIRECT', 'USER_ID_PILOT_TCB_DIRECT')</t>
  </si>
  <si>
    <t>2025-06-10T16:52:34.861+0700</t>
  </si>
  <si>
    <t>2025-06-16T14:08:20.166+0700</t>
  </si>
  <si>
    <t>Hi anh, nhờ anh chạy giúp em script này ở môi trường PRODUCTION theo thông tin dưới đây ạ: Thời gian chạy script: chạy luôn trong giờ, sau khi ticket được approve Thông tin database saas_tpay: mysql://pay-tidb.int.onemount.com:4000/saas_tpay Em gửi script ạ UPDATE SOFTPOS_TERMINAL SET status = 'INACTIVE' WHERE tcb_terminal_id = '55011457';</t>
  </si>
  <si>
    <t>[Kafka][Prod] Tạo kafka topic cho bảng vat_invoice_info của Merchant Service</t>
  </si>
  <si>
    <t>2025-06-10T12:35:44.275+0700</t>
  </si>
  <si>
    <t>2025-06-10T14:24:44.411+0700</t>
  </si>
  <si>
    <t>OM, OMD</t>
  </si>
  <si>
    <t>Dear các anh DBA, Hiện tại OMD đang có nhu cầu kéo thêm bảng register_service_config thuộc merchant_service để lấy thêm thông tin về MST cho GT, nhờ anh Linh tạo kafka topic ở môi trường PROD giúp team để kéo data về DP ạ! PROD: Project: vinid-b2b-platform-prod IP host: 172.31.1.44:3306 (mysql) Schema: merchant_service Table list: vat_invoice_info Thanks and regards! cong.do1</t>
  </si>
  <si>
    <t>2025-06-10T10:59:56.682+0700</t>
  </si>
  <si>
    <t>2025-06-10T11:07:35.483+0700</t>
  </si>
  <si>
    <t>Hi DBA team, Hiện tại Job SnapShot tồn kho của WMS đang bị lỗi, cần cập nhật Database WMS. Nhờ team DBA hỗ trợ cập nhật giá trị theo thông tin dưới đây. Project : vinid-b2b-platform-prod Instance/IP : main (read-write): 172.31.4.59 Port : 3306 Database : omd_wms_core Query INSERT INTO
    data_source_config_slave (dc_code, name, liquibase_enabled, username, password, url, driver_class_name, is_active, created_by, created_date, last_modified_by, last_modified_date, version, is_legacy)
SELECT
    'MES_SMS_001',
    'MES_SMS_001',
    true,
    username,
    password,
    url,
    driver_class_name,
    is_active,
    'System',
    now(),
    'System',
    last_modified_date,
    0,
    false
FROM
    data_source_config_slave
WHERE
    dc_code = 'MES_SMS01'; Câu query đánh giá là an toàn nên có thể thực hiện cập nhật bất kỳ lúc nào mà không ảnh hưởng đến vận hành hệ thống.</t>
  </si>
  <si>
    <t>[NON_PROD] Hỗ trợ tạo schema mới.</t>
  </si>
  <si>
    <t>2025-06-09T14:46:31.649+0700</t>
  </si>
  <si>
    <t>2025-06-09T15:58:10.609+0700</t>
  </si>
  <si>
    <t>Dear a  @Trần Trương Dương Nhờ a tạo schema và grant full quyền cho account mới giúp e với ạ. POSTGRES_HOST: "172.31.1.60"
POSTGRES_PORT: "5432"
POSTGRES_USER: mtp_audience_management
POSTGRES_DB: mtp_audience_management Thanks.</t>
  </si>
  <si>
    <t>Hỗ trợ config rule cho tất cả sale theo chính sách chấm công mới</t>
  </si>
  <si>
    <t>2025-06-09T14:12:20.071+0700</t>
  </si>
  <si>
    <t>2025-06-09T14:45:19.029+0700</t>
  </si>
  <si>
    <t>Em cần team hỗ trợ chạy query này để loại bỏ những bản ghi đang bị gắn thừa rule tính công Thông tin database: DB_MYSQL_HOST: "vinid-integration-prod--main.cloudsql.int"
DB_MYSQL_DATABASE: "sales_tools Query cần thực hiện: DELETE FROM hrm_sales_rules
WHERE id NOT IN (
    SELECT keep_id
    FROM (
             select max(id) keep_id from hrm_sales_rules group by sale_id, rule_name
         ) AS to_keep
);
delete from hrm_sales_config
WHERE id NOT IN (
    SELECT keep_id
    FROM (
             select max(id) keep_id from hrm_sales_config group by sale_id, configuration_id
         ) AS to_keep
);</t>
  </si>
  <si>
    <t>[PROD] Hỗ trợ cung cấp taì khoản TIDB</t>
  </si>
  <si>
    <t>2025-06-09T14:11:01.624+0700</t>
  </si>
  <si>
    <t>2025-06-09T17:02:49.048+0700</t>
  </si>
  <si>
    <t>Dear a  @Trần Trương Dương Nhờ a tạo account cho e truy cập vào scheme  dp_omc_semantic_omc_bsi_cdp Grant giúp em quyền write vào database với ạ. DB host :  tidb.int.onemount.dev:4000 Thanks.</t>
  </si>
  <si>
    <t>[OMC][VCM][PROD] Đồng bộ lại dữ liệu tồn của voucher</t>
  </si>
  <si>
    <t>2025-06-09T12:00:24.157+0700</t>
  </si>
  <si>
    <t>2025-06-09T12:10:18.070+0700</t>
  </si>
  <si>
    <t>Hi team. Do dữ liệu liên quan đến tồn của voucher đang bị sai nên cần update lại thông tin trên production. Câu lệnh này ko ảnh hưởng đến người dùng, có thể ngay khi được approve ạ. Link CR:    project: vincart-prod instance: main ip: 172.31.1.41 database:   vincart_mm_product Script:  UPDATE inventories SET on_hand = 7, committed = 0, updated_at = now() WHERE variant_id = 1010199 and store_id = 370288 and channel_code = 'INIT';</t>
  </si>
  <si>
    <t>Support query database</t>
  </si>
  <si>
    <t>2025-06-07T10:28:58.995+0700</t>
  </si>
  <si>
    <t>2025-06-09T14:27:12.723+0700</t>
  </si>
  <si>
    <t>ERA</t>
  </si>
  <si>
    <t>Nhờ team hỗ trợ lấy lại các data trên bảng ProjectPhase trên outsystems schema là use outsystems_prod_hr, bản ngày 3/6/2025 Chỉ lấy lại 3 dòng dựa vào câu query sau : select * from {ProjectPhase} p where p.[Id] = 807 or p.[Id] = 811 or p.[Id] = 819 internal IP DB: Internal IP address: 172.31.1.45</t>
  </si>
  <si>
    <t>[PROD] [VMM-Product]  Chạy script SQL migration</t>
  </si>
  <si>
    <t>2025-06-07T08:58:31.982+0700</t>
  </si>
  <si>
    <t>2025-06-07T10:03:42.650+0700</t>
  </si>
  <si>
    <t>Dear DBA team, Khi vận hành update Voucher không syn được về VMM. https://mail.google.com/mail/u/0/#chat/space/AAAAYuS7sjo/A37VONDj5yA/mzdSqDviMWI Lần trước có tạo ticket để chạy   https://vinid-team.atlassian.net/browse/DBA-1476?linkSource=email Do lệnh viết sai nên chưa xóa được dữ liệu duplicate. Anh có sửa lại cho lệnh. Nhờ team support chạy script cập nhật clear data duplicate trong attribute voucher. Thời gian dự kiến:  10h 00 07/06/2025 Thông tin db: IP: 172.31.1.41
DB: vincart_mm_product Script: --Backup table entity_attributes_values
create table entity_attributes_values_bk0706 like entity_attributes_values;
insert into entity_attributes_values_bk0706 select * from entity_attributes_values;
-- delete other voucher same key voucher_accepted_merchants
DELETE
FROM entity_attributes_values
WHERE id IN (SELECT id
             FROM (SELECT a.id
                   FROM entity_attributes_values a
                   WHERE a.name = 'voucher_accepted_merchants'
                     AND (a.channel_code IS NULL OR a.channel_code = '')
                     AND EXISTS (SELECT 1
                                 FROM entity_attributes_values b
                                 WHERE b.name = 'voucher_accepted_merchants'
                                   AND a.entity_id = b.entity_id
                                   and (b.channel_code = 'ONEU' OR b.channel_code = 'TCBM'))) AS sub);</t>
  </si>
  <si>
    <t>2025-06-06T17:44:11.981+0700</t>
  </si>
  <si>
    <t>2025-06-06T17:44:39.694+0700</t>
  </si>
  <si>
    <t>Hi anh, nhờ anh chạy giúp em script này ở môi trường PRODUCTION theo thông tin dưới đây ạ: Thời gian chạy script: chạy luôn trong giờ, sau khi ticket được approve Thông tin database saas_tpay: mysql://pay-tidb.int.onemount.com:4000/saas_tpay Em gửi script ạ DELETE FROM TCB_DEVICE WHERE DEVICE_ID = 'SB_MF_38_38250330317880';
DELETE FROM SOUNDBOX_DEVICE_MAPPING WHERE DEVICE_ID = 'SB_MF_38_38250330317880';</t>
  </si>
  <si>
    <t>CLONE - Xin quyền vào bảng Dremio</t>
  </si>
  <si>
    <t>2025-06-06T17:24:22.452+0700</t>
  </si>
  <si>
    <t>2025-06-06T17:24:34.297+0700</t>
  </si>
  <si>
    <t>Table view:   "tidb_ods"."omd_vinid_b2b_platform_prod_postgres_camunda_bpm_prod"."bpm_proc_log" Account :  dremio.omdbi.power-group@onemount.com Request : Team DA OMD xin quyền access query vào bảng Reason : Nhằm mục đích QC data sa trip recommendation luồng tự động</t>
  </si>
  <si>
    <t>[OMC][GAMI][PS2][Prod] Hỗ hợ truy xuất scheme, index đang chạy trên production</t>
  </si>
  <si>
    <t>2025-06-06T17:21:40.749+0700</t>
  </si>
  <si>
    <t>2025-06-06T17:21:46.454+0700</t>
  </si>
  <si>
    <t>Hỗ hợ truy xuất scheme, index đang chạy trên production. Xuất index, scheme các bảng DB sau: Host:  172.31.4.75 DB::  promo_gamezone ,  promo_mysterybox ,  promo_quest</t>
  </si>
  <si>
    <t>[OMC][PS2][Loyalty][PROD] Hotfix 06/06/2025</t>
  </si>
  <si>
    <t>2025-06-06T15:33:22.655+0700</t>
  </si>
  <si>
    <t>2025-06-06T16:00:09.697+0700</t>
  </si>
  <si>
    <t>Thực hiện hotfix luồng AE+ Nhờ team chạy script này trên PROD env của DB loyalty oracle giúp team Loyalty ạ. IP: 10.255.23.119 Service name: oneloyaltydb Port: 1521 schema app: OLOYALTY Link CR:   Thời gian thực hiện:  12h45 ngày 06/06/2025</t>
  </si>
  <si>
    <t>[OMC][GAMI][One][Prod] Hỗ trợ xuất báo cáo data sapcode của Discount</t>
  </si>
  <si>
    <t>2025-06-06T10:24:07.344+0700</t>
  </si>
  <si>
    <t>2025-06-06T10:24:12.580+0700</t>
  </si>
  <si>
    <t>Hỗ trợ xuất báo cáo data sapcode của Discount Host:  172.31.1.14 DB:  budget_service Query SELECT * FROM `participant`</t>
  </si>
  <si>
    <t>[OMD][TCB Sales App] Nhờ bổ sung thêm index cho MongoDB bảng tracking</t>
  </si>
  <si>
    <t>2025-06-05T22:45:10.486+0700</t>
  </si>
  <si>
    <t>2025-06-05T22:48:12.027+0700</t>
  </si>
  <si>
    <t xml:space="preserve">Dear team DBA, Dự án TCB Sales App có phần tracking các thay đổi dữ liệu được lưu vào mongodb, với nhu cầu query dữ liệu để hiển thị và xuất báo cáo, nên cần nhờ team DBA hỗ trợ thêm index cho field  created_at  với các thông tin như sau: DB Instance IP:  10.255.32.55 Database:  omd_tc_saleapp_prod Collection:  tsa_tracking Index field:  created_at Cám ơn anh em đã hỗ trợ ạ. CC  @Hoàng Văn Phụng  </t>
  </si>
  <si>
    <t>[OMC][PS2][Loyalty][PROD] - Thực hiện insert data yêu cầu chạy Campaign của TCB 05-06-2025</t>
  </si>
  <si>
    <t>2025-06-05T22:44:58.495+0700</t>
  </si>
  <si>
    <t>2025-06-05T22:45:57.472+0700</t>
  </si>
  <si>
    <t>Thực hiện insert data Production cho database loyalty core theo yều từ TCB, mục đích Hỗ trợ triển khai chương trình "Sinh lời trúng lớn" Nhờ team chạy script này trên PROD env của DB loyalty oracle giúp team Loyalty ạ. IP: 10.255.23.119 Service name: oneloyaltydb Port: 1521 schema app: OLOYALTY Link CR:    Thời gian thực hiện:  22h ngày 05/06/2025</t>
  </si>
  <si>
    <t>[MTP][Prod] Request support MTP golive 5/6</t>
  </si>
  <si>
    <t>2025-06-05T22:10:43.759+0700</t>
  </si>
  <si>
    <t>2025-06-06T00:07:05.934+0700</t>
  </si>
  <si>
    <t>Dear anh, Team MTP có golive lúc 10h ngày 5/6/2025. Nhờ DBA support golive cùng team, và thực hiện chạy các script sau: 1. Migration data MongoDB:  OMC-MTP-Martech DB:  martech-content-prod Step:  Backup 2 collection:  config_map  và  content_layout Chạy script file  mongodb-script.js 2. Migrate data MySQL sang Postgres: MySQL IP:  172.31.1.21:3306 . MySQL DB:  martech_ads_prod Postgres IP:  172.31.1.21:3306 . Postgres DB:  martech_campaign_prod Step: Chạy script file {{ddl-postgres.sql }}để tạo bảng cho DB Postgres Export các bảng sau từ MySQL ra định dạng CSV và gửi cho dev: campaign ad ad_set ad_set_day_parting ad_set_placement creative Dev sẽ gửi lại DBA script migration. Nhờ DBA chạy script cho Postgres</t>
  </si>
  <si>
    <t>[VINPAY][PROD][OPS PAY] Hỗ trợ cập nhật dữ liệu</t>
  </si>
  <si>
    <t>2025-06-05T18:05:03.242+0700</t>
  </si>
  <si>
    <t>2025-06-05T18:05:31.530+0700</t>
  </si>
  <si>
    <t>Dear team DBA, liên quan đến việc update thông tin ngân hàng, nhờ team hỗ trợ chạy script sql  đính kèm phía dưới để update dữ liệu tương ứng thông tin DB IP: 172.31.1.149
Database name: ops_pay_service Chạy SQL Query command: insert into BANK_CONFIG_CITAD (BANK_CODE, BANK_NAME, BANK_SHORT_NAME, CITAD, CREATED_AT)
values ('ORCOVNVX', 'Ngân hàng TMCP Phương Đông', 'OCB', '79333001', now());</t>
  </si>
  <si>
    <t>[Merchant-OM] Clean-up dữ liệu bảng vat_invoice_info</t>
  </si>
  <si>
    <t>2025-06-05T16:59:16.971+0700</t>
  </si>
  <si>
    <t>2025-06-05T17:32:34.130+0700</t>
  </si>
  <si>
    <t>Dear team, Nhờ team chạy giúp  03  câu lệnh UPDATE bên dưới ạ. Thông tin database https://console.cloud.google.com/sql/instances/main/overview?inv=1&amp;invt=Abx4jA&amp;project=vinid-merchant-prod DB_MYSQL_HOST=172.31.1.44
DB_MYSQL_DATABASE=merchant_service Câu lệnh update 1 UPDATE
	vat_invoice_info
	INNER JOIN merchant ON vat_invoice_info.merchant_id = merchant.id
SET
	vat_invoice_info.tax_code = '',
	vat_invoice_info.updated_at = '2025-06-05 07:00:00'
WHERE (vat_invoice_info.tax_code = '1234567890'
	OR LENGTH(vat_invoice_info.tax_code)
	NOT IN(0, 10, 13, 14))
AND merchant.merchant_type = 3
AND vat_invoice_info.deleted_at IS NULL; update 2 UPDATE
	vat_invoice_info
	INNER JOIN merchant ON vat_invoice_info.merchant_id = merchant.id
SET
	vat_invoice_info.email = '',
	vat_invoice_info.updated_at = '2025-06-05 08:00:00'
WHERE
	vat_invoice_info.email IN('kinhdoanh.1mg@gmail.com', 'hienvu050783@gmail.comcó thể điền hoặc không', 'Material-Management@jbf-vn.com', 'kinhdoanh1mg@gmail.com', 'kinhdoanh.1mg@mail.com', 'Kinhdoanh.1@gmail.com', 'kiinhdoanh.1mg@gmail.com', 'kinhdoanh.01mg@gmail.com', 'Tranhuyhung123@gmail.com', 'Kinhdoanh.1mg@gmail.con', 'kinhdoanh1@gmail.com', 'tranhuyhung12345@gmail.com', '/kinhdoanh.1mg@gmail.com', 'Kinhdoanh.mg@gmail.com', 'Kinhdoanh.1mg@gnail.com', 'kinhdoanh.1mg@gmai.com', 'kinhdoanh1.mg@gmail.com', 'kinhdanh.1mg@gmail.com', 'kinhdoang.1mg@gmail.com', 'kkinhdoanh.1mg@gmail.com', 'kinhdovanh.1mg@gmail.com', 'kinhdoanh@gmail.com')
	AND merchant.merchant_type = 3
	AND vat_invoice_info.deleted_at IS NULL; update 3 UPDATE
	webhook_register
SET
	deleted_at = '2025-06-05 07:00:00'
WHERE
	event IN('MerchantUpdatedEvent', 'StoreUpdatedEvent');</t>
  </si>
  <si>
    <t>[OMC][DP][Kafka][PROD] Hỗ trợ tạo kafka topic cho các bảng TiDB</t>
  </si>
  <si>
    <t>2025-06-05T16:58:41.299+0700</t>
  </si>
  <si>
    <t>2025-07-04T18:15:53.160+0700</t>
  </si>
  <si>
    <t xml:space="preserve">Dear anh  @Trần Trương Dương  , Phục vụ chuyển đổi luồng đồng bộ dữ liệu TiDB từ migrate sang CDC. Nhờ anh tạo kafka topic cho các bảng sau Host DB Name Tables omc-mtp-tidb.int.onemount.com:4000 omc_mtp_martech_activation mtp_tracking_email_events mtp_tracking_email_notifications mtp_tracking_fcm_messages mtp_ads_events mtp_push_events mtp_tracking_push_notifications omc-mtp-tidb.int.onemount.com:4000 omc_mtp_tracking_events mtp_tracking_event_sessions mtp_tracking_events_context_omc mtp_tracking_events_omc omd-tidb.int.onemount.com:4000 omd_cdp_data_from_mtp mtp_tracking_events_context_omd mtp_tracking_events_omd * omc-mtp-tidb.int.onemount.com:4000 omre_mtp_tracking_events mtp_tracking_events_context_omre mtp_tracking_events_omre Em cảm ơn ạ. cc anh  @Lê Minh Tú   @Lưu Văn Hiếu   @Nguyễn Cao Bảo  </t>
  </si>
  <si>
    <t>Xin cấp tài khoản read only db service platform dcp-high-2</t>
  </si>
  <si>
    <t>2025-06-05T16:51:12.407+0700</t>
  </si>
  <si>
    <t>2025-06-06T11:19:30.177+0700</t>
  </si>
  <si>
    <t>Dear team DBA, Để tiện hỗ trợ các issue liên quan đến off ví Vinid Pay trên production . Team mong muốn tạo ra 1 tài khoản readonly trên database để tiện xử lý. Thông tin database: Project: vinid-service-platform-prod IP: 172.31.4.55 Port: 3306 Read all tables trong các database thuộc Host này Em cảm ơn ạ.</t>
  </si>
  <si>
    <t>[VinPay][ops_pay_service][PROD] Tạo Tài khoản quyền read only trên db ops_pay_service</t>
  </si>
  <si>
    <t>2025-06-05T16:26:23.733+0700</t>
  </si>
  <si>
    <t>2025-06-05T16:26:35.511+0700</t>
  </si>
  <si>
    <t>Dear DBA team, Để tiện hỗ trợ các issue trên production của domain OPS Pay. Dev team mong muốn tạo ra 1 tài khoản readonly trên database  ops_pay_service  để tiện xử lý.  Thông tin database: Instance ID:  https://console.cloud.google.com/sql/instances/low-performance/overview?authuser=1&amp;hl=en&amp;inv=1&amp;invt=AbzSkQ&amp;project=vinpay-prod Database name:  ops_pay_service username:  ops_pay_service_read read all tables trong các database thuộc Host này never expire</t>
  </si>
  <si>
    <t>[Vinpay][PROD][TCB_DIRECT] Hỗ trợ QC xoá token lỗi luồng TCB direct</t>
  </si>
  <si>
    <t>2025-06-05T16:21:59.389+0700</t>
  </si>
  <si>
    <t>2025-06-05T16:22:07.659+0700</t>
  </si>
  <si>
    <t>Em có script xóa token liên kết thẻ bị lỗi trên PROD ạ Các anh DBA chạy giúp em  sau khi được approve Thông tin  Database:  172.31.1.148:3306/pay_payment_gateway</t>
  </si>
  <si>
    <t>2025-06-05T14:19:41.638+0700</t>
  </si>
  <si>
    <t>2025-06-05T14:20:16.359+0700</t>
  </si>
  <si>
    <t>Dear team DBA, Theo thread trao đổi: https://chat.google.com/room/AAAAbcTWvJQ/WZEQeTI_wvk/WZEQeTI_wvk?cls=10 Hiện user bị gãy luồng, nên team cần thực hiện update record để đảm bảo luồng của user Case này thực hiện đổi sdt 0762602222 -&gt; 0982010286 vào 31/3, 
Lúc này bên CP - Link Account chưa lên phần deactive khi thực hiện đổi sdt. Nhờ team thực hiện query: Instance ID:  https://console.cloud.google.com/sql/instances/postgres-01/overview?authuser=1&amp;project=vinid-service-platform-prod Database name:  sp_postgres_link_account Câu lệnh SQL: UPDATE linkages SET active = false
WHERE user_id = 136912</t>
  </si>
  <si>
    <t>[Merchant-OM] Cập nhật thông tin bảng webhook_register</t>
  </si>
  <si>
    <t>2025-06-05T11:51:07.061+0700</t>
  </si>
  <si>
    <t>2025-06-05T14:38:00.475+0700</t>
  </si>
  <si>
    <t>Dear team,   Do team Merchant cần trigger đồng bộ dữ liệu merchant cho B2B-core, để tránh spam tới hệ thống sử dụng webhook, nhờ team tạm thời disable các webhook này ạ  (update 1) Sau khi team Merchant chạy xong, nhờ team chạy câu lệnh  update 2  để active lại webhook ạ. Thời điểm thực hiện:  14h30 Thông tin database https://console.cloud.google.com/sql/instances/main/overview?inv=1&amp;invt=Abx4jA&amp;project=vinid-merchant-prod DB_MYSQL_HOST=172.31.1.44
DB_MYSQL_DATABASE=merchant_service Câu lệnh update 1 UPDATE webhook_register
SET deleted_at = '2025-06-05 07:00:00'
WHERE event IN ('MerchantUpdatedEvent', 'StoreUpdatedEvent'); update 2 UPDATE webhook_register
SET deleted_at = null 
WHERE deleted_at = '2025-06-05 07:00:00';</t>
  </si>
  <si>
    <t>[TMS][Prod] Execute sql migration script for Hotfix TMS Sprint LOG S86 (05/06/2025)</t>
  </si>
  <si>
    <t>2025-06-05T11:09:08.715+0700</t>
  </si>
  <si>
    <t>2025-06-05T11:17:24.259+0700</t>
  </si>
  <si>
    <t>Nhờ team thực hiện migration sql cho các database sau: Thực hiện trước 11h02 ngày 05/06/2025 Database  bytm_prod  (Oracle instance on GCE oracle-primary (Private IP: 10.255.24.170) (see attachments) (theo thứ tự) tms-data-proxy-v1.15.0.sql Database  omd_tms_planning_prod  (SQL instance tms-mysql-01 (Private IP: 172.31.4.129)  https://console.cloud.google.com/sql/instances/tms-mysql-01/overview?project=onedc-tms-prod ) (see attachments) tms-approval-engine-v1.0.0.sql</t>
  </si>
  <si>
    <t>[VINPAY] [SOFTPOS] Migrate dữ liệu báo cáo dashboard chỉ số tài chính/phi tài chính cho tháng 1-3/2025</t>
  </si>
  <si>
    <t>2025-06-04T17:29:48.395+0700</t>
  </si>
  <si>
    <t>2025-06-04T17:30:04.131+0700</t>
  </si>
  <si>
    <t>Hi anh,   Nhờ a chạy migrate data cho báo cáo dashboard chỉ số tài chính/phi tài chính cho tháng 1-3/2025 ạ. Thông tin database:  pay-tidb.int.onemount.com:4000/saas_tpay Tạo bảng  DASHSBOARD_SOFTPOS_BACKUP  để backup data từ bảng  DASHSBOARD_SOFTPOS  gốc Chạy script migrate data bảng  DASHSBOARD_SOFTPOS  từ schema  dba_team  sang  saas_tpay  như bên dưới Chạy với khoảng thời gian 2 ngày ( 1-2/01/2025 ) để tester kiểm tra tính chính xác:  "DATE" &gt;= '2025-01-01' AND "DATE" &lt;= '2025-01-02' Chạy với khoảng thời gian còn lại sau khi tester báo kết quả:  "DATE" &gt;= '2025-01-03' AND "DATE" &lt;= '2025-03-31' -- Insert non finance metric
INSERT INTO "tidb_ods".saas_tpay.DASHBOARD_SOFTPOS
(
    "DATE",
    report_type,
    merchant,
    txn_type,
    txn_channel,
    tcb_merchant_id,
    tcb_store_id,
    tcb_terminal_id,
    mcc,
    "branch",
    "area",
    "count",
    "error",
    amount,
    detail,
    tqr_detail
)
SELECT "DATE",
       report_type,
       merchant,
       txn_type,
       txn_channel,
       tcb_merchant_id,
       tcb_store_id,
       tcb_terminal_id,
       mcc,
       "branch",
       "area",
       "count",
       "error",
       amount,
       detail,
       tqr_detail
FROM "tidb_ods".dba_team.DASHBOARD_SOFTPOS d
WHERE REPORT_TYPE = 'Tqr-Non-Finance'
  AND d.txn_type = 'QR'
  AND NOT EXISTS (SELECT 1
                  FROM "tidb_ods".saas_tpay.DASHBOARD_SOFTPOS b
                  WHERE d."DATE" = b."DATE"
                    AND d.MERCHANT = b.MERCHANT
                    AND d.TCB_MERCHANT_ID = b.TCB_MERCHANT_ID
                    AND d.TCB_STORE_ID = b.TCB_STORE_ID
                    AND d.TCB_TERMINAL_ID = b.TCB_TERMINAL_ID
                    AND d.REPORT_TYPE = b.REPORT_TYPE
                    AND d.TXN_TYPE = b.TXN_TYPE)
  AND "DATE" &gt;= '2025-01-01'
  AND "DATE" &lt;= '2025-03-31'
;
-- [Finance metric] insert records found in splunk but not exists db transactions
INSERT INTO "tidb_ods".saas_tpay.DASHBOARD_SOFTPOS
(
    "DATE",
    report_type,
    merchant,
    txn_type,
    txn_channel,
    tcb_merchant_id,
    tcb_store_id,
    tcb_terminal_id,
    mcc,
    "branch",
    "area",
    "count",
    "error",
    amount,
    detail,
    tqr_detail
)
SELECT "DATE",
       report_type,
       merchant,
       txn_type,
       txn_channel,
       tcb_merchant_id,
       tcb_store_id,
       tcb_terminal_id,
       mcc,
       "branch",
       "area",
       "count",
       "error",
       amount,
       detail,
       tqr_detail
FROM "tidb_ods".dba_team.DASHBOARD_SOFTPOS d
WHERE REPORT_TYPE IS NULL
  AND d.txn_type = 'QR'
  AND NOT EXISTS (SELECT 1
                  FROM "tidb_ods".saas_tpay.DASHBOARD_SOFTPOS b
                  WHERE d."DATE" = b."DATE"
                    AND d.MERCHANT = b.MERCHANT
                    AND d.TCB_MERCHANT_ID = b.TCB_MERCHANT_ID
                    AND d.TCB_STORE_ID = b.TCB_STORE_ID
                    AND d.TCB_TERMINAL_ID = b.TCB_TERMINAL_ID
                    AND d.TXN_CHANNEL = b.TXN_CHANNEL
                    AND REPORT_TYPE IS NULL
                    AND d.txn_type = b.txn_type)
  AND "DATE" &gt;= '2025-01-01'
  AND "DATE" &lt;= '2025-03-31'
;
-- [Finance metric] update splunk errors to records have db transactions
UPDATE "tidb_ods".saas_tpay.DASHBOARD_SOFTPOS d
    JOIN "tidb_ods".dba_team.DASHBOARD_SOFTPOS b
    ON d."DATE" = b."DATE"
        AND d.MERCHANT = b.MERCHANT
        AND d.TCB_MERCHANT_ID = b.TCB_MERCHANT_ID
        AND d.TCB_STORE_ID = b.TCB_STORE_ID
        AND d.TCB_TERMINAL_ID = b.TCB_TERMINAL_ID
        AND d.TXN_CHANNEL = b.TXN_CHANNEL
        AND B.REPORT_TYPE IS NULL
SET d.tqr_detail =
        JSON_SET(d.tqr_detail,
                 '$.noti_lt400', JSON_EXTRACT(b.tqr_detail, '$.noti_lt400'),
                 '$.noti_gte400lt1', JSON_EXTRACT(b.tqr_detail, '$.noti_gte400lt1'),
                 '$.noti_gte1lt3', JSON_EXTRACT(b.tqr_detail, '$.noti_gte1lt3'),
                 '$.noti_gte3', JSON_EXTRACT(b.tqr_detail, '$.noti_gte3')
        )
WHERE d.REPORT_TYPE IS NULL
  AND d.txn_type = 'QR'
  AND (JSON_EXTRACT(D.tqr_detail, '$.noti_lt400') &lt;&gt; JSON_EXTRACT(b.tqr_detail, '$.noti_lt400')
    OR JSON_EXTRACT(D.tqr_detail, '$.noti_gte400lt1') &lt;&gt; JSON_EXTRACT(b.tqr_detail, '$.noti_gte400lt1')
    OR JSON_EXTRACT(D.tqr_detail, '$.noti_gte1lt3') &lt;&gt; JSON_EXTRACT(b.tqr_detail, '$.noti_gte1lt3')
    OR JSON_EXTRACT(D.tqr_detail, '$.noti_gte3') &lt;&gt; JSON_EXTRACT(b.tqr_detail, '$.noti_gte3')
    )
  AND d."DATE" &gt;= '2025-01-01'
  AND d."DATE" &lt;= '2025-03-31'
; Em cảm ơn ạ</t>
  </si>
  <si>
    <t>[VinID Pay] [Ewallet] Script bật thông báo đóng ví</t>
  </si>
  <si>
    <t>2025-06-04T17:28:11.376+0700</t>
  </si>
  <si>
    <t>2025-06-04T17:29:06.885+0700</t>
  </si>
  <si>
    <t>EWALLET</t>
  </si>
  <si>
    <t>Em có script luồng đóng ví ạ. Các anh DBA chạy giúp em  ngay sau khi approve Thông tin  Database:   10.255.24.152:1521/ewallet</t>
  </si>
  <si>
    <t>[OMC][Link Account] [Prod] Thực hiện inactive thông tin Link Account cho tài khoản thay đổi số điện thoại theo yêu cầu hỗ trợ phía TCB</t>
  </si>
  <si>
    <t>2025-06-04T17:21:31.865+0700</t>
  </si>
  <si>
    <t>2025-06-04T17:24:08.560+0700</t>
  </si>
  <si>
    <t>[OMC][Link Account] [Prod] Thực hiện inactive thông tin Link Account cho tài khoản thay đổi số điện thoại theo yêu cầu hỗ trợ phía TCB Dear team DBA, Theo thread trao đổi: https://chat.google.com/room/AAAAbcTWvJQ/ZKfjJquNows/ZKfjJquNows?cls=10 Hiện user bị gãy luồng, nên team cần thực hiện update record để đảm bảo luồng của user TH1: User thực hiện đổi số điện thoại từ 0947649108 (tcb_loyalty_id = 1014828986) sang 0903227178 bên phía TCB.
Do trên hệ thống đổi số điện thoại của TCB, không thực hiện inactive thông tin Link Account nữa. 
Vì vậy, thông tin loyalty_id của user vẫn gắn với số điện thoại cũ, dẫn đến khách hàng không thao tác được và báo lỗi. Nhờ team thực hiện query: Instance ID:  https://console.cloud.google.com/sql/instances/postgres-01/overview?authuser=1&amp;project=vinid-service-platform-prod Database name:  sp_postgres_link_account Câu lệnh SQL: UPDATE linkages SET active = false
WHERE partner_customer_id = 1014828986</t>
  </si>
  <si>
    <t>2025-06-04T15:50:51.938+0700</t>
  </si>
  <si>
    <t>2025-06-04T15:51:16.420+0700</t>
  </si>
  <si>
    <t>Hi anh, nhờ anh chạy giúp em script này ở môi trường PRODUCTION theo thông tin dưới đây ạ: Thời gian chạy script: chạy luôn trong giờ, sau khi ticket được approve Thông tin database saas_tpay: mysql://pay-tidb.int.onemount.com:4000/saas_tpay Em gửi script ạ DELETE FROM TCB_DEVICE WHERE device_serial_number = 'V9E0597703';
DELETE FROM TCB_DEVICE_HISTORY WHERE device_serial_number = 'V9E0597703';
DELETE FROM SMARTPOS_DEVICE_MAPPING WHERE device_serial_number = 'V9E0597703';
DELETE FROM SMARTPOS_DEVICE_MAPPING_HISTORY WHERE device_serial_number = 'V9E0597703';</t>
  </si>
  <si>
    <t>[PROD]Xin cấp quyền view cho database tidb_ods trên dremio</t>
  </si>
  <si>
    <t>2025-06-04T13:59:28.041+0700</t>
  </si>
  <si>
    <t>2025-06-04T13:59:51.281+0700</t>
  </si>
  <si>
    <t>Hi team DBA, Để phục vụ mục đích để check dữ liệu trên production khi golive, nhờ team cấp quyền tương ứng với thông tin cụ thể: Account:  quy.nguyen3@onemount.com Database:  tidb_ods Schema:  saas_tpay</t>
  </si>
  <si>
    <t>[MTP][Prod][MySQL] Request export data</t>
  </si>
  <si>
    <t>2025-06-04T12:23:05.582+0700</t>
  </si>
  <si>
    <t>2025-06-04T14:23:37.853+0700</t>
  </si>
  <si>
    <t>Dear anh, Ngày 5/6 bên em có release golive:   . Trong golive này có bước migration data từ MySQL sang PostgreSQL. Do schema của bảng ở PostgreSQL đang thiết kế khác so với MySQL, nên phía MTP cần thêm 1 bước transform data sang cấu trúc mới. Flow migration đầy đủ như sau: DBA export MySQL data định dạng csv → MTP transform logic → PostgreSQL insert statement → DBA execute insert script Logic transform đã test ok với data non-prod rồi, và em muốn test trước thao tác export + logic transform với data prod, đảm bảo logic transform chạy đúng với data prod. Nên nhờ anh export theo thông tin sau ạ: IP:  172.31.1.21:3306 DB:  martech_ads_prod Định dạng export: CSV (có header là column name) Bảng cần export: campaign creative ad ad_set ad_set_placement ad_set_day_parting</t>
  </si>
  <si>
    <t>[Vinpay][PROD] Hỗ trợ chạy script xoá giao dịch bị duplicate</t>
  </si>
  <si>
    <t>2025-06-04T11:06:12.213+0700</t>
  </si>
  <si>
    <t>2025-06-04T11:06:22.219+0700</t>
  </si>
  <si>
    <t>Nhờ các anh DBA chạy giúp em script bên dưới để xoá bản ghi duplicate bị ghi vào hệ thống do lỗi check trùng giao dịch Thông tin DB: pay-tidb.int.onemount.com:4000/saas_tpay Script:  DELETE FROM TRANSACTION_DETAIL WHERE id='aaba2026ed1549a38e276cc92b472920'</t>
  </si>
  <si>
    <t>2025-06-04T11:01:09.772+0700</t>
  </si>
  <si>
    <t>2025-06-04T11:01:19.929+0700</t>
  </si>
  <si>
    <t>Hi anh, nhờ anh chạy giúp em script này ở môi trường PRODUCTION theo thông tin dưới đây ạ: Thời gian chạy script: chạy luôn trong giờ, sau khi ticket được approve Thông tin database saas_tpay: mysql://pay-tidb.int.onemount.com:4000/saas_tpay Em gửi script ạ alter table TCB_DEVICE add index idx_tcb_device_hub_id (device_hub, device_id);
alter table SOUNDBOX_DEVICE_SALES add index idx_sales_status_id_sales (status, device_id, device_sales);</t>
  </si>
  <si>
    <t>[Salestools][NonProd] Kéo dữ liệu whitelist router box từ dp về ods để hiển thị lên app 1SEAL</t>
  </si>
  <si>
    <t>2025-06-04T10:06:20.781+0700</t>
  </si>
  <si>
    <t>2025-10-10T14:19:39.014+0700</t>
  </si>
  <si>
    <t>Như trao đổi trong thread:  https://chat.google.com/room/AAAAAvPhVMg/Q9R4CdJoi8E/g7hKXfgmhy0?cls=10 Team cần kéo dữ liệu về ODS để hiển thị dữ liệu lên app 1SEAL Source: dp.omd.application."dbt_dremio"."rtb_whitelist_sa_visit" Destination: omd_salestools_dp.rtb_whitelist_sa_visit Cấp quyền cho user: omd_salestools_1seal_read</t>
  </si>
  <si>
    <t xml:space="preserve">Hỗ trợ tạo dữ liệu mở mới kho MES_SMS_001 </t>
  </si>
  <si>
    <t>2025-06-03T21:55:51.516+0700</t>
  </si>
  <si>
    <t>2025-06-03T22:07:51.886+0700</t>
  </si>
  <si>
    <t>Hi DBA team, Hiện tại nghiệp vụ có nhu cầu mở mới kho MES_SMS_001,  nhờ team DBA hỗ trợ cập nhật giá trị theo thông tin dưới đây. Project : vinid-b2b-platform-prod Instance/IP : main (read-write): 172.31.4.59 Port : 3306 Database : omd_wms_core Query # INSERT DATA_SOURCE_CONFIG
INSERT INTO
	data_source_config (`dc_code`, `name`, `liquibase_enabled`, `username`, `password`, `url`, `driver_class_name`, `is_active`, `created_by`, `created_date`, `last_modified_by`, `last_modified_date`, `version`, `is_legacy`)
SELECT
	'MES_SMS_001',
	'MES_SMS_001',
	true,
	username,
	password,
	url,
	driver_class_name,
	is_active,
	'System',
	now(),
	'System',
	last_modified_date,
	0,
    false
FROM
	data_source_config
WHERE
	dc_code = 'MES_SMS01';
# INSERT BASE_ORG
INSERT INTO 
base_org (`org_name`, `description`, `created_by`, `created_date`, `last_modified_by`, `last_modified_date`, `is_active`, `version`) 
VALUE ('MES_SMS_001', 'MES_SMS_001', 'System', now(), 'System', now(), b'1', 0);
# INSERT BASE_DC
INSERT INTO base_dc (`dc_code`,`dc_name`, `description`,`dc_type`, `created_by`,`created_date`,`last_modified_by`,`last_modified_date`,`is_active`,`version`,`org_id`)
VALUES
('MES_SMS_001', 'MES_SMS_001', 'NPP Tuấn Anh BP', 'SUPPLIER',  'System', now(),  'System', now(), b'1', 0, (select org_id from base_org where org_name = 'MES_SMS_001') );
# INSERT GEN CONFIG
INSERT INTO gen_config (created_by, created_date, in_act_by, in_act_time, is_active, last_modified_by, last_modified_date, uuid, VERSION, current_no, dc_code, end_no, key_code, prefix, start_no, suffix, total_length)
SELECT 'System',
       now(),
       in_act_by,
       in_act_time,
       is_active,
       'System',
       now(),
       uuid,
       0,
       0,
       'MES_SMS_001',
       end_no,
       key_code,
       REPLACE(prefix, 'SMS01', 'SMS001'),
       0,
       REPLACE(suffix, 'SMS01', 'SMS001'),
       total_length
FROM gen_config
WHERE dc_code = 'MES_SMS01';
# INSERT RESTRICTION
INSERT INTO restriction (key_restriction, value_restriction, user_id, role_id, is_active, created_by, last_modified_by, created_date, last_modified_date)
SELECT
    'DC',
    'MES_SMS_001',
    u.id,
    r.id,
    TRUE,
    'system',
    'system',
    UTC_TIMESTAMP,
    UTC_TIMESTAMP
FROM
    role r
    JOIN user u
WHERE
    r.code = 'WES_R_SUPERADMIN'
    AND u.user_name IN ('phuonghd1@onemount.com', 'thien.hoang1@onemount.com', 'hoang.dau@onemount.com');   Project : vinid-b2b-platform-prod Instance/IP : main (read-write): 172.31.4.59 Port : 3306 Database : wes_master Query # INSERT DATA_SOURCE_CONFIG
INSERT INTO
	data_source_config (`name`, `liquibase_enabled`, `username`, `password`, `url`, `driver_class_name`, `created_by`, `created_date`, `last_modified_by`, `last_modified_date`, `is_legacy`)
SELECT
	'MES_SMS_001',
	true,
	username,
	password,
	url,
	driver_class_name,
	'System',
	now(),
	'System',
	last_modified_date,
    false
FROM
	data_source_config
WHERE
	name = 'MES_SMS01';
# INSERT WAREHOUSE
INSERT INTO warehouse (created_by, created_date, last_modified_by, last_modified_date, code, name,
                                  data_source_config_id)
VALUES ('System', now(),  'System', now(), 'MES_SMS_001', 'MES_SMS_001', (select id from data_source_config where name = 'MES_SMS_001')); Câu query đánh giá là có thể ảnh hưởng đến vận hành hệ thống nên mong muốn chạy vào thời gian vận hành thấp điểm (từ 22h-2h sáng).</t>
  </si>
  <si>
    <t>2025-06-03T20:24:17.324+0700</t>
  </si>
  <si>
    <t>2025-06-03T20:24:47.201+0700</t>
  </si>
  <si>
    <t>Hi anh, nhờ anh chạy giúp em script dưới file sau ở môi trường PRODUCTION theo thông tin chạy dưới đây: Thời gian chạy script: sau khi được approve Thông tin database saas_tpay: mysql://pay-tidb.int.onemount.com:4000/saas_tpay</t>
  </si>
  <si>
    <t>[PROD] Tác động database Tpay</t>
  </si>
  <si>
    <t>2025-06-03T20:23:50.741+0700</t>
  </si>
  <si>
    <t>2025-06-05T10:17:22.548+0700</t>
  </si>
  <si>
    <t>Hi anh, nhờ anh chạy giúp em script này ở môi trường PRODUCTION theo thông tin dưới đây ạ: Thời gian chạy script: chạy luôn trong giờ, sau khi ticket được approve Thông tin database saas_tpay: mysql://pay-tidb.int.onemount.com:4000/saas_tpay Em gửi script ạ update AUTO_SETTLEMENT set charge_code = 'DN15727' where id IN ('8030959273230595069', '5024771053517719631');
update AUTO_SETTLEMENT set status = 'SUCCESS', failed_message = null, failed_code = null, ft_id = 'CHG2515300367' where id = '2523023886713936115';</t>
  </si>
  <si>
    <t xml:space="preserve">[OMRE][Agent] Bật cấu hình force update </t>
  </si>
  <si>
    <t>2025-06-03T18:03:26.800+0700</t>
  </si>
  <si>
    <t>2025-06-03T18:07:38.641+0700</t>
  </si>
  <si>
    <t>AgentPlatform, Agent_App</t>
  </si>
  <si>
    <t xml:space="preserve">Nhờ DBA chạy giúp em câu lệnh này để cập nhật version force update cho Agent app nhé ! Thời gian: 17:00 03/06/2025 INSERT INTO mobile_application_versions (version, force_update_condition, force_update_message, warning_update_condition, warning_update_message, create_by, update_by, create_time, update_time, is_supporting, application) VALUES ('1.50.3', 'true', 'all users must update to 1.50.3', 'false', '', NULL, NULL, CURRENT_TIMESTAMP, CURRENT_TIMESTAMP, '1', 'ProAgentApp')   Thông tin DB : HOST = " 172.31.4.83 " PORT = 3306 DATABASE = "agent-platform" CR Link:  https://vinid-team.atlassian.net/servicedesk/customer/portal/15/SH-65180?created=true Release Plan:   </t>
  </si>
  <si>
    <t>[OMC][GAMI][PS2][Prod] Hỗ trợ xuất báo cáo vé tuần cho campaign Spin to Win</t>
  </si>
  <si>
    <t>2025-06-03T11:47:38.381+0700</t>
  </si>
  <si>
    <t>2025-06-03T11:47:43.042+0700</t>
  </si>
  <si>
    <t>Hỗ trợ xuất báo cáo vé tuần cho campaign Spin to Win cho 5 tuần theo yêu cầu đối soát từ TCB Tuần 6: SELECT SUM(claim_amount) FROM `rule_logs` WHERE campaign_id = 39 &amp;&amp; reward_type='TURN' &amp;&amp; `status` = 'SUCCESS';
SELECT COUNT(DISTINCT(user_id)) FROM `rule_logs` WHERE campaign_id = 39 &amp;&amp; reward_type='TURN' &amp;&amp; `status` = 'SUCCESS';</t>
  </si>
  <si>
    <t>Yêu cầu cấp tài khoản READ cho các schema của CDP PROD ạ</t>
  </si>
  <si>
    <t>2025-06-03T11:21:27.932+0700</t>
  </si>
  <si>
    <t>2025-06-03T12:13:06.591+0700</t>
  </si>
  <si>
    <t>PROD: host-port:  omd-tidb.int.onemount.com:4000 SCHEMA DB: omd_cdp_orchestration omd_cdp_data_from_dp omd_cdp_data_from_ingest omd_cdp_data_from_mtp Nhờ các a DBA tạo mới giúp em account  omd_cdp_read_only  có quyền truy vấn vào các schema trên của Dự án CDP để thuận tiện trong việc xử lý sự vụ và maintain ạ. Em cảm ơn</t>
  </si>
  <si>
    <t>[Vinpay][Prod][PGW] Support NCO test luồng tích hợp TCB direct x PGW</t>
  </si>
  <si>
    <t>2025-06-03T00:23:20.886+0700</t>
  </si>
  <si>
    <t>2025-06-03T00:23:29.492+0700</t>
  </si>
  <si>
    <t>Hi anh Em có script support NCO test luồng tích hợp TCB direct x PGW ạ, nhờ anh chạy giúp em với ạ Thông tind database: 172.31.1.148:3306/pay_payment_gateway Script: update SYSTEM_CONFIGURATION
set system_param_name = 'VINID08-SVIN08-PVIN08,GOLDENGATE-540-540,TCBLOYALTY-CVU-CVUXU,VINTICKET-TESTTICKET-TESTTICKET'
where system_configuration_id = 15;
update SYSTEM_CONFIGURATION
set system_param_name = '921183,8410315,215348,6394863,4979923,12600406,11374836,12575808,12601772,13444997,4107396,11803190'
where system_configuration_id = 14;</t>
  </si>
  <si>
    <t>[Prod][SalesTools] Update dữ liệu dư thừa xử lý khiếu nại SA</t>
  </si>
  <si>
    <t>2025-06-02T17:20:59.526+0700</t>
  </si>
  <si>
    <t>2025-06-02T17:27:59.604+0700</t>
  </si>
  <si>
    <t>Do nguyên nhân kết nối với MP không ổn định nên không onboard đc merchant, cần update để chạy lại thông tin onboard: update gts_profiles set deleted_at = now() where id = 472134; MYSQL_USERNAME: "sales_tools"
MYSQL_HOST: "172.31.1.126"
MYSQL_PORT: "3306"
MYSQL_DATABASE: "sales_tools"</t>
  </si>
  <si>
    <t>[VINIDPAY][TPAY][SOUNDBOX] Update dữ liệu bảng SOUNDBOX_DEVICE_SALES</t>
  </si>
  <si>
    <t>2025-06-02T15:23:53.120+0700</t>
  </si>
  <si>
    <t>2025-06-02T15:24:16.448+0700</t>
  </si>
  <si>
    <t>Hiện tại em cần update data trên prod bảng  SOUNDBOX_DEVICE_SALES , nhờ các anh chạy giúp em, Thông tin database  saas_tpay: jdbc:mysql:// pay-tidb.int.onemount.com:4000/saas_tpay UPDATE SOUNDBOX_DEVICE_SALES t SET t.status = 'INACTIVE' WHERE t.ID = 10656 AND t.DEVICE_ID LIKE 'SB_MF_38_38250321900950';
UPDATE SOUNDBOX_DEVICE_SALES t SET t.status = 'INACTIVE' WHERE t.ID = 17529 AND t.DEVICE_ID LIKE 'SB_MF_38_38250330316535';
UPDATE TCB_DEVICE SET device_hub_code = 'INT', device_hub = 'Internal Usage' WHERE device_id = 'SB_MF_38_OM380000000066'; Thanks mn,</t>
  </si>
  <si>
    <t>[OMC][PS2][Loyalty][PROD] - Thực hiện release sản phẩm theo kế hoạch 31/05/2025</t>
  </si>
  <si>
    <t>2025-05-31T23:30:40.169+0700</t>
  </si>
  <si>
    <t>2025-06-01T00:29:39.798+0700</t>
  </si>
  <si>
    <t>Thực hiện insert data Production cho database loyalty core theo release sản phẩm theo kế hoạch. Link CR:    Nhờ team chạy script này trên PROD env của DB loyalty oracle giúp team Loyalty ạ. IP: 10.255.23.119 Service name: oneloyaltydb Port: 1521 schema app: OLOYALTY Giờ thực hiện: chạy khi có yêu cầu của dev (sau 23h ngày 31/05/2025)</t>
  </si>
  <si>
    <t>[VINSHOP] Revoke sessions trên môi trường PROD</t>
  </si>
  <si>
    <t>2025-05-31T19:47:02.848+0700</t>
  </si>
  <si>
    <t>2025-05-31T19:52:02.076+0700</t>
  </si>
  <si>
    <t>UNKNOWN</t>
  </si>
  <si>
    <t>Dear a Linh, Do VinShop có yêu cầu force logout all devices trên môi trường  PROD  nên muốn revoke all sessions để user có thể update lên latest app version bằng câu lệnh bên dưới UPDATE user_authenticate SET is_active = false Thông tin Database DB_MYSQL_HOST=172.31.1.44
DB_MYSQL_DATABASE=merchant_service   Thực hiện : do phải chờ apple phê duyệt app mới nên chưa có thời gian cụ thể (dự kiến là đêm 30/05 hoặc đêm 31/05 ), cụ thể rõ hơn em sẽ trao đổi ở chat và thông báo trước 2h ạ.</t>
  </si>
  <si>
    <t>[Loyalty MFT] VCM - Cập thông tin voucher</t>
  </si>
  <si>
    <t>2025-05-31T10:23:08.206+0700</t>
  </si>
  <si>
    <t>2025-05-31T23:01:50.792+0700</t>
  </si>
  <si>
    <t>Xuất phát từ nhu cầu vận hành cần cập nhật một số thông tin của voucher (theo CR   ), nhờ team hỗ trợ giúp với thông tin bên dưới ạ. Thời gian thực hiện  : sáng thứ 7 31/05/2025 Thông tin database Database 1 - GCP project : vinid-loyalty-prod
- Instance name : voucher-distribution
- Instance IP : 172.31.4.82
- Database name : b2b_voucher_distribution Database 2 - GCP project : vinid-loyalty-prod
- Instance name : onevoucher
- Instance IP : 172.31.4.126
- Database name : onevc_vwm_prod SQL Database 1 UPDATE voucher 
SET biz_owner = 'TCB', provider_id = 376
WHERE code IN ('MAA_CIRCLEK_SF6255_ACTIVE', 'MAA_CIRCLEK_SF6256'); Database 2 UPDATE warehouse
SET biz_owner = 'TCB', provider_code = 'VINID'
WHERE code IN ('VD_WH_1747899685381', 'VD_WH_1747899687448');
UPDATE warehouse_distributor
SET corporation_id = 1662
WHERE warehouse_id IN (5490, 5491); Thanks team.</t>
  </si>
  <si>
    <t>[VinID Pay] [Ewallet] Script release luồng Đóng ví ngày 30/05/2025</t>
  </si>
  <si>
    <t>2025-05-31T09:06:40.521+0700</t>
  </si>
  <si>
    <t>2025-05-31T09:06:46.091+0700</t>
  </si>
  <si>
    <t>Ewallet</t>
  </si>
  <si>
    <t>Em có script release luồng đóng ví ạ. Các anh DBA chạy giúp em lúc:  23h59 30/05/2025 Thông tin  Database:   10.255.24.152:1521/ewallet</t>
  </si>
  <si>
    <t>[OMC][PS2][Loyalty][PROD] - Thực hiện insert data yêu cầu chạy Campaign của TCB 30-05-2025</t>
  </si>
  <si>
    <t>2025-05-30T22:40:28.844+0700</t>
  </si>
  <si>
    <t>2025-05-30T23:38:53.731+0700</t>
  </si>
  <si>
    <t>Thực hiện insert data Production cho database loyalty core theo yều từ TCB, mục đích Hỗ trợ triển khai chương trình "Sinh lời trúng lớn" Nhờ team chạy script này trên PROD env của DB loyalty oracle giúp team Loyalty ạ. IP: 10.255.23.119 Service name: oneloyaltydb Port: 1521 schema app: OLOYALTY Link CR:    Thời gian thực hiện:  22h30 ngày 30/05/2025</t>
  </si>
  <si>
    <t>[VinID Pay][OPS] Thêm quyền module search va cho vinidpay và omc</t>
  </si>
  <si>
    <t>2025-05-30T15:46:23.968+0700</t>
  </si>
  <si>
    <t>2025-05-30T15:46:44.890+0700</t>
  </si>
  <si>
    <t>Dear team,  Em cần support câu lệnh sau. Tác động cho database admin_service project: vinid-service-platform-prod Dbname: admin_service instance: common Master IP: 172.31.1.102 slave IP: 172.31.1.181 script select @vinpay_bank_transfer_mng_id := id
from service
where code = 'vinpay_bank_transfer_mng';
INSERT INTO module (name, code, service_id)
VALUES ('Service Type OMC', 'vinpay_service_type_omc', @vinpay_bank_transfer_mng_id);
SET @module_id = LAST_INSERT_ID();
INSERT INTO permission (module, name, code, new_code, new_name, module_id)
VALUES ('vinpay_service_type_omc', 'View', 1000, 1000, 'View', @module_id);
INSERT INTO module (name, code, service_id)
VALUES ('Service Type VinIDPay', 'vinpay_service_type_vinidpay', @vinpay_bank_transfer_mng_id);
SET @module_id = LAST_INSERT_ID();
INSERT INTO permission (module, name, code, new_code, new_name, module_id)
VALUES ('vinpay_service_type_vinidpay', 'View', 1000, 1000, 'View', @module_id);
--- fixing VCart_Popular_Keywords and VCart_Popular_Brands
DELETE FROM permission WHERE module = 'VCart_Popular_Keywords';
DELETE FROM permission WHERE module = 'VCart_Popular_Brands';
DELETE FROM module WHERE code = 'VCart_Popular_Keywords';
DELETE FROM module WHERE code = 'VCart_Popular_Brands';
select @service_id := id
from service
where code = 'scan_go';
insert into service (name, code, created_by, updated_by, parent_service_id)
VALUES ('Search Config', 'scan_go_search_config', 'InitMigrateJob', 'InitMigrateJob',@service_id);
select @child_service_id := id
from service
where code = 'scan_go_search_config';
INSERT INTO module (name, code, service_id) VALUES('Từ khóa phổ biến', 'VCart_Popular_Keywords', @child_service_id);
SET @module_id = LAST_INSERT_ID();
INSERT INTO permission (module, name, code, new_code, new_name, module_id) VALUES ('VCart_Popular_Keywords', 'View', 1000, 1000, 'View', @module_id);
INSERT INTO permission (module, name, code, new_code, new_name, module_id) VALUES ('VCart_Popular_Keywords', 'Create', 1001, 1001, 'Create', @module_id);
INSERT INTO permission (module, name, code, new_code, new_name, module_id) VALUES ('VCart_Popular_Keywords', 'Edit', 1002, 1002, 'Edit', @module_id);
INSERT INTO module (name, code, service_id) VALUES('Thương hiệu phổ biến', 'VCart_Popular_Brands', @child_service_id);
SET @module_id = LAST_INSERT_ID();
INSERT INTO permission (module, name, code, new_code, new_name, module_id) VALUES ('VCart_Popular_Brands', 'View', 1000, 1000, 'View', @module_id);
INSERT INTO permission (module, name, code, new_code, new_name, module_id) VALUES ('VCart_Popular_Brands', 'Create', 1001, 1001, 'Create', @module_id);
INSERT INTO permission (module, name, code, new_code, new_name, module_id) VALUES ('VCart_Popular_Brands', 'Edit', 1002, 1002, 'Edit', @module_id);</t>
  </si>
  <si>
    <t>[OMC][PS2][Loyalty][PROD] - Thực hiện insert data yêu cầu chạy Campaign của TCB</t>
  </si>
  <si>
    <t>2025-05-29T22:37:45.476+0700</t>
  </si>
  <si>
    <t>2025-05-30T11:38:10.566+0700</t>
  </si>
  <si>
    <t>Thực hiện insert data Production cho database loyalty core theo yều từ TCB, mục đích Hỗ trợ triển khai chương trình "Sinh lời trúng lớn" Nhờ team chạy script này trên PROD env của DB loyalty oracle giúp team Loyalty ạ. IP: 10.255.23.119 Service name: oneloyaltydb Port: 1521 schema app: OLOYALTY Link CR:    hời gian thực hiện:  22h30 ngày 29/05/2025</t>
  </si>
  <si>
    <t>Xin cấp quyền vào schema omc_vinid_topup_prod_main_topup trên ODS</t>
  </si>
  <si>
    <t>2025-05-29T18:15:46.406+0700</t>
  </si>
  <si>
    <t>2025-05-29T18:15:57.519+0700</t>
  </si>
  <si>
    <t>Xin cấp quyền vào schema  omc_vinid_topup_prod_main_topup  trên ODS để phục vụ kiểm tra và đồng bộ đơn về BO</t>
  </si>
  <si>
    <t>2025-05-29T17:48:16.506+0700</t>
  </si>
  <si>
    <t>2025-05-29T17:52:10.020+0700</t>
  </si>
  <si>
    <t>[OMC][Link Account] [Prod] Thực hiện inactive thông tin Link Account cho tài khoản thay đổi số điện thoại theo yêu cầu hỗ trợ phía TCB Dear team DBA, Theo thread trao đổi: https://chat.google.com/room/AAAAbcTWvJQ/dqicrUFFXXs/dqicrUFFXXs?cls=10 Hiện user bị gãy luồng, nên team cần thực hiện update record để đảm bảo luồng của user TH1: User thực hiện đổi số điện thoại từ 0778956577 (user_id = 1157029) sang 0762782345 (user_id = 20489247) bên phía TCB, 
 user tự thực hiện unlink trên app TCB, do đó trên hệ thống đổi số điện thoại của TCB, không thực hiện 
 inactive thông tin Link Account nữa. Vì vậy, thông tin loyalty_id của user vẫn gắn với số điện thoại cũ,
 vì vậy, khách hàng không thao tác confirm được và báo lỗi. Nhờ team thực hiện query: Instance ID:  https://console.cloud.google.com/sql/instances/postgres-01/overview?authuser=1&amp;project=vinid-service-platform-prod Database name:  sp_postgres_link_account Câu lệnh SQL: UPDATE linkages SET active = false
WHERE user_id = 1157029  CR:  https://vinid-team.atlassian.net/jira/servicedesk/projects/SH/queues/issue/SH-65219</t>
  </si>
  <si>
    <t>[OMC][MTP] Update dữ liệu cho link account</t>
  </si>
  <si>
    <t>2025-05-29T16:49:49.255+0700</t>
  </si>
  <si>
    <t>2025-05-29T16:50:00.280+0700</t>
  </si>
  <si>
    <t>omc_mtp_user_profile</t>
  </si>
  <si>
    <t>Dear anh  @Nguyễn Văn Dũng  , nhờ anh chạy giúp em script trong phần đính kèm. Host:  omc-mtp-tidb.int.onemount.com Schema:  omc_mtp_user_profile Best regards Dinh Quang Nguyen</t>
  </si>
  <si>
    <t>[OPS] Thêm quyền module Search Config và module File Process</t>
  </si>
  <si>
    <t>2025-05-29T14:35:15.641+0700</t>
  </si>
  <si>
    <t>2025-05-29T14:35:31.144+0700</t>
  </si>
  <si>
    <t>Dear team,  Em cần support câu lệnh sau. Tác động cho database admin_service project: vinid-service-platform-prod IP: 172.31.1.181:3306  Dbname: admin_service instance: common Master IP: 172.31.1.102 slave IP: 172.31.1.181 select @child_service_id := id
from service
where code = 'scan_go_search_config';
INSERT INTO module (name, code, service_id) VALUES('Từ khóa phổ biến', 'VCart_Popular_Keywords', @child_service_id);
SET @module_id = LAST_INSERT_ID();
INSERT INTO permission (module, name, code, new_code, new_name, module_id) VALUES ('VCart_Popular_Keywords', 'View', 1000, 1000, 'View', @module_id);
INSERT INTO permission (module, name, code, new_code, new_name, module_id) VALUES ('VCart_Popular_Keywords', 'Create', 1001, 1001, 'Create', @module_id);
INSERT INTO permission (module, name, code, new_code, new_name, module_id) VALUES ('VCart_Popular_Keywords', 'Edit', 1002, 1002, 'Edit', @module_id);
INSERT INTO module (name, code, service_id) VALUES('Thương hiệu phổ biến', 'VCart_Popular_Brands', @child_service_id);
SET @module_id = LAST_INSERT_ID();
INSERT INTO permission (module, name, code, new_code, new_name, module_id) VALUES ('VCart_Popular_Brands', 'View', 1000, 1000, 'View', @module_id);
INSERT INTO permission (module, name, code, new_code, new_name, module_id) VALUES ('VCart_Popular_Brands', 'Create', 1001, 1001, 'Create', @module_id);
INSERT INTO permission (module, name, code, new_code, new_name, module_id) VALUES ('VCart_Popular_Brands', 'Edit', 1002, 1002, 'Edit', @module_id);
select @service_id := id
from service
where code = 'one_loyalty';
INSERT INTO module (name, code, service_id)
VALUES ('File Process', 'LoyaltyAccounting_Transaction_File_Process', @service_id);
SET @module_id = LAST_INSERT_ID();
INSERT INTO permission (module, name, code, new_code, new_name, module_id)
VALUES ('LoyaltyAccounting_Transaction_File_Process', 'View', 1000, 1000, 'View', @module_id);
INSERT INTO permission (module, name, code, new_code, new_name, module_id)
VALUES ('LoyaltyAccounting_Transaction_File_Process', 'Create', 1001, 1001, 'Create',  @module_id);</t>
  </si>
  <si>
    <t>[OMD][WMS] Hỗ trợ cập nhật dữ liệu trạng thái bản ghi DO/SO 65416053660101 cho kho 8185</t>
  </si>
  <si>
    <t>2025-05-29T12:37:20.421+0700</t>
  </si>
  <si>
    <t>2025-05-29T12:50:32.150+0700</t>
  </si>
  <si>
    <t>Hi DBA team, Hiện tại có 1 bản ghi trong Database bị lỗi do hệ thống WMS không cập nhật được Wave và trạng thái/thông tin tương ứng với DO, nhờ team DBA hỗ trợ cập nhật giá trị theo thông tin dưới đây. Project : vinid-b2b-platform-prod Instance/IP : main (read-write): 172.31.4.59 Port : 3306 Database : omd_wms_fm Query UPDATE order_hdr oh
JOIN order_item oi ON oi.order_hdr_id = oh.order_hdr_id
SET 
    oh.order_status = 'NEW',
    oi.item_status = 'NEW',
    oi.planned_qty = 0,
    oi.pending_qty = oi.transaction_qty,
    oi.last_modified_date = utc_timestamp,
    o.last_modified_date = utc_timestamp
WHERE oh.order_hdr_id = 1925104
  AND oh.order_status = 'PLANNED'; Câu query đánh giá là an toàn nên có thể thực hiện cập nhật bất kỳ lúc nào mà không ảnh hưởng đến vận hành hệ thống.</t>
  </si>
  <si>
    <t>[OMC][DP][Kafka][NON-PROD] Hỗ trợ tạo kafka topic cho db omc_mtp_martech_activation</t>
  </si>
  <si>
    <t>2025-05-29T12:36:42.332+0700</t>
  </si>
  <si>
    <t>2025-05-31T13:11:15.296+0700</t>
  </si>
  <si>
    <t>Dear anh Dương, Phục vụ khai thác dữ liệu, nhờ anh tạo kafka topic cho các bảng sau: DB type: TiDB Host:  tidb.int.onemount.dev Port:  4000 DB:  omc_mtp_martech_activation Tables:  mtp_ads_events mtp_push_events Em cảm ơn ạ. cc anh  @Đinh Tiến Lộc  .</t>
  </si>
  <si>
    <t>[OMC][DP][Kafka][NON-PROD] Hỗ trợ tạo kafka topic cho db vinpay_saas_tpay_staging</t>
  </si>
  <si>
    <t>2025-05-29T12:35:56.923+0700</t>
  </si>
  <si>
    <t>2025-05-31T13:10:36.156+0700</t>
  </si>
  <si>
    <t>Dear anh Linh, Phục vụ đẩy dữ liệu xây dựng báo cáo cho TCB. Nhờ anh tạo kafka topic cho các bảng sau: DB type: TiDB Host:  tidb.int.onemount.dev Port:  4000 DB:  vinpay_saas_tpay_staging Tables:  soundbox_merchant tcb_vendor tcb_device_model tcb_device soundbox_device_sale soundbox_device_mapping Em cảm ơn ạ.</t>
  </si>
  <si>
    <t>[VINIDPAY][TPAY][SOUNDBOX] Thêm cột dữ liệu bảng TCB_DEVICE_MODEL</t>
  </si>
  <si>
    <t>2025-05-29T11:06:41.069+0700</t>
  </si>
  <si>
    <t>2025-05-29T13:38:15.417+0700</t>
  </si>
  <si>
    <t>Hiện tại em cần update data trên prod bảng tcb_device, nhờ các anh review và approve giúp em, Thông tin database  saas_tpay: jdbc:mysql:// pay-tidb.int.onemount.com:4000/saas_tpay alter table TCB_DEVICE_MODEL add SERVICE varchar(32) null after ID;
UPDATE TCB_DEVICE_MODEL t SET t.SERVICE = 'SOUNDBOX' WHERE t.ID = 2;
UPDATE TCB_DEVICE_MODEL t SET t.SERVICE = 'SOUNDBOX' WHERE t.ID = 3;
UPDATE TCB_DEVICE_MODEL t SET t.SERVICE = 'SOUNDBOX' WHERE t.ID = 4;</t>
  </si>
  <si>
    <t>2025-05-29T10:49:31.552+0700</t>
  </si>
  <si>
    <t>2025-05-29T11:10:48.792+0700</t>
  </si>
  <si>
    <t>Dear anh Dương, Nhờ anh hỗ trợ team chạy câu lệnh SQL với các thông tin dưới đây ạ Project: vincart-prod IP: 172.31.7.3 DB name: dynamic_content SQL:  CREATE TABLE IF NOT EXISTS `rule_search_brands`
(
    `id`           BIGINT(20)   NOT NULL PRIMARY KEY AUTO_INCREMENT,
    `created_at`   DATETIME DEFAULT CURRENT_TIMESTAMP,
    `updated_at`   DATETIME DEFAULT CURRENT_TIMESTAMP ON UPDATE CURRENT_TIMESTAMP,
    `name`         TEXT         NOT NULL,
    `display_from` DATETIME DEFAULT NULL,
    `display_to`   DATETIME DEFAULT NULL,
    `module`       VARCHAR(25)  NOT NULL,
    `data_type`    VARCHAR(255) NOT NULL,
    `status`       VARCHAR(25)  NOT NULL
);
CREATE TABLE IF NOT EXISTS `brands`
(
    `id`                   BIGINT(20)   NOT NULL PRIMARY KEY AUTO_INCREMENT,
    `created_at`           DATETIME DEFAULT CURRENT_TIMESTAMP,
    `updated_at`           DATETIME DEFAULT CURRENT_TIMESTAMP ON UPDATE CURRENT_TIMESTAMP,
    `name`                 TEXT         NOT NULL,
    `merchant_id`          BIGINT(20)   NOT NULL,
    `rule_search_brand_id` BIGINT(20)   NOT NULL,
    `code`                 VARCHAR(255) NOT NULL,
    `logo_url`             TEXT         NOT NULL
);
CREATE TABLE IF NOT EXISTS `rule_search_keywords`
(
    `id`           BIGINT(20)   NOT NULL PRIMARY KEY AUTO_INCREMENT,
    `created_at`   DATETIME DEFAULT CURRENT_TIMESTAMP,
    `updated_at`   DATETIME DEFAULT CURRENT_TIMESTAMP ON UPDATE CURRENT_TIMESTAMP,
    `name`         TEXT         NOT NULL,
    `display_from` DATETIME DEFAULT NULL,
    `display_to`   DATETIME DEFAULT NULL,
    `module`       VARCHAR(25)  NOT NULL,
    `data_type`    VARCHAR(255) NOT NULL,
    `status`       VARCHAR(25)  NOT NULL,
    `keywords`     TEXT         NOT NULL
);
CREATE INDEX `idx_rule_search_brands_module_status_display_to` ON `rule_search_brands` (`module`, `status`, `display_to`);
CREATE INDEX `idx_brands_rule_search_brand_id` ON `brands` (`rule_search_brand_id`);
CREATE INDEX `idx_brands_merchant_id` ON `brands` (`merchant_id`);
CREATE INDEX `idx_search_keywords_module_status_display_to` ON `rule_search_keywords` (`module`, `status`, `display_to`);
CREATE INDEX `idx_rule_search_brands_module_status_display_from` ON `rule_search_brands` (`module`, `status`, `display_from`); Em cảm ơn anh</t>
  </si>
  <si>
    <t>Xin cấp tài khoản read only db service platform</t>
  </si>
  <si>
    <t>2025-05-29T10:12:13.913+0700</t>
  </si>
  <si>
    <t>2025-05-29T10:48:48.142+0700</t>
  </si>
  <si>
    <t>Dear team DBA, Để tiện hỗ trợ các issue trên production của domain Onboarding. Team mong muốn tạo ra 1 tài khoản readonly trên database Onboarding để tiện xử lý. Thông tin database: Project: vinid-service-platform-prod IP: 172.31.1.77 Port: 3306 read all tables trong các database thuộc Host này Em cảm ơn ạ.</t>
  </si>
  <si>
    <t>[OMC][GAMI][PS2][Prod] Thực hiện tạo bảng và data cho CR ngày 29/5/2025</t>
  </si>
  <si>
    <t>2025-05-29T10:06:33.980+0700</t>
  </si>
  <si>
    <t>2025-05-29T10:06:47.573+0700</t>
  </si>
  <si>
    <t>Thực hiện tạo bảng và data cho CR ngày 29/5/2025   Host:  172.31.4.75 DB: promo_gamezone Tạo mới bảng sau theo script: CREATE TABLE `week_tickets` (
  `id` bigint NOT NULL,
  `created_at` timestamp NULL DEFAULT CURRENT_TIMESTAMP,
  `updated_at` timestamp NULL DEFAULT CURRENT_TIMESTAMP,
  `user_id` bigint NOT NULL,
  `customer_id` varchar(255) NOT NULL,
  `campaign_id` bigint NOT NULL,
  `campaign_code` varchar(255) NOT NULL,
  `tenant_id` bigint NOT NULL DEFAULT '1',
  `req_id` varchar(255) NOT NULL,
  `ticket_total` int NOT NULL,
  `status` varchar(255) NOT NULL
) ENGINE=InnoDB DEFAULT CHARSET=utf8mb3;
ALTER TABLE `week_tickets`
  ADD PRIMARY KEY (`id`),
  ADD UNIQUE KEY `unique_campaign_customer` (`campaign_id`,`customer_id`),
  ADD KEY `idx_campaignid_customerid` (`campaign_id`,`customer_id`),
  ADD KEY `idx_customerid_reqid` (`customer_id`,`req_id`),
  ADD KEY `idx_status` (`status`);
ALTER TABLE `week_tickets`
  MODIFY `id` bigint NOT NULL AUTO_INCREMENT, AUTO_INCREMENT=1; Thực hiện truy xuất data ở bảng  rule_logs  cho các campaign id, và insert mới vào bảng  week_tickets INSERT INTO week_tickets(user_id, customer_id, campaign_id, campaign_code, tenant_id, req_id, ticket_total, `status`) 
SELECT user_id,customer_id,campaign_id,'AE_SPIN_W1',1,txn_ref,claim_amount,'PROCESSING' FROM `rule_logs` WHERE campaign_id = 30 &amp;&amp; reward_type='TURN' &amp;&amp; `status` = 'SUCCESS' INSERT INTO week_tickets(user_id, customer_id, campaign_id, campaign_code, tenant_id, req_id, ticket_total, `status`) 
SELECT user_id,customer_id,campaign_id,'AE_SPIN_W2',1,txn_ref,claim_amount,'PROCESSING' FROM `rule_logs` WHERE campaign_id = 34 &amp;&amp; reward_type='TURN' &amp;&amp; `status` = 'SUCCESS' INSERT INTO week_tickets(user_id, customer_id, campaign_id, campaign_code, tenant_id, req_id, ticket_total, `status`) 
SELECT user_id,customer_id,campaign_id,'AE_SPIN_W3',1,txn_ref,claim_amount,'PROCESSING' FROM `rule_logs` WHERE campaign_id = 35 &amp;&amp; reward_type='TURN' &amp;&amp; `status` = 'SUCCESS' INSERT INTO week_tickets(user_id, customer_id, campaign_id, campaign_code, tenant_id, req_id, ticket_total, `status`) 
SELECT user_id,customer_id,campaign_id,'AE_SPIN_W4',1,txn_ref,claim_amount,'PROCESSING' FROM `rule_logs` WHERE campaign_id = 36 &amp;&amp; reward_type='TURN' &amp;&amp; `status` = 'SUCCESS' INSERT INTO week_tickets(user_id, customer_id, campaign_id, campaign_code, tenant_id, req_id, ticket_total, `status`) 
SELECT user_id,customer_id,campaign_id,'AE_SPIN_W5',1,txn_ref,claim_amount,'PROCESSING' FROM `rule_logs` WHERE campaign_id = 37 &amp;&amp; reward_type='TURN' &amp;&amp; `status` = 'SUCCESS'</t>
  </si>
  <si>
    <t>[PROD] Update dữ liệu - Link Account</t>
  </si>
  <si>
    <t>2025-05-29T09:41:49.135+0700</t>
  </si>
  <si>
    <t>2025-05-29T09:42:06.175+0700</t>
  </si>
  <si>
    <t>Dear team, Nhờ team hỗ trợ update data bị thiếu dữ liệu trên prod. Thời gian dự kiến là: 00h ngày 29/05/20225 Release:     Database: Link account database: Project:  vinid-service-platform-prod Instances: postgres-01 Database: sp_postgres_link_account User profile database: Project: vinid-service-platform-prod Instances:  main Query những data bị sai từ database link_account: SELECT * FROM linkages
WHERE link_status = 'LINKED' AND user_id IS NULL AND active IS TRUE Lấy thông tin của user trên user profile: SELECT hashed_phone_number, user_id FROM user_profile
WHERE hashed_phone_number IN ( list hashed_phone_trên) Từ kết quả trên sẽ gen ra những query để update (Phần này đã có code gen) UPDATE
linkages 
SET user_id = ?
WHERE hashed_phone_number = ? AND link_status = 'LINKED' AND user_id IS NULL AND active IS TRUE Change request:    Em cảm ơn.</t>
  </si>
  <si>
    <t>2025-05-29T09:41:00.148+0700</t>
  </si>
  <si>
    <t>2025-05-29T09:41:18.088+0700</t>
  </si>
  <si>
    <t>Hỗ trợ xuất báo cáo vé tuần cho campaign Spin to Win cho 5 tuần theo yêu cầu đối soát từ TCB Tuần 1 SELECT SUM(claim_amount) FROM `rule_logs` WHERE campaign_id = 30 &amp;&amp; reward_type='TURN' &amp;&amp; `status` = 'SUCCESS';
SELECT COUNT(DISTINCT(user_id)) FROM `rule_logs` WHERE campaign_id = 30 &amp;&amp; reward_type='TURN' &amp;&amp; `status` = 'SUCCESS'; Tuần 2 SELECT SUM(claim_amount) FROM `rule_logs` WHERE campaign_id = 34 &amp;&amp; reward_type='TURN' &amp;&amp; `status` = 'SUCCESS';
SELECT COUNT(DISTINCT(user_id)) FROM `rule_logs` WHERE campaign_id = 34 &amp;&amp; reward_type='TURN' &amp;&amp; `status` = 'SUCCESS'; Tuần 3 SELECT SUM(claim_amount) FROM `rule_logs` WHERE campaign_id = 35 &amp;&amp; reward_type='TURN' &amp;&amp; `status` = 'SUCCESS';
SELECT COUNT(DISTINCT(user_id)) FROM `rule_logs` WHERE campaign_id = 35 &amp;&amp; reward_type='TURN' &amp;&amp; `status` = 'SUCCESS'; Tuần 4 SELECT SUM(claim_amount) FROM `rule_logs` WHERE campaign_id = 36 &amp;&amp; reward_type='TURN' &amp;&amp; `status` = 'SUCCESS';
SELECT COUNT(DISTINCT(user_id)) FROM `rule_logs` WHERE campaign_id = 36 &amp;&amp; reward_type='TURN' &amp;&amp; `status` = 'SUCCESS'; Tuần 5 SELECT SUM(claim_amount) FROM `rule_logs` WHERE campaign_id = 37 &amp;&amp; reward_type='TURN' &amp;&amp; `status` = 'SUCCESS';
SELECT COUNT(DISTINCT(user_id)) FROM `rule_logs` WHERE campaign_id = 37 &amp;&amp; reward_type='TURN' &amp;&amp; `status` = 'SUCCESS';</t>
  </si>
  <si>
    <t>[TMS][Prod] Execute sql migration script for Golive TMS Sprint LOG S85 (28/05/2025)</t>
  </si>
  <si>
    <t>2025-05-28T21:23:21.329+0700</t>
  </si>
  <si>
    <t>2025-05-28T21:56:08.425+0700</t>
  </si>
  <si>
    <t>Nhờ team thực hiện migration sql cho các database sau: Thực hiện trước 22h ngày 28/05/2025 Database  bytm_prod  (Oracle instance on GCE oracle-primary (Private IP: 10.255.24.170) (see attachments) (theo thứ tự) tms-data-proxy-v1.14.0.sql scdf-tms-trigger-v1.0.0.sql</t>
  </si>
  <si>
    <t>[PROD] [OMD] [B2B-User] đổi validate not null cho trường dữ liệu</t>
  </si>
  <si>
    <t>2025-05-28T21:23:12.262+0700</t>
  </si>
  <si>
    <t>2025-05-28T22:00:54.469+0700</t>
  </si>
  <si>
    <t>@Trần Trương Dương   @Phạm Hồng Quang   Nhờ hỗ trợ update cho trường dữ liệu như câu lệnh này giúp Refer:  https://vinid-team.atlassian.net/browse/B2B1D-57132 Database name:  b2b_user_prod Gcp project:  vinid-b2b-platform-prod Instance:  b2b-commerce (172.31.4.113) Query update ALTER TABLE eInvoiceDetail
MODIFY COLUMN companyTaxCode VARCHAR(255) NULL; Thời điểm chạy: trước khi lên code b2b-user @Phạm Hồng Quang  phất cờ hộ anh</t>
  </si>
  <si>
    <t>[OMC][Loyalty MFT] VCM - Hỗ trợ đội dự án chạy migration</t>
  </si>
  <si>
    <t>2025-05-28T17:38:37.023+0700</t>
  </si>
  <si>
    <t>2025-05-28T17:39:26.939+0700</t>
  </si>
  <si>
    <t>Theo kế hoạch release của dự án ( release plan ), do lỗi project migration của dự án đang lỗi, nhờ team DBA hỗ trợ chạy các lệnh DDL giúp theo thông tin bên dưới ạ Thời gian chạy:   22h ngày 28/05/2025 GCP project : vinid-loyalty-prod Instance name : onevoucher Instance IP : 172.31.4.126 Database : onevc_vwm_prod Query :  Query 1 CREATE TABLE IF NOT EXISTS tool_serial(
      created_at           DATETIME(6),
      created_by           VARCHAR(255),
      updated_at           DATETIME(6),
      updated_by           VARCHAR(255),
      id                   SERIAL PRIMARY KEY,
      business_code        VARCHAR(255) COLLATE utf8mb4_bin NOT NULL,
      name VARCHAR(255),
      code                 VARCHAR(255) COLLATE utf8mb4_bin NOT NULL,
      status               VARCHAR(255)                     NOT NULL,
      request_type         VARCHAR(255)                     NOT NULL,
      total_row            BIGINT UNSIGNED,
      number_success       BIGINT UNSIGNED,
      numberFailed         BIGINT UNSIGNED,
      input_file_url       VARCHAR(255),
      result_file_url      VARCHAR(255),
      UNIQUE (code)
);
CREATE TABLE IF NOT EXISTS tool_serial_detail (
      created_at           DATETIME(6),
      created_by           VARCHAR(255),
      updated_at           DATETIME(6),
      updated_by           VARCHAR(255),
      id                   SERIAL PRIMARY KEY,
      business_code        VARCHAR(255) COLLATE utf8mb4_bin NOT NULL,
      data                 LONGTEXT,
      serial_number        VARCHAR(255),
      status               VARCHAR(255),
      error_message        LONGTEXT
); Query 2 ALTER TABLE `tool_serial` ADD `deleted` BOOLEAN DEFAULT FALSE;
ALTER TABLE `tool_serial` CHANGE COLUMN numberFailed number_failed BIGINT UNSIGNED;
ALTER TABLE `tool_serial` CHANGE COLUMN `business_code` `business_code` VARCHAR(255) DEFAULT NULL;
ALTER TABLE `tool_serial_detail` ADD `deleted` BOOLEAN DEFAULT FALSE;
ALTER TABLE `tool_serial_detail` ADD `tool_serial_id` BIGINT UNSIGNED NULL;
ALTER TABLE `tool_serial_detail` CHANGE COLUMN `business_code` `business_code` VARCHAR(255) DEFAULT NULL; Query 3 INSERT INTO flyway_schema_history (installed_rank, version, description, `type`, script, checksum, installed_by, installed_on, execution_time, success) 
VALUES
(71, '0071', 'create tb tool serial', 'SQL', 'V0071__create_tb_tool_serial.sql', 215922760, 'onevc_vwm_prod', '2025-05-28 22:00:00', 167, 1),
(72, '0072', 'alter table add delete column tool serial', 'SQL', 'V0072__alter_table_add_delete_column_tool_serial.sql', -1948271325, 'onevc_vwm_prod', '2025-05-28 22:00:00', 529, 1); Thanks.</t>
  </si>
  <si>
    <t>[OMC][PROD] [VMM-Product]  Chạy script update trạng thái campaign</t>
  </si>
  <si>
    <t>2025-05-28T11:31:24.278+0700</t>
  </si>
  <si>
    <t>2025-05-28T11:37:02.869+0700</t>
  </si>
  <si>
    <t>Dear team DBA, Do lỗi không inactive dc campaign. Nhờ team support chạy gấp script sql bên . https://mail.google.com/chat/u/0/#chat/space/AAQA3sMgmxo/QbTDk2kw3OE/5JGuqeUu0fE 1. Thông tin DB: IP: 172.31.4.9
DB: ecom_promotion update campaigns set status='INACTIVE' where code = 'qB01N5DA9';
update campaigns_variant set status='INACTIVE' where campaign_id = 1484; Thông tin DB: IP: 172.31.1.41
DB: vincart_mm_product update campaigns_variant set status='INACTIVE' where campaign_id = 1484;</t>
  </si>
  <si>
    <t>[VINPAY][PROD][QR247] Cấu hình merchant VHM_003 cho đối tác Vinhomes</t>
  </si>
  <si>
    <t>2025-05-28T10:43:31.345+0700</t>
  </si>
  <si>
    <t>2025-05-28T10:44:54.732+0700</t>
  </si>
  <si>
    <t>TPAY, Vinpay</t>
  </si>
  <si>
    <t>Hi team, Nhờ các anh chạy giúp em 2 câu lệnh INSERT để cấu hình merchant mới cho đối tác Vinhomes Thông tin DB: mysql://pay-tidb.int.onemount.com:4000/saas_tpay INSERT INTO PARTNER (client_id, name, public_key, enable, merchant_code)
VALUES ('xTnUKwEFnlaZhyMSkTtLbznmeyyTwRpX','VHM','-----BEGIN PUBLIC KEY-----
MIIBIjANBgkqhkiG9w0BAQEFAAOCAQ8AMIIBCgKCAQEA3+r1GDsiYlxwhfqayvPu
4w9tVVVsRAzSKELmHbUPdqKIPZmwb8phub6nvykxlzdyOFvKJr4rOpNAgZa2C38p
yf/4AnfmDjb6afYnrOytqlVJiZ0a/0woPsvM5KdWb3cnHVywMYAcMOwwTvYT8UHU
y839u0xydNIqcZnFqud9l7iQxErHxarrlLSUIqmyyv3kCoNWCzur/kzZ7KMpOC55
y9x+uXJnpZ2voMuBd3GS4UKrxvk9W2R9hEGNsIuIGiV5YHK3j4SCmK/uK0zp2fkB
Za52Ftc1876nN0RPUHDxswClzPySZdnSfS+B9kxnsqNzCZKcM+cv+LwxKghJPRlD
FQIDAQAB
-----END PUBLIC KEY-----',1,'VHM_003');
INSERT INTO MERCHANT_RECONCILE (merchant_code, tenant, enable, sftp_folder, pgp_public_key_base64, pgp_partner_id, days_to_subtract, max_records_per_file, priority)
VALUES ('VHM_003', 'OME', 1, '/vhm', 'LS0tLS1CRUdJTiBQR1AgUFVCTElDIEtFWSBCTE9DSy0tLS0tClZlcnNpb246IEtleWJhc2UgT3BlblBHUCB2MS4wLjAKQ29tbWVudDogaHR0cHM6Ly9rZXliYXNlLmlvL2NyeXB0bwoKeHNCTkJHWitPVndCQ0FEYUVxQ3pxekYweVVEcGhGUW5vSXlKcGhxTGRpWEtmc28vd1psMWt4WSt2RTF2K0xLRQpwbFhwZ01lU094WHl2Y3RSRDVJS3RNV01pSCtxbjNVQ2YyU3o2cHNlM25KSnN3YnE1MXVsTGVrdUxDSXJGYklsCmNDejEvZDJ1cjN3bGRBTDNXK1VrY2xLY0V1TFF2eUFWZk1vcU5oM2lXVEtpMDlTdXZmd1JlRUswbnlIRFdWK20KdUxnZ1dHTGl2eWxlNEZHQnVMc2ZjSGtkSmpuWURrYmNxRUFpVHJwaU5hSUhEaHJPNGNGRFcyYVVsMzhpNVV4awpCRnhFV3VQV1NhV25YWVlvL1hUSWtuM3F6OXlEOWdFdlE1Y0wrdkpWejFlL2dOMXFIWFFlQ1h3QWJ5cGpYZU1yCllEOEdBYnVMSWQxSkJkZmFxOW5ETEJZcHJPYlVMS0hhcEhFZkFCRUJBQUhOSUhacGJtaHZiV1Z6SUR4MkxuUnAKYm1oMGVERkFkbWx1YUc5dFpYTXVkbTQrd3NCdEJCTUJDZ0FYQlFKbWZqbGNBaHN2QXdzSkJ3TVZDZ2dDSGdFQwpGNEFBQ2drUUkwOGRWeFFiNDJpeWZRZ0F0V2Rqa3gvZzNvb21KcFU5aGNhck9hS2trV0JxaUxZbDJ3bXdVZnBzCkNDMzBXRGI5a2hZa0tiKzlRbkRGRTdxK1I5ZHVvY094YUVLcklBVm5UQVBjMThxcGpKdWM5SjRqVWpPWTlQcXgKTFYzUW8xSjVNcmMxbDFZSnFEK1hLcllqSmRXTXNjLyt3MGVFVjEzRnAxczJhaVY3dW82czVnQXFZcENwTFJrYgpQUTB1a1RxNlpoaDJqeGhONURBL2hoWHNNd3BnbTVxTlkrcTAxY3gvaGVXOFhPWS9GSU4reXp6QjNEcjJ1bzVICm03OTVOSkxYRnBvNjQySXRZa3pEQUZnaGVuSjBRKytuQ2xhNnJNZU9pRXNFbTNEay9PWUVkbEhweUZyclpUYVYKSUlnNUt0ZEM3ekI0QTZ5bGZaYWRRdW1ZSWJwVVNSWWdwbTlsOEk5N0lSSEFHYzdBVFFSbWZqbGNBUWdBNWNRMQp4bnRhZVdGejBmNHdIaklvYVdZZFlRVFpwK2tkN2txZjRhWVY4MGphZitQWXhQQXFEejNlL3dtWW50SCtXTlV3ClFNclhzZWw3NmVQSDVkRUt6MWNKdWFPTGp2VWlVeXNWa1BCQys3Z2VHV1d4R1QrZFpHNENYbkt5V1ZxY3lSdWgKTXFUUmlVU3pMUWQ2QndiVExNRC8xaWxEZHJJM3hDbG1VejFwekthVXNQeHRiWVZpVEVObEFxbVVEVXZoY3cyVApHSHFRREVSUGU3ODVoNzJ5ZTI3VVRUT1orMDhFZmVKQWZkcjR2WHhRL05mTTl0QVdmTDlta1FjTDdtL1VzeVdrCmxZeHQ3a082eEhwTEVPckhWNXJyQ3NnTVpaRFFnZGNSdENoQktta25FR3poRXFRV2luTTdyTDIraGhvL1BKVVYKcnlDOStaNkNzUnFZcENyVmVRQVJBUUFCd3NHRUJCZ0JDZ0FQQlFKbWZqbGNCUWtQQ1p3QUFoc3VBU2tKRUNOUApIVmNVRytOb3dGMGdCQmtCQ2dBR0JRSm1mamxjQUFvSkVNM2lZazdtaHhRR3FJQUlBS1ZyZkpMdTRsbHM2MjBXCkx1WTZQbWxGTFdhaXZnbnZxUGJPQXNhMXNNU1Jod3FWbW15RXFKWWw0WG55ZEZBckxiOGgxdG9zK25VMFhBVDEKYzJjS282RjZqWFRVYWZxZkRNTk1GVWp4dndZWCs1LzZoYjhyUnIxWHBqUTNLUUZ6aHpqZnAyRFF5aDhDaHZxdApGcmx0bE10VEk3N2c0MDE1Nkd2Zy9sNnl6Qi83clhZVWNXZHhyWGN0Mzl0Q1V2bDJlcW1UWmZzVnR5RHh6UWpiCmYyS1BTckM4aE9ZRUVjZC94LzJmRVlVclFDaGZ2dGdsVU1MdnpQeWxJRDl6bFNrSVBXc1lMUi8vbHhQSDZYWGIKMnY5Y1dOMmxNSWVNekJBNUxtcGcxRDBzWFg2RDdYbTJpNE85Tm82K09sNGorWjVGanNaY3BJSStnNitFMTFPSwpIanRJR3F1OGFRZjlFUTc0cjVkVlg1Q2VvcG96RTlzWVU0cFczUlNEeC94ZFFzV1dSNWlSN0VSLytKOUJralVvCkdDN0NDR1J5MTVvVmZVZC9RZnFEeC9qaDkzZU14VnpxTTI0bFhmaHZNc2htdHpmV3lLMDl4c3EwUVJtaXpLdmUKM2NaUWx0cFVlYU1KenEvOWdSS2lERUQvemFJVHNhZld1dkpIM05aQzhScmExMFRESE9wTDVIODc3WWxhR3hqKwp1TDUwMW1jb1BCRzkrbkhKNFJVZEdGdzFXM3NlUHZJbzZmRkRtQll3K2o1R3h1WWtBMnRmelZHM0gzZU02VjdaCi9yamJyZW9pSHBjeDVGYWVxY25TUVA3TlF2ODQ3THdxZTYxWnFBclUwZzcxZ3AySGxvTUh4enpoMU1sbWFQY2QKalBvMm9NWHNKY0ZrWFkwZGxYSnN2cVZRUS9zUWp4QndHODdBVFFSbWZqbGNBUWdBb1VUaGdaWk9HZlUzN3FDLwpDSFZLN1dvOHZIMmlOMUZYN1hlakJEVkJzaWJHTDM0YWFmelkvdEJaRmNQZTJiSTZPeEQ2TW9ldGlSWUF0Z0hnCmwzNDhZbTVudGxPT3llRm9BTlpGS2xwdG83ZWQ5NTZObmwxVDY1Q3VNUGlYelZWUXlHUklMRU00K3hGaHFsbVIKR2cvOVRZWGRIbEUybVRjRXJOWmxHd1QwaXJUdFEyU1Y1N2dRb3Myd3FvbmptN2pSdkV2bU1UWm90M3RibFNUbgpuYmpLd0V3YzFOblhOZG5nL2ttQnNub0FFWStaQU5WSFpyQ1l4R0dIc1JVcnZKeDd6RmJXc1J0THZwSFdKdWw3Cm50cWQ5ZFNHUkYxZitTQTU5b29mNEN5WEc4cWZTZHFJVHNyQUtlTGN0N2FjOStTT1NEdGV5c2NBSk0vZzFSZzcKeDloa2pRQVJBUUFCd3NHRUJCZ0JDZ0FQQlFKbWZqbGNCUWtQQ1p3QUFoc3VBU2tKRUNOUEhWY1VHK05vd0YwZwpCQmtCQ2dBR0JRSm1mamxjQUFvSkVGUklVdEpacER2NzlRd0lBSW50dXJ4N2JzYndlZi80L0FjRkp6K0NZNUcvClVqOURNbWFGb3FjRkRVeXVqTS9MR1ExZXpRYjNjSmFwNjNCOUJwd25ya3B5eUU5bEtjYmhoM2ltV21BVDNYSkwKcGJNSzlHckR4Uy9ISmN4SmRNM3BkaENBTFMyQW55SzhOdnFidkFaUFIrTDlxM1pDZ1BuMTNmWjV1Z0pPdDRHeQpDZ2ExbzlRWUwvc2VGMW1NS0k2MjhVUnN0Yk9kRVZXMXNkNGFqSDMwOExyRS9KR1YwSEx3K3BtRHA5dzhkUXQ4Ci83RjZtV1FNSmp2MEwrWm9mWTVPSDg1RXJBR1RvbDlxanBTblRWMFA1TzV5b0RaeUZxWkxZVVVnMGtyYWxFZDgKWmttOHpxSjFzc3RpVW1MSW4vWmk1YW8vcGs1TExrTHZSQUU3UGNVYmNwMmNDSnJMYlU2akdDdEY4elFRb0FnQQpzYVY5UFcvak5HREVVdUQ2SzRZWVhQbHFadXMraVEyWVduT2VsZEJtd3J6T3hGZG9iQlhkT0VMRlZUU1FFdWRNCjdtcndiYzZYK2F2NXVWWlJYZE51MmtvVTFVY2pzNFY3ZFc1cUxhYTlSNHBGZTNLUmJxWkJWczhiS0tHa0w0aWcKRFo5ZEJTVHhiT3N2bitQZG9SQjNkTEZjSjczWFcvOUVzbFlqMTNUR1BoT21URHdrS2ZjVFI0ZUtBQTNPNWN6RApjQlYxQU95QXJWTllPM1NraHVwbVNzQXJPV1ZZSy93bEQwYzFycmMvUXVEV25wTWovSnRZU1o0VUxoMXhBUXdJCllqV1NBK3h4WXNtY0Z1clpXM29zdDB2TXZuejQvVjRGMXZ6OW1rblZuejJqdVQzWlI2eHBmb3g5a0dPQ0NLVDkKMGdTbGFmVCsvUjFNRjBxSi8yd1IvQT09Cj1NSWtTCi0tLS0tRU5EIFBHUCBQVUJMSUMgS0VZIEJMT0NLLS0tLS0K', 'v.tinhtx1@vinhomes.vn', 1, 10000, 999);</t>
  </si>
  <si>
    <t>[OMC][Flash Sale TCB] Nâng cấu hình các instance mysql/postgreSQL phục vụ Flash Sale 28/05/2025</t>
  </si>
  <si>
    <t>2025-05-28T01:00:20.357+0700</t>
  </si>
  <si>
    <t>2025-05-28T01:25:41.614+0700</t>
  </si>
  <si>
    <t>Thời gian thực hiện: sau 1h 28/05/2025 Thông tin CR:    Chi tiết như sau: https://console.cloud.google.com/sql/instances/main/overview?project=vincart-prod 172.31.1.41 Từ: 4 vCPUs 16 GB RAM , 20000 connections, innodb_buffer_pool_size  8589934592 Lên: 48 CPUs	64 GB RAM, innodb_buffer_pool_size	42748736000 https://console.cloud.google.com/sql/instances/ecom-medium-mysql/overview?project=vincart-prod 172.31.4.9 Từ: 4 vCPUs 8 GB RAM, 10000 connections , innodb_buffer_pool_size  4294967296 Lên: 16 CPUs	32 GB RAM , innodb_buffer_pool_size  18874368000 https://console.cloud.google.com/sql/instances/oneloyalty/overview?project=vinid-loyalty-prod 172.31.7.6 Từ: 4 CPUs	8 GB RAM , innodb_buffer_pool_size   4294967296 Lên: 16 CPUs	24 GB RAM , 4000 connections, innodb_buffer_pool_size   15737418240 https://console.cloud.google.com/sql/instances/onevoucher/overview?project=vinid-loyalty-prod 172.31.4.126 Từ: 4 CPUs	16 GB RAM, 10000 connections , innodb_buffer_pool_size		8589934592 Lên: 16 CPUs	32 GB RAM , innodb_buffer_pool_size  18874368000 https://console.cloud.google.com/sql/instances/voucher-distribution/overview?project=vinid-loyalty-prod 172.31.4.82 Từ: 2 CPUs	8 GB RAM , innodb_buffer_pool_size   4294967283 Lên: 8 CPUs	16 GB RAM , 4000 connections, innodb_buffer_pool_size  10037418240 https://console.cloud.google.com/sql/instances/postgres-01/overview?authuser=0&amp;project=vinid-service-platform-prod 172.31.7.11 Từ: 2 CPUs	8 GB RAM Lên: 4 CPUs	16 GB RAM https://console.cloud.google.com/sql/instances/omc-authentication/overview?project=omc-base-platform-prod 172.31.3.40 Từ: 4 CPUs	8 GB RAM Lên: 8 CPUs	16 GB RAM</t>
  </si>
  <si>
    <t>[PROD] Chạy câu lệnh SQL (dự kiến 21h30 ngày 27/5/2025)</t>
  </si>
  <si>
    <t>2025-05-27T22:36:00.889+0700</t>
  </si>
  <si>
    <t>2025-05-27T22:51:57.762+0700</t>
  </si>
  <si>
    <t>Nhờ anh  @Phạm Tuấn Linh  chạy giúp em lệnh sau ạ: Thông tin db:  1. Service Bill-services:  https://gitlab.id.vin/billservice/bill-services IP: 172.31.1.225 DB name: bill_service SQL:  ALTER TABLE orders
    ADD COLUMN buyer_email VARCHAR(200),
    ADD COLUMN identity_number VARCHAR(200); 2. Service topup:  https://gitlab.id.vin/billservice/topup/topup-services IP:  172.31.1.197 DB name: topup SQL: ALTER TABLE orders
    ADD COLUMN buyer_email VARCHAR(200),
    ADD COLUMN identity_number VARCHAR(200);</t>
  </si>
  <si>
    <t>[ONEU][PROD] Golive nghị định 70 và TCB_ONLY</t>
  </si>
  <si>
    <t>2025-05-27T20:49:04.896+0700</t>
  </si>
  <si>
    <t>2025-05-27T22:50:15.823+0700</t>
  </si>
  <si>
    <t>Dear team DBA Để phục vụ cho việc golive nghị định 70 và TCB_ONLY nhờ mọi người hỗ trợ chạy các câu lệnh sau vào lúc  22h ngày 27/5/2025. link CR:  https://vinid-team.atlassian.net/servicedesk/customer/portal/15/SH-65154?created=true DB : vincart_mm_order |  IP : 172.31.1.41 ALTER TABLE orders
    ADD COLUMN identity_number varchar(50) null,
    ADD COLUMN buyer_email varchar(200) null; DB : ecom_configuration |  IP : 172.31.4.9 ALTER TABLE merchant_payment_configs ADD COLUMN is_tcb_only TINYINT(1) DEFAULT NULL; DB : ecom_transaction |  IP : 172.31.4.9 INSERT INTO `bank_issuer` (`id`, `name`, `short_name`, `vinid_logo`, `oneu_logo`, `created_at`, `updated_at`) VALUES (NULL, 'ATM_CARD_UNLINKED', 'Thanh toán bằng Thẻ ATM nội địa', 'https://cdn-vincart.vinid.net/cdn-cgi/image/fit=scale-down,w=1200,quality=75,f=auto/checkout/ic_80color_atm_unlinked@3x.png', 'https://cdn-vincart.vinid.net/cdn-cgi/image/fit=scale-down,w=1200,quality=75,f=auto/checkout/ic_80color_atm_unlinked@3x.png', '2025-03-13 03:51:27', '2025-03-14 06:30:58');
INSERT INTO `bank_issuer` (`id`, `name`, `short_name`, `vinid_logo`, `oneu_logo`, `created_at`, `updated_at`) VALUES (NULL, 'INTERNATIONAL_CARD_UNLINKED', 'Thanh toán bằng Thẻ tín dụng', 'https://cdn-vincart.vinid.net/cdn-cgi/image/fit=scale-down,w=1200,quality=75,f=auto/checkout/ic_80color_visa_unlinked@3x.png', 'https://cdn-vincart.vinid.net/cdn-cgi/image/fit=scale-down,w=1200,quality=75,f=auto/checkout/ic_80color_visa_unlinked@3x.png', '2025-03-13 03:51:27', '2025-03-14 06:31:42');
INSERT INTO `bank_issuer` (`id`, `name`, `short_name`, `vinid_logo`, `oneu_logo`, `created_at`, `updated_at`) VALUES (NULL, 'VISA_TCB_DIRECT', 'TCB thẻ tín dụng liên kết', 'https://cdn-vincart.vinid.net/cdn-cgi/image/fit=scale-down,w=1200,quality=75,f=auto/checkout/im_80color_tcb_visa_card@3x.png', 'https://cdn-vincart.vinid.net/cdn-cgi/image/fit=scale-down,w=1200,quality=75,f=auto/checkout/im_80color_tcb_visa_card@3x.png', '2025-03-12 10:31:49', '2025-03-12 10:31:49');
INSERT INTO `bank_issuer` (`id`, `name`, `short_name`, `vinid_logo`, `oneu_logo`, `created_at`, `updated_at`) VALUES (NULL, 'ATM_TCB_DIRECT', 'TCB ATM liên kết', 'https://cdn-vincart.vinid.net/cdn-cgi/image/fit=scale-down,w=1200,quality=75,f=auto/checkout/im_80color_tcb_atm_card@3x.png', 'https://cdn-vincart.vinid.net/cdn-cgi/image/fit=scale-down,w=1200,quality=75,f=auto/checkout/im_80color_tcb_atm_card@3x.png', '2025-03-12 10:31:49', '2025-03-12 10:31:49');
ALTER TABLE `transactions`
    ADD COLUMN `is_tcb_only` tinyint; DB : ecom_data_analytics |  IP : 172.31.4.10 CREATE TABLE IF NOT EXISTS `nearest_transaction_view`
(
    `id`                    bigint(20)          NOT NULL AUTO_INCREMENT                 PRIMARY KEY ,
    `transaction_id`        VARCHAR(20)         NOT NULL,
    `invoice_no`            VARCHAR(50)         NOT NULL,
    `payment_method_code`   VARCHAR(50)         NOT NULL,
    `status`                VARCHAR(50)         NOT NULL,
    `create_time`           datetime            NOT NULL DEFAULT CURRENT_TIMESTAMP,
    `update_time`           datetime            NOT NULL DEFAULT CURRENT_TIMESTAMP ON UPDATE CURRENT_TIMESTAMP,
    `user_id`               varchar(100)        NOT NULL,
    `money_source_id`       VARCHAR(255)        NOT NULL,
    `is_latest`             TINYINT(1)          DEFAULT NULL
);
CREATE INDEX IX_NEAREST_TRANSACTION_ID ON nearest_transaction_view(user_id, payment_method_code, is_latest);
ALTER TABLE nearest_transaction_view
    add is_deleted TINYINT(1) default 0; DB  name: vinticket |  IP : 172.31.1.3 CREATE TABLE IF NOT EXISTS `service_payment_configs`
(
        `id`                   BIGINT unsigned NOT NULL AUTO_INCREMENT,
        `created_at`           timestamp    NOT NULL DEFAULT CURRENT_TIMESTAMP,
        `updated_at`           timestamp    NOT NULL DEFAULT CURRENT_TIMESTAMP ON UPDATE CURRENT_TIMESTAMP,
        `service_type`         varchar(255) NOT NULL,
        `entity_id`            BIGINT       NOT NULL,
        `payment_methods`      varchar(255) NOT NULL,
        `nco_sub_service_code` varchar(255) NOT NULL,
        PRIMARY KEY (`id`),
        UNIQUE KEY `service_type_entity_id_idx` (`service_type`, `entity_id`)
) ENGINE=InnoDB DEFAULT CHARSET=utf8mb4;
ALTER TABLE `events`
        ADD COLUMN `is_tcb_only` boolean DEFAULT false;
ALTER TABLE `orders`
        ADD COLUMN `identity_number` VARCHAR(25) DEFAULT NULL;
ALTER TABLE `attendees`
        ADD COLUMN `identity_number` VARCHAR(25) DEFAULT NULL;</t>
  </si>
  <si>
    <t>[NON-PROD] [OMD] [B2B-User] đổi validate not null cho trường dữ liệu</t>
  </si>
  <si>
    <t>2025-05-27T09:32:22.396+0700</t>
  </si>
  <si>
    <t>2025-05-27T09:47:15.956+0700</t>
  </si>
  <si>
    <t>@Trần Trương Dương   @Phạm Hồng Quang   Nhờ hỗ trợ update cho trường dữ liệu như câu lệnh này giúp Refer:  https://vinid-team.atlassian.net/browse/B2B1D-57132 Database name:  omd_b2b_custom_user_uat/omd_b2b_custom_user_qc/omd_b2b_custom_user_dev ALTER TABLE eInvoiceDetail
MODIFY COLUMN companyTaxCode VARCHAR(255) NULL; @Phạm Hồng Quang  cấp thông tin IP database giúp anh nhé anh không có quyền xem</t>
  </si>
  <si>
    <t>2025-05-27T09:28:13.302+0700</t>
  </si>
  <si>
    <t>2025-05-27T09:31:15.361+0700</t>
  </si>
  <si>
    <t>Nhờ team chạy các lệnh UPDATE trên MySQL Production như sau ạ: URL:  mysql://omre-onehs-mysql-main.int.onemount.com:3306/onehs_dictionary Query: UPDATE INVENTORY_PROPERTIES set status = "REVOKED", available_for_sale_status = "NOT_AVAILABLE", last_modified_date = "2025-05-26 16:00:00", last_modified_by = "master_data_admin" WHERE id = "020a1f34-6ccb-4d40-82da-f5e4a39f1e3e";
INSERT INTO eav_attribute_json_values (eav_attribute_id, entity_id, entity_id_v2, data_type, name, value, created_by, created_date, last_modified_by, last_modified_date) VALUES ((SELECT eav_attribute_id FROM eav_attributes WHERE field_name = "updating_status_reason"), 0, "020a1f34-6ccb-4d40-82da-f5e4a39f1e3e", "PICKLIST_MULTI_SELECT", "updating_status_reason", '[ { "id": null, "gid": null, "code": "REPLACED_BY_ANOTHER", "name": "Bị thay thế bởi hàng khác", "uuid": null, "dname": null, "gcode": null, "gname": null, "order": null, "sector_id": null } ]', "master_data_admin", "2025-05-26 16:00:00", "master_data_admin", "2025-05-26 16:00:00");
INSERT INTO eav_attribute_text_values (eav_attribute_id, entity_id, entity_id_v2, data_type, name, value, created_by, created_date, last_modified_by, last_modified_date) VALUES ((SELECT eav_attribute_id FROM eav_attributes WHERE field_name = "inventory_replacement_code"), 0, "15cd0b6d-041b-4caa-bb99-f963726a956b", "TEXT", "inventory_replacement_code", "INV.5JRRGJ", "master_data_admin", "2025-05-26 16:00:00", "master_data_admin", "2025-05-26 16:00:00");</t>
  </si>
  <si>
    <t>2025-05-27T09:14:45.001+0700</t>
  </si>
  <si>
    <t>2025-05-27T09:15:06.798+0700</t>
  </si>
  <si>
    <t>Thực hiện insert data Production cho database loyalty core theo yều từ TCB, mục đích Hỗ trợ triển khai chương trình "Sinh lời trúng lớn" Nhờ team chạy script này trên PROD env của DB loyalty oracle giúp team Loyalty ạ. IP: 10.255.23.119 Service name: oneloyaltydb Port: 1521 schema app: OLOYALTY Link CR:    Thời gian thực hiện:  22h30 ngày 22/05/2025</t>
  </si>
  <si>
    <t>[PROD] Script support bỏ gán thiết bị smartpos support tcb.</t>
  </si>
  <si>
    <t>2025-05-26T17:36:18.251+0700</t>
  </si>
  <si>
    <t>2025-05-28T23:01:31.700+0700</t>
  </si>
  <si>
    <t>Nhờ anh Dũng chạy giúp em script dưới này với ạ. Thời gian chạy script: sau khi được approve  Thông tin database saas_tpay: mysql://pay-tidb.int.onemount.com:4000/saas_tpay DELETE FROM TCB_DEVICE WHERE device_serial_number = 'V9E0603760';
DELETE FROM TCB_DEVICE_HISTORY WHERE device_serial_number = 'V9E0603760';
DELETE FROM SMARTPOS_DEVICE_MAPPING WHERE device_serial_number = 'V9E0603760';
DELETE FROM SMARTPOS_DEVICE_MAPPING_HISTORY WHERE device_serial_number = 'V9E0603760';</t>
  </si>
  <si>
    <t>[OMC][MTP] Hỗ trợ QC test tính năng Segmentation</t>
  </si>
  <si>
    <t>2025-05-26T17:17:46.917+0700</t>
  </si>
  <si>
    <t>2025-05-26T17:19:52.024+0700</t>
  </si>
  <si>
    <t>Dear anh  @Trần Trương Dương ,  để hỗ trợ QC test tính năng segmentation, nhờ anh chạy giúp em script sau: UPDATE mtp_user_profile.identified_profile
SET cst_tier = ''
WHERE uid IN ('9858886', '419800'); Best regards Dinh Quang Nguyen</t>
  </si>
  <si>
    <t>Yêu cầu add index cho bảng imagemedia Database Taskbox PROD</t>
  </si>
  <si>
    <t>2025-05-26T15:16:19.561+0700</t>
  </si>
  <si>
    <t>2025-05-26T15:24:46.410+0700</t>
  </si>
  <si>
    <t>Do tần xuất request lớn và chưa có index khiến tải cao, nhờ các a DBA xử lý add index giúp e theo thông tin sau ạ bảng  imagemedia column  code DB:  jdbc:mysql://onemg-integration-platform-prd--main.cloudsql.int:3306/omd_taskbox 172.31.1.118 Issues:  https://chat.google.com/room/AAAA_N8FVBA/9BQGYBS9n8g/9BQGYBS9n8g?cls=10</t>
  </si>
  <si>
    <t>2025-05-26T12:12:22.106+0700</t>
  </si>
  <si>
    <t>2025-05-28T23:01:11.863+0700</t>
  </si>
  <si>
    <t>Hi anh, nhờ anh chạy giúp em script này ở môi trường PRODUCTION theo thông tin dưới đây ạ: Thời gian chạy script: chạy luôn trong giờ, sau khi ticket được approve Thông tin database saas_tpay: mysql://pay-tidb.int.onemount.com:4000/saas_tpay Em gửi script ạ UPDATE SERVICE 
SET STATUS = 'DRAFT' 
WHERE MERCHANT_CODE = 'COCMID_070520250424406795900000000000000' 
  AND SERVICE_CODE IN ('SOFTPOS_QR','SOFTPOS_CARD') 
  AND STORE_CODE IS NULL;</t>
  </si>
  <si>
    <t>[OMC][New Checkout] [PROD] Bổ sung loyalty_service_code phục vụ event giải chạy TCB</t>
  </si>
  <si>
    <t>2025-05-26T11:46:12.299+0700</t>
  </si>
  <si>
    <t>2025-05-26T11:51:37.992+0700</t>
  </si>
  <si>
    <t>Dear team DBA Do vận hành có nhu cầu cấu hình cho phép tiêu điểm cho event giải chạy TCB nên nhờ mọi người hỗ trợ team chạy script sau. Chạy ngay khi được approve ạ. project: vincart-prod ip: 172.31.4.9 instance: ecom-medium-mysql db: ecom_configuration UPDATE `merchant_payment_configs` SET loyalty_service_code = 'TICKETING' WHERE id in (588, 589, 590, 591)</t>
  </si>
  <si>
    <t>[VinID Pay] [SMARTPOS] Script release SMARTPOS ngày 24/05/2025</t>
  </si>
  <si>
    <t>2025-05-26T11:16:34.287+0700</t>
  </si>
  <si>
    <t>2025-05-27T09:03:30.977+0700</t>
  </si>
  <si>
    <t>Hi anh 23h59 ngày 24/05/2025 , team có release, nhờ anh chạy các script giúp em với nha ạ Thông tin database saas_tpay: mysql://pay-tidb.int.onemount.com:4000/saas_tpay</t>
  </si>
  <si>
    <t>2025-05-26T11:12:38.082+0700</t>
  </si>
  <si>
    <t>2025-05-26T11:12:55.889+0700</t>
  </si>
  <si>
    <t>Hi anh, nhờ anh chạy giúp em script này ở môi trường PRODUCTION theo thông tin dưới đây ạ: Thời gian chạy script: 23h59p ngày 24/05/2025 (Đêm thứ 7 rạng sáng chủ nhật), khi team thông báo Thông tin database saas_tpay: mysql://pay-tidb.int.onemount.com:4000/saas_tpay Em gửi script ạ create table KEY_POS_INTEGRATION
(
    id              bigint auto_increment
        primary key,
    merchant_code   varchar(128)                        not null,
    store_code      varchar(128)                        not null,
    terminal_code   varchar(128)                        not null,
    first_key       varchar(3000)                       null,
    second_key      varchar(3000)                       null,
    key_check_value varchar(100)                        null,
    status          tinyint(1)                          null,
    created_at      timestamp default CURRENT_TIMESTAMP null,
    created_by      varchar(100)                        null,
    updated_at      timestamp                           null on update CURRENT_TIMESTAMP,
    updated_by      varchar(100)                        null,
    index idx_merchant_store_terminal (merchant_code, store_code, terminal_code),
    constraint uq_unified_terminal
        unique (merchant_code, store_code, terminal_code)
);
alter table UNIFIED_STORE
    add location varchar(512) null after address;
alter table UNIFIED_MERCHANT
    add location varchar(512) null after address;</t>
  </si>
  <si>
    <t xml:space="preserve">CDP: Clone: https://vinid-team.atlassian.net/browse/DWHV2-11438: 5.2. Integrate with Other Systems:  DP -&gt; ODS </t>
  </si>
  <si>
    <t>2025-05-24T20:57:53.940+0700</t>
  </si>
  <si>
    <t>2025-06-05T16:03:04.997+0700</t>
  </si>
  <si>
    <t>Ticket gốc đã có confirm.   anh  @Trần Trương Dương   ơi, Anh cho triển khai luồng trên, lên products Env hộ em nhé. Có mấy cái chú ý, em note lại ntn ạ. Đường dẫn dữ liệu treenDremio: "dp"."omc"."semantic"."omc_bsi_cdp"."f_customer_label" Cơ chế sync từ Dremio lên ODS: Merge/ or bất kỳ phương án nào, chạy ra hiệu quả như lệnh merge, nếu ODS ko hỗ trợ merge command. Key của dữ liệu: pk. Dùng cột: row_created_at để làm so sánh thời gian. Với luồng incremental hàng ngày, anh cứ lấy (row_created_at - 2 days) cho an toàn ạ. Thời gian sync: ko set time chạy định kỳ cho luồng này, đưa lại em xin Job Name/ID, bọn em tự trigger khi luồng xử lý dữ liệu ở DP chạy xong, sẽ chủ động gọi job bên anh để sync data. Em cảm ơn Anh</t>
  </si>
  <si>
    <t xml:space="preserve">[VINIDPAY] Restore data </t>
  </si>
  <si>
    <t>2025-05-23T14:21:47.969+0700</t>
  </si>
  <si>
    <t>2025-05-23T14:22:01.217+0700</t>
  </si>
  <si>
    <t>Hiện team cần hỗ trợ restore data đến thời điểm  May 20, 2025, 23:59:59   để phục vụ backup data  Thông tin backup:  https://console.cloud.google.com/sql/instances/vinpay-tidb-replica/backups?inv=1&amp;invt=AbyCog&amp;project=vinpay-prod</t>
  </si>
  <si>
    <t>2025-05-23T12:34:44.499+0700</t>
  </si>
  <si>
    <t>2025-05-23T12:36:29.392+0700</t>
  </si>
  <si>
    <t>Xuất phát từ nhu cầu vận hành cần cập nhật một số thông tin của voucher (theo CR  ), nhờ team hỗ trợ giúp với thông tin bên dưới ạ. Thời gian thực hiện  : gấp, ngày hôm nay (), ngay khi CR được approved ạ. Thông tin database - GCP project : vinid-loyalty-prod
- Instance name : voucher-distribution
- Instance IP : 172.31.4.82
- Database name : b2b_voucher_distribution Query UPDATE voucher SET partner_voucher_code = '618', partner_type = 'URBOX', partner_campaign_code = 'UG938763' WHERE code = 'MAA_SHOPEE_SF6097'; Thanks team.</t>
  </si>
  <si>
    <t>[OMC][Ticketing] Update vị trí chỗ ngồi vào vé cho khách event Soobin ngày 22/5/2025</t>
  </si>
  <si>
    <t>2025-05-23T11:49:52.576+0700</t>
  </si>
  <si>
    <t>2025-05-23T11:50:29.859+0700</t>
  </si>
  <si>
    <t>Dear anh Dũng, Nhờ anh hỗ trợ team thực hiện script SQL update chỗ ngồi cho event bán vé soobin ngày 22/05/2025 Thông tin: project: vinticket_prod private ip: 172.31.1.3 database name: vinticket INSERT INTO seats (price, `status`, ticket_type_id, created_at, updated_at, `code`, display_name) VALUES (2000000, 'SOLD', 5154, NOW(), NOW(), 'Q161', 'Q161');
INSERT INTO seats (price, `status`, ticket_type_id, created_at, updated_at, `code`, display_name) VALUES (2500000, 'SOLD', 5151, NOW(), NOW(), 'P126', 'P126');
INSERT INTO seats (price, `status`, ticket_type_id, created_at, updated_at, `code`, display_name) VALUES (2500000, 'SOLD', 5151, NOW(), NOW(), 'P127', 'P127');
INSERT INTO seats (price, `status`, ticket_type_id, created_at, updated_at, `code`, display_name) VALUES (2500000, 'SOLD', 5151, NOW(), NOW(), 'P128', 'P128');
INSERT INTO seats (price, `status`, ticket_type_id, created_at, updated_at, `code`, display_name) VALUES (2500000, 'SOLD', 5151, NOW(), NOW(), 'C134', 'C134');
INSERT INTO seats (price, `status`, ticket_type_id, created_at, updated_at, `code`, display_name) VALUES (2500000, 'SOLD', 5151, NOW(), NOW(), 'P129', 'P129');
INSERT INTO seats (price, `status`, ticket_type_id, created_at, updated_at, `code`, display_name) VALUES (2500000, 'SOLD', 5151, NOW(), NOW(), 'P130', 'P130');
INSERT INTO seats (price, `status`, ticket_type_id, created_at, updated_at, `code`, display_name) VALUES (4000000, 'SOLD', 5144, NOW(), NOW(), 'D124', 'D124');
INSERT INTO seats (price, `status`, ticket_type_id, created_at, updated_at, `code`, display_name) VALUES (4000000, 'SOLD', 5144, NOW(), NOW(), 'D125', 'D125');
INSERT INTO seats (price, `status`, ticket_type_id, created_at, updated_at, `code`, display_name) VALUES (2500000, 'SOLD', 5148, NOW(), NOW(), 'Q44', 'Q44');
INSERT INTO seats (price, `status`, ticket_type_id, created_at, updated_at, `code`, display_name) VALUES (2500000, 'SOLD', 5148, NOW(), NOW(), 'Q45', 'Q45');
INSERT INTO seats (price, `status`, ticket_type_id, created_at, updated_at, `code`, display_name) VALUES (2500000, 'SOLD', 5148, NOW(), NOW(), 'Q46', 'Q46');
INSERT INTO seats (price, `status`, ticket_type_id, created_at, updated_at, `code`, display_name) VALUES (2500000, 'SOLD', 5148, NOW(), NOW(), 'Q47', 'Q47');
INSERT INTO seats (price, `status`, ticket_type_id, created_at, updated_at, `code`, display_name) VALUES (2500000, 'SOLD', 5151, NOW(), NOW(), 'P131', 'P131');
INSERT INTO seats (price, `status`, ticket_type_id, created_at, updated_at, `code`, display_name) VALUES (2500000, 'SOLD', 5151, NOW(), NOW(), 'P132', 'P132');
INSERT INTO seats (price, `status`, ticket_type_id, created_at, updated_at, `code`, display_name) VALUES (4000000, 'SOLD', 5144, NOW(), NOW(), 'D126', 'D126');
INSERT INTO seats (price, `status`, ticket_type_id, created_at, updated_at, `code`, display_name) VALUES (2500000, 'SOLD', 5149, NOW(), NOW(), 'C135', 'C135');
INSERT INTO seats (price, `status`, ticket_type_id, created_at, updated_at, `code`, display_name) VALUES (2500000, 'SOLD', 5149, NOW(), NOW(), 'C136', 'C136');
INSERT INTO seats (price, `status`, ticket_type_id, created_at, updated_at, `code`, display_name) VALUES (2500000, 'SOLD', 5151, NOW(), NOW(), 'P133', 'P133');
INSERT INTO seats (price, `status`, ticket_type_id, created_at, updated_at, `code`, display_name) VALUES (2500000, 'SOLD', 5151, NOW(), NOW(), 'P134', 'P134'); UPDATE e_tickets SET seat_code = 'Q161' WHERE `code` = 'CZ5U7338959651607';
UPDATE e_tickets SET seat_code = 'P126' WHERE `code` = 'TXHJ2338959061783';
UPDATE e_tickets SET seat_code = 'P127' WHERE `code` = 'IUI8D338958996247';
UPDATE e_tickets SET seat_code = 'P128' WHERE `code` = '8A3NS338958930711';
UPDATE e_tickets SET seat_code = 'C134' WHERE `code` = '2XRLM338942350103';
UPDATE e_tickets SET seat_code = 'P129' WHERE `code` = '5QBW2338958865175';
UPDATE e_tickets SET seat_code = 'P130' WHERE `code` = 'E13KJ338958799639';
UPDATE e_tickets SET seat_code = 'D124' WHERE `code` = 'TOAZL337431745303';
UPDATE e_tickets SET seat_code = 'D125' WHERE `code` = 'C4B1B337431679767';
UPDATE e_tickets SET seat_code = 'Q44' WHERE `code` = 'Q9E21337599845143';
UPDATE e_tickets SET seat_code = 'Q45' WHERE `code` = 'BAO5T337599910679';
UPDATE e_tickets SET seat_code = 'Q46' WHERE `code` = '0Q9TW337599976215';
UPDATE e_tickets SET seat_code = 'Q47' WHERE `code` = 'XPD4B337600041751';
UPDATE e_tickets SET seat_code = 'P131' WHERE `code` = 'P2VW3338958734103';
UPDATE e_tickets SET seat_code = 'P132' WHERE `code` = 'S5O4U338958668567';
UPDATE e_tickets SET seat_code = 'D126' WHERE `code` = 'JBG6P337431614231';
UPDATE e_tickets SET seat_code = 'C135' WHERE `code` = 'H9L0M338942481175';
UPDATE e_tickets SET seat_code = 'C136' WHERE `code` = 'X6HL4338942612247';
UPDATE e_tickets SET seat_code = 'P133' WHERE `code` = 'PSVJ6338958603031';
UPDATE e_tickets SET seat_code = 'P134' WHERE `code` = 'ZBBUG338958537495';   CR:  Em cảm ơn anh</t>
  </si>
  <si>
    <t>[Vinpay][Prod][EKYC] Reset limit ekyc cho user</t>
  </si>
  <si>
    <t>2025-05-23T10:19:59.847+0700</t>
  </si>
  <si>
    <t>2025-05-23T10:48:16.874+0700</t>
  </si>
  <si>
    <t>Hi anh Em có script reset ekyc cho user ạ, nhờ anh chạy giúp em với ạ Thông tind database:  jdbc:mysql://vinpay-prod--high-performance.cloudsql.int:3306/ar_lending Script: update EKYC_AUTHEN_USER_HISTORY
set rate_limit = 1,
    updated_date = current_timestamp
where user_id = 49026;</t>
  </si>
  <si>
    <t>2025-05-22T21:49:00.646+0700</t>
  </si>
  <si>
    <t>2025-05-22T21:53:44.840+0700</t>
  </si>
  <si>
    <t>Nhờ team chạy các lệnh UPDATE trên MySQL Production như sau ạ: URL:  mysql://omre-onehs-mysql-main.int.onemount.com:3306/onehs_dictionary Query: UPDATE INVENTORY_PROPERTIES set status = "REVOKED", available_for_sale_status = "NOT_AVAILABLE", last_modified_date = "2025-05-22 17:00:00", last_modified_by = "master_data_admin" WHERE id = "46327f2a-56d5-4116-b087-a38af0aad0b7";
INSERT INTO eav_attribute_json_values 
(eav_attribute_id, entity_id, entity_id_v2, data_type, name, value, created_by, created_date, last_modified_by, last_modified_date) VALUES ((SELECT eav_attribute_id FROM eav_attributes WHERE field_name = "updating_status_reason"), 0, "46327f2a-56d5-4116-b087-a38af0aad0b7", "PICKLIST_MULTI_SELECT", "updating_status_reason", '[ { "id": null, "gid": null, "code": "SOLD_BY_ANOTHER", "name": "Đã bán bởi đơn vị khác", "uuid": null, "dname": null, "gcode": null, "gname": null, "order": null, "sector_id": null } ]', "master_data_admin", "2025-05-22 17:00:00", "master_data_admin", "2025-05-22 17:00:00");
UPDATE APPROVAL_REQUESTS2 
SET approval_status = "APPROVED", last_modified_date="2025-05-22 17:00:00", last_modified_by="master_data_admin" 
WHERE id = "2c9421b096f6ed170196f6eec6340000";</t>
  </si>
  <si>
    <t>[OMC][MTP][PROD] Purge old data partition mtp_tracking_events_omc  và cập nhật index.</t>
  </si>
  <si>
    <t>2025-05-22T21:46:59.372+0700</t>
  </si>
  <si>
    <t>2025-05-22T23:28:02.602+0700</t>
  </si>
  <si>
    <t>TRUNCATE data cho partition p20250302 'ALTER TABLE omc_mtp_tracking_events.mtp_tracking_events_omc TRUNCATE PARTITION p20250302;'  – tầm hơn 80 triệu rows</t>
  </si>
  <si>
    <t>[OMD CDP][Prod] Thêm cột mới cho bảng DP_CUSTOMER_GT</t>
  </si>
  <si>
    <t>2025-05-22T21:46:16.460+0700</t>
  </si>
  <si>
    <t>2025-05-22T22:02:12.928+0700</t>
  </si>
  <si>
    <t>Để phục vụ việc phát triển OMD CDP trên môi trường product: (theo ticket  https://vinid-team.atlassian.net/browse/DWHV2-11504 ), nhờ team hỗ trợ giúp em trên TiDB  omd-tidb.int.onemount.com:4000 : Thời gian thực hiện update table: sau 21h để tránh impact đến vận hành. Database: omd_cdp_data_from_dp Review script và thêm cột cho bảng  omd_cdp_data_from_dp.DP_CUSTOMER_GT : Dự kiến insert &amp; update ~352k bản ghi Script: ALTER TABLE omd_cdp_data_from_dp.DP_CUSTOMER_GT ADD gt_identity_number varchar(18); Em cảm ơn team ạ! cc chị  @Võ Thúy Hồng Ngọc   , anh  @Bùi Văn Lực</t>
  </si>
  <si>
    <t>Hỗ trợ config sales test pilot rule chấm công mới</t>
  </si>
  <si>
    <t>2025-05-22T17:27:18.828+0700</t>
  </si>
  <si>
    <t>2025-05-23T09:41:16.381+0700</t>
  </si>
  <si>
    <t>Em cần hỗ trợ chạy query này để tạm thời bỏ config của các sale không nằm trong tập pilot Thông tin database: DB_MYSQL_HOST: "vinid-integration-prod--main.cloudsql.int"
DB_MYSQL_DATABASE: "sales_tools" Query cần thực hiện: QUERY:
update hrm_sales_rules set deleted_at = now() where sale_id not in (1035,2592,4969,2317,5063,1088,4456,2799,835,5392,4936,2551,5391,535,5060,1379,1514,4367,2889,2022,3962,106,327,1341,165,138,2107,5045,3978,5100,1958,4812,170,5984,2838,3993,5449,5277,3167,4309,5139,3813,4399,1078,200);</t>
  </si>
  <si>
    <t>Xin cấp quyền ODS PROD</t>
  </si>
  <si>
    <t>2025-05-22T14:49:47.800+0700</t>
  </si>
  <si>
    <t>2025-05-22T15:25:17.611+0700</t>
  </si>
  <si>
    <t>Em mới nhận bàn giao thêm dự án OFS, trong đó có cục superset cấu hình khá nhiều datasets query vào ODS  omd_vinid_b2b_platform_prod_main_integration_b2b_ofs.  Vậy nhờ các a cấp quyền truy vấn giúp e ạ</t>
  </si>
  <si>
    <t>[OMC][Loyalty MFT] VCM - Cập dữ liệu store áp dụng voucher tặng cho hệ thống VCM</t>
  </si>
  <si>
    <t>2025-05-22T12:49:27.664+0700</t>
  </si>
  <si>
    <t>2025-05-22T12:49:51.801+0700</t>
  </si>
  <si>
    <t>Theo yêu cầu từ phía đội vận hành ở CR   , nhờ team DBA hỗ trợ chạy script update theo thông tin bên dưới ạ. GCP project : vinid-loyalty-prod Instance name : onevoucher Instance IP : 172.31.4.126 Database : onevc_vwm_prod Query : file đính kèm</t>
  </si>
  <si>
    <t>2025-05-22T12:25:00.183+0700</t>
  </si>
  <si>
    <t>2025-05-22T12:47:07.028+0700</t>
  </si>
  <si>
    <t xml:space="preserve">Nhờ team chạy lệnh UPDATE trên MySQL Production như sau ạ: 1.  db:  mysql://omre-onehs-mysql-main.int.onemount.com:3306/agent-platform DELETE FROM `contract` WHERE ctms_contract_reference_number='D.2838/25/OMRE-PN-0000135242' 2. db:  mysql://omre-onehs-mysql-main.int.onemount.com:3306/onehs_e_contract DELETE FROM `contracts` WHERE contract_reference_number='D.2838/25/OMRE-PN-0000135242'; CR:   </t>
  </si>
  <si>
    <t>[OMC][Ticketing] Update vị trí chỗ ngồi vào vé cho khách event Soobin ngày 21/5/2025</t>
  </si>
  <si>
    <t>2025-05-22T12:11:44.475+0700</t>
  </si>
  <si>
    <t>2025-05-22T12:12:00.177+0700</t>
  </si>
  <si>
    <t>Dear anh Dũng, Nhờ anh hỗ trợ team thực hiện script SQL update chỗ ngồi cho event bán vé soobin ngày 21/05/2025 Thông tin: project: vinticket_prod private ip: 172.31.1.3 database name: vinticket INSERT INTO seats (price, `status`, ticket_type_id, created_at, updated_at, `code`, display_name) VALUES (2000000, 'SOLD', 5154, NOW(), NOW(), 'Q160', 'Q160'); UPDATE e_tickets SET seat_code = 'Q160' WHERE `code` = '94N7J338959586071';   CR:  Em cảm ơn anh</t>
  </si>
  <si>
    <t>[OMRE][OneHousing]Tạo postgre database cho n8n trên production cho OneHousing</t>
  </si>
  <si>
    <t>2025-05-22T10:05:04.995+0700</t>
  </si>
  <si>
    <t>2025-05-22T10:09:32.251+0700</t>
  </si>
  <si>
    <t>OneHousing, n8n</t>
  </si>
  <si>
    <t>Database instance:  https://console.cloud.google.com/sql/instances/main-postgre/overview?inv=1&amp;invt=Abx9-g&amp;project=onehs-prod Database name: n8n Database username: n8n Database password: (DBA gen giúp em)</t>
  </si>
  <si>
    <t>Phân quyền thêm table để truy vấn báo cáo và kéo table</t>
  </si>
  <si>
    <t>2025-05-21T14:31:14.603+0700</t>
  </si>
  <si>
    <t>2025-05-21T14:31:48.681+0700</t>
  </si>
  <si>
    <t>Cần phân quyền để truy vấn báo cáo của Warehouse và kéo thêm table của chema tương ứng Phân quyền Tài khoản cấp quyền : omd_superset_internal_01 Data truy vấn:   omd_vinid_b2b_platform_prod_main_omd_wms_8193 Kéo thêm table của dataset tương ứng Data set: omd_vinid_b2b_platform_prod_main_omd_wms_vungtau Mong muốn : kéo hoặc phân quyền hiển thị tất cả các table của data set này ( Hiện tại đang không có table hoặc không có quyền đối với user  omd_superset_internal_01)</t>
  </si>
  <si>
    <t>[OMD CDP] Chỉnh sửa datatype cột gt_code bảng .DP_STAT_TRANSACTION_DAILY</t>
  </si>
  <si>
    <t>2025-05-21T14:26:36.572+0700</t>
  </si>
  <si>
    <t>2025-05-21T14:26:57.780+0700</t>
  </si>
  <si>
    <t>Dear team DBA, Nhờ team process execute sql script dưới đây để chỉnh sửa datatype cột gt_code  cho bảng dữ liệu DP_STAT_TRANSACTION_DAILY: Nguyên nhân: xuất hiện bản ghi có gt_code dài hơn 20 ký tự Thông tin table: Host:  omd-tidb.int.onemount.com:4000 Database:  omd_cdp_data_from_dp Bảng: omd_cdp_data_from_dp.DP_STAT_TRANSACTION_DAILY Query: ALTER TABLE omd_cdp_data_from_dp.DP_STAT_TRANSACTION_DAILY MODIFY COLUMN gt_code varchar(30) NULL; Due date: ASAP (07/02/2025)</t>
  </si>
  <si>
    <t>[OMD] Kéo bảng Fraud Report lên ODS</t>
  </si>
  <si>
    <t>2025-05-21T14:22:24.505+0700</t>
  </si>
  <si>
    <t>2025-05-21T14:22:54.253+0700</t>
  </si>
  <si>
    <t>Anh kéo giúp em bảng Fraud Report, thêm vào path tidb_ods.omd_vinid_b2b_platform_prod_b2b_commerce_b2b_oms_prod với ạ anh  @Sái Việt Hưng  note giúp em thông tin bảng fraud để đội data kéo nhé ạ</t>
  </si>
  <si>
    <t>[OMC][Ticketing] Update vị trí chỗ ngồi vào vé cho khách event Soobin ngày 20/5/2025</t>
  </si>
  <si>
    <t>2025-05-21T11:37:06.178+0700</t>
  </si>
  <si>
    <t>2025-05-23T10:48:28.790+0700</t>
  </si>
  <si>
    <t>Dear anh Dũng, Nhờ anh hỗ trợ team thực hiện script SQL update chỗ ngồi cho event bán vé soobin ngày 20/05/2025 Thông tin: project: vinticket_prod private ip: 172.31.1.3 database name: vinticket INSERT INTO seats (price, `status`, ticket_type_id, created_at, updated_at, `code`, display_name) VALUES (2500000, 'SOLD', 5148, NOW(), NOW(), 'Q43', 'Q43');
INSERT INTO seats (price, `status`, ticket_type_id, created_at, updated_at, `code`, display_name) VALUES (2500000, 'SOLD', 5149, NOW(), NOW(), 'C133', 'C133');
INSERT INTO seats (price, `status`, ticket_type_id, created_at, updated_at, `code`, display_name) VALUES (2000000, 'SOLD', 5154, NOW(), NOW(), 'R167', 'R167');
INSERT INTO seats (price, `status`, ticket_type_id, created_at, updated_at, `code`, display_name) VALUES (2000000, 'SOLD', 5154, NOW(), NOW(), 'R168', 'R168'); UPDATE e_tickets SET seat_code = 'Q43' WHERE `code` = '6W9HW337599779607';
UPDATE e_tickets SET seat_code = 'C133' WHERE `code` = 'GNBUG338942219031';
UPDATE e_tickets SET seat_code = 'R167' WHERE `code` = '2B9ST338959782679';
UPDATE e_tickets SET seat_code = 'R168' WHERE `code` = 'YYNG7338959717143';   CR:  Em cảm ơn anh</t>
  </si>
  <si>
    <t>[OM][DP][PROD] Umount Detach và remove old Disk DATA 4TiB trên Nodes Tikv-8 cụm TiDB ODS project onemg-dp-prod</t>
  </si>
  <si>
    <t>2025-05-21T11:30:50.716+0700</t>
  </si>
  <si>
    <t>2025-05-21T11:31:16.020+0700</t>
  </si>
  <si>
    <t>OM, save_cost</t>
  </si>
  <si>
    <t>Team tiến hành Umount, Detach và remove old Disk DATA 4TiB trên 1 Nodes Tikv-8 cụm TiDB ODS project onemg-dp-prod đã resize xong về 2 TB DISK DATA mới. DBA đã Umount các ổ DATA cũ Done. SRE thực hiện detach và remove giúp ổ DISK DATA 4 TiB cũ theo: Project Instance cluster TiKV Device Serial Name Size Disk Mô tả onemg-dp-prod ods-tikv-8 data-store-ods-tikv-8 4 TB Cần Remove [root@ods-tikv-8 ~]# lsblk -o uuid,name,size,fstype,serial,mountpoint
UUID                                   NAME                  SIZE FSTYPE      SERIAL                  MOUNTPOINT
                                       sda                   100G             persistent-disk-0       
60EA-EB06                              ├─sda1                200M vfat                                /boot/efi
7735b65e-8bd7-4963-a380-fce2d52c2a3b   └─sda2               99.8G xfs                                 /
D4vbVD-JFct-gqa2-LqYj-0paP-GwXd-7c0g1s sdb                     4T LVM2_member data-store-ods-tikv-8   
b148478f-c0f5-4ff0-9dfd-ebeb4bfd9787   └─hometi-home_data      4T ext4                                /data_old
dm3qTO-nQ9d-wuJH-cYam-Df4l-qF3U-HuE2IQ sdc                     2T LVM2_member data-store-1-ods-tikv-8 
5cec0acd-afcc-4f76-b049-13d5ddcbee9c   └─hometi1-home_data1    2T ext4                                /data
[root@ods-tikv-8 ~]#</t>
  </si>
  <si>
    <t>[OM][PROD][CloudSQL] V/v config audit database trên các instance Cloud SQL PROD</t>
  </si>
  <si>
    <t>2025-05-21T09:33:54.964+0700</t>
  </si>
  <si>
    <t>2025-05-21T09:34:33.521+0700</t>
  </si>
  <si>
    <t>Đợt này có maintain cái CloudSQL chỗ team SRE, ae PIC các hê thống DB chủ động contact với SRE bổ sung các flag audit cho all instance để còn monitor về DDL     trong file này có cột audit log  true là instance đã enable false là chưa enable Noted:</t>
  </si>
  <si>
    <t>2025-05-20T17:50:27.820+0700</t>
  </si>
  <si>
    <t>2025-05-20T17:53:01.181+0700</t>
  </si>
  <si>
    <t>Nhờ team chạy lệnh UPDATE trên MySQL Production như sau ạ: URL:  mysql://omre-onehs-mysql-main.int.onemount.com:3306/onehs_dictionary Query: UPDATE
    INVENTORY_PROPERTIES
SET
    reference_selling_price_gross = NULL,
    reference_selling_price = reference_selling_price_net_commission,
    reference_selling_price_type = "NETCOMMISSION"
WHERE
    inventory_code IN(
        "INV.5NUBBQ",
        "INV.XPF2LI",
        "INV.WNCFSP",
        "INV.5MPQTY",
        "INV.RZBY55"
    ) AND reference_selling_price_gross = 0</t>
  </si>
  <si>
    <t>2025-05-20T17:47:22.637+0700</t>
  </si>
  <si>
    <t>2025-05-20T17:49:42.847+0700</t>
  </si>
  <si>
    <t>Hiện tại em cần update data trên prod bảng tcb_device, nhờ các anh review và approve giúp em, Thông tin database  saas_tpay: jdbc:mysql:// pay-tidb.int.onemount.com:4000/saas_tpay script em có update trong file ạ. Thanks kiuuu các anh,</t>
  </si>
  <si>
    <t>[PROD] [VCM]  Thêm segemnt Inspire TCB</t>
  </si>
  <si>
    <t>2025-05-20T17:33:32.028+0700</t>
  </si>
  <si>
    <t>2025-05-20T17:44:35.114+0700</t>
  </si>
  <si>
    <t>Dear team DBA, Nhờ team hỗ trợ chạy lệnh thêm segment vào bảng segments. Thời gian dự kiến:  Từ 20/05/2025  đến 22h00  21/05/2025 Thông tin database: IP: 172.31.4.9
DB name: ecom_promotion
DB type: MySQL Câu lệnh SQL: INSERT INTO `segments` ( `name`, `source`, `reference_id`) VALUES ('Inspire TCB', 'MTP', 'e72f1b7c3b2f45fda3d17bc629d1749c') Thanks!</t>
  </si>
  <si>
    <t>2025-05-20T17:00:23.515+0700</t>
  </si>
  <si>
    <t>2025-05-20T17:00:42.090+0700</t>
  </si>
  <si>
    <t>Hi team, nhờ các anh hỗ trợ chạy script tác động database trên môi trường STAGING với thông tin dưới đây ạ: Thời điểm chạy script: chạy trong giờ sau khi ticket được approve Thông tin database: jdbc:mysql:// tidb.int.onemount.dev:4000/vinpay_saas_tpay_staging create table KEY_POS_INTEGRATION
(
    id              bigint auto_increment
        primary key,
    merchant_code   varchar(128)                        not null,
    store_code      varchar(128)                        not null,
    terminal_code   varchar(128)                        not null,
    first_key       varchar(3000)                       null,
    second_key      varchar(3000)                       null,
    key_check_value varchar(100)                        null,
    status          tinyint(1)                          null,
    created_at      timestamp default CURRENT_TIMESTAMP null,
    created_by      varchar(100)                        null,
    updated_at      timestamp                           null on update CURRENT_TIMESTAMP,
    updated_by      varchar(100)                        null,
    constraint uq_unified_terminal
        unique (merchant_code, store_code, terminal_code)
);
create index idx_merchant_store_terminal
    on KEY_POS_INTEGRATION (merchant_code, store_code, terminal_code);</t>
  </si>
  <si>
    <t>[Merchant-OM] Cập nhật thông tin xã cho 5 huyện đảo</t>
  </si>
  <si>
    <t>2025-05-20T16:05:56.092+0700</t>
  </si>
  <si>
    <t>2025-05-20T16:24:32.126+0700</t>
  </si>
  <si>
    <t>Dear team,   Do MP OPS đang yêu cầu nhập đủ thông tin tỉnh/ huyện/ xã. Nhưng có  5 huyện đảo  không có đơn vị hành chính cấp xã. Nên không đi tiếp được. Nhờ team cập nhật thông tin xã (fake) theo script đính kèm để OPS có thể hoạt động nhé ạ. Thông tin database https://console.cloud.google.com/sql/instances/main/overview?inv=1&amp;invt=Abx4jA&amp;project=vinid-merchant-prod DB_MYSQL_HOST=172.31.1.44
DB_MYSQL_DATABASE=merchant_service Câu lệnh UPDATE address_master SET ward_code='31318', ward_name = 'X. Bạch Long Vĩ' WHERE province_code = '31' AND district_code='318';
UPDATE address_master SET ward_code='45471', ward_name = 'X. Cồn Cỏ' WHERE province_code = '45' AND district_code='471';
UPDATE address_master SET ward_code='48498', ward_name = 'X. Hoàng Sa' WHERE province_code = '48' AND district_code='498';
UPDATE address_master SET ward_code='51536', ward_name = 'X. Lý Sơn' WHERE province_code = '51' AND district_code='536';
UPDATE address_master SET ward_code='77755', ward_name = 'X. Côn Đảo' WHERE province_code = '77' AND district_code='755';</t>
  </si>
  <si>
    <t>[OMC][MTP][Non-Prod] Hỗ trợ tạo user truy cập vào schema.</t>
  </si>
  <si>
    <t>2025-05-20T14:41:19.276+0700</t>
  </si>
  <si>
    <t>2025-05-20T14:56:36.216+0700</t>
  </si>
  <si>
    <t>Dear a  @Trần Trương Dương   Nhờ a tạo account cho e truy cập vào scheme  dp_omc_semantic_omc_bsi_cdp DB host :  tidb.int.onemount.dev:4000 Thanks.</t>
  </si>
  <si>
    <t>[OMC][Ticketing] Update vị trí chỗ ngồi vào vé cho khách event Soobin ngày 19/5/2025</t>
  </si>
  <si>
    <t>2025-05-20T10:43:45.789+0700</t>
  </si>
  <si>
    <t>2025-05-20T10:44:03.037+0700</t>
  </si>
  <si>
    <t>Dear anh Dũng, Nhờ anh hỗ trợ team thực hiện script SQL update chỗ ngồi cho event bán vé soobin ngày 19/05/2025 Thông tin: project: vinticket_prod private ip: 172.31.1.3 database name: vinticket INSERT INTO seats (price, `status`, ticket_type_id, created_at, updated_at, `code`, display_name) VALUES (2000000, 'SOLD', 5154, NOW(), NOW(), 'R164', 'R164');
INSERT INTO seats (price, `status`, ticket_type_id, created_at, updated_at, `code`, display_name) VALUES (2500000, 'SOLD', 5151, NOW(), NOW(), 'P124', 'P124');
INSERT INTO seats (price, `status`, ticket_type_id, created_at, updated_at, `code`, display_name) VALUES (2500000, 'SOLD', 5151, NOW(), NOW(), 'P125', 'P125');
INSERT INTO seats (price, `status`, ticket_type_id, created_at, updated_at, `code`, display_name) VALUES (2000000, 'SOLD', 5154, NOW(), NOW(), 'R165', 'R165');
INSERT INTO seats (price, `status`, ticket_type_id, created_at, updated_at, `code`, display_name) VALUES (2000000, 'SOLD', 5154, NOW(), NOW(), 'R166', 'R166'); UPDATE e_tickets SET seat_code = 'R164' WHERE `code` = 'EE3R5338959979287';
UPDATE e_tickets SET seat_code = 'P124' WHERE `code` = 'HBQOR338959192855';
UPDATE e_tickets SET seat_code = 'P125' WHERE `code` = '62RL0338959127319';
UPDATE e_tickets SET seat_code = 'R165' WHERE `code` = 'D3QBE338959913751';
UPDATE e_tickets SET seat_code = 'R166' WHERE `code` = 'A9EOU338959848215';   CR:  Em cảm ơn anh</t>
  </si>
  <si>
    <t xml:space="preserve">[OMC][GAMI][PS2][Prod] Hỗ trợ xuất báo cáo data of campaign "Hành trình vượt trội cùng Techcombank" </t>
  </si>
  <si>
    <t>2025-05-20T09:37:53.057+0700</t>
  </si>
  <si>
    <t>2025-05-20T09:44:38.589+0700</t>
  </si>
  <si>
    <t>Hỗ trợ xuất báo cáo data of campaign "Hành trình vượt trội cùng Techcombank" cho TCB thực hiện đi comm khách hàng Host:  172.31.4.75 DB: promo_quest Query chi làm các câu do data truy xuất lớn SELECT * FROM `campaign_progress` WHERE campaign_id = 32; Yêu cầu mail được kính kèm trong ảnh.</t>
  </si>
  <si>
    <t>[OMC][MTP] Giảm cấu hình resources MySQL</t>
  </si>
  <si>
    <t>2025-05-20T00:31:15.773+0700</t>
  </si>
  <si>
    <t>2025-05-20T01:22:49.374+0700</t>
  </si>
  <si>
    <t>Dear anh  @Nguyễn Văn Dũng , nhờ anh giảm giúp em resources của instance:  https://console.cloud.google.com/sql/instances/main/overview?hl=vi&amp;inv=1&amp;invt=AbxzGQ&amp;project=vinid-crm-salesforce-prod  xuống 4vCPU 8GB  với ạ. Best regards Dinh Quang Nguyen</t>
  </si>
  <si>
    <t>[OMRE][Agent] Bật cấu hình force update</t>
  </si>
  <si>
    <t>2025-05-19T21:21:02.382+0700</t>
  </si>
  <si>
    <t>2025-05-19T21:31:55.318+0700</t>
  </si>
  <si>
    <t xml:space="preserve">Nhờ DBA chạy giúp em câu lệnh này để cập nhật version force update cho Agent app nhé ! Thời gian: 21:30 19/05/2025 INSERT INTO mobile_application_versions (version, force_update_condition, force_update_message, warning_update_condition, warning_update_message, create_by, update_by, create_time, update_time, is_supporting, application) VALUES ('1.50.2', 'true', 'all users must update to 1.50.2', 'false', '', NULL, NULL, CURRENT_TIMESTAMP, CURRENT_TIMESTAMP, '1', 'ProAgentApp') Thông tin DB : HOST = " 172.31.4.83 " PORT = 3306 DATABASE = "agent-platform" CR Link:  https://vinid-team.atlassian.net/servicedesk/customer/portal/15/SH-64946?created=true Release Plan:   </t>
  </si>
  <si>
    <t>[1SEAL][Prod] Update mapping dữ liệu salestools với SAP</t>
  </si>
  <si>
    <t>2025-05-19T18:07:39.380+0700</t>
  </si>
  <si>
    <t>2025-05-19T18:11:09.319+0700</t>
  </si>
  <si>
    <t>Như trao đổi  https://chat.google.com/room/AAAA3ntSe9E/Cp3RwgEl85o/Cp3RwgEl85o?cls=10 Team cần update dữ liệu để đồng bộ thông tin lại với SAP Thông tin DB: DB_MYSQL_HOST: "vinid-integration-prod--main.cloudsql.int" DB_MYSQL_DATABASE: "sales_tools" Query cần thực hiện: update sales_attributes set attribute_value='E6011372' where sale_id=6697;
update hrm_sales_sap_mappings set deleted_at = now() where id=1594;</t>
  </si>
  <si>
    <t>[OMC][Ticketing] Update vị trí chỗ ngồi vào vé cho khách event Soobin ngày 17-18/5/2025</t>
  </si>
  <si>
    <t>2025-05-19T17:14:16.419+0700</t>
  </si>
  <si>
    <t>2025-05-19T17:20:03.754+0700</t>
  </si>
  <si>
    <t>Dear anh Dũng, Nhờ anh hỗ trợ team thực hiện script SQL update chỗ ngồi cho event bán vé soobin ngày 17-18/05/2025 Thông tin: project: vinticket_prod private ip: 172.31.1.3 database name: vinticket UPDATE e_tickets SET seat_code = 'R157' WHERE `code` = 'AJN71338960438039';
UPDATE e_tickets SET seat_code = 'R158' WHERE `code` = 'Q1BG8338960372503';
UPDATE e_tickets SET seat_code = 'R159' WHERE `code` = 'BHTTK338960306967';
UPDATE e_tickets SET seat_code = 'Q35' WHERE `code` = 'MA0GG337583919895';
UPDATE e_tickets SET seat_code = 'Q36' WHERE `code` = '3PPKS337599320855';
UPDATE e_tickets SET seat_code = 'Q37' WHERE `code` = 'KQXCW337599386391';
UPDATE e_tickets SET seat_code = 'Q38' WHERE `code` = 'CZEV4337599451927';
UPDATE e_tickets SET seat_code = 'Q39' WHERE `code` = 'POYIN337599517463';
UPDATE e_tickets SET seat_code = 'Q40' WHERE `code` = '07VQI337599582999';
UPDATE e_tickets SET seat_code = 'Q41' WHERE `code` = '5AIFQ337599648535';
UPDATE e_tickets SET seat_code = 'R160' WHERE `code` = 'WLES1338960241431';
UPDATE e_tickets SET seat_code = 'R161' WHERE `code` = '13W6P338960175895';
UPDATE e_tickets SET seat_code = 'L9' WHERE `code` = '42590337582871319';
UPDATE e_tickets SET seat_code = 'Q42' WHERE `code` = 'FT66B337599714071';
UPDATE e_tickets SET seat_code = 'P122' WHERE `code` = 'CTM8P338959323927';
UPDATE e_tickets SET seat_code = 'P123' WHERE `code` = 'YYBJW338959258391';
UPDATE e_tickets SET seat_code = 'C131' WHERE `code` = '6OC77338941956887';
UPDATE e_tickets SET seat_code = 'C132' WHERE `code` = '6MT9M338942087959';
UPDATE e_tickets SET seat_code = 'R162' WHERE `code` = '53FOU338960110359';
UPDATE e_tickets SET seat_code = 'R163' WHERE `code` = 'HXQ1U338960044823';
UPDATE e_tickets SET seat_code = 'D121' WHERE `code` = 'AG9R7337431941911';
UPDATE e_tickets SET seat_code = 'D122' WHERE `code` = 'RUJ5S337431876375';
UPDATE e_tickets SET seat_code = 'D123' WHERE `code` = 'H85CO337431810839'; INSERT INTO seats (price, `status`, ticket_type_id, created_at, updated_at, `code`, display_name) VALUES (2000000, 'SOLD', 5154, NOW(), NOW(), 'R157', 'R157');
INSERT INTO seats (price, `status`, ticket_type_id, created_at, updated_at, `code`, display_name) VALUES (2000000, 'SOLD', 5154, NOW(), NOW(), 'R158', 'R158');
INSERT INTO seats (price, `status`, ticket_type_id, created_at, updated_at, `code`, display_name) VALUES (2000000, 'SOLD', 5154, NOW(), NOW(), 'R159', 'R159');
INSERT INTO seats (price, `status`, ticket_type_id, created_at, updated_at, `code`, display_name) VALUES (2500000, 'SOLD', 5148, NOW(), NOW(), 'Q35', 'Q35');
INSERT INTO seats (price, `status`, ticket_type_id, created_at, updated_at, `code`, display_name) VALUES (2500000, 'SOLD', 5148, NOW(), NOW(), 'Q36', 'Q36');
INSERT INTO seats (price, `status`, ticket_type_id, created_at, updated_at, `code`, display_name) VALUES (2500000, 'SOLD', 5148, NOW(), NOW(), 'Q37', 'Q37');
INSERT INTO seats (price, `status`, ticket_type_id, created_at, updated_at, `code`, display_name) VALUES (2500000, 'SOLD', 5148, NOW(), NOW(), 'Q38', 'Q38');
INSERT INTO seats (price, `status`, ticket_type_id, created_at, updated_at, `code`, display_name) VALUES (2500000, 'SOLD', 5148, NOW(), NOW(), 'Q39', 'Q39');
INSERT INTO seats (price, `status`, ticket_type_id, created_at, updated_at, `code`, display_name) VALUES (2500000, 'SOLD', 5148, NOW(), NOW(), 'Q40', 'Q40');
INSERT INTO seats (price, `status`, ticket_type_id, created_at, updated_at, `code`, display_name) VALUES (2500000, 'SOLD', 5148, NOW(), NOW(), 'Q41', 'Q41');
INSERT INTO seats (price, `status`, ticket_type_id, created_at, updated_at, `code`, display_name) VALUES (2000000, 'SOLD', 5154, NOW(), NOW(), 'R160', 'R160');
INSERT INTO seats (price, `status`, ticket_type_id, created_at, updated_at, `code`, display_name) VALUES (2000000, 'SOLD', 5154, NOW(), NOW(), 'R161', 'R161');
INSERT INTO seats (price, `status`, ticket_type_id, created_at, updated_at, `code`, display_name) VALUES (2500000, 'SOLD', 5147, NOW(), NOW(), 'L9', 'L9');
INSERT INTO seats (price, `status`, ticket_type_id, created_at, updated_at, `code`, display_name) VALUES (2500000, 'SOLD', 5148, NOW(), NOW(), 'Q42', 'Q42');
INSERT INTO seats (price, `status`, ticket_type_id, created_at, updated_at, `code`, display_name) VALUES (2500000, 'SOLD', 5151, NOW(), NOW(), 'P122', 'P122');
INSERT INTO seats (price, `status`, ticket_type_id, created_at, updated_at, `code`, display_name) VALUES (2500000, 'SOLD', 5151, NOW(), NOW(), 'P123', 'P123');
INSERT INTO seats (price, `status`, ticket_type_id, created_at, updated_at, `code`, display_name) VALUES (2500000, 'SOLD', 5149, NOW(), NOW(), 'C131', 'C131');
INSERT INTO seats (price, `status`, ticket_type_id, created_at, updated_at, `code`, display_name) VALUES (2500000, 'SOLD', 5149, NOW(), NOW(), 'C132', 'C132');
INSERT INTO seats (price, `status`, ticket_type_id, created_at, updated_at, `code`, display_name) VALUES (2000000, 'SOLD', 5154, NOW(), NOW(), 'R162', 'R162');
INSERT INTO seats (price, `status`, ticket_type_id, created_at, updated_at, `code`, display_name) VALUES (2000000, 'SOLD', 5154, NOW(), NOW(), 'R163', 'R163');
INSERT INTO seats (price, `status`, ticket_type_id, created_at, updated_at, `code`, display_name) VALUES (4000000, 'SOLD', 5144, NOW(), NOW(), 'D121', 'D121');
INSERT INTO seats (price, `status`, ticket_type_id, created_at, updated_at, `code`, display_name) VALUES (4000000, 'SOLD', 5144, NOW(), NOW(), 'D122', 'D122');
INSERT INTO seats (price, `status`, ticket_type_id, created_at, updated_at, `code`, display_name) VALUES (4000000, 'SOLD', 5144, NOW(), NOW(), 'D123', 'D123'); CR:  Em cảm ơn anh</t>
  </si>
  <si>
    <t>2025-05-19T17:12:25.321+0700</t>
  </si>
  <si>
    <t>2025-05-19T17:23:21.231+0700</t>
  </si>
  <si>
    <t>Dear DBA team, Nhờ team support chạy script cập nhật clear data duplicate trong attribute voucher. Thời gian dự kiến:  16h 00 19/05/2025 Thông tin db: IP: 172.31.1.41
DB: vincart_mm_product Script: --Backup table entity_attributes_values
create table entity_attributes_values_bk1905 like entity_attributes_values;
insert into entity_attributes_values_bk1905 select * from entity_attributes_values;
-- Clear data duplicate
DELETE
FROM entity_attributes_values
WHERE id = 96555;  -- VD_VC_1732334399925
DELETE
FROM entity_attributes_values
WHERE id = 96557; -- VD_VC_1732334404393
DELETE
FROM entity_attributes_values
WHERE id = 96559; -- VD_VC_1732334408391
DELETE
FROM entity_attributes_values
WHERE id = 96513; -- VD_VC_1732335196412
-- delete other voucher same key voucher_accepted_merchants
DELETE
FROM entity_attributes_values
WHERE id IN (SELECT id
             FROM (SELECT a.id
                   FROM entity_attributes_values a
                   WHERE a.name = 'voucher_accepted_merchants'
                     AND (a.channel_code IS NULL OR a.channel_code = '')
                     AND EXISTS (SELECT 1
                                 FROM entity_attributes_values b
                                 WHERE b.name = 'voucher_accepted_merchants'
                                   AND a.entity_id = b.entity_id
                                   and (a.channel_code = 'ONEU' OR a.channel_code = 'TCBM'))) AS sub);</t>
  </si>
  <si>
    <t>Yêu cầu export một sổ bảng trên DB OMS PROD ạ</t>
  </si>
  <si>
    <t>2025-05-19T14:58:44.227+0700</t>
  </si>
  <si>
    <t>2025-05-19T15:12:22.526+0700</t>
  </si>
  <si>
    <t>Nhờ các anh export giúp e ra google sheet và share quyền edit giúp e các bảng sau để chuẩn bị cho task cập nhật DVHC sắp tới ạ *Area Area2District Area2Province Area2Ward MOVOQRule2Area PartialDelivery2Area	 PODConfig2Area C2LItem* Thông tin DB gcp project: vinid-b2b-platform-prod instance_name: b2b-commerce instanceIP:  172.31.4.113 dbname:  b2b_oms_prod</t>
  </si>
  <si>
    <t>[OMRE] query dữ liệu phục vụ debug</t>
  </si>
  <si>
    <t>2025-05-19T14:49:39.668+0700</t>
  </si>
  <si>
    <t>2025-05-19T15:23:57.975+0700</t>
  </si>
  <si>
    <t>Dear các anh em cần query dữ liệu từ db để phục vụ debug. Các anh export giúp em dữ liệu từ câu lệnh sau nhé  SELECT agents.uuid, agents.code, agents.status, awt.working_group_code, awt.status FROM agents INNER JOIN agent_working_groups awt ON agents.code = awt.agent_code WHERE agents.status = 'INACTIVE' and awt.status = 'ACTIVE' Thông tin DB : HOST = "172.31.1.135" PORT = 3306 DATABASE = "agent-platform"</t>
  </si>
  <si>
    <t>[VinID Pay][PROD] enable audit log cho các instance cloudsql database project vinpay-prod</t>
  </si>
  <si>
    <t>2025-05-19T14:40:18.059+0700</t>
  </si>
  <si>
    <t>2025-05-20T01:11:38.876+0700</t>
  </si>
  <si>
    <t>Auditlog</t>
  </si>
  <si>
    <t xml:space="preserve">DBA team sẽ tiến hành add thêm flag audit log ddl cho các instance thuộc project vinpay-prod. Các instance sẽ downtime khoảng 20 phút trong thời điểm thực hiện.  </t>
  </si>
  <si>
    <t>[VinID Pay][PROD] enable audit log cho các instance cloudsql database project onemg-identity-services-prod</t>
  </si>
  <si>
    <t>2025-05-19T14:40:12.054+0700</t>
  </si>
  <si>
    <t>2025-05-20T01:11:37.286+0700</t>
  </si>
  <si>
    <t xml:space="preserve">DBA team sẽ tiến hành add thêm flag audit log ddl cho các instance thuộc project onemg-identity-services-prod. Các instance sẽ downtime khoảng 20 phút trong thời điểm thực hiện.  </t>
  </si>
  <si>
    <t>[VinID Pay][PROD] enable audit log cho các instance cloudsql database project onemg-finance-platform-prod</t>
  </si>
  <si>
    <t>2025-05-19T14:40:07.965+0700</t>
  </si>
  <si>
    <t>2025-05-20T01:11:34.835+0700</t>
  </si>
  <si>
    <t xml:space="preserve">DBA team sẽ tiến hành add thêm flag audit log ddl cho các instance thuộc project onemg-finance-platform-prod. Các instance sẽ downtime khoảng 20 phút trong thời điểm thực hiện.  </t>
  </si>
  <si>
    <t>[OMD][PROD] enable audit log cho các instance cloudsql database project vinid-merchant-prod</t>
  </si>
  <si>
    <t>2025-05-19T14:39:55.556+0700</t>
  </si>
  <si>
    <t>2025-05-20T01:11:31.109+0700</t>
  </si>
  <si>
    <t xml:space="preserve">DBA team sẽ tiến hành add thêm flag audit log ddl cho các instance thuộc project vinid-merchant-prod. Các instance sẽ downtime khoảng 20 phút trong thời điểm thực hiện.  </t>
  </si>
  <si>
    <t>[OMC][PROD] enable audit log cho các instance cloudsql database project vinid-utility-prod</t>
  </si>
  <si>
    <t>2025-05-19T14:39:50.155+0700</t>
  </si>
  <si>
    <t>2025-05-20T01:11:28.801+0700</t>
  </si>
  <si>
    <t xml:space="preserve">DBA team sẽ tiến hành add thêm flag audit log ddl cho các instance thuộc project vinid-utility-prod. Các instance sẽ downtime khoảng 20 phút trong thời điểm thực hiện.  </t>
  </si>
  <si>
    <t>[OMC][PROD] enable audit log cho các instance cloudsql database project vinid-topup-prod</t>
  </si>
  <si>
    <t>2025-05-19T14:39:45.407+0700</t>
  </si>
  <si>
    <t>2025-05-20T01:11:26.333+0700</t>
  </si>
  <si>
    <t xml:space="preserve">DBA team sẽ tiến hành add thêm flag audit log ddl cho các instance thuộc project vinid-topup-prod. Các instance sẽ downtime khoảng 20 phút trong thời điểm thực hiện.  </t>
  </si>
  <si>
    <t>[OMC][PROD] enable audit log cho các instance cloudsql database project vinid-society-prod</t>
  </si>
  <si>
    <t>2025-05-19T14:39:35.357+0700</t>
  </si>
  <si>
    <t>2025-05-20T01:11:24.688+0700</t>
  </si>
  <si>
    <t xml:space="preserve">DBA team sẽ tiến hành add thêm flag audit log ddl cho các instance thuộc project vinid-society-prod. Các instance sẽ downtime khoảng 20 phút trong thời điểm thực hiện.  </t>
  </si>
  <si>
    <t>[OMC][PROD] enable audit log cho các instance cloudsql database project vinid-service-platform-prod</t>
  </si>
  <si>
    <t>2025-05-19T14:39:23.109+0700</t>
  </si>
  <si>
    <t>2025-05-20T01:11:23.041+0700</t>
  </si>
  <si>
    <t xml:space="preserve">DBA team sẽ tiến hành add thêm flag audit log ddl cho các instance thuộc project vinid-service-platform-prod. Các instance sẽ downtime khoảng 20 phút trong thời điểm thực hiện.  </t>
  </si>
  <si>
    <t>[OMC][PROD] enable audit log cho các instance cloudsql database project vinid-promotion-engine-prod</t>
  </si>
  <si>
    <t>2025-05-19T14:39:11.653+0700</t>
  </si>
  <si>
    <t>2025-05-20T01:11:21.215+0700</t>
  </si>
  <si>
    <t xml:space="preserve">DBA team sẽ tiến hành add thêm flag audit log ddl cho các instance thuộc project vinid-promotion-engine-prod. Các instance sẽ downtime khoảng 20 phút trong thời điểm thực hiện.  </t>
  </si>
  <si>
    <t>[OMC][PROD] enable audit log cho các instance cloudsql database project vinid-loyalty-prod</t>
  </si>
  <si>
    <t>2025-05-19T14:39:04.615+0700</t>
  </si>
  <si>
    <t>2025-05-20T01:11:19.518+0700</t>
  </si>
  <si>
    <t xml:space="preserve">DBA team sẽ tiến hành add thêm flag audit log ddl cho các instance thuộc project vinid-loyalty-prod. Các instance sẽ downtime khoảng 20 phút trong thời điểm thực hiện.  </t>
  </si>
  <si>
    <t>[OMC][PROD] enable audit log cho các instance cloudsql database project vinid-incubator-prod</t>
  </si>
  <si>
    <t>2025-05-19T14:38:57.817+0700</t>
  </si>
  <si>
    <t>2025-05-20T01:11:17.570+0700</t>
  </si>
  <si>
    <t xml:space="preserve">DBA team sẽ tiến hành add thêm flag audit log ddl cho các instance thuộc project vinid-incubator-prod. Các instance sẽ downtime khoảng 20 phút trong thời điểm thực hiện.  </t>
  </si>
  <si>
    <t>[OMC][PROD] enable audit log cho các instance cloudsql database project vinid-gamification-prod</t>
  </si>
  <si>
    <t>2025-05-19T14:38:41.156+0700</t>
  </si>
  <si>
    <t>2025-05-20T01:11:15.570+0700</t>
  </si>
  <si>
    <t xml:space="preserve">DBA team sẽ tiến hành add thêm flag audit log ddl cho các instance thuộc project vinid-gamification-prod. Các instance sẽ downtime khoảng 20 phút trong thời điểm thực hiện.  </t>
  </si>
  <si>
    <t>[OMC][PROD] enable audit log cho các instance cloudsql database project vinid-crm-salesforce-prod</t>
  </si>
  <si>
    <t>2025-05-19T14:38:33.279+0700</t>
  </si>
  <si>
    <t>2025-05-20T01:11:12.922+0700</t>
  </si>
  <si>
    <t xml:space="preserve">DBA team sẽ tiến hành add thêm flag audit log ddl cho các instance thuộc project vinid-crm-salesforce-prod. Các instance sẽ downtime khoảng 20 phút trong thời điểm thực hiện.  </t>
  </si>
  <si>
    <t>[OMC][PROD] enable audit log cho các instance cloudsql database project vinid-billservice-prod</t>
  </si>
  <si>
    <t>2025-05-19T14:38:24.258+0700</t>
  </si>
  <si>
    <t>2025-05-20T01:11:10.945+0700</t>
  </si>
  <si>
    <t xml:space="preserve">DBA team sẽ tiến hành add thêm flag audit log ddl cho các instance thuộc project vinid-billservice-prod. Các instance sẽ downtime khoảng 20 phút trong thời điểm thực hiện.  </t>
  </si>
  <si>
    <t>[OMC][PROD] enable audit log cho các instance cloudsql database project vincart-prod</t>
  </si>
  <si>
    <t>2025-05-19T14:38:16.512+0700</t>
  </si>
  <si>
    <t>2025-05-20T01:11:08.761+0700</t>
  </si>
  <si>
    <t xml:space="preserve">DBA team sẽ tiến hành add thêm flag audit log ddl cho các instance thuộc project vincart-prod. Các instance sẽ downtime khoảng 20 phút trong thời điểm thực hiện.  </t>
  </si>
  <si>
    <t>[VinID Pay][PROD] enable audit log cho các instance cloudsql database project vinid-risk-fraud-prod</t>
  </si>
  <si>
    <t>2025-05-19T14:38:05.802+0700</t>
  </si>
  <si>
    <t>2025-05-20T01:11:06.319+0700</t>
  </si>
  <si>
    <t xml:space="preserve">DBA team sẽ tiến hành add thêm flag audit log ddl cho các instance thuộc project vinid-risk-fraud-prod. Các instance sẽ downtime khoảng 20 phút trong thời điểm thực hiện.  </t>
  </si>
  <si>
    <t>[OM][PROD] enable audit log cho các instance cloudsql database project vinid-app-common-prod</t>
  </si>
  <si>
    <t>2025-05-19T14:37:56.310+0700</t>
  </si>
  <si>
    <t>2025-05-20T01:11:04.506+0700</t>
  </si>
  <si>
    <t xml:space="preserve">DBA team sẽ tiến hành add thêm flag audit log ddl cho các instance thuộc project vinid-app-common-prod. Các instance sẽ downtime khoảng 20 phút trong thời điểm thực hiện.  </t>
  </si>
  <si>
    <t>[OM][PROD] enable audit log cho các instance cloudsql database project onemg-sap-prod</t>
  </si>
  <si>
    <t>2025-05-19T14:37:37.366+0700</t>
  </si>
  <si>
    <t>2025-05-20T01:11:02.902+0700</t>
  </si>
  <si>
    <t xml:space="preserve">DBA team sẽ tiến hành add thêm flag audit log ddl cho các instance thuộc project onemg-sap-prod. Các instance sẽ downtime khoảng 20 phút trong thời điểm thực hiện.  </t>
  </si>
  <si>
    <t>[OM][PROD] enable audit log cho các instance cloudsql database project onemg-general-prod</t>
  </si>
  <si>
    <t>2025-05-19T14:37:27.651+0700</t>
  </si>
  <si>
    <t>2025-05-20T01:11:01.217+0700</t>
  </si>
  <si>
    <t xml:space="preserve">DBA team sẽ tiến hành add thêm flag audit log ddl cho các instance thuộc project onemg-general-prod. Các instance sẽ downtime khoảng 20 phút trong thời điểm thực hiện.  </t>
  </si>
  <si>
    <t>Thực hiện archive dữ liệu bảng TRANSACTION_HISTORY_ATTRIBUTE</t>
  </si>
  <si>
    <t>2025-05-19T14:37:20.355+0700</t>
  </si>
  <si>
    <t>2025-06-02T09:07:31.819+0700</t>
  </si>
  <si>
    <t>Thực hiện archive dữ liệu các bảng TRANSACTION_HISTORY, POINT_TRANSACTION, COUNTER_TRANSACTION_HISTORY</t>
  </si>
  <si>
    <t>2025-05-19T14:37:11.216+0700</t>
  </si>
  <si>
    <t>2025-05-20T07:52:05.883+0700</t>
  </si>
  <si>
    <t>Thực hiện archive dữ liệu các bảng: TRANSACTION_HISTORY POINT_TRANSACTION COUNTER_TRANSACTION_HISTORY</t>
  </si>
  <si>
    <t>Thực hiện archive dữ liệu bảng PAY_WITH_POINT_TRANSACTION_HISTORY</t>
  </si>
  <si>
    <t>2025-05-19T14:36:54.669+0700</t>
  </si>
  <si>
    <t>2025-05-20T07:42:45.187+0700</t>
  </si>
  <si>
    <t>Thực hiện archive dữ liệu các bảng TIER_HISTORY và đầu KAFKA_</t>
  </si>
  <si>
    <t>2025-05-19T14:36:43.265+0700</t>
  </si>
  <si>
    <t>2025-05-20T07:51:16.953+0700</t>
  </si>
  <si>
    <t>Thực hiện archive dữ liệu các bảng TIER_HISTORY và đầu KAFKA_ KAFKA_AUDIT_TRAIL_PRODUCT_INFO KAFKA_AUDIT_TRAIL_CARD_INFO KAFKA_AUDIT_TRAIL_CUSTOMER_PROFILE KAFKA_AUDIT_TRAIL_EARN_TRANSACTION KAFKA_AUDIT_TRAIL_EARN_EVENT TIER_HISTORY</t>
  </si>
  <si>
    <t>[OM][PROD] enable audit log cho các instance cloudsql database project onemg-db-prod</t>
  </si>
  <si>
    <t>2025-05-19T14:30:57.071+0700</t>
  </si>
  <si>
    <t>2025-05-20T01:10:59.605+0700</t>
  </si>
  <si>
    <t xml:space="preserve">DBA team sẽ tiến hành add thêm flag audit log ddl cho các instance thuộc project onemg-db-prod. Các instance sẽ downtime khoảng 20 phút trong thời điểm thực hiện.  </t>
  </si>
  <si>
    <t>[OMC][PS2][Loyalty][PROD] - Thực hiện archive dữ liệu history cho DB Loyalty - Tháng 5/2025</t>
  </si>
  <si>
    <t>2025-05-19T14:27:33.529+0700</t>
  </si>
  <si>
    <t>2025-06-02T09:06:42.725+0700</t>
  </si>
  <si>
    <t xml:space="preserve">Team DBA cần thực hiện archive dữ liệu lịch sử của 1 số bảng lớn trong DB LOYALTY, để tối ưu dung lượng lưu trữ data , tránh để data lưu trữ quá lớn trong DB dẫn tới chi phí phần cứng tăng và giảm hiệu suất IO khi truy xuất data lớn. Quy định về thời gian lưu trữ data (dự án đã confirm với TCB qua email): Live data tier: không TTL expired bất kể dữ liệu nào Backup tier: Thực hiện backup full 2 lần/tuần và incremental các ngày còn lại Archiving tier:  Dữ liệu Archive được thực hiện 6 tháng/lần và store với retention là 365 days Kế hoạch thực hiện archive dữ liệu history của DB Loyalty , thực hiện trong tháng 5 năm 2025 Các bảng cần lưu trữ data và thực hiện xóa data history: Tables Partition column Life time Note KAFKA_AUDIT_TRAIL_PRODUCT_INFO CREATED_AT 1 month   KAFKA_AUDIT_TRAIL_CARD_INFO CREATED_AT 1 month   KAFKA_AUDIT_TRAIL_CUSTOMER_PROFILE CREATED_AT 1 month   KAFKA_AUDIT_TRAIL_EARN_TRANSACTION CREATED_AT 1 month   KAFKA_AUDIT_TRAIL_EARN_EVENT CREATED_AT 1 month   TIER_HISTORY CREATED_AT 6 month   POINT_TRANSACTION_ACCOUNT_BALANCE CREATED_AT 6 month Bắt đầu thực hiện từ tháng 1/2025 Tháng 5./2025, tạm dừng ko xóa  data history bảng này nữa, để CNSP review lại xem có dùng dữ liệu quá 6 tháng ko? PAY_WITH_POINT_TRANSACTION_HISTORY TRANSACTION_TIME Giữ nguyên các partition,chỉ DELETE xóa data theo điều kiện where là:  status = 'F'  and transaction_time đủ full  1 tháng  gần nhất Ví dụ, hiện tại tháng 4/2025, thì sẽ thực hiện DELETE Xóa data có: status = 'F' and transaction_time &lt; to_date('01/03/2025','dd/MM/yyyy') TRANSACTION_HISTORY_ATTRIBUTE CREATED_AT 3 month Tháng hiện tại là tháng n. Trên DB chính PROD (HOT), giữ lại data đầy đủ của 3 tháng gần nhất (tháng thứ n-1,n-2,n-3 sau tháng hiện tại). Các data tháng thứ n-4,n-5,n-6 sau tháng n hiện tại thì chuyển sang db COLD.) Ví dụ, hiện tại là tháng 5/2025, thì data giữ lại ở db chính PROD là tháng 4/2025, 3/2025, 2/2025. Các tháng 1/2025, 12/2024, 11/2024 sẽ khai thác trên db COLD. TRANSACTION_HISTORY TRANSACTION_TIME 6 month Trên môi trường PROD (HOT), Giữ lại data đầy đủ của 6 tháng gần nhất. (tháng n-1, n-2, n-3, n-4, n-5, n-6). Trên môi trường COLD, sẽ có data lịch sử (history), không bao gồm data các tháng n, n-1, n-2, n-3, n-4, n-5, n-6. Ví dụ, hiện tại là tháng 5/2025, thì data giữ lại ở db chính PROD là tháng 4/2025, 3/2025, 2/2025, 1/2025, 12/2024, 11/2024. Các tháng lịch sử khác (history) sẽ khai thác trên db COLD. POINT_TRANSACTION TRANSACTION_TIME 6 month Trên môi trường PROD (HOT), Giữ lại data đầy đủ của 6 tháng gần nhất. (tháng n-1, n-2, n-3, n-4, n-5, n-6). Trên môi trường COLD, sẽ có data lịch sử (history), không bao gồm data các tháng n, n-1, n-2, n-3, n-4, n-5, n-6. Ví dụ, hiện tại là tháng 5/2025, thì data giữ lại ở db chính PROD là tháng 4/2025, 3/2025, 2/2025, 1/2025, 12/2024, 11/2024. Các tháng lịch sử khác (history) sẽ khai thác trên db COLD. COUNTER_TRANSACTION_HISTORY CREATED_AT 6 month Trên môi trường PROD (HOT), Giữ lại data đầy đủ của 6 tháng gần nhất. (tháng n-1, n-2, n-3, n-4, n-5, n-6). Trên môi trường COLD, sẽ có data lịch sử (history), không bao gồm data các tháng n, n-1, n-2, n-3, n-4, n-5, n-6. Ví dụ, hiện tại là tháng 5/2025, thì data giữ lại ở db chính PROD là tháng 4/2025, 3/2025, 2/2025, 1/2025, 12/2024, 11/2024. Các tháng lịch sử khác (history) sẽ khai thác trên db COLD. Phương án làm archive data cho các bảng này: export các partition vi phạm thời gian lưu trữ data life time ONLINE Lưu trữ các partition đã export lên GCS (thời gian lưu trữ trên GCS là 1 năm). Các dữ liệu nào cần khai thác trên COLD, thì sẽ import sang db COLD. Drop các partition đã export + archived trên DB PROD Chạy lại gather statistic cho bảng vừa drop partition (có thể để DB auto chạy cũng được)   Link CR:   </t>
  </si>
  <si>
    <t>2025-05-19T12:33:01.208+0700</t>
  </si>
  <si>
    <t>2025-05-19T12:57:42.615+0700</t>
  </si>
  <si>
    <t>Hi DBA team, Hiện tại có 1 số bản ghi trong Database bị lỗi không cập nhật trạng thái Yêu cầu soạn hàng (HO) và công việc soạn hàng (TG) tương ứng, nhờ team DBA hỗ trợ cập nhật giá trị theo thông tin dưới đây. Project : vinid-b2b-platform-prod Instance/IP : main (read-write): 172.31.1.143 Port : 3306 Database : wes_8115 Query UPDATE work_order_line wol 
JOIN work_order wo on wo.id = wol.work_order_id
JOIN  host_order_line hol on hol.id = wol.host_order_line_id
JOIN host_order ho on ho.id = hol.host_order_id
JOIN work_task_info wti on wti.host_order_id = ho.id
JOIN task t on t.id = wti.task_id
JOIN task_group tg on tg.id = t.task_group_id
JOIN host_wave hw on hw.id = ho.host_wave_id
SET 
wol.status_id = (select id from work_order_line_status where code = 'COMPLETED'), wol.last_modified_date = CONVERT_TZ(now(), "+07:00", "+00:00"),
wo.status_id = (select id from work_order_status where code = 'COMPLETED'), wo.last_modified_date = CONVERT_TZ(now(), "+07:00", "+00:00"),
hol.status_id = (SELECT id from host_order_line_status where code = 'COMPLETED'), hol.last_modified_date = CONVERT_TZ(now(), "+07:00", "+00:00"),
ho.status_id = (SELECT id from host_order_status where code = 'COMPLETED'), ho.last_modified_date = CONVERT_TZ(now(), "+07:00", "+00:00"),
t.status_id = (select id from task_status where code = 'COMPLETED'), t.last_modified_date = CONVERT_TZ(now(), "+07:00", "+00:00"),
tg.status_id = (select id from task_group_status where code = 'COMPLETED'), tg.last_modified_date = CONVERT_TZ(now(), "+07:00", "+00:00"),
hw.status_id = (select id from host_wave_status where code = 'COMPLETED'), hw.last_modified_date = CONVERT_TZ(now(), "+07:00", "+00:00"),
t.complete_time = '2025-05-17 07:36:05',
tg.complete_time = '2025-05-17 07:36:05',
ho.completed_time = '2025-05-17 07:36:05',
hol.complete_time = '2025-05-17 07:36:05',
wol.complete_time = '2025-05-17 07:36:05'
where
t.complete_time is null AND
tg.complete_time is null AND
ho.completed_time is null AND
hol.complete_time is null AND
wol.complete_time is null AND
ho.id = '1835'; Câu query đánh giá là an toàn nên có thể thực hiện cập nhật bất kỳ lúc nào mà không ảnh hưởng đến vận hành hệ thống.</t>
  </si>
  <si>
    <t>[OM][DP][Kafka][PROD] Hỗ trợ tạo kafka topic cho bảng ở DB sp_postgres_link_account</t>
  </si>
  <si>
    <t>2025-05-19T12:17:14.612+0700</t>
  </si>
  <si>
    <t>2025-05-20T18:39:40.127+0700</t>
  </si>
  <si>
    <t>Dear anh Linh, Team sản phẩm đã golive xong em tạo lại ticket tạo topic ạ. Phục vụ nhu cầu xây dựng báo cáo cho luồng KH Auto Earning TCB - tích điểm Upoint. IP:  172.31.7.11 Loại DB:  PostgreSQL Tên DB:  sp_postgres_link_account Tables:  usecases, products Em cảm ơn ạ</t>
  </si>
  <si>
    <t>[OMC][GAMI][PS2][Prod] Cập nhập trường dữ liệu cho luồng event mới</t>
  </si>
  <si>
    <t>2025-05-19T11:19:57.658+0700</t>
  </si>
  <si>
    <t>2025-05-19T12:12:07.578+0700</t>
  </si>
  <si>
    <t>Hỗ trợ update migration release  CR 22h 17/05 Host:  172.31.4.75 DB: promo_rule_engine CR:    Update lại field dữ liệu cho bảng topic_mapping update topic_mapping
set topic = 'ps2-oneloyalty-event-msk-raw'
where module = 'REALTIME_EVENT'
  and tenant_code = 'tcb';</t>
  </si>
  <si>
    <t>[OPS] Clear phí merchant MOID20288LFZ theo yêu cầu của vận hành</t>
  </si>
  <si>
    <t>2025-05-19T10:11:32.694+0700</t>
  </si>
  <si>
    <t>2025-05-19T10:16:20.463+0700</t>
  </si>
  <si>
    <t>Dear team, Nhờ  update giúp em db ops theo câu lệnh sau ạ: project: vinpay-prod  Instance: low-performance  Master IP: 172.31.1.149  Slave IP: 172.31.1.179  DB: ops_pay_service UPDATE ops_pay_service.FEE_DEBT_MASTER t
SET t.DEBT_END_PERIOD = 0
WHERE t.FEE_DEBT_MASTER_ID = 2715;</t>
  </si>
  <si>
    <t>Đánh Index tối ưu db aam</t>
  </si>
  <si>
    <t>2025-05-19T10:09:10.863+0700</t>
  </si>
  <si>
    <t>2025-05-19T10:09:20.544+0700</t>
  </si>
  <si>
    <t>CREATE INDEX CONCURRENTLY idx_sth_active_spec_null ON aam_stakeholders (position_id) WHERE status='ACTIVE' AND title_type='SPECIFIC' AND employee_id IS NULL; CREATE INDEX CONCURRENTLY idx_pos_active ON positions (id) INCLUDE (employee_id) WHERE status='ACTIVE'; CREATE INDEX CONCURRENTLY idx_emp_active ON employees (id) WHERE status='ACTIVE';</t>
  </si>
  <si>
    <t>[OM][DIFY][NONPROD]Tạo database cho dify trên nonnprod (môi trường dev)</t>
  </si>
  <si>
    <t>2025-05-19T09:32:46.320+0700</t>
  </si>
  <si>
    <t>2025-05-19T18:14:13.017+0700</t>
  </si>
  <si>
    <t>Nhờ team DBA tạo giúp em database cho dify trên môi trường nonprod: Instance: main-postgres-02 Instance link:  https://console.cloud.google.com/sql/instances/main-postgres-02/overview?inv=1&amp;invt=AbqDnw&amp;project=vinid-app-common-dev User: om_dify_dev Database: om_dify_dev Pass: (DBA gen giúp) User: om_dify_dev Database: om_dify_plugin_dev Pass: (DBA gen giúp)</t>
  </si>
  <si>
    <t>[OMC][PROD][LinkAcc][SQL] Update Database instance tương ứng</t>
  </si>
  <si>
    <t>2025-05-18T05:22:44.320+0700</t>
  </si>
  <si>
    <t>2025-05-19T11:20:39.784+0700</t>
  </si>
  <si>
    <t>Dear team, để chuẩn bị cho viêc golive tính năng tạo tài khoản không cần xác thực cho luồng link-acc liên quan đến luồng TCB. Nhờ team chạy giúp câu lệnh SQL được đính kèm dưới đâu với thông tin cụ thể như sau: instance:  https://console.cloud.google.com/sql/instances/postgres-01/overview?authuser=1&amp;hl=en&amp;inv=1&amp;invt=AbrpBg&amp;project=vinid-service-platform-prod Db schema:  sp_postgres_link_account SQL Query CREATE TABLE products
(
    id         serial primary key,
    code       varchar(50) not null,
    request_id varchar(36) not null,
    created_at timestamptz default now(),
    updated_at timestamptz default now()
);
alter table sources
    add column reference varchar(50) default null; CR tương ứng:    Thời gian thực hiện:  03h00 ngày 18/05/2025</t>
  </si>
  <si>
    <t>[OMC][GAMI][PS2][Prod] Hỗ trợ release CR 17/05</t>
  </si>
  <si>
    <t>2025-05-17T22:33:41.473+0700</t>
  </si>
  <si>
    <t>2025-05-18T23:22:46.940+0700</t>
  </si>
  <si>
    <t>Hỗ trợ migration release  CR 17/05 Host:  172.31.4.75 DB: promo_rule_engine B1: Insert topic mapping cho luồng mới INSERT INTO topic_mapping (tenant_id, topic, module, tenant_code)
VALUES (1, 'ps2-oneloyalty-event-msk-raw-uat', 'REALTIME_EVENT', 'tcb'); B2: Insert rule template INSERT INTO rule_templates (tenant_id, name, code, description, payload, is_active, type)
VALUES (1, 'REALTIME_EVENT', 'REALTIME_EVENT', 'Raw event msk',
        '{
          "id": "7e151e12-2937-4c2e-8872-d8766573b9a0",
          "event": "EVENT_TRANS_GAMI",
          "payload": {
            "event": {
              "event_id": "event_id_1708405230",
              "event_code": "event_code1",
              "event_date": "13-MAY-2023 12:43:10",
              "event_name": "event_name",
              "event_type": "",
              "event_group": "event_group",
              "event_amount": 1000000000,
              "event_product": "event_product"
            },
            "member_attributes": {
              "cst_pbt": "1234",
              "cst_toi": 1234.92,
              "biz_line": "biz",
              "card_ind": [
                "10000000000",
                "1234567891"
              ],
              "card_pan": "1234567890123456",
              "cst_cost": 1234.92,
              "cst_blk_lv": "123",
              "cst_gender": "N",
              "prd_status": [
                "10000000000",
                "1234567891"
              ],
              "card_status": [
                "10000000000",
                "1234567891"
              ],
              "cst_brth_dt": 20220201,
              "frst_ctc_dt": 20220201,
              "product_lv1": [
                "10000000000",
                "1234567891"
              ],
              "product_lv2": [
                "10000000000",
                "1234567891"
              ],
              "product_lv3": [
                "10000000000",
                "1234567891"
              ],
              "product_lv4": [
                "10000000000",
                "1234567891"
              ],
              "product_lv5": [
                "10000000000",
                "1234567891"
              ],
              "product_lv6": [
                "10000000000",
                "1234567891"
              ],
              "cst_ast_clss": "fs",
              "cst_pre_tier": "MEM",
              "employee_ind": "Y",
              "product_code": [
                "10000000000",
                "1234567891"
              ],
              "cst_residence": "zzz",
              "cst_rm_branch": "c",
              "cst_wtch_list": "d",
              "tier_end_date": 20220201,
              "cst_mobile_ind": "Y",
              "cst_occupation": "f",
              "cst_prd_active": "N",
              "cst_sub_branch": "c",
              "card_identifier": "a",
              "cst_ekyc_status": "Y",
              "cst_home_branch": "a",
              "cst_nationality": "csty",
              "cst_prd_holding": "N",
              "prd_branch_code": [
                "10000000000",
                "1234567891"
              ],
              "tier_start_date": 20220201,
              "cst_bank_segment": "s",
              "cst_ekyc_channel": "",
              "cst_family_group": "g",
              "cst_merchant_ind": "c",
              "cst_noti_channel": "a",
              "cst_tier_program": "qwe",
              "cst_last_login_date": 20220201,
              "target_segment_code": "a",
              "cst_first_login_date": 20220201,
              "cst_family_member_type": "a"
            },
            "system_attributes": {
              "dob": "",
              "gmv": 0,
              "is_dob": "",
              "pos_code": "",
              "pool_code": "",
              "tier_code": "",
              "chain_code": "",
              "store_code": "",
              "award_point": 0,
              "nett_amount": 0,
              "gross_amount": 0,
              "redeem_point": 0,
              "service_code": "",
              "voucher_code": "",
              "member_status": "",
              "card_type_code": "",
              "accumulated_gmv": 0,
              "corporation_code": "",
              "qualifying_point": 0,
              "transaction_datetime": 0,
              "accumulated_nett_amount": 0,
              "accumulated_earned_point": 0,
              "accumulated_gross_amount": 0
            },
            "customer_identifier": {
              "id": "testvalidate8",
              "id_type": "PARTNER_CUSTOMER_ID"
            }
          },
          "user_id": "testvalidate8",
          "time_stamp": null,
          "customer_id": "testvalidate8",
          "message_type": "TRANS_EARN_POINT_REQ",
          "program_code": "TCBC",
          "business_code": "TCB"
        }', 1, null); B3: Insert rule template job cho rule_template mới insert ở trên INSERT INTO rule_template_job (tenant_id, module_name, rule_template_id, job_id)
    VALUE (1, 'REALTIME_EVENT', XXX, 1); # XXX = rule_template_id B4: Insert categories và master data INSERT INTO categories (tenant_id, rule_template_id, `key`, name, field_type, ui_type, operator, group_name,
                        is_master_data, description, status) VALUE (1, 11, 'payload.event.event_id',
                                                                    '[EVENT_ID] Event ID', 'string', 'TEXT',
                                                                    '==|!=', 'Realtime Event', 0, null, 'ACTIVE');
INSERT INTO categories (tenant_id, rule_template_id, `key`, name, field_type, ui_type, operator,
                        group_name, is_master_data, description, status) VALUE (1, 11, 'payload.event.event_code',
                                                                                '[EVENT_CODE] Event code', 'string',
                                                                                'COMBOBOX',
                                                                                '==|!=', 'Realtime Event', 1, null,
                                                                                'ACTIVE');
INSERT INTO master_data(tenant_id, categories_id, attribute_code, program_id, created_at, updated_at)
VALUES (1, XXX, 'event_code', xxx, Now(), Now()); # xxx = categories_id
INSERT INTO categories (tenant_id, rule_template_id, `key`, name, field_type, ui_type, operator,
                        group_name, is_master_data, description, status) VALUE (1, 11, 'payload.event.event_group',
                                                                                '[EVENT_GROUP] Event group (Activation, Product booters, Special events)',
                                                                                'string', 'COMBOBOX', '==|!=',
                                                                                'Realtime Event', 1, null, 'ACTIVE');
INSERT INTO master_data(tenant_id, categories_id, attribute_code, program_id, created_at, updated_at)
VALUES (1, XXX, 'event_group', xxx, Now(), Now()); # xxx = categories_id
INSERT INTO categories (tenant_id, rule_template_id, `key`, name, field_type, ui_type, operator,
                        group_name, is_master_data, description, status) VALUE (1, 11, 'payload.event.event_name',
                                                                                '[EVENT_NAME] Event name', 'string',
                                                                                'COMBOBOX',
                                                                                '==|!=|contains', 'Realtime Event', 1,
                                                                                null, 'ACTIVE');
INSERT INTO master_data(tenant_id, categories_id, attribute_code, program_id, created_at, updated_at)
VALUES (1, XXX, 'event_name', xxx, Now(), Now()); # xxx = categories_id
INSERT INTO categories (tenant_id, rule_template_id, `key`, name, field_type, ui_type, operator,
                        group_name, is_master_data, description, status) VALUE (1, 11, 'payload.event.event_type',
                                                                                '[EVENT_TYPE] Event type (1st transaction/1st set up…)',
                                                                                'string',
                                                                                'COMBOBOX', '==|!=', 'Realtime Event',
                                                                                1, null, 'ACTIVE');
INSERT INTO master_data(tenant_id, categories_id, attribute_code, program_id, created_at, updated_at)
VALUES (1, XXX, 'event_type', xxx, Now(), Now()); # xxx = categories_id
INSERT INTO categories (tenant_id, rule_template_id, `key`, name, field_type, ui_type, operator,
                        group_name, is_master_data, description, status) VALUE (1, 11, 'payload.event.event_product',
                                                                                '[EVENT_PRODUCT] Related product for specific event',
                                                                                'string', 'TEXT',
                                                                                '==|!=', 'Realtime Event', 0, null,
                                                                                'ACTIVE');
INSERT INTO categories (tenant_id, rule_template_id, `key`, name, field_type, ui_type, operator,
                        group_name, is_master_data, description, status) VALUE (1, 11, 'payload.event.event_amount',
                                                                                '[EVENT_AMOUNT] Threshold for each event',
                                                                                'string', 'NUMBER',
                                                                                '&gt;=|&lt;=|&gt;|&lt;|==|!=', 'Realtime Event', 0,
                                                                                null, 'ACTIVE');
INSERT INTO categories (tenant_id, rule_template_id, `key`, name, field_type, ui_type, operator,
                        group_name, is_master_data, description, status) VALUE (1, 11, 'payload.event.event_date',
                                                                                '[EVENT_DATE] Date and time of event',
                                                                                'float64', 'DATE_TIME',
                                                                                '&gt;=|&lt;=|&gt;|&lt;|==|!=', 'Realtime Event', 0,
                                                                                null, 'ACTIVE');</t>
  </si>
  <si>
    <t>[OMC][MTP][Production] Bổ sung thêm cột cst_tier và thực hiện migrate dữ liệu tiering của TCB</t>
  </si>
  <si>
    <t>2025-05-17T21:04:15.658+0700</t>
  </si>
  <si>
    <t>2025-05-17T22:13:11.193+0700</t>
  </si>
  <si>
    <t>Dear anh  @Trần Trương Dương  , nhờ anh chạy giúp em script sau: Host:  omc-tidb.int.onemount.com:4000 Schema:  omc_mtp_user_profile ALTER TABLE identified_profile 
ADD COLUMN cst_tier VARCHAR(36); -- Tạo bảng tạm chứa dữ liệu migrate
CREATE TABLE customer_tiering (
    uid varchar(36) PRIMARY KEY,
    cst_loyalty_tier varchar(36)
);
-- Insert dữ liệu vào bảng tạm trong file đính kèm Host:  172.31.1.21 Schema:  mtp_martech_profile INSERT INTO mtp_anonymous_profile_segmentation_job (id, segmentation_id, status, hash, properties, created_at, display_name, display_order) VALUES ('e72f1b7c3b2f45fda3d17bc629d1749c', 'f83a1b2542cd4e7b9a8c7fd638e2b56f', NULL, '1570475746599908321', '{\"cst_tier\":{\"$in\":[\"INS\"]}}', '2024-03-06 14:59:49', 'Inspire', '1') Best regards Dinh Quang Nguyen</t>
  </si>
  <si>
    <t>[VinID Pay][Vinpay][PROD]indexing branch db dashboard softpos</t>
  </si>
  <si>
    <t>2025-05-17T11:53:28.459+0700</t>
  </si>
  <si>
    <t>2025-05-17T11:53:52.856+0700</t>
  </si>
  <si>
    <t>Hi anh, nhờ anh chạy giúp em script này ở môi trường PRODUCTION theo thông tin chạy dưới đây: Thời gian chạy script: theo lich golive Thông tin database saas_tpay: mysql://pay-tidb.int.onemount.com:4000/saas_tpay script: create index DASHBOARD_SOFTPOS_branch_IDX
    on DASHBOARD_SOFTPOS (branch);</t>
  </si>
  <si>
    <t>[Ticketing] Update vị trí chỗ ngồi vào vé cho khách event Soobin ngày 16/5/2025</t>
  </si>
  <si>
    <t>2025-05-17T11:32:30.202+0700</t>
  </si>
  <si>
    <t>2025-05-20T17:08:00.524+0700</t>
  </si>
  <si>
    <t>Dear anh Dũng, Nhờ anh hỗ trợ team thực hiện script SQL update chỗ ngồi cho event bán vé soobin ngày 14/05/2025 Thông tin: project: vinticket_prod private ip: 172.31.1.3 database name: vinticket INSERT INTO seats (price, `status`, ticket_type_id, created_at, updated_at, `code`, display_name) VALUES (2000000, 'SOLD', 5154, NOW(), NOW(), 'R155', 'R155');
INSERT INTO seats (price, `status`, ticket_type_id, created_at, updated_at, `code`, display_name) VALUES (2500000, 'SOLD', 5148, NOW(), NOW(), 'Q33', 'Q33');
INSERT INTO seats (price, `status`, ticket_type_id, created_at, updated_at, `code`, display_name) VALUES (2500000, 'SOLD', 5148, NOW(), NOW(), 'Q34', 'Q34');
INSERT INTO seats (price, `status`, ticket_type_id, created_at, updated_at, `code`, display_name) VALUES (2500000, 'SOLD', 5149, NOW(), NOW(), 'C129', 'C129');
INSERT INTO seats (price, `status`, ticket_type_id, created_at, updated_at, `code`, display_name) VALUES (2500000, 'SOLD', 5149, NOW(), NOW(), 'C130', 'C130');
UPDATE e_tickets SET seat_code = 'R155' WHERE `code` = 'YEBHT338960569111';
UPDATE e_tickets SET seat_code = 'Q33' WHERE `code` = '1B8JZ337583788823';
UPDATE e_tickets SET seat_code = 'Q34' WHERE `code` = 'CJO6C337583854359';
UPDATE e_tickets SET seat_code = 'C129' WHERE `code` = 'C74JQ338941694743';
UPDATE e_tickets SET seat_code = 'C130' WHERE `code` = '77WE1338941825815';
INSERT INTO seats (price, `status`, ticket_type_id, created_at, updated_at, `code`, display_name) VALUES (2500000, 'SOLD', 5151, NOW(), NOW(), 'P120', 'P120');
INSERT INTO seats (price, `status`, ticket_type_id, created_at, updated_at, `code`, display_name) VALUES (2000000, 'SOLD', 5154, NOW(), NOW(), 'R156', 'R156');
INSERT INTO seats (price, `status`, ticket_type_id, created_at, updated_at, `code`, display_name) VALUES (2500000, 'SOLD', 5151, NOW(), NOW(), 'P121', 'P121');
INSERT INTO seats (price, `status`, ticket_type_id, created_at, updated_at, `code`, display_name) VALUES (4000000, 'SOLD', 5144, NOW(), NOW(), 'D119', 'D119');
INSERT INTO seats (price, `status`, ticket_type_id, created_at, updated_at, `code`, display_name) VALUES (4000000, 'SOLD', 5144, NOW(), NOW(), 'D120', 'D120');
UPDATE e_tickets SET seat_code = 'P120' WHERE `code` = '63G5T338959454999';
UPDATE e_tickets SET seat_code = 'R156' WHERE `code` = '90HI5338960503575';
UPDATE e_tickets SET seat_code = 'P121' WHERE `code` = 'Q8K0K338959389463';
UPDATE e_tickets SET seat_code = 'D119' WHERE `code` = 'NGD21337432072983';
UPDATE e_tickets SET seat_code = 'D120' WHERE `code` = 'OKFCE337432007447'; Em cảm ơn</t>
  </si>
  <si>
    <t>2025-05-17T10:01:46.619+0700</t>
  </si>
  <si>
    <t>2025-05-17T22:33:57.464+0700</t>
  </si>
  <si>
    <t>[OMC][Link Account] [Prod] Thực hiện inactive thông tin Link Account cho tài khoản thay đổi số điện thoại theo yêu cầu hỗ trợ phía TCB Dear team DBA, Theo thread trao đổi: https://chat.google.com/room/AAAAbcTWvJQ/dqicrUFFXXs/dqicrUFFXXs?cls=10 Hiện user bị gãy luồng, nên team cần thực hiện update record để đảm bảo luồng của user TH1: User thực hiện đổi số điện thoại từ 0919701701 (user_id = 12520011) sang 0987881868 bên phía TCB, 
 user tự thực hiện unlink trên app TCB, do đó trên hệ thống đổi số điện thoại của TCB, không thực hiện 
 inactive thông tin Link Account nữa. Vì vậy, thông tin loyalty_id của user vẫn gắn với số điện thoại cũ,
 vì vậy, khách hàng không thao tác confirm được và báo lỗi. Nhờ team thực hiện query: Instance ID:  https://console.cloud.google.com/sql/instances/postgres-01/overview?authuser=1&amp;project=vinid-service-platform-prod Database name:  sp_postgres_link_account Câu lệnh SQL: UPDATE linkages SET active = false
WHERE user_id = 12520011</t>
  </si>
  <si>
    <t xml:space="preserve">[VINIDPAY] Tác động database - add index </t>
  </si>
  <si>
    <t>2025-05-16T14:40:57.150+0700</t>
  </si>
  <si>
    <t>2025-05-16T14:41:20.548+0700</t>
  </si>
  <si>
    <t>Nhờ team DBA hỗ trợ script sau Thời gian: Ngay sau khi ticket được approval  DB:  pay-tidb.int.onemount.com:4000           vinpay_soundbox_mqtt_user mqtt_acl create index username_index
    on mqtt_acl (username);</t>
  </si>
  <si>
    <t>[VinPay][NonProd][Staging] Cập nhật bảng CARD_PAYMENT_TRANSACTION_DETAIL</t>
  </si>
  <si>
    <t>2025-05-16T13:30:54.995+0700</t>
  </si>
  <si>
    <t>2025-05-16T14:21:48.172+0700</t>
  </si>
  <si>
    <t>Dear các anh DBA, Nhờ các anh chạy giúp em lệnh Alter Table bên dưới cho DB saas tpay staging Thông tin DB:  tidb.int.onemount.dev:4000/vinidpay_saas_staging Script:  alter table CARD_PAYMENT_TRANSACTION_DETAIL
    add is_tcb_sync_data varchar(50) null;</t>
  </si>
  <si>
    <t>[OMD CDP] Bổ sung index cho vinshop engagement event</t>
  </si>
  <si>
    <t>2025-05-16T13:04:36.776+0700</t>
  </si>
  <si>
    <t>2025-05-16T13:05:23.520+0700</t>
  </si>
  <si>
    <t>Dể tối ưu hiệu năng cho một số truy vấn của CDP, nhờ team điều chỉnh một số index Server: OMD TiDB at  omd-tidb.int.onemount.com:4000 Database:  omd_cdp_data_from_ingest Script: CREATE INDEX vinshop_engagement_customer_idx
    ON omd_cdp_data_from_ingest.vinshop_engagement (customer_code);
CREATE INDEX vinshop_session_customer_idx
    ON omd_cdp_data_from_ingest.vinshop_session (customer_code);  </t>
  </si>
  <si>
    <t>[OMD][b2b-platform][PROD] Update database omd_taskbox</t>
  </si>
  <si>
    <t>2025-05-15T23:21:59.363+0700</t>
  </si>
  <si>
    <t>2025-05-15T23:23:36.822+0700</t>
  </si>
  <si>
    <t>Update</t>
  </si>
  <si>
    <t>​Team em có nhu cầu chạy mirgrate dữ liệu cũ Nhờ team DBA  chạy upgrade db  vào lúc 23h thứ 5 ngày 15/05/2025 Project: vinid-b2b-platform-prod Database: MySQL Database ip: 172.31.1.118 database name prod: omd_taskbox Query Update ( Chạy câu inser trước, câu update sau): INSERT INTO TaskCenterReason (taskId, reasonId, reasonCode, reasonName) SELECT {{    id,}} {{    9,}} {{    'RS_CANCEL_TASK_003',}} {{    'Hủy bởi RouterBox'}} FROM TaskCenter WHERE ReasonObsoleted = 'Hủy bởi RouterBox' AND ReasonObsoletedBy IS NULL; UPDATE TaskCenter SET ReasonObsoletedBy = 'ROUTER_BOX' WHERE ReasonObsoleted = 'Hủy bởi RouterBox' AND ReasonObsoletedBy IS NULL;</t>
  </si>
  <si>
    <t>[OMC][PS2][Loyalty][PROD] - Thực hiện release sản phẩm theo kế hoạch</t>
  </si>
  <si>
    <t>2025-05-15T22:54:44.799+0700</t>
  </si>
  <si>
    <t>2025-05-15T23:27:42.952+0700</t>
  </si>
  <si>
    <t>Thực hiện insert data Production cho database loyalty core theo release sản phẩm theo kế hoạch. Link CR:    Nhờ team chạy script này trên PROD env của DB loyalty oracle giúp team Loyalty ạ. IP: 10.255.23.119 Service name: oneloyaltydb Port: 1521 schema app: OLOYALTY Giờ thực hiện:  22h ngày 15/05/2025</t>
  </si>
  <si>
    <t>[OMC][MTP][PROD] Hỗ trợ purge old data partition và cập nhật index.</t>
  </si>
  <si>
    <t>2025-05-15T22:07:19.481+0700</t>
  </si>
  <si>
    <t>2025-05-15T23:46:22.297+0700</t>
  </si>
  <si>
    <t>Dear a  @Trần Trương Dương  , Nhờ a  viết job thực hiện truncate dữ liệu trong các bảng với rule như sau ạ Thông tin DB :   omc-mtp-tidb.int.onemount.com:4000 Schema Table Thời gian lưu trữ omc_mtp_martech_activation mtp_ads_events 4 Weeks omc_mtp_martech_activation mtp_push_events 4 Weeks omc_mtp_martech_activation mtp_tracking_email_events 4 Weeks omc_mtp_martech_activation mtp_tracking_email_notifications 4 Weeks omc_mtp_martech_activation mtp_tracking_fcm_messages 4 Weeks omc_mtp_martech_activation mtp_tracking_push_notifications 4 Weeks omc_mtp_tracking_events mtp_tracking_event_sessions 6 Weeks omc_mtp_tracking_events mtp_tracking_events_context_omc 6 Weeks omc_mtp_tracking_events mtp_tracking_events_omc 6 Weeks omre_mtp_tracking_events mtp_tracking_events_context_omre 6 Weeks omre_mtp_tracking_events mtp_tracking_events_omre 6 Weeks Và thực hiện drop index : Thông tin DB :   omc-mtp-tidb.int.onemount.com:4000 DROP INDEX idx_mid ON omc_mtp_tracking_events.mtp_tracking_events_omc;
DROP INDEX idx_anonymous_api ON omc_mtp_tracking_events.mtp_tracking_events_omc;
DROP INDEX idx_date ON omc_mtp_tracking_events.mtp_tracking_events_omc;
DROP INDEX idx_session_id ON omc_mtp_tracking_events.mtp_tracking_events_omc;
DROP INDEX mtp_tracking_events_id_index ON omc_mtp_tracking_events.mtp_tracking_events_omc;   DROP INDEX idx_mid ON omre_mtp_tracking_events.mtp_tracking_events_omre;
DROP INDEX idx_anonymous_api ON omre_mtp_tracking_events.mtp_tracking_events_omre;
DROP INDEX idx_date ON omre_mtp_tracking_events.mtp_tracking_events_omre;
DROP INDEX idx_session_id ON omre_mtp_tracking_events.mtp_tracking_events_omre;
DROP INDEX mtp_tracking_events_id_index ON omre_mtp_tracking_events.mtp_tracking_events_omre; Note : Thời gian thực hiện khoảng 22h tối 15/5. Thông tin monitor từ DBA Team:    Thanks a!</t>
  </si>
  <si>
    <t>[Ticketing] Update vị trí chỗ ngồi vào vé cho khách event Soobin ngày 14/5/2025</t>
  </si>
  <si>
    <t>2025-05-15T18:02:13.924+0700</t>
  </si>
  <si>
    <t>2025-05-15T18:02:30.129+0700</t>
  </si>
  <si>
    <t>Dear anh Dũng, Nhờ anh hỗ trợ team thực hiện script SQL update chỗ ngồi cho event bán vé soobin ngày 14/05/2025 Thông tin: project: vinticket_prod private ip: 172.31.1.3 database name: vinticket INSERT INTO seats (price, `status`, ticket_type_id, created_at, updated_at, `code`, display_name) VALUES (2500000, 'SOLD', 5148, NOW(), NOW(), 'Q31', 'Q31');									
INSERT INTO seats (price, `status`, ticket_type_id, created_at, updated_at, `code`, display_name) VALUES (2500000, 'SOLD', 5148, NOW(), NOW(), 'Q32', 'Q32');									
INSERT INTO seats (price, `status`, ticket_type_id, created_at, updated_at, `code`, display_name) VALUES (2000000, 'SOLD', 5154, NOW(), NOW(), 'R151', 'R151');									
INSERT INTO seats (price, `status`, ticket_type_id, created_at, updated_at, `code`, display_name) VALUES (2500000, 'SOLD', 5149, NOW(), NOW(), 'D164', 'D164');									
INSERT INTO seats (price, `status`, ticket_type_id, created_at, updated_at, `code`, display_name) VALUES (4000000, 'SOLD', 5144, NOW(), NOW(), 'D109', 'D109');									
INSERT INTO seats (price, `status`, ticket_type_id, created_at, updated_at, `code`, display_name) VALUES (4000000, 'SOLD', 5144, NOW(), NOW(), 'D110', 'D110');									
INSERT INTO seats (price, `status`, ticket_type_id, created_at, updated_at, `code`, display_name) VALUES (4000000, 'SOLD', 5144, NOW(), NOW(), 'D111', 'D111');									
INSERT INTO seats (price, `status`, ticket_type_id, created_at, updated_at, `code`, display_name) VALUES (2500000, 'SOLD', 5149, NOW(), NOW(), 'D165', 'D165');									
INSERT INTO seats (price, `status`, ticket_type_id, created_at, updated_at, `code`, display_name) VALUES (4000000, 'SOLD', 5144, NOW(), NOW(), 'D112', 'D112');									
INSERT INTO seats (price, `status`, ticket_type_id, created_at, updated_at, `code`, display_name) VALUES (4000000, 'SOLD', 5144, NOW(), NOW(), 'D113', 'D113');									
INSERT INTO seats (price, `status`, ticket_type_id, created_at, updated_at, `code`, display_name) VALUES (2000000, 'SOLD', 5154, NOW(), NOW(), 'R152', 'R152');									
INSERT INTO seats (price, `status`, ticket_type_id, created_at, updated_at, `code`, display_name) VALUES (2000000, 'SOLD', 5154, NOW(), NOW(), 'R153', 'R153');									
INSERT INTO seats (price, `status`, ticket_type_id, created_at, updated_at, `code`, display_name) VALUES (4000000, 'SOLD', 5144, NOW(), NOW(), 'D114', 'D114');									
INSERT INTO seats (price, `status`, ticket_type_id, created_at, updated_at, `code`, display_name) VALUES (4000000, 'SOLD', 5144, NOW(), NOW(), 'D115', 'D115');									
INSERT INTO seats (price, `status`, ticket_type_id, created_at, updated_at, `code`, display_name) VALUES (4000000, 'SOLD', 5144, NOW(), NOW(), 'D116', 'D116');									
INSERT INTO seats (price, `status`, ticket_type_id, created_at, updated_at, `code`, display_name) VALUES (4000000, 'SOLD', 5144, NOW(), NOW(), 'D117', 'D117');									
INSERT INTO seats (price, `status`, ticket_type_id, created_at, updated_at, `code`, display_name) VALUES (4000000, 'SOLD', 5144, NOW(), NOW(), 'D118', 'D118');									
INSERT INTO seats (price, `status`, ticket_type_id, created_at, updated_at, `code`, display_name) VALUES (2000000, 'SOLD', 5154, NOW(), NOW(), 'R154', 'R154');									
INSERT INTO seats (price, `status`, ticket_type_id, created_at, updated_at, `code`, display_name) VALUES (2500000, 'SOLD', 5151, NOW(), NOW(), 'P119', 'P119');									
UPDATE e_tickets SET seat_code = 'R153' WHERE `code` = 'JWR4M338960700183';				
UPDATE e_tickets SET seat_code = 'D114' WHERE `code` = 'EBC10337432400663';				
UPDATE e_tickets SET seat_code = 'D115' WHERE `code` = 'S7IME337432335127';				
UPDATE e_tickets SET seat_code = 'D116' WHERE `code` = 'EFZOT337432269591';				
UPDATE e_tickets SET seat_code = 'D117' WHERE `code` = 'KFI89337432204055';				
UPDATE e_tickets SET seat_code = 'D118' WHERE `code` = 'XCPBT337432138519';				
UPDATE e_tickets SET seat_code = 'R154' WHERE `code` = '4AQOV338960634647';				
UPDATE e_tickets SET seat_code = 'P119' WHERE `code` = 'OSJTX338959520535'; Em cảm ơn</t>
  </si>
  <si>
    <t>2025-05-15T17:32:06.264+0700</t>
  </si>
  <si>
    <t>2025-05-15T17:56:33.115+0700</t>
  </si>
  <si>
    <t>Nhờ team chạy lệnh UPDATE trên MySQL Production như sau ạ: URL:  mysql://omre-onehs-mysql-main.int.onemount.com:3306/onehs_dictionary Query: UPDATE
    INVENTORY_PROPERTIES
SET
    reference_selling_price_gross = NULL,
    reference_selling_price = reference_selling_price_net_commission,
    reference_selling_price_type = "NETCOMMISSION"
WHERE
    inventory_code IN(
        "INV.WTR1SM",
        "INV.WXLEU8",
        "INV.3GLWKZ",
        "INV.GGMLV5",
        "INV.VMKU5K"
    ) AND reference_selling_price_gross = 0</t>
  </si>
  <si>
    <t>[VINIDPAY] Tác động database - bỏ gắn thiết bị và add thêm index</t>
  </si>
  <si>
    <t>2025-05-15T15:31:09.519+0700</t>
  </si>
  <si>
    <t>2025-05-15T15:31:46.587+0700</t>
  </si>
  <si>
    <t>Hi anh, nhờ anh chạy giúp em script này ở môi trường PRODUCTION theo thông tin chạy dưới đây: Thời gian chạy script: sau khi được approve Thông tin database saas_tpay: mysql://pay-tidb.int.onemount.com:4000/saas_tpay Bỏ gắn thiết bị   DELETE FROM TCB_DEVICE WHERE device_serial_number = 'V9E0719215';
DELETE FROM TCB_DEVICE_HISTORY WHERE device_serial_number = 'V9E0719215';
DELETE FROM SMARTPOS_DEVICE_MAPPING WHERE device_serial_number = 'V9E0719215';
DELETE FROM SMARTPOS_DEVICE_MAPPING_HISTORY WHERE device_serial_number = 'V9E0719215'; Add thêm index   create index MERCHANT_CODE_index
    on SOUNDBOX_DEVICE_MAPPING (MERCHANT_CODE);
create index TCB_MERCHANT_ID_TCB_STORE_ID_TCB_TERMINAL_ID_index
    on SOUNDBOX_DEVICE_MAPPING (TCB_MERCHANT_ID, TCB_STORE_ID, TCB_TERMINAL_ID);
create index MC_VA_ACCOUNT_index
    on SOUNDBOX_DEVICE_MAPPING (MC_VA_ACCOUNT);</t>
  </si>
  <si>
    <t>[OMRE][HD][BAU] - Update thông tin phân khu</t>
  </si>
  <si>
    <t>2025-05-15T14:49:27.763+0700</t>
  </si>
  <si>
    <t>2025-05-15T15:25:54.194+0700</t>
  </si>
  <si>
    <t>Hi team, OMRE cần update thông tin phân khu để hỗ trợ vận hành. Do chưa phát triển chức năng mở lại phân khu đã xóa mềm, nên cần update trực tiếp vào DB. CR: TODO  @Đinh Xuân Trung Đức   Thông tin như bên dưới đây: DB:  jdbc:mysql://omre-onehs-mysql-main.int.onemount.com:3306/onehs_housing_dictionary SQL script: -- Update sector_name: 6
UPDATE SECTORS SET deleted = FALSE WHERE id = 'ed12b393-d813-1a50-48f4-a13af9d36c43';
-- Update sector_name: 7
UPDATE SECTORS SET deleted = FALSE WHERE id = '4b6088fe-6e70-9455-2172-162fe4f078e2';
-- Update sector_name: 8
UPDATE SECTORS SET deleted = FALSE WHERE id = '23e51995-c873-9a9f-87ef-b40848315425';
-- Update sector_name: 9
UPDATE SECTORS SET deleted = FALSE WHERE id = 'fd813c3c-d376-54ae-0815-2530c7e936b7';
-- Update sector_name: 10
UPDATE SECTORS SET deleted = FALSE WHERE id = '88f5cbfc-e9c2-3ab6-3efe-7a14f4e3e6f7';
-- Update sector_name: 11
UPDATE SECTORS SET deleted = FALSE WHERE id = '38f010a8-0e1b-48c0-876b-02645caaa877';
-- Update sector_name: 12
UPDATE SECTORS SET deleted = FALSE WHERE id = '787f8501-8b6e-f16d-f10b-65030b3e63df';
-- Update sector_name: 13
UPDATE SECTORS SET deleted = FALSE WHERE id = '025cc200-1a6b-e020-27bf-c1727f88a1b0';
-- Update sector_name: 14
UPDATE SECTORS SET deleted = FALSE WHERE id = '2b83f3b9-6209-fe5b-dade-675aaebc1cba';</t>
  </si>
  <si>
    <t>2025-05-15T10:40:38.596+0700</t>
  </si>
  <si>
    <t>2025-05-15T11:05:43.477+0700</t>
  </si>
  <si>
    <t>Trong quá trình vận hành sản phẩm, phát sinh lỗi dữ liệu không đồng bộ cần được cập nhật lại dữ liệu, nhờ team DBA hỗ trợ giúp ạ. Thông tin GCP project : vinid-loyalty-prod Instance name : onevoucher Instance IP : 172.31.4.126 Database : onevc_vsm_prod onevc_vwm_prod Query : file đính kèm File  update_sale_20250514.sql  chạy cho db  onevc_vsm_prod File  update_warehouse_20250514.sql  chạy cho db onevc_vwm_prod</t>
  </si>
  <si>
    <t>2025-05-14T23:46:50.323+0700</t>
  </si>
  <si>
    <t>2025-05-14T23:47:10.078+0700</t>
  </si>
  <si>
    <t>Dear DBA team, Nhờ team cập nhật giúp bản ghi theo script bên dưới . Database:  om_dify Script:  UPDATE public.accounts
	SET is_super_admin=true
	WHERE email='linh.vu6@onemount.com' Note: khi nào đội ping thì sẽ chạy script</t>
  </si>
  <si>
    <t>[OM][DIFY][PROD]Nâng cấp Postgre database</t>
  </si>
  <si>
    <t>2025-05-14T22:43:03.424+0700</t>
  </si>
  <si>
    <t>2025-05-14T22:43:16.221+0700</t>
  </si>
  <si>
    <t>Nhờ dba team nâng cấp Postgre lên 8GB, 2CPU</t>
  </si>
  <si>
    <t>Cập nhật lại thông tin số ghế cho vé khách hàng event soobin</t>
  </si>
  <si>
    <t>2025-05-14T15:04:44.197+0700</t>
  </si>
  <si>
    <t>2025-05-14T16:43:49.231+0700</t>
  </si>
  <si>
    <t>VinTicket</t>
  </si>
  <si>
    <t>Dear anh Dũng, Nhờ anh hỗ trợ team excute script SQL update thêm thông tin số ghế cho khách hàng event Soobin project id: vinticket-prod private ip: 172.31.1.3 DB name: vinticket SQL script: UPDATE e_tickets SET seat_code = 'Q31' WHERE `code` = 'NCK59337583657751';				
UPDATE e_tickets SET seat_code = 'Q32' WHERE `code` = 'WQYQY337583723287';				
UPDATE e_tickets SET seat_code = 'R151' WHERE `code` = 'G73ZL338960831255';				
UPDATE e_tickets SET seat_code = 'D164' WHERE `code` = '96A7C338945626903';				
UPDATE e_tickets SET seat_code = 'D109' WHERE `code` = '7P88C337432728343';				
UPDATE e_tickets SET seat_code = 'D110' WHERE `code` = 'D8FUK337432662807';				
UPDATE e_tickets SET seat_code = 'D111' WHERE `code` = '4HXA9337432597271';				
UPDATE e_tickets SET seat_code = 'D165' WHERE `code` = 'SILCP338945495831';				
UPDATE e_tickets SET seat_code = 'D112' WHERE `code` = 'B9RDJ337432531735';				
UPDATE e_tickets SET seat_code = 'D113' WHERE `code` = 'FR4PF337432466199';				
UPDATE e_tickets SET seat_code = 'R152' WHERE `code` = 'I34TK338960765719'; Em cảm ơn</t>
  </si>
  <si>
    <t>[OMC][Vincart][Insurance] [Non-Prod] Tạo database schema cho dự án Insurance</t>
  </si>
  <si>
    <t>2025-05-14T14:52:52.321+0700</t>
  </si>
  <si>
    <t>2025-05-14T15:40:44.710+0700</t>
  </si>
  <si>
    <t>vincart-insurance</t>
  </si>
  <si>
    <t>Dear team DBA, để phục vụ cho dự án mới nhờ team support tạo database tương ứng trên môi trường non-prod, thông tin DB cần tạo cụ thể như sau: IP DB: 172.31.0.61:3306
Database name: vincart_insurance_uat Nếu cần thêm thông tin gì, nhờ team comment giúp.</t>
  </si>
  <si>
    <t>2025-05-14T14:22:30.058+0700</t>
  </si>
  <si>
    <t>2025-05-15T09:38:54.700+0700</t>
  </si>
  <si>
    <t>2025-05-14T12:23:01.848+0700</t>
  </si>
  <si>
    <t>2025-05-14T15:33:49.230+0700</t>
  </si>
  <si>
    <t>Nhờ team chạy lệnh UPDATE trên MySQL Production như sau ạ: URL:  mysql://omre-onehs-mysql-main.int.onemount.com:3306/onehs_dictionary Query: UPDATE
    INVENTORY_PROPERTIES
SET
    reference_selling_price_gross = NULL,
    reference_selling_price = reference_selling_price_net_commission,
    reference_selling_price_type = "NETCOMMISSION"
WHERE
    inventory_code IN(
        "INV.LJWGV5",
        "INV.XVJJQW",
        "INV.YHQOVI",
        "INV.DUXAAD",
        "INV.FERQXK",
        "INV.WKBER2",
        "INV.EMBDIH",
        "INV.HCFAZ4",
        "INV.DGZDWS",
        "INV.YKBJ0Z",
        "INV.ZE52PY",
        "INV.MBSXE6",
        "INV.VRIUYL",
        "INV.ANQ3QN",
        "INV.UCB5BJ",
        "INV.LJVDXL",
        "INV.PNHQUS",
        "INV.NGQEYG",
        "INV.YNVI3C",
        "INV.VZLIAL",
        "INV.J9VFVG",
        "INV.CN1EPI",
        "INV.JJYI54",
        "INV.NUQRXC",
        "INV.CFKIE9",
        "INV.RWFRII",
        "INV.EQJMAB",
        "INV.2RT5HM",
        "INV.TCUQBH",
        "INV.NGFSQY",
        "INV.JFT6NY",
        "INV.IXMUOP",
        "INV.ESMHXE",
        "INV.KPEKFI",
        "INV.C5LNZK",
        "INV.P5GAGO",
        "INV.FLQMCB",
        "INV.XHCCIG",
        "INV.PXLN9O"
    ) AND reference_selling_price_gross = 0</t>
  </si>
  <si>
    <t>[OM][DIFY][PROD] Nâng cấp postgre và Tạo database cho dify trên PRODUCTION</t>
  </si>
  <si>
    <t>2025-05-14T11:02:29.424+0700</t>
  </si>
  <si>
    <t>2025-05-14T16:50:55.645+0700</t>
  </si>
  <si>
    <t xml:space="preserve">Nhờ team DBA tạo giúp postgre database cho dify trên môi trường prod: instance:  https://console.cloud.google.com/sql/instances/main-postgres/overview?inv=1&amp;invt=AbxV0w&amp;project=onemg-general-prod nâng cấp lên: 8GB, 2CPU User: om_dify Database: om_dify Pass: (DBA gen giúp) User: om_dify_plugin Database: om_dify_plugin Pass: (DBA gen giúp) CR:    SAD:   </t>
  </si>
  <si>
    <t>[TMS][Prod] Execute sql migration script for Golive TMS Sprint LOG S84 (14/05/2025)</t>
  </si>
  <si>
    <t>2025-05-14T09:53:02.724+0700</t>
  </si>
  <si>
    <t>2025-05-14T21:56:41.388+0700</t>
  </si>
  <si>
    <t>Nhờ team thực hiện migration sql cho các database sau: Thực hiện trước 22h ngày 14/05/2025 Database  bytm_prod  (Oracle instance on GCE oracle-primary (Private IP: 10.255.24.170) (see attachments) (theo thứ tự) tms-data-proxy-v1.13.0.sql Database  omd_tms_planning_prod  (SQL instance tms-mysql-01 (Private IP: 172.31.4.129)  https://console.cloud.google.com/sql/instances/tms-mysql-01/overview?project=onedc-tms-prod ) (see attachments) tms-tariff-engine-v1.10.0.sql</t>
  </si>
  <si>
    <t>[OMC][PROD]Giảm cấu hình hạ tầng database ticketing</t>
  </si>
  <si>
    <t>2025-05-14T09:01:32.355+0700</t>
  </si>
  <si>
    <t>2025-05-14T16:43:29.888+0700</t>
  </si>
  <si>
    <t>ticketing</t>
  </si>
  <si>
    <t>Dear anh Dũng, Nhờ anh hỗ trợ giảm cấu hình database ticket 8CPU, 16GB → 2CPU, 8GB  Em cảm ơn</t>
  </si>
  <si>
    <t>[OMD][WMS] Hỗ trợ cập nhật dữ liệu trạng thái bản ghi PO Thanh4294202025050928991cho kho PHO02</t>
  </si>
  <si>
    <t>2025-05-13T17:06:42.193+0700</t>
  </si>
  <si>
    <t>2025-05-13T17:14:51.856+0700</t>
  </si>
  <si>
    <t>Hi DBA team, Hiện tại có 1 bản ghi trong Database bị lỗi do user nhập số thập phân trong khi hệ thống WMS chưa hỗ trợ một số giao dịch theo số thập phân (Ví dụ cất hàng), nhờ team DBA hỗ trợ cập nhật giá trị theo thông tin dưới đây. Project : vinid-b2b-platform-prod Instance/IP : main (read-write): 172.31.4.59 Port : 3306 Database : omd_wms_thuanphong2 Query UPDATE order_item SET processed_qty = 9, orig_qty = 9, shipped_qty = 9, last_modified_date = UTC_TIMESTAMP WHERE order_hdr_id=135303 AND prod_code='PVN264';
UPDATE order_item SET processed_qty = 9, orig_qty = 9, transaction_qty = 9, last_modified_date = UTC_TIMESTAMP WHERE order_hdr_id=135304 AND prod_code='PVN264';
UPDATE order_item SET pending_qty = 9, orig_qty = 9, transaction_qty = 9, last_modified_date = UTC_TIMESTAMP WHERE order_hdr_id=135339 AND prod_code='PVN264';
UPDATE whse_stock_detail SET initial_qty = 9, last_modified_date = UTC_TIMESTAMP where po_no ='Thanh4294202025050928991' AND prod_code='PVN264'; Câu query đánh giá là an toàn nên có thể thực hiện cập nhật bất kỳ lúc nào mà không ảnh hưởng đến vận hành hệ thống.</t>
  </si>
  <si>
    <t>Nâng cấp MongoDB Atlas từ version 6.0 lên 7.0 cho dự án OMC-MTP-Realtime-Report-PROD</t>
  </si>
  <si>
    <t>2025-05-13T16:50:35.446+0700</t>
  </si>
  <si>
    <t>2025-06-20T14:19:07.798+0700</t>
  </si>
  <si>
    <t>Hiện tại mongoDB Atlas thông báo phiên bản MongoDB version 6 sẽ "End of Life" vào 31/07/2025. Nên dự án cần nâng cấp version mongoDB Atlas môi trường PROD từ version 6 lên version 7 (chủ động nâng cấp trước, tránh để MongoDB Atlas force nâng cấp sau khi qua ngày 31/07/2025) Các DB mongo ở nonprod hiện tại đang chạy version 7 ở hạ tầng MongoDB chung cho cả OM rồi. Vậy dự án có thể check lại các thông tin về tính tương thích của driver, lib, code... trên môi trường PROD và thảo luận giúp team DBA để đưa ra thời gian nâng cấp DB trên PROD. Team DBA dự kiến việc nâng cấp sẽ thực hiện trong tháng 6/2025. Thông tin DB: omc-mtp-realtime-report.8j11t.mongodb.net:27017 omc-mtp-realtime-report-shard-00-00.8j11t.mongodb.net:27017 omc-mtp-realtime-report-shard-00-01.8j11t.mongodb.net:27017 omc-mtp-realtime-report-shard-00-02.8j11t.mongodb.net:27017</t>
  </si>
  <si>
    <t>Nâng cấp MongoDB Atlas từ version 6.0 lên 7.0 cho dự án OMC-Loyalty-PS2</t>
  </si>
  <si>
    <t>2025-05-13T16:50:30.209+0700</t>
  </si>
  <si>
    <t>2025-07-02T22:43:04.790+0700</t>
  </si>
  <si>
    <t>Hiện tại mongoDB Atlas thông báo phiên bản MongoDB version 6 sẽ "End of Life" vào 31/07/2025. Nên dự án cần nâng cấp version mongoDB Atlas môi trường PROD từ version 6 lên version 7 (chủ động nâng cấp trước, tránh để MongoDB Atlas force nâng cấp sau khi qua ngày 31/07/2025) Các DB mongo ở nonprod hiện tại đang chạy version 7 ở hạ tầng MongoDB chung cho cả OM rồi. Vậy dự án có thể check lại các thông tin về tính tương thích của driver, lib, code... trên môi trường PROD và thảo luận giúp team DBA để đưa ra thời gian nâng cấp DB trên PROD. Team DBA dự kiến việc nâng cấp sẽ thực hiện trong tháng 6/2025. Thông tin DB: omc-loyalty-ps2.8j11t.mongodb.net:27017 omc-loyalty-ps2-shard-00-00.8j11t.mongodb.net:27017 omc-loyalty-ps2-shard-00-01.8j11t.mongodb.net:27017 omc-loyalty-ps2-shard-00-02.8j11t.mongodb.net:27017</t>
  </si>
  <si>
    <t>Nâng cấp MongoDB Atlas từ version 6.0 lên 7.0 cho dự án OMC-CE-ChatSerivce</t>
  </si>
  <si>
    <t>2025-05-13T16:49:59.113+0700</t>
  </si>
  <si>
    <t>2025-06-12T22:43:32.297+0700</t>
  </si>
  <si>
    <t>Hiện tại mongoDB Atlas thông báo phiên bản MongoDB version 6 sẽ "End of Life" vào 31/07/2025. Nên dự án cần nâng cấp version mongoDB Atlas môi trường PROD từ version 6 lên version 7 (chủ động nâng cấp trước, tránh để MongoDB Atlas force nâng cấp sau khi qua ngày 31/07/2025) Các DB mongo ở nonprod hiện tại đang chạy version 7 ở hạ tầng MongoDB chung cho cả OM rồi. Vậy dự án có thể check lại các thông tin về tính tương thích của driver, lib, code... trên môi trường PROD và thảo luận giúp team DBA để đưa ra thời gian nâng cấp DB trên PROD. Team DBA dự kiến việc nâng cấp sẽ thực hiện trong tháng 6/2025. Thông tin DB: omc-ce-chatserivce-shard-00-00.8j11t.mongodb.net:27017 omc-ce-chatserivce-shard-00-01.8j11t.mongodb.net:27017 omc-ce-chatserivce-shard-00-02.8j11t.mongodb.net:27017 omc-ce-chatserivce.8j11t.mongodb.net</t>
  </si>
  <si>
    <t>Nâng cấp MongoDB Atlas môi trường PROD từ version 6.0 lên 7.0</t>
  </si>
  <si>
    <t>2025-05-13T16:48:42.505+0700</t>
  </si>
  <si>
    <t>2025-07-02T22:43:25.675+0700</t>
  </si>
  <si>
    <t>Hiện tại mongoDB Atlas thông báo phiên bản MongoDB version 6 sẽ "End of Life" vào 31/07/2025. Môi trường PROD của các dự án đang chạy version 6.0, cần thực hiện nâng cấp lên version 7.0: OMC-CE-ChatSerivce OMC-Loyalty-PS2 OMC-MTP-Realtime-Report-PROD</t>
  </si>
  <si>
    <t>[PROD] Script support gán và bỏ gán thiết bị smartpos support tcb.</t>
  </si>
  <si>
    <t>2025-05-13T16:41:29.049+0700</t>
  </si>
  <si>
    <t>2025-05-13T16:41:57.726+0700</t>
  </si>
  <si>
    <t>Hi anh, nhờ anh chạy giúp em script này ở môi trường PRODUCTION theo thông tin chạy dưới đây: Thời gian chạy script: sau khi được approve Thông tin database saas_tpay: mysql://pay-tidb.int.onemount.com:4000/saas_tpay script: DELETE FROM TCB_DEVICE WHERE device_serial_number = 'V1E0376479';
DELETE FROM TCB_DEVICE_HISTORY WHERE device_serial_number = 'V1E0376479';
DELETE FROM SMARTPOS_DEVICE_MAPPING WHERE device_serial_number = 'V1E0376479';
DELETE FROM SMARTPOS_DEVICE_MAPPING_HISTORY WHERE device_serial_number = 'V1E0376479';
DELETE FROM TCB_DEVICE WHERE device_serial_number = 'V9E0719206';
DELETE FROM TCB_DEVICE_HISTORY WHERE device_serial_number = 'V9E0719206';
DELETE FROM SMARTPOS_DEVICE_MAPPING WHERE device_serial_number = 'V9E0719206';
DELETE FROM SMARTPOS_DEVICE_MAPPING_HISTORY WHERE device_serial_number = 'V9E0719206';
DELETE FROM TCB_DEVICE WHERE device_serial_number = 'V9E0719208';
DELETE FROM TCB_DEVICE_HISTORY WHERE device_serial_number = 'V9E0719208';
DELETE FROM SMARTPOS_DEVICE_MAPPING WHERE device_serial_number = 'V9E0719208';
DELETE FROM SMARTPOS_DEVICE_MAPPING_HISTORY WHERE device_serial_number = 'V9E0719208';
DELETE FROM TCB_DEVICE WHERE device_serial_number = 'V9E0719210';
DELETE FROM TCB_DEVICE_HISTORY WHERE device_serial_number = 'V9E0719210';
DELETE FROM SMARTPOS_DEVICE_MAPPING WHERE device_serial_number = 'V9E0719210';
DELETE FROM SMARTPOS_DEVICE_MAPPING_HISTORY WHERE device_serial_number = 'V9E0719210';</t>
  </si>
  <si>
    <t>[OMC][NRs][Billservice]Hỗ trợ update bill</t>
  </si>
  <si>
    <t>2025-05-13T12:00:15.350+0700</t>
  </si>
  <si>
    <t>2025-05-13T16:28:07.503+0700</t>
  </si>
  <si>
    <t>billservice</t>
  </si>
  <si>
    <t>Dear các anh DBA, Giao dịch hệ thống billservice bị lệch đối soát, cần update lại giao dịch, nhờ các anh hỗ trợ team chạy lại câu query sau UPDATE bills
SET `status` = 'PAID', fail_reason = NULL
WHERE id = '302851PD02T40384206052025101601854046496'; Thông tin gcp sql: project: vinid-billservice-prod private ip: 172.31.1.225 db name: bill_service Em cảm ơn</t>
  </si>
  <si>
    <t>[VINIDPAY][Softpos] Migrate data cấu hình giới hạn cho nhóm khách hàng thường</t>
  </si>
  <si>
    <t>2025-05-12T23:31:00.833+0700</t>
  </si>
  <si>
    <t>2025-05-12T23:31:29.832+0700</t>
  </si>
  <si>
    <t>Hi anh, Nhờ a chạy query bên dưới giúp e với ạ. UPDATE LIMIT_RULE SET STATUS = 'INACTIVE', LIMIT_SEGMENT_CODE = null WHERE CUSTOMER_TYPE = 'normal' AND STATUS = 'ACTIVE' AND LIMIT_SEGMENT_CODE IS NOT NULL ; Thông tin database:  pay-tidb.int.onemount.com:4000/saas_tpay</t>
  </si>
  <si>
    <t>[OM][DP][Kafka][PROD] Tạo topic martech_notification_prod.device mới phục vụ dự án CDP</t>
  </si>
  <si>
    <t>2025-05-12T17:58:33.047+0700</t>
  </si>
  <si>
    <t>2025-05-12T17:59:53.773+0700</t>
  </si>
  <si>
    <t>Hi team DBA, Nhờ team tạo giúp topic theo thông tin như sau nhé: Thông tin DB Prod: IP: 172.31.4.192 Port: 3306 DB name: martech_notification_prod Tên bảng: device Regrads, Vĩnh</t>
  </si>
  <si>
    <t>2025-05-12T14:54:14.731+0700</t>
  </si>
  <si>
    <t>2025-05-12T14:55:48.605+0700</t>
  </si>
  <si>
    <t>Dear team DBA Do vận hành có nhu cầu cấu hình cho phép tiêu điểm cho sự kiện bán vé SOOBIN LIVE CONCERT nên nhờ mọi người hỗ trợ xóa key cache sau để lấy được config mới nhất.  Chạy ngay khi được approve ạ. link CR:    key pattern : ecom:order-orchestrator:get_merchant_payment_config* host :  vincart-prod--cache.memstore.int port : 6379 database : 5</t>
  </si>
  <si>
    <t>[OM][DP][Kafka][PROD] Tạo kafka topic cho các bảng của WES</t>
  </si>
  <si>
    <t>2025-05-12T11:56:17.655+0700</t>
  </si>
  <si>
    <t>2025-05-12T14:15:30.380+0700</t>
  </si>
  <si>
    <t>Dear các anh DBA, Hiện tại OMD đang có nhu cầu sử dụng dữ liệu WES những bảng sau để phục vụ tích hợp vào model của WES ở DP, nhờ anh Linh tạo kafka topic ở môi trường PROD giúp team để kéo data về DP nhé ạ! PROD: Project: vinid-b2b-platform-prod IP host: 172.31.1.143:3306 (mysql) Schema: omd_wes_8111 omd_wes_8112 omd_wes_8115 omd_wes_8116 omd_wes_8195 omd_wes_8197 omd_wes_8198 omd_wes_vungtau_hs Table list: task
work_task_info
task_group
pick_task
task_group_status
task_status
task_type
work_function
reason_message
work_order_line
host_order_line
host_order
host_wave
work_order
host_order_status
work_order_line_status
host_order_line_status
host_wave_status
wave_type
user
user_warehouse
warehouse
item
uom
uom_level
barcode
item_status
item_type
flat_host_order
data_tracking
flat_task_group
container_session
container_content
container
container_session_status
container_content_status
flat_attendance_tracking Thanks and regards! cong.do1</t>
  </si>
  <si>
    <t>[OMC][New Checkout] [PROD] Bổ sung loyalty_service_code phục vụ sự kiện bán vé SOOBIN LIVE CONCERT</t>
  </si>
  <si>
    <t>2025-05-12T10:34:07.996+0700</t>
  </si>
  <si>
    <t>2025-05-12T10:53:32.022+0700</t>
  </si>
  <si>
    <t>Dear team DBA Do vận hành có nhu cầu cấu hình cho phép tiêu điểm cho sự kiện bán vé SOOBIN LIVE CONCERT nên nhờ mọi người hỗ trợ team chạy script sau. Chạy ngay khi được approve ạ. project: vincart-prod ip: 172.31.4.9 instance: ecom-medium-mysql db: ecom_configuration UPDATE `merchant_payment_configs` SET loyalty_service_code = 'TICKETING' WHERE id in (586, 587)</t>
  </si>
  <si>
    <t>[OMC][PS2][OneVoucher][PROD] - Support tạo thêm index cho DB</t>
  </si>
  <si>
    <t>2025-05-12T10:32:57.765+0700</t>
  </si>
  <si>
    <t>2025-05-12T11:06:05.371+0700</t>
  </si>
  <si>
    <t>Team dự án One Voucher cần thêm index sau trên PROD, nhờ team DBA support giúp: Thông tin database IP:  172.31.4.126 DB:  onevc_vwm_prod CREATE INDEX idx_action_serial_id ON onevc_vwm_prod.action_serial_detail(action_serial_id);</t>
  </si>
  <si>
    <t>[OMC][VCM]Xóa data duplicate</t>
  </si>
  <si>
    <t>2025-05-12T09:44:42.919+0700</t>
  </si>
  <si>
    <t>2025-05-12T10:59:38.654+0700</t>
  </si>
  <si>
    <t>NR</t>
  </si>
  <si>
    <t>Dear a/e DBA, Nhờ team support chạy script Thông tin DB: IP :  172.31.1.41 DB: vincart_mm_product DELETE
FROM vincart_mm_product_test.entity_attributes_values
WHERE id = 96116;</t>
  </si>
  <si>
    <t>[OM][TCB Sales App] Bổ sung index cho các table sales app</t>
  </si>
  <si>
    <t>2025-05-12T09:40:59.667+0700</t>
  </si>
  <si>
    <t>2025-05-12T22:12:45.992+0700</t>
  </si>
  <si>
    <t>Hi team DBA, Dự án TCB Sales App có 1 số query hiện tại đang chưa có index, nhờ team DBA hỗ trợ bổ sung index cho dự án ạ. Thời gian thực hiện thêm index ưu tiên thực hiện sau 21h theo quy định. Thông tin update DB như sau Project: omd-pos-prod Instance:  main-pos-integration IP: 172.31.3.63 DB: omd_saleapp_tcb_prod Script CREATE INDEX lastModifiedAt_IDX USING BTREE ON Answer (lastModifiedAt);
CREATE INDEX lastModifiedAt_IDX USING BTREE ON Store (lastModifiedAt);
CREATE INDEX lastModifiedAt_IDX USING BTREE ON Customer (lastModifiedAt);
CREATE INDEX lastModifiedAt_IDX USING BTREE ON Route (lastModifiedAt);
CREATE INDEX lastModifiedAt_IDX USING BTREE ON Sale (lastModifiedAt);
CREATE INDEX lastModifiedAt_IDX USING BTREE ON Question (lastModifiedAt);
CREATE INDEX surveyExport_IDX USING BTREE ON Survey (lastModifiedAt);
CREATE INDEX actionExport_IDX USING BTREE ON `Action` (lastModifiedAt);
CREATE INDEX taskExport_IDX USING BTREE ON Task (lastModifiedAt); Thanks team</t>
  </si>
  <si>
    <t>[PROD] Tác động database Soundbox</t>
  </si>
  <si>
    <t>2025-05-10T23:53:16.994+0700</t>
  </si>
  <si>
    <t>2025-05-10T23:53:41.737+0700</t>
  </si>
  <si>
    <t>Hi anh, nhờ anh chạy giúp em script này ở môi trường PRODUCTION theo thông tin dưới đây ạ: Thời gian chạy script: chạy luôn sau khi ticket và CR được approve Thông tin database saas_tpay: mysql://pay-tidb.int.onemount.com:4000/saas_tpay Em gửi script ạ UPDATE SYSTEM_CONFIGURATION SET SYSTEM_PARAM_VALUE = '/partners/tcb-portal/v1/soundbox/;/partners/tcb-portal/v1/device-management/;/partners/tcb-portal/fee-profile/' WHERE SYSTEM_PARAM_CODE = 'IGNORE_CHECK_MERCHANT_BRANCH_URIS';</t>
  </si>
  <si>
    <t>2025-05-10T11:06:07.902+0700</t>
  </si>
  <si>
    <t>2025-05-12T17:53:26.064+0700</t>
  </si>
  <si>
    <t>Data, OMC</t>
  </si>
  <si>
    <t>Anh em xử lý giúp em với nhé. Anh  @Trần Trương Dương   ơi, Có vụ này: Bên em tạm cook ra 1 file samplate data cho bên ​@Nguyễn Đình Quang ​test thử kết nối lấy dữ liệu vào ODS cho luồng CDP mới này. Nhờ anh đẩy tạm 2 table này lên ODS DEV/Product ( vào vùng quy hoạch của ODS cho CDP, or theo quy hoach chung của ODS) hộ em với. dp.omc.semantic."omc_bsi_cdp"."f_customer_label" dp.omc.semantic."omc_bsi_cdp"."f_customer_segmentation" Cung cấp thông tin ODS cho team  @Nguyễn Đình Quang Em cảm ơn anh. Ticket này, em xin cho cả DEV và PROD nhé các sếp. Prod thì sẽ đi theo timeline chung của dự án: https://vinid-team.atlassian.net/browse/DWHV2-11193</t>
  </si>
  <si>
    <t>[OMC][New Retails] [Prod] Thực hiện thay đổi cấu hình user pilot của merchant</t>
  </si>
  <si>
    <t>2025-05-10T11:02:19.582+0700</t>
  </si>
  <si>
    <t>2025-05-12T10:30:02.743+0700</t>
  </si>
  <si>
    <t>Dear team DBA Do vận hành có nhu cầu cấu hình tập user pilot cho merchant nên nhờ team hỗ trợ giúp team chạy script sau project: vincart-prod instance: main ip: 172.31.1.41 DB: vincart_mm_merchant UPDATE settings
SET updated_at= CURRENT_TIMESTAMP,
    setting_value='{"user_ids":["4629283","9792385","2886228","11317357","1836554","8535489","10247509","20319164","788579","4458155","1916315","20381545","2201502","1710551","277927","11983470","10271609","13189025","900141","3880341","6699208","800024283","10358019","1310404","1610725","2912615","1141931","12782332","12830993","454007","20309352","561420","1238598","3882537","11662686","5898147","1615187","10314457","8160314","1184641","13348143","20162791","277900","7980776","4460494","1578915","20230568","1643659","5507030","2696805","4875600","9629299","10875797","20209525","6104506","20378372","938789","1337925","271358","20289200","20381532","64078","10342941","1598937","4292893","5108283","274455","11653305","7763327","1141901","7522706","1481884","7808723","8629456","791311","7256202","20117740","7140090","13369900","20381111","20283085","1540775","5660758","7498580","94741","20278990","1241321","800050588","12403666","2272719","20300966","6748733","1573667","6546494","3744858","1400437","20210530","9808800","8404088","9883200","10268412","3903963","12255692","8173676","987709","12449882","6779445","7324881","12033359","12497921","1898876","12101127","11861430","20304997","9913174","6869407","10367372","11230559","392543","315462","1557124","948166","1664509","8570641","1522012","7816780","4856044","4431504","13414130","982078","8526952","9975443","5942355","196898","204172","11675915","113241","5690172","2276202","12249385","879087","46653","13295173","4641315","1120631","12182597","5263339","1851322","6427564","14600","20021540","10521219","8148218","10607601","10439149","3412943","13041264","232654","566223","565377","610923","425076","1666729","7417582","3440105","20159542","800057172","416124","10439134","20255833","1065277","627319","92965","12372839","618401","709335","1768797","1253397","2278421","9128828","2685789","10533235","5299787","136367","20252790","289506","4421738","10075154","4660011","503968","6451210","1544286","453533","4029002","13037645","9905952","324450","9973647","324455","1704784","106451","20315115","20385000","10920904","3451792","2644826","800147559","12111439","800147558","178957","11374836","12448930","20320970","1472059","474434","20258588","519563","484216","10914218","460250","454839","992704","11311103","12017252","11200645","11576117","891900","2090020","1153010","6004379","266448","4164183","20260473","610428","7285200","4983437","20111576","20111578","905087","7826955","1479907","304830","8814053","10666812","12379932","12044849","395567","20465792","10932939","2172848","782044","13195696","20293325","138482","884337","108677","11199248","1350472","789915","10083510","849110","20057989","4312195","1566550","11372699","36313","3668241","4763793","288242","12017205","24794","1189855","12868775","9896969","310695","10757693","9701074","495781","39812","7925597","1173036","528046","11702754","270502","1153454","6407135","11932226","11656010","1226634","484644","6315212","3003435","20292008","20005570","1182885","3798656","8640282","782872","3494437","82659","765984","10436597","549369","7954094","12188349","6958244","8093345","11283407","1031578","1520757","10248447","20381039","800007314","171922","760284","11374437","20017525","20381034","457033","20001190","7240701","20381038","1252952","8178905","73723","10315260","829591","10671827","5782033","1286756","10447221","800062131","10735462","10494806","20338659","527557","20002496","7702304","10249791","970993","6025690","2154175","5082050","10003054","6527382","3925370","11803190","1591949","969113","8105168","20315168","6457443","2405636","20381071","2821224","20325371","800007347","176349","20307548","5940956","8318520","13267164","1244907","4100990","203795","12971630","1472413","1122311","11633765","404504","2793127","8716717","20213674","1133458","3593290","1482207","2615711","2507568","8491762","20303169","10655341","20326248","20457750","4362038","20381061","459628","20256352","13256006","12401412","5544909","203332","20468867","12394279","574789","13343712","8055097","20323549","5525844","10988147","1735976","12256885","12988207","8979090","800046184","7178531","12827441","20381427","1471775","20381426","5560614","800139268","884938","800074660","20285198","156272","3017161","2467927","9725414","178042","4898406","4147088","20246805","1317154","1468115","20381436","20142831","2892800","2501915","514515","321851","1710660","800072454","7923895","1162777","1397299","9882044","2574087","10523979","21403","11686767","11924595","5125728","259371","8484915","729496","5877577","3491677","10590762","6354150","3755651","9257529","215348","10439672","5604302","20218344","430134","7688291","13146847","894705","363292","1095879","7738239","10612479","800088863","20381469","20159253","10599567","9395830","20381464","8376663","1081231","20444062","93982","13076022","1047703","10339646","6972347","1173869","442105","20381472","20381471","12094256","6434186","7837130","615652","9830845","10306749","339565","1188088","1423670","12599404","12243105","11710938","11585808","12549184","11179678","11706443","2068270","777964","7942122","12911767","20173991","12988608","9723642","75688","20042603","2523312","827514","10683226","253671","171018","11613327","10860116","1291775","10369432","8131923","6631952","430566","2105308","5729251","9494773","20170478","10891551","124256","86331","12869265","1412976","1987498","12035636","1392445","20075541","10169196","11113045","3711693","8254445","608520","962338","7966501","20160654","1171291","139794","1027734","84170","4748954","20321312","11086346","5806758","20273150","24524","11327900","10500406","3435932","20216563","20149409","9798689","12044566","12682009","618789","11413088","10169176","20447165","11996221","10382438","1547224","3545116","8136353","4979923","10417474","10040190","8508595","5928391","780706","6144060","20419925","5803225","11183319","11942432","164706","1513431","10368115","12170445","7675836","219345","708122","11089889","1037974","12563059","12449592","20111255","7462671","9052263","1588193","12334237","13419710","12415385","20134358","11325767","10503964","20010997","6147115","6830901","10382885","816338","12044527","7290826","9120056","448268","20136967","20307869","6349578","1445808","10239459","108996","322397","12579018","9858886","12041001","539045","20395148","11783433","382312","7671080","12479770","9755511","20291055","20141067","8073684","6302492","12030360","80195","12044506","391264","9666902","12044985","20076359","11002217","746004","7794715","9551718","9946595","13447385","12330755","20456982","8483146","12615111","20149811","7297486","20456966","1163175","800034655","8803289","10925468","10495844","11691306","12100239","1003333","484795","3023365","5554881","20284735","20130389","10113522","83279","20130393","20130395","11637859","7687884","1003327","1694211","10260474","57","6568113","395219","259872","800132150","8347389","6432419","4454206","1695531","3071425","10388124","20152154","1611061","13434021","19084","6870980","8276117","40916","56915","16810","245680","5419923","5928772","20316743","20234066","13221208","7793837","8525091","20269133","992610","16826","20340022","5782371","12362770","614303","32962","20224623","6100456","800067959","12478054","12028436","456297","7351456","8856633","12049373","20245556","12828366","11026287","632543","1063855","5176449","79129","12017322","20152151","12017321","3187152","10585364","113916","20327409","9092795","7213485","853384","1096788","10657835","628052","472745","310775","10631209","800007443","13413951","213675","12828347","318278","20134715","9186644","20382227","1062549","10401127","7006819","800099516","20382280","12421112","258136","20011063","729965","3764968","5769350","20445417","12267058","7074516","10696199","8353649","10129020","6110207","483851","7489360","7822860","7551794","1225487","12151373","10928953","400268","12017762","2811793","888888","76918","12120665","20382260","7740937","20174348","20133831","9760528","525297","11374327","9477357","9978598","4086967","20212674","4665267","135719","573341","1446248","20242071","7850040","10478003","800047919","1119051","6654545","20154957","7543451","10910427","4729","1172445","11924492","458631","6434482","9916046","7920014","8389421","20197219","7679248","1678504","295122","12770115","20462861","4689110","3848834","20306089","401717","20197222","9825171","6289524","624042","5617722","800109502","10738336","329445","1539989","3921183","16184","767845","12094111","29014","7531468","10061122","698752","1249490","20199422","1243768","376248","10103041","619910","12828450","1323927","20319366","800141657","12268789","7691338","13338565","20014602","6291858","13380934","6315928","12941282","343711","20267607","12828446","250260","6028945","9642081","10150271","1607720","20382202","624006","8962994","20324338","20277420","132158","4671883","1169698","4632639","20140761","9372410","12082190","493804","8091446","20324340","20173640","7705221","800110904","12127104","8161457","7011916","389569","8446126","20308682","20325203","9802025","12200782","12113350","20429412","1391251","800049735","796366","10813255","2336296","20262347","4692365","76663","3348485","13378661","7920410","427053","11001318","20377221","4567566","9268910","418108","1233534","221746","3496394","8086464","4633926","7286265","51386","6160405","1572537","13206784","9318042","12030056","6534234","20276524","61192","10389362","9473991","10765541","20228425","170058","1229026","11097358","20215113","1533357","5977701","11286329","1103063","12637795","940499","12034404","5275560","626281","800058257","98482","20465947","193129","2325596","12144060","13436138","5883319","800135824","12226067","20454803","1650111","591400","719358","11675725","12914058","3797197","8173811","2368253","4401913","13379566","8410914","8528097","6576","18398","6863931","5295192","12899194","5335216","7672680","2142820","20437464","785297","11466709","381695","1306964","3129748","2944404","1630549","12044658","20300798","5816501","20261488","12941671","20295238","12837767","7854088","7533200","4891035","536628","4522235","37451","406988","1487798","20352300","735490","612401","7365118","800078341","11267566","800138850","20330516","11108631","12554097","11087970","10025833","1327997","844939","4605981","12326398","20111314","6443891","13106878","10432387","3635501","9958259","7538400","173061","10345712","1096265","20017342","74894","20017340","20287706","12575808","9349277","3443945","908349","8037495","8768167","5824031","496435","20180776","292555","1793196","10393846","12868569","9461921","20262898","12337094","8062411","302891","9903528","380279","751951","12248207","62452","20277080","398837","5576312","12426096","9329244","20145512","8725496","8180612","5381620","11496134","3360963","20077337","20321617","11450410","3392292","607484","7793702","20205859","12876150","11164770","10471556","8151687","1195079","13395970","998259","8148031","3047239","291652","261802","99750","907052","3165875","419800","7892399","271600","12213180","7722598","213755","20174056","7650025","224886","8997149","13369255","12671180","20420645","385526","1590419","1321395","8314340","12167651","40228","800141621","7465487","20382112","6647731","20382115","12503322","1924205","12017439","625301","13384401","8839192","2252946","20168602","800073042","1528471","7489447","12935737","20382124","3363190","8937506","20382126","20213835","180634","20083609","6434546","3087777","2747076","12684053","20381240","20067130","5190420","5862356","7679786","11779484","20382107","20382108","12244246","20382103","20382102","20382105","20382104","5489222","4982770","13223335","49478","1292377","12842761","800104636","800070819","8333934","27686","810789","20382156","1681677","7804087","443040","1226459","13257112","317049","495957","13256270","1489080","10244290","1309225","239993","15685","20340786","7416924","8023285","20071661","12680963","6226420","20165501","7424997","4107396","12600406","58377","367709","5912256","13372007","939966","422128","5881913","20382133","11014599","11573689","9584532","2667358","600426","9216808","20382152","20164671","304196","1175068","8004547","12408296","20212563","2143246","7727781","11720554","314088","4233750","1059974","5468723","6364179","252982","800018708","20160030","3675654","7772355","20342073","13196901","157363","1215367","10727525","2703322","12504498","13416042","4215087","986962","4068155","7542256","5212000","1368502","20016954","8579178","8505722","10210341","20405989","7433941","1721550","7680108","10399933","7979653","20233712","10566431","800149281","8535137","12504035","2570729","2260820","3614243","8055207","20405992","13443202","11249431","800138143","7015129","5561711","422337","20218102","179100","12613627","10946544","3715397","20300625","4666300","1228247","5557230","8308334","20219006","20286228","6819069","12115046","249395","469851","800030871","800061147","904696","1299845","376363","398177","3462079","20308584","1350800","6484645","5713094","6057355","171638","11044377","855363","2564038","1471952","7660980","1716194","8067219","103506","11094600","10399908","12908365","17594","4645835","446731","20382548","12589834","401854","10436368","13040203","20126109","20386041","6630","12035898","1390045","9988614","11523765","7722939","291718","20155096","800032183","42197","238272","722204","4730178","12186618","20010335","55853","20333515","12048715","5636173","7728229","1841404","12210826","7840502","2827990","185409","1220342","12935098","20072276","6301417","10818850","800083747","977600","10594","5767792","20237259","1580031","1346346","10346532","42180","47867","20301567","20332210","1547870","3977969","10827316","473046","12207652","8015191","800074853","1631725","10673624","8033867","20137618","555285","6394863","1525670","8299531","10566015","88322","11962275","800070008","4847017","20241315","20337920","6525623","5405583","20380304","4548706","20309039","12222819","12360706","11420836","501892","473024","869588","1711310","11201901","800106158","4114373","20180468","10313680","20381601","11888","12631908","11435097","10682595","2649368","581982","1166900","11032347","20227493","20243953","1669091","481099","484126","12017182","8053472","20194616","800015678","86157","6459292","452565","20382082","5114363","20382084","9490100","11116376","12044762","522832","7786078","11752949","1878638","12534364","1024072","20382079","20382078","10307342","4877371","981719","12017152","20382091","20382092","9535468","20382097","20382096","20330884","189760","614925","9500347","3927298","20382089","196047","151130","13379367","9614266","20118084","20317889","184032","62554","614921","878838","769366","12017136","10940858","1242171","414277","20382073","20382074","12460908","13369574","9922399","13313603","20464348","597176","934983","384750","12017145","621676","1409901","4444226","11805483","20145640","1453627","555323","20111864","20030417","12017114","3185580","196476","6293379","20018304","7291966","1058277","9790","10574832","20111882","4888489","20304545","20264901","323891","6188266","800047772","7673012","3529285","3219892","20382098","8335135","800023337","20202250","11723574","591826","20406001","9462934","220171","10570457","20164389","11201886","840682","1110479","20319204","971515","15386","800143919","8044041","8040914","1203435","12371485","20310864","800073179","20111839","760158","11487123","20325460","829008","8034233","1526174","990255","10217811","11142242","20382006","133327","708845","1519853","10147960","8031","311870","3518980","10822430","3760386","630134","9452251","3528316","363420","9361427","265094","800001522","62962","26028","1182991","10505428","2224351","10039734","20258605","11573111","586444","16671","10393295","621271","413763","167517","307354","7783434","1218958","12609592","10873197","9641033","603840","8199748","5271540","13244170","24278","13105283","20316110","318468","101725","10554839","12617176","305159","6768291","800074047","1460786","6904979","476086","133774","1418800","570070","4537286","20382021","1029791","1491015","10901237"]}'
WHERE merchant_id = 333908
  and setting_key = 'MERCHANT_ACCESS_RULE';</t>
  </si>
  <si>
    <t>2025-05-10T00:46:52.848+0700</t>
  </si>
  <si>
    <t>2025-05-12T09:47:58.786+0700</t>
  </si>
  <si>
    <t xml:space="preserve">Thực hiện insert data Production cho database loyalty core theo release sản phẩm theo kế hoạch. Nhờ team chạy script này trên PROD env của DB loyalty oracle giúp team Loyalty ạ. IP: 10.255.23.119 Service name: oneloyaltydb Port: 1521 schema app: OLOYALTY Giờ thực hiện: KhI DEV gửi thông tin nhờ chạy script </t>
  </si>
  <si>
    <t xml:space="preserve">Clone: https://vinid-team.atlassian.net/browse/DWHV2-11438: 5.2. Integrate with Other Systems:  DP -&gt; ODS </t>
  </si>
  <si>
    <t>2025-05-09T11:48:15.946+0700</t>
  </si>
  <si>
    <t>2025-05-12T22:17:10.507+0700</t>
  </si>
  <si>
    <t xml:space="preserve">  Anh em xử lý giúp em với nhé. Anh  @Trần Trương Dương   ơi, Có vụ này: Bên em tạm cook ra 1 file samplate data cho bên ​@Nguyễn Đình Quang ​test thử kết nối lấy dữ liệu vào ODS cho luồng CDP mới này. Nhờ anh đẩy tạm 2 table này lên ODS DEV/Product ( vào vùng quy hoạch của ODS cho CDP, or theo quy hoach chung của ODS) hộ em với. dp.omc.semantic."omc_bsi_cdp"."f_customer_label" dp.omc.semantic."omc_bsi_cdp"."f_customer_segmentation" Cung cấp thông tin ODS cho team  @Nguyễn Đình Quang Em cảm ơn anh.</t>
  </si>
  <si>
    <t>[VINIDPAY]  Script support bỏ gán thiết bị smartpos support tcb.</t>
  </si>
  <si>
    <t>2025-05-09T10:23:34.913+0700</t>
  </si>
  <si>
    <t>2025-05-09T10:24:01.241+0700</t>
  </si>
  <si>
    <t>Dear team,  Nhờ team chạy giúp em script này ở môi trường PRODUCTION theo thông tin chạy dưới đây: Thời gian chạy script: sau khi được approve Thông tin database saas_tpay: mysql://pay-tidb.int.onemount.com:4000/saas_tpay DELETE FROM TCB_DEVICE WHERE device_serial_number = 'V9E0597787';
DELETE FROM TCB_DEVICE_HISTORY WHERE device_serial_number = 'V9E0597787';
DELETE FROM SMARTPOS_DEVICE_MAPPING WHERE device_serial_number = 'V9E0597787';
DELETE FROM SMARTPOS_DEVICE_MAPPING_HISTORY WHERE device_serial_number = 'V9E0597787';</t>
  </si>
  <si>
    <t>[OM][DP][PROD] Create index trên MongoDB dataplatform_crawler</t>
  </si>
  <si>
    <t>2025-05-08T22:34:26.011+0700</t>
  </si>
  <si>
    <t>2025-05-08T22:37:16.683+0700</t>
  </si>
  <si>
    <t>Quá trình monitor mongoDB, team DB nhận thấy cần bổ sung index cho mongoDB  dataplatform_crawler  , cho  collection dataplatform_crawler.link_crawled -- db.getCollection('link_crawled').find({}).count(); -- 3194752 db.link_crawled.createIndex({app: 1, status: 1  }, { background: true }); db.link_crawled.createIndex({app: 1, crawl_id: 1, status: 1, updated_at: 1 }, { background: true });</t>
  </si>
  <si>
    <t>[OneVoucher] - Support golive ngày 08.05.2025</t>
  </si>
  <si>
    <t>2025-05-08T22:13:26.327+0700</t>
  </si>
  <si>
    <t>2025-05-08T22:37:42.277+0700</t>
  </si>
  <si>
    <t>OneVoucher</t>
  </si>
  <si>
    <t>Team dự án OneVoucher có plan release ngày 08.05.2025, nhờ team DBA support chạy các script sau vào  22h tối ngày 08.05.2025 Thông tin database IP:  172.31.4.126 DB:  onevc_vwm_prod ALTER TABLE `action_serial` ADD COLUMN `notification_enabled` TINYINT NOT NULL DEFAULT 0,  algorithm=inplace, lock=none;</t>
  </si>
  <si>
    <t>2025-05-08T22:08:12.154+0700</t>
  </si>
  <si>
    <t>2025-05-08T22:10:53.979+0700</t>
  </si>
  <si>
    <t>Thực hiện insert data Production cho database loyalty core theo yều từ TCB, mục đích Hỗ trợ triển khai chương trình "Sinh lời trúng lớn" Mail yêu cầu từ TCB (ảnh đính kèm). Nhờ team chạy script này trên PROD env của DB loyalty oracle giúp team Loyalty ạ. IP: 10.255.23.119 Service name: oneloyaltydb Port: 1521 schema app: OLOYALTY Thời gian thực hiện:  22h ngày 08/05/2025</t>
  </si>
  <si>
    <t>[OM][Kafka][Prod] Tạo kafka topic cho bảng register_service_config thuộc merchant_service</t>
  </si>
  <si>
    <t>2025-05-08T19:32:31.617+0700</t>
  </si>
  <si>
    <t>2025-05-08T19:44:30.466+0700</t>
  </si>
  <si>
    <t>Dear các anh DBA, Hiện tại OMD đang có nhu cầu kéo thêm bảng register_service_config thuộc merchant_service để lấy thêm thông tin về Domain cho Merchant, nhờ anh Linh tạo kafka topic ở môi trường PROD giúp team để kéo data về DP nhé ạ! PROD: Project: vinid-b2b-platform-prod IP host: 172.31.1.44:3306 (mysql) Schema: merchant_service Table list: register_service_config Thanks and regards! cong.do1</t>
  </si>
  <si>
    <t>[OMC][Link Account] [Prod] Thực hiện inactive thông tin Link Account cho tài khoản thay đổi số điện thoại theo yêu cầu hỗ trợ của CSKH</t>
  </si>
  <si>
    <t>2025-05-08T19:25:48.122+0700</t>
  </si>
  <si>
    <t>2025-05-08T19:28:10.530+0700</t>
  </si>
  <si>
    <t xml:space="preserve">[OMC][Link Account] [Prod] Thực hiện inactive thông tin Link Account cho tài khoản thay đổi số điện thoại theo yêu cầu hỗ trợ của CSKH Dear team DBA, Theo thread trao đổi: https://chat.google.com/room/AAAAbcTWvJQ/UW49x33WCrw/UW49x33WCrw?cls=10 https://chat.google.com/room/AAAAbcTWvJQ/OK0MQp6DYD0/OK0MQp6DYD0?cls=10 Hiện user bị gãy luồng, nên team cần thực hiện update record để đảm bảo luồng của user TH1: UID 4646593 trước đây có sđt cũ 0936461363 thực hiện request link account và lỗi.
 Sau đó đổi sđt sang 0966405693 và thực hiện liên kết nên hệ thống báo lỗi uid đã tồn tại bản ghi LA
TH2: UID 627921 trước đây có sđt cũ 0988421915 thực hiện request link account và lỗi.
 Sau đó đổi sđt sang 0985596954 và thực hiện liên kết nên hệ thống báo lỗi uid đã tồn tại bản ghi LA Nhờ team thực hiện query: Instance ID:  https://console.cloud.google.com/sql/instances/postgres-01/overview?authuser=1&amp;project=vinid-service-platform-prod Database name:  sp_postgres_link_account Câu lệnh SQL: UPDATE linkages SET active = false
WHERE user_id = 4646593 or user_id = 627921 Change request:   </t>
  </si>
  <si>
    <t>2025-05-08T17:54:14.976+0700</t>
  </si>
  <si>
    <t>2025-05-08T17:55:01.700+0700</t>
  </si>
  <si>
    <t>[PROD] Tác động database Smartpos</t>
  </si>
  <si>
    <t>2025-05-08T15:40:42.356+0700</t>
  </si>
  <si>
    <t>2025-05-08T15:41:36.520+0700</t>
  </si>
  <si>
    <t>OMC, VinPay</t>
  </si>
  <si>
    <t>Hi anh, nhờ anh chạy giúp em script này ở môi trường PRODUCTION theo thông tin dưới đây ạ: Thời gian chạy script: chạy luôn trong giờ sau khi ticket và CR được approve Thông tin database saas_tpay: mysql://pay-tidb.int.onemount.com:4000/saas_tpay Em gửi script ạ UPDATE UNIFIED_MERCHANT SET status = 'WAITING_ACTIVE' WHERE merchant_code = 'NCCNG4Y4';
UPDATE UNIFIED_MERCHANT_SERVICE SET status = 'WAITING_ACTIVE' WHERE merchant_code = 'NCCNG4Y4';
UPDATE UNIFIED_STORE SET status = 'WAITING_ACTIVE' WHERE merchant_code = 'NCCNG4Y4';
UPDATE UNIFIED_TERMINAL SET status = 'WAITING_ACTIVE' WHERE merchant_code = 'NCCNG4Y4';
UPDATE SMARTPOS_MERCHANT_CONTRACT SET status = 'WAITING_ACTIVE' WHERE merchant_code = 'NCCNG4Y4';</t>
  </si>
  <si>
    <t>[Merchant-TCB] Cập nhật dữ liệu bảng tpay_store, tpay_terminal</t>
  </si>
  <si>
    <t>2025-05-08T15:30:58.452+0700</t>
  </si>
  <si>
    <t>2025-05-08T15:31:13.278+0700</t>
  </si>
  <si>
    <t>Dear team, Do OPS chưa hỗ trợ sửa dữ liệu, nên nhờ team chạy giúp câu lệnh bên dưới để cập nhật lại cho đúng ạ. Thông tin database https://console.cloud.google.com/sql/instances/merchant-tcb/overview?inv=1&amp;invt=AbsndA&amp;project=vinid-merchant-prod DB_MYSQL_HOST=172.31.4.108
DB_MYSQL_DATABASE=merchant_service_tcb Câu lệnh UPDATE
    tpay_store
SET
    status = 'WAITING_FOR_ACTIVATION'
WHERE
    merchant_code = 'NCCNG4Y4'
    AND status = 'REJECTED';
-- update terminal
UPDATE
    tpay_terminal
SET
    status = 'WAITING_FOR_ACTIVATION'
WHERE
    merchant_code = 'NCCNG4Y4'
    AND status = 'REJECTED';</t>
  </si>
  <si>
    <t>[OMD][WMS][Prod] Request tạo database cho tenant mới của WMS (SBC01)</t>
  </si>
  <si>
    <t>2025-05-08T14:22:36.203+0700</t>
  </si>
  <si>
    <t>2025-05-08T14:23:35.882+0700</t>
  </si>
  <si>
    <t>Hi DBA team, Dự án WMS sắp tới sẽ mở thêm kho mới cho NPP, nên cần thêm database cho tenant này. Team DBA support tạo thêm database trên production cho WMS và WES với thông tin như sau WMS Project  vinid-b2b-platform-prod DB Instance main-mysql-8  (IP: 172.31.4.59) DB name và username omd_wms_sbc01(username omd_wms_sbc01) Bổ sung thêm quyền ALTER/CREATE và DROP để thực hiện run database initialization thông qua liquibase (với quyền DROP chỉ cần cấp đến ngày 10/02/2025) User  omd_wms_core_read_only  có quyền read only trên all tables của database  omd_wms_sbc01 WES Project  vinid-b2b-platform-prod DB Instance main-mysql-5.7  (IP: 172.31.1.143 ) DB name và username wes_sbc01 (username wes_sbc01) Bổ sung thêm quyền ALTER/CREATE và DROP để thực hiện run database initialization thông qua liquibase (với quyền DROP chỉ cần cấp đến ngày 10/02/2025) User  read_wes  có quyền read only trên all tables của database  wes_sbc01   Thông tin username và password gửi mail cho  quangph@onemount.com</t>
  </si>
  <si>
    <t>[OMC][PS2][PROD] Xóa các instance memorystore không còn sử dụng</t>
  </si>
  <si>
    <t>2025-05-08T14:06:39.428+0700</t>
  </si>
  <si>
    <t>2025-05-20T00:38:21.815+0700</t>
  </si>
  <si>
    <t>Hiện giờ 2 instance memorystore sau đã đươc move sang instance mới. Nhờ team SRE kiểm tra xem còn traffic vào instance cũ không và remove các instance cũ này: loyalty-main loyalty-main-background</t>
  </si>
  <si>
    <t>2025-05-08T11:44:12.667+0700</t>
  </si>
  <si>
    <t>2025-05-08T11:45:57.756+0700</t>
  </si>
  <si>
    <t>Mục đích: Support cho BO/PA tạo các alert về các metrics bất thường liên quan đến hệ thống transportation Hiện tại đã có một số bảng của TMS được kéo về nguồn ODS, tuy nhiên do nhu cầu data để tạo alert cần bổ sung thêm bảng kéo về ODS Thông tin database nguồn: Database  bytm_prod  (Oracle instance on GCE oracle-primary (Private IP: 10.255.24.170) Danh sách bảng cần kéo bổ sung: LD_LEG_DETL_T Cấp quyền truy cập dữ liệu ODS với quyền read-only cho: duong.tang hau.phan phuong.vu4 ngocvtp tramnn thieu.le local.dremio.camunda.omd.int (tài khoản cho ứng dụng camunda của OMD) omd_superset_internal_01 (tài khoản cho ứng dụng superset internal của OMD)</t>
  </si>
  <si>
    <t>[OMD][TMS] V/v Monitor và thống kê backup database Oracle TMS sau khi cập nhật BCT</t>
  </si>
  <si>
    <t>2025-05-08T11:37:35.693+0700</t>
  </si>
  <si>
    <t>2025-05-13T12:05:10.782+0700</t>
  </si>
  <si>
    <t xml:space="preserve">Thông tin theo dõi và report:  </t>
  </si>
  <si>
    <t>[OM][Kafka][PROD] Tạo kafka topic cho bảng ở mongodb</t>
  </si>
  <si>
    <t>2025-05-07T19:15:05.415+0700</t>
  </si>
  <si>
    <t>2025-05-15T17:14:41.109+0700</t>
  </si>
  <si>
    <t>Dear team DBA và anh Duân. Em đang có nhu cầu kéo bảng  link_crawled  từ mongodb phục vụ cho ticket  https://vinid-team.atlassian.net/browse/DWHV2-11412 .Nhờ team DBA hỗ trợ tạo topic cho thông tin bảng như sau: Host: 10.255.24.146 Port: 27017 Database: dataplatform_crawler collection:  link_crawled Em xin cảm ơn</t>
  </si>
  <si>
    <t>[OMC][VCM][PROD] Cập nhật điều kiện sử dụng voucher ticket</t>
  </si>
  <si>
    <t>2025-05-07T18:44:54.874+0700</t>
  </si>
  <si>
    <t>2025-05-07T19:10:30.297+0700</t>
  </si>
  <si>
    <t>Hi team, Theo yêu cầu từ phía đội vận hành từ CR   , cần cập nhật lại thông tin điều kiện sử dụng voucher ticket của user, nhờ team hỗ trợ với ạ. Thông tin database - GCP project  vinid-loyalty-prod
- Instance name : onevoucher
- Instance IP : 172.31.4.126
- Database : onevc_vsm_prod Query ở file đính kèm Thanks.</t>
  </si>
  <si>
    <t>[OMC][VCM][PROD] Cập nhật số lượng voucher</t>
  </si>
  <si>
    <t>2025-05-07T18:44:48.195+0700</t>
  </si>
  <si>
    <t>2025-05-08T10:06:45.710+0700</t>
  </si>
  <si>
    <t>Hi team, Theo yêu cầu từ phía đội vận hành từ CR   , cần cập nhật lại số lượng voucher, nhờ team hỗ trợ với ạ. Thông tin database - GCP project  vinid-loyalty-prod
- Instance name : onevoucher
- Instance IP : 172.31.4.126
- Database : onevc_vsm_prod Query ở file đính kèm Thanks.</t>
  </si>
  <si>
    <t>V/v thống kê thông tin issue OOM trên cụm TiDB OMD CDP</t>
  </si>
  <si>
    <t>2025-05-07T17:58:56.352+0700</t>
  </si>
  <si>
    <t>2025-05-07T18:00:58.102+0700</t>
  </si>
  <si>
    <t xml:space="preserve">DBA Team theo dõi và thống kê nguyên nhân gây ra issue OOM trên cụm TiDB OMD CDP  </t>
  </si>
  <si>
    <t>2025-05-07T17:55:56.546+0700</t>
  </si>
  <si>
    <t>2025-05-08T09:22:11.179+0700</t>
  </si>
  <si>
    <t>Hi anh, nhờ anh chạy giúp em script này ở môi trường PRODUCTION theo thông tin dưới đây ạ: Thời gian chạy script: chạy luôn trong giờ sau khi ticket và CR được approve Thông tin database saas_tpay: mysql://pay-tidb.int.onemount.com:4000/saas_tpay Em gửi script ạ UPDATE TCB_DEVICE SET device_status = 'ASSIGNED' WHERE device_serial_number = '38250321908708';
UPDATE SOUNDBOX_DEVICE_MAPPING
    SET MERCHANT_CODE = NULL,
        TCB_TERMINAL_ID = NULL,
        TCB_MERCHANT_ID = NULL,
        TCB_STORE_ID = NULL,
        MC_VA_ACCOUNT = NULL
WHERE DEVICE_ID = 'SB_MF_38_38250321908708';
DELETE FROM SOUNDBOX_MERCHANT WHERE MERCHANT_CODE = 'MA_0b5a70e30fac4079a';
DELETE FROM SOUNDBOX_MERCHANT_SERVICE WHERE MERCHANT_CODE = 'MA_0b5a70e30fac4079a';
DELETE FROM SOUNDBOX_STORE WHERE MERCHANT_CODE = 'MA_0b5a70e30fac4079a';
DELETE FROM SOUNDBOX_TERMINAL WHERE MERCHANT_CODE = 'MA_0b5a70e30fac4079a';</t>
  </si>
  <si>
    <t>[TMS][PROD] V/v: Tối ưu incr backup level 1 cho Oracle database TMS PROD</t>
  </si>
  <si>
    <t>2025-05-07T17:13:18.968+0700</t>
  </si>
  <si>
    <t>2025-05-07T17:18:20.173+0700</t>
  </si>
  <si>
    <t>Bật Block Change Tracking (BCT) Từ Oracle 10g, Oracle giới thiệu  Block Change Tracking (BCT)  để cải thiện tốc độ backup  Incremental . BCT giúp RMAN  chỉ backup những block nào đã thay đổi  kể từ lần backup trước đó,  không cần quét toàn bộ datafile . BCT chỉ áp dụng cho incr backup (level 1), không có tác dụng với full backup (level 0) Giúp RMAN chỉ scan các block thay đổi → tăng tốc incremental backup lên  10x–30x Scripts: -- enable
ALTER DATABASE ENABLE BLOCK CHANGE TRACKING;
-- check
SELECT status, filename FROM v$block_change_tracking; chỉ cần enable câu lênh enable file tracking nó sẽ lưu tự động dạng +DATA/ORCL/changetracking/ctf1.ctf file này RMAN sẽ dùng để scan những block đã thay đổi, và dùng nó làm incr backup</t>
  </si>
  <si>
    <t>2025-05-07T14:44:53.518+0700</t>
  </si>
  <si>
    <t>2025-05-07T14:46:18.022+0700</t>
  </si>
  <si>
    <t>dear team,  nhờ team chạy giúp em script này ở môi trường PRODUCTION theo thông tin chạy dưới đây: Thời gian chạy script: sau khi được approve Thông tin database saas_tpay: mysql://pay-tidb.int.onemount.com:4000/saas_tpay script: DELETE FROM TCB_DEVICE WHERE device_serial_number = 'V9E0597677';
DELETE FROM TCB_DEVICE_HISTORY WHERE device_serial_number = 'V9E0597677';
DELETE FROM SMARTPOS_DEVICE_MAPPING WHERE device_serial_number = 'V9E0597677';
DELETE FROM SMARTPOS_DEVICE_MAPPING_HISTORY WHERE device_serial_number = 'V9E0597677';</t>
  </si>
  <si>
    <t>[VINPAY][PROD][SAAS] Script bổ sung cấu hình bảo trì hệ thống SmartPOS</t>
  </si>
  <si>
    <t>2025-05-07T13:33:29.294+0700</t>
  </si>
  <si>
    <t>2025-05-07T13:33:42.902+0700</t>
  </si>
  <si>
    <t>TCB, VinPay</t>
  </si>
  <si>
    <t>Dear team DBA, Nhờ các anh chạy script bên dưới giúp em để thêm các cấu hình phục vụ bảo trì hệ thống SmartPOS Thông tin DB: mysql://pay-tidb.int.onemount.com:4000/saas_tpay Script INSERT INTO SYSTEM_CONFIGURATION (SYSTEM_PARAM_CODE, SYSTEM_PARAM_NAME, SYSTEM_PARAM_VALUE, IS_ACTIVE, IS_ENCRYPTED, CREATED_BY, UPDATED_BY, UPDATED_DATE, CREATED_DATE) 
VALUES ('SMART_POS_APP_OFFLINE', 'SMART_POS_APP_OFFLINE', 'OFF', 1, null, null, null, null, '2025-04-22 15:37:31');
INSERT INTO SYSTEM_CONFIGURATION (SYSTEM_PARAM_CODE, SYSTEM_PARAM_NAME, SYSTEM_PARAM_VALUE, IS_ACTIVE, IS_ENCRYPTED, CREATED_BY, UPDATED_BY, UPDATED_DATE, CREATED_DATE) 
VALUES ( 'SMART_POS_TEST_MODE', 'SMART_POS_TEST_MODE', 'OFF', 1, null, null, null, null, '2025-03-27 09:39:36');
INSERT INTO SYSTEM_CONFIGURATION (SYSTEM_PARAM_CODE, SYSTEM_PARAM_NAME, SYSTEM_PARAM_VALUE, IS_ACTIVE, IS_ENCRYPTED, CREATED_BY, UPDATED_BY, UPDATED_DATE, CREATED_DATE) 
VALUES ( 'SMART_POS_TEST_MODE_WHITE_LIST_DEVICE_ID', 'SMART_POS_TEST_MODE_WHITE_LIST_DEVICE_ID', '', 1, null, null, null, null, '2025-03-27 09:39:36');</t>
  </si>
  <si>
    <t>[TCB Sales App] Cập nhật dữ liệu tuyến (bổ sung cho DBASD-7691)</t>
  </si>
  <si>
    <t>2025-05-07T12:58:15.640+0700</t>
  </si>
  <si>
    <t>2025-05-07T12:59:32.736+0700</t>
  </si>
  <si>
    <t>Hi DBA team, Sau khi thực hiện ticket   đã update dữ liệu, tuy nhiên sau quá trình vận hành phát hiện vẫn cần update thêm dữ liệu, nên team CNSP nhờ update các dữ liệu theo script dưới đây Thông tin update DB như sau Project: omd-pos-prod Instance:  main-pos-integration IP: 172.31.3.63 DB: omd_saleapp_tcb_prod Script UPDATE Route r
SET r.targetDescription = r.name
WHERE TRIM(COALESCE(r.targetDescription, '')) = ''</t>
  </si>
  <si>
    <t>[TMS][Prod] Execute sql migration script for Golive TMS Sprint 41 (05/02/2025)</t>
  </si>
  <si>
    <t>2025-05-07T12:40:57.768+0700</t>
  </si>
  <si>
    <t>2025-05-07T12:41:10.882+0700</t>
  </si>
  <si>
    <t>Nhờ team thực hiện migration sql cho các database sau ạ Thực hiện trước 22h ngày 05/02/2025 Database  bytm_prod  (Oracle instance on GCE oracle-primary (Private IP: 10.255.24.170) (see attachments) (theo thứ tự) tms-bff-portal-v1.9.1.ddl.sql</t>
  </si>
  <si>
    <t>Cập nhật dữ liệu database production</t>
  </si>
  <si>
    <t>2025-05-07T12:36:40.827+0700</t>
  </si>
  <si>
    <t>2025-05-07T12:37:35.953+0700</t>
  </si>
  <si>
    <t>Gcp project: vinid-merchant-prod db name: merchant_service_tcb link:  https://console.cloud.google.com/sql/instances/merchant-tcb/overview?project=vinid-merchant-prod IP: 172.31.4.108   Câu lệnh: INSERT INTO tpay_store_service
(created_at, updated_at, deleted_at, store_id, service_id, merchant_ref, status, bank_account_number, mid, sid,
 merchant_service_id, source)
    VALUE
    (NOW(), NOW(), NULL, 9775, 4, 'NCCRQ5AM', 'ACTIVE', NULL, 'M09233884708952', 'S03757368194644', 'SOFTPOS_QR_6023',
     'OPS_PORTAL'); Lấy id của bản ghi vừa được insert thay vào dấu ? trong câu lệnh dưới: INSERT INTO tpay_terminal_service
(created_at, updated_at, deleted_at, terminal_code, store_service_id, tid, mid, status, virtual_account_number,
 virtual_account_name, qr_url, mcc, source)
    VALUE (NOW(), NOW(), NULL, 'QTTEZGSYZ', ?, 'T02158674567324', 'M09233884708952', 'ACTIVE', 'MS16T02158674567324',
           NULL, '00020101021138630010A000000727013300069704070119MS16T021586745673240208QRIBFTTA53037045802VN6304CFCA',
           NULL, 'OPS_PORTAL');   Câu lệnh 2: INSERT INTO tpay_store_service
(created_at, updated_at, deleted_at, store_id, service_id, merchant_ref, status, bank_account_number, mid, sid,
 merchant_service_id, source)
    VALUE
    (NOW(), NOW(), NULL, 7618, 4, 'NCCAYVZE', 'ACTIVE', NULL, 'M09984346920989', 'S07057026579386', 'SOFTPOS_QR_9511',
     'OPS_PORTAL'); lấy id của bản ghi vừa insert thay vào dấu ? của lệnh sau: INSERT INTO tpay_terminal_service
(created_at, updated_at, deleted_at, terminal_code, store_service_id, tid, mid, status, virtual_account_number,
 virtual_account_name, qr_url, mcc, source)
    VALUE (NOW(), NOW(), NULL, 'QTT4MDNTM', ?, 'T03526521416289', 'M09984346920989', 'ACTIVE', 'MS16T03526521416289',
           NULL, '00020101021138630010A000000727013300069704070119MS16T035265214162890208QRIBFTTA53037045802VN63043AB6',
           NULL, 'OPS_PORTAL');</t>
  </si>
  <si>
    <t>[OMRE][RAA][NP]Tạo DB cho raa service</t>
  </si>
  <si>
    <t>2025-05-07T12:36:38.554+0700</t>
  </si>
  <si>
    <t>2025-05-07T12:37:10.411+0700</t>
  </si>
  <si>
    <t>core</t>
  </si>
  <si>
    <t>Nhờ anh em dba tạo giúp db trên uat như sau: url: jdbc:mysql://vep-mysql-master.int.vinid.dev:3306/onehs_common_raa_uat?useUnicode=true&amp;characterEncoding=utf8&amp;useSSL=false&amp;useLegacyDatetimeCode=false username: onehs_admin</t>
  </si>
  <si>
    <t>Purge old data of Table outsystems_PROD_COMMON.OSUSR_f1t_AccessToken</t>
  </si>
  <si>
    <t>2025-05-07T12:23:15.139+0700</t>
  </si>
  <si>
    <t>2025-05-07T12:24:36.844+0700</t>
  </si>
  <si>
    <t>Nhờ DBA hỗ trợ Purge old data of table outsystems_PROD_COMMON.OSUSR_f1t_AccessToken để giảm tải kích thước bảng</t>
  </si>
  <si>
    <t>[OMC][MTP] Clear dữ liệu tracking tháng 3/2025</t>
  </si>
  <si>
    <t>2025-05-06T22:57:37.035+0700</t>
  </si>
  <si>
    <t>2025-05-06T22:57:45.277+0700</t>
  </si>
  <si>
    <t>Dear anh  @Nguyễn Văn Dũng , nhờ anh clear giúp em dữ liệu tracking tháng 3/2025 với ạ -- OMC
Alter table omc_mtp_tracking_events.mtp_tracking_events_omc drop partition p20250101;
Alter table omc_mtp_tracking_events.mtp_tracking_events_omc drop partition p20250102;
Alter table omc_mtp_tracking_events.mtp_tracking_events_omc drop partition p20250201;
Alter table omc_mtp_tracking_events.mtp_tracking_events_omc drop partition p20250202;
Alter table omc_mtp_tracking_events.mtp_tracking_events_omc drop partition p20250301;
-- OMRE
Alter table omre_mtp_tracking_events.mtp_tracking_events_omre drop partition p20250101;
Alter table omre_mtp_tracking_events.mtp_tracking_events_omre drop partition p20250102;
Alter table omre_mtp_tracking_events.mtp_tracking_events_omre drop partition p20250201;
Alter table omre_mtp_tracking_events.mtp_tracking_events_omre drop partition p20250202;
Alter table omre_mtp_tracking_events.mtp_tracking_events_omre drop partition p20250301; Best regards Dinh Quang Nguyen</t>
  </si>
  <si>
    <t>[OMC][MTP][PROD] Hỗ trợ thay đổi và tạo bảng mới trên TIDB</t>
  </si>
  <si>
    <t>2025-05-06T22:09:05.857+0700</t>
  </si>
  <si>
    <t>2025-05-06T22:10:34.707+0700</t>
  </si>
  <si>
    <t>Dear team, Team em đang có nhu cầu đổi tên 1 bảng, và thêm 3 bảng mới. Nhờ team chạy giúp em script sau ạ. Thời gian:  22h ngày 06/05/2025 [Release plan]   [Change Request]   [Database] TIDB_DATABASE: omc_mtp_martech_activation
TIDB_URI: 'omc-mtp-tidb.int.onemount.com:4000' [Script] - Được đính kèm ở dưới Thank team, Thành An.</t>
  </si>
  <si>
    <t>[OMC][MTP][PROD] Hỗ trợ thay đổi và tạo bảng mới</t>
  </si>
  <si>
    <t>2025-05-06T22:07:38.041+0700</t>
  </si>
  <si>
    <t>2025-05-06T22:10:28.574+0700</t>
  </si>
  <si>
    <t>Dear team,  Team em đang có nhu cầu xoá một bảng cũ (hiện tại chỉ có dữ liệu test), và thêm 2 bảng mới. Nhờ team chạy giúp em script sau ạ. Thời gian:  22h ngày 06/05/2025 [Release plan]     [Change Request]     [Database]   POSTGRESQL_DATABASE: mtp_assets_management
POSTGRESQL_URI: '172.31.3.49:5432' [Script] -- sms template
drop table if exists mtp_assets_sms_template;
create table mtp_assets_sms_template
(
    id          varchar(36)   not null
        primary key,
    name        varchar(255)  not null,
    type        varchar(16)   not null,
    category    varchar(16)   not null,
    brand_name  varchar(32)   not null,
    sender_name varchar(32)   not null,
    content     varchar(1000) not null,
    master_code varchar(255),
    client_id   integer       not null,
    status      varchar(20)   not null,
    created_at  timestamp default CURRENT_TIMESTAMP,
    updated_at  timestamp default CURRENT_TIMESTAMP
);
-- zns template
create table mtp_assets_zns_template
(
    id              varchar(36)  not null
        primary key,
    sms_template_id varchar(36),
    zns_id          varchar(50),
    name            varchar(255) not null,
    type            varchar(15)  not null,
    tags            json         not null,
    layout          json         not null,
    params          json         not null,
    note            text,
    tracking_id     varchar(36),
    status          varchar(30)  not null,
    zns_status      varchar(20),
    meta_data       json,
    client_id       integer,
    zalo_oa_id      varchar(50),
    destination_id  varchar(50),
    created_at      timestamp default now(),
    updated_at      timestamp default now()
);
create index idx_zns_template_zns_id
    on mtp_assets_zns_template (zns_id);
create index idx_zns_template_type
    on mtp_assets_zns_template (type);
create index idx_zns_template_status
    on mtp_assets_zns_template (status);</t>
  </si>
  <si>
    <t>[PROD] [OMRE] Chạy miration DB</t>
  </si>
  <si>
    <t>2025-05-06T21:22:14.812+0700</t>
  </si>
  <si>
    <t>2025-05-06T21:29:07.609+0700</t>
  </si>
  <si>
    <t>Dear team, Nằm trong kế hoạch golive HD-IVM-AVM ngày 06/05/2025, nhờ team chạy giúp em câu script sau để tạo thêm column mới Dự kiến thời gian chạy: 21h ngày 06/05/2025 Thông tin Database Server: 172.31.4.146
DB: onehs_hd_residential_house_import
User: onehs_hd_residential_house_import Câu lệnh script: ALTER TABLE RAW_DATA_RESIDENTIAL_PROPERTY
    ADD number_of_facades VARCHAR(100) NULL COMMENT 'Số mặt tiếp giáp' AFTER number_of_turnings, ALGORITHM=INPLACE, LOCK=NONE;
ALTER TABLE RESIDENTIAL_PROPERTY_VALIDATION_RESULTS
    ADD number_of_facades VARCHAR(100) NULL COMMENT 'Số mặt tiếp giáp' AFTER number_of_turnings, ALGORITHM=INPLACE, LOCK=NONE; Em cảm ơn ạ.</t>
  </si>
  <si>
    <t>2025-05-06T17:40:37.600+0700</t>
  </si>
  <si>
    <t>2025-05-06T17:40:44.497+0700</t>
  </si>
  <si>
    <t xml:space="preserve">[OMC][VCM] [PROD] Cập nhật thông tin hạn sử dụng voucher ticket </t>
  </si>
  <si>
    <t>2025-05-06T17:13:07.704+0700</t>
  </si>
  <si>
    <t>2025-05-06T17:21:48.207+0700</t>
  </si>
  <si>
    <t>Hi team, Theo yêu cầu từ phía đội vận hành CR  , cần cập nhật lại thông tin hạn sử dụng voucher ticket của user, nhờ team hỗ trợ với ạ. Thông tin database - GCP project  vinid-loyalty-prod
- Instance name : onevoucher
- Instance IP : 172.31.4.126
- Database : onevc_vsm_prod Query ở file đính kèm Thanks.</t>
  </si>
  <si>
    <t>[OMD][WMS][PROD] Hỗ trợ cập nhật table phục vụ đồng bộ DP</t>
  </si>
  <si>
    <t>2025-05-06T17:07:56.303+0700</t>
  </si>
  <si>
    <t>2025-05-06T17:41:58.455+0700</t>
  </si>
  <si>
    <t>Hi DBA Team, Hiện tại Data platform đang có 1 số datatable bị thiếu cột dc_code, nên cần trigger update dữ liệu từ phía DB nguồn để DP nhận được các request này. cc  @Lê Minh Tú    @Đỗ Thành Công   @Bùi Văn Lực   @Trần Nhật Tân   @Nguyễn Văn Quang   @Đậu Nhật Hoàng   Thông tin DB như sau Project : vinid-b2b-platform-prod Instance/IP : main/172.31.4.59 Port : 3306 Database : Như danh sách dưới  Script update stock_status set last_modified_date = now() limit 1;
update appointment_service_status set last_modified_date = now() limit 1;
update appointment_service_type set last_modified_date = now() limit 1;
update appointment_status set last_modified_date = now() limit 1;
update appointment_type set last_modified_date = now() limit 1; Database omd_wms_asian omd_wms_fm omd_wms_vungtau_hs omd_wms_8193 omd_wms_8194 omd_wms_8195 omd_wms_8196 omd_wms_8197 omd_wms_8198 omd_wms_8110 omd_wms_8111 omd_wms_8112 omd_wms_8113 omd_wms_8114 omd_wms_8115 omd_wms_8116</t>
  </si>
  <si>
    <t>[OPS] Update hủy bản kê âm cho vận hành DB: ops_pay_service</t>
  </si>
  <si>
    <t>2025-05-06T17:01:51.830+0700</t>
  </si>
  <si>
    <t>2025-05-06T17:02:42.404+0700</t>
  </si>
  <si>
    <t>Dear team, Nhờ  update giúp em db ops theo câu lệnh sau ạ: project: vinpay-prod  Instance: low-performance  Master IP: 172.31.1.149  Slave IP: 172.31.1.179  DB: ops_pay_service UPDATE AUTO_PAYMENT_TRANSACTION
SET status = 'REJECTED'
WHERE payment_reference = 'VIP_vinhomes01_060525155033775';
UPDATE AUTO_PAYMENT_TRANSACTION
SET status = 'REJECTED'
WHERE payment_reference = 'VIP_SNG_060525155033678';</t>
  </si>
  <si>
    <t>[PROD] [OMRE] Reivew script chạy miration DB</t>
  </si>
  <si>
    <t>2025-05-06T15:07:04.946+0700</t>
  </si>
  <si>
    <t>2025-05-06T15:07:13.780+0700</t>
  </si>
  <si>
    <t>Nằm trong kế hoạch golive HD-IVM-AVM ngày 06/05/2025, nhờ team review giúp em câu script tạo mới column sau: Thông tin Database Server: 172.31.4.83
DB: onehs_hd_residential_house
User: onehs_hd_residential_house Câu script ALTER TABLE RESIDENTIAL_PROPERTY
    ADD number_of_facades VARCHAR(50) NULL COMMENT 'Số mặt tiếp giáp' AFTER street_contiguous_type;
ALTER TABLE RAW_DATA_RESIDENTIAL_PROPERTY
    ADD number_of_facades VARCHAR(100) NULL COMMENT 'Số mặt tiếp giáp' AFTER number_of_turnings;
ALTER TABLE RESIDENTIAL_PROPERTY_VALIDATION_RESULTS
    ADD number_of_facades VARCHAR(100) NULL COMMENT 'Số mặt tiếp giáp' AFTER number_of_turnings; Em cảm ơn ạ.</t>
  </si>
  <si>
    <t>Team TaskBox nhờ tạo thêm bảng UploadFileConfiguration</t>
  </si>
  <si>
    <t>2025-05-06T12:28:26.464+0700</t>
  </si>
  <si>
    <t>2025-05-06T12:35:45.760+0700</t>
  </si>
  <si>
    <t>Nhờ các a tạo thêm bảng UploadFileConfiguration giúp team ạ. E gửi thông tin: DB: jdbc:mysql://onemg-integration-platform-prd--main.cloudsql.int:3306/omd_taskbox 172.31.1.118 SQL: CREATE TABLE UploadFileConfiguration (   id bigint NOT NULL AUTO_INCREMENT,   createdAt datetime DEFAULT NULL,   createdBy varchar(255) DEFAULT NULL,   deleted bit(1) DEFAULT NULL,   lastModifiedAt datetime DEFAULT NULL,   lastModifiedBy varchar(255) DEFAULT NULL,   version int DEFAULT NULL,   autoConfirm bit(1) DEFAULT NULL,   extension varchar(255) DEFAULT NULL,   mainTypeCode varchar(255) NOT NULL,   maxByteFileSize decimal(19,2) DEFAULT NULL,   maxTotalLine int DEFAULT NULL,   name varchar(255) DEFAULT NULL,   templateStrategy varchar(255) NOT NULL,   type varchar(255) NOT NULL,   template_id bigint DEFAULT NULL,   PRIMARY KEY (id),   UNIQUE KEY UK_iboo200a49d8mgtoijfxjdx97 (type) ) ENGINE=InnoDB AUTO_INCREMENT=3 DEFAULT CHARSET=utf8mb4 COLLATE=utf8mb4_0900_ai_ci; ALTER TABLE UploadFileConfiguration ADD CONSTRAINT fk_template_id FOREIGN KEY (template_id) REFERENCES DocumentMedia(id) ON DELETE CASCADE ON UPDATE CASCADE</t>
  </si>
  <si>
    <t xml:space="preserve">[VINIDPAY] Tác động database Tpay - thay đổi charge phí </t>
  </si>
  <si>
    <t>2025-05-06T11:47:45.075+0700</t>
  </si>
  <si>
    <t>2025-05-06T11:48:09.609+0700</t>
  </si>
  <si>
    <t>Hi team, Các anh giúp em chạy script với thông tin như bên dưới nhé ạ Thông tin database  saas_tpay: jdbc:mysql://pay-tidb.int.onemount.com:4000/saas_tpay   Chạy luôn sau khi được approval  update AUTO_SETTLEMENT set charge_code = 'DN15727'
                       where fee_period_from = '2025-04-01 00:00:00'
                       and fee_period_to = '2025-04-30 23:59:59'
                       and status = 'FAIL'
                       and merchant_code NOT IN ('VINIDPAY');</t>
  </si>
  <si>
    <t>[OMD][WMS] Hỗ trợ cập nhật dữ liệu trạng thái bản ghi Wave 15WV00000956 cho kho 8115</t>
  </si>
  <si>
    <t>2025-05-06T09:36:32.004+0700</t>
  </si>
  <si>
    <t>2025-05-06T11:23:50.469+0700</t>
  </si>
  <si>
    <t>Hi DBA team, Hiện tại có 1 bản ghi trong Database bị lỗi code logic nên bị cập nhật sai trạng thái, nhờ team DBA hỗ trợ cập nhật giá trị theo thông tin dưới đây. Project : vinid-b2b-platform-prod Instance/IP : main (read-write): 172.31.4.59 Port : 3306 Database : omd_wms_8115 Query UPDATE wave_order_item woi
JOIN wave_order_header woh ON woi.header_id = woh.id
SET woi.status = 'FULFILLED', woi.last_modified_date = UTC_TIMESTAMP()
WHERE woh.code = '15WV00000956';
UPDATE wave_order_header
SET status='FULFILLED', last_modified_date = utc_timestamp 
WHERE code = '15WV00000956'; Câu query đánh giá là an toàn nên có thể thực hiện cập nhật bất kỳ lúc nào mà không ảnh hưởng đến vận hành hệ thống.</t>
  </si>
  <si>
    <t>[OM][AVM]Tạo db postgresql lưu data crawl thổ cư đã qua xử lý</t>
  </si>
  <si>
    <t>2025-05-05T22:11:32.448+0700</t>
  </si>
  <si>
    <t>2025-05-05T22:12:04.031+0700</t>
  </si>
  <si>
    <t>Dear team, Hiện tại team DS đang cần tạo db postgresql để lưu data crawl thổ cư đã qua xử lý phục vụ cho việc xây dựng dashboard cho team SM. Vậy nhờ team hỗ trợ tạo db theo mô tả sau ạ: DB name: residential
Instance: 172.31.4.8
Permission: Read, Write data Ref ticket:  https://vinid-team.atlassian.net/browse/MLOPS-372 Many thanks!</t>
  </si>
  <si>
    <t>[OMC][PS2][OneVoucher][PROD] Hỗ trợ cập nhật dữ liệu store của hệ thống Voucher Distribution</t>
  </si>
  <si>
    <t>2025-05-05T19:34:01.487+0700</t>
  </si>
  <si>
    <t>2025-05-05T19:35:49.291+0700</t>
  </si>
  <si>
    <t>PS2, VCM</t>
  </si>
  <si>
    <t>Hi team, Phát sinh từ quá trình migrate dữ liệu bị lỗi từ đầu dự án ( thread  trao đổi), cần cập nhật lại thông tin store bị sai ở hệ thống Voucher Distribution, nhờ team hỗ trợ với ạ. Thông tin database - GCP project : vinid-loyalty-prod
- Instance name : voucher-distribution
- Instance IP : 172.31.4.82
- Database name : b2b_voucher_distribution Query 1 UPDATE merchant m
SET m.status = 'INACTIVE'
WHERE m.id = 410; Query 2 UPDATE store s
SET s.merchant_id = 466
WHERE s.merchant_id = 410; Thanks.</t>
  </si>
  <si>
    <t>[OMC][MTP][PROD] Hỗ trợ cập nhật redis</t>
  </si>
  <si>
    <t>2025-05-05T18:14:13.198+0700</t>
  </si>
  <si>
    <t>2025-05-05T18:14:49.052+0700</t>
  </si>
  <si>
    <t>Dear  @Nguyễn Văn Dũng  , nhờ a thực hiện set redis giúp em Thông tin Redis :  redis://crm-salesforce-redis.int.vinid.net:6379 CMD:  set  https://ops.onehousing.vn/OMRE_OPS  OMRE Thanks.</t>
  </si>
  <si>
    <t>[BO] Off cấu hình tính phí dịch vụ service loyalty</t>
  </si>
  <si>
    <t>2025-05-05T18:02:44.535+0700</t>
  </si>
  <si>
    <t>2025-05-05T18:02:58.159+0700</t>
  </si>
  <si>
    <t>Hi anh,  Nhờ a chạy giúp e script bên dưới ạ  UPDATE FEE_CONFIG SET ID = 'PHI_DOANH_THU_TRICH_TRUOC_OFF' WHERE TRANS_BUS = 'R003A';
UPDATE FEE_CONFIG SET ID = 'PHI_GIAO_DICH_OFF' WHERE TRANS_BUS = 'R004';
UPDATE TRANS_BUSINESS SET TRANSACTION_ID  = 'R003A_OFF' WHERE ID IN ('26', '27', '28') AND SERVICE_ID ='VN0010009';
UPDATE TRANS_BUSINESS SET TRANSACTION_ID  = 'R004_OFF' WHERE ID IN ('29', '30', '31') AND SERVICE_ID ='VN0010009'; Thông tin database:  172.31.1.133:3306/bo</t>
  </si>
  <si>
    <t>Hỗ trợ restore data về bản backup ngày 5/5/2025 4:29:48</t>
  </si>
  <si>
    <t>2025-05-05T15:21:57.034+0700</t>
  </si>
  <si>
    <t>2025-05-05T18:06:44.687+0700</t>
  </si>
  <si>
    <t>OM, OutSystems</t>
  </si>
  <si>
    <t>Nhờ DBA hỗ trợ restore giúp em table  OSUSR_el6_OrganizationCostCenterMapping  ở schema  outsystems_prod_finance  về bản backup 5/5/2025 4:29:48</t>
  </si>
  <si>
    <t>[TCB Sales App] Cập nhật dữ liệu tuyến với luồng nghiệp vụ mới</t>
  </si>
  <si>
    <t>2025-05-05T12:19:57.971+0700</t>
  </si>
  <si>
    <t>2025-05-05T12:29:41.757+0700</t>
  </si>
  <si>
    <t>Hi DBA Team, Dự án TCB Sales App mới release có thêm tính năng chặn không cho phép thực hiện tuyến nếu chưa có thông tin chỉ tiêu, vì vậy hệ thống cần cập nhật thông tin chỉ tiêu với các tuyến đang thực hiện hoặc chưa thực hiện để đáp ứng nhu cầu tính năng này. Thông tin update DB như sau Project: omd-pos-prod Instance:  main-pos-integration IP: 172.31.3.63 DB: omd_saleapp_tcb_prod Script UPDATE Route r
SET r.targetDescription = r.name
WHERE TRIM(COALESCE(r.targetDescription, '')) = ''
  AND r.status IN ('EXECUTING', 'PENDING');</t>
  </si>
  <si>
    <t>[OMC][MTP][NON-PROD] Hỗ trợ tạo schema mới trên tidb non-prod</t>
  </si>
  <si>
    <t>2025-05-05T11:22:43.508+0700</t>
  </si>
  <si>
    <t>2025-05-05T11:25:44.166+0700</t>
  </si>
  <si>
    <t>Dear a  @Nguyễn Văn Dũng  , Nhờ a thực hiện tạo schema mới giúp em với ạ tiDB  : tidb.int.onemount.dev:4000 schema name : omc_mtp_merchant_loyalty_qc username : omc_mtp_merchant_loyalty_qc Thanks.</t>
  </si>
  <si>
    <t>[OMC][PS2][OneVoucher][PROD] Hỗ trợ cập nhật dữ liệu của hệ thống Voucher Distribution</t>
  </si>
  <si>
    <t>2025-05-05T11:10:33.338+0700</t>
  </si>
  <si>
    <t>2025-05-05T11:14:47.205+0700</t>
  </si>
  <si>
    <t>Hi team, Theo yêu cầu từ phía đội vận hành CR   , cần cập nhật lại thông tin provider cho các voucher bị cấu hình sai ở hệ thống Voucher Distribution, nhờ team hỗ trợ với ạ. Thông tin database - GCP project : vinid-loyalty-prod
- Instance name : voucher-distribution
- Instance IP : 172.31.4.82
- Database name : b2b_voucher_distribution Query UPDATE voucher v
SET v.provider_id = 409
WHERE v.provider_id = 376 AND
  v.code IN ('STW_MAA_STARBUCKS_SF6066','MAA_PHUCLONG_SF6067','MAA_SHOPEE_SF6097','MAA_SHOPEE_SF6099','MAA_SHOPEEFOOD_SF6073','MAA_SHOPEEFOOD_SF6083','MAA_GRABFOOD_SF6102','MAA_GRABFOOD_SF6103','MAA_GRABBIKECAR_SF6105','MAA_GRABBIKECAR_SF6104','MAA_WINMART_SF6111','MAA_WINMART_SF6112','MAA_COOPMART_SF6115','MAA_PHARMACITY_SF6113','MAA_PHARMACITY_SF6114','MAA_FPTSHOP_SF6119','MAA_FPTSHOP_SF6120'); Thanks.</t>
  </si>
  <si>
    <t>[OMD][WMS] Hỗ trợ cập nhật dữ liệu trạng thái bản ghi Wave cho kho 8115</t>
  </si>
  <si>
    <t>2025-05-05T09:34:37.713+0700</t>
  </si>
  <si>
    <t>2025-05-05T10:06:49.351+0700</t>
  </si>
  <si>
    <t>Hi DBA team,  Hiện tại có 1 bản ghi trong Database bị lỗi code logic nên bị cập nhật sai trạng thái, nhờ team DBA hỗ trợ cập nhật giá trị theo thông tin dưới đây. Project : vinid-b2b-platform-prod Instance/IP : main (read-write): 172.31.4.59 Port : 3306 Database : omd_wms_8115 Query UPDATE wave_order_header
SET status='FULFILLED', last_modified_date = utc_timestamp
WHERE code = '15WV00000923'; Câu query đánh giá là an toàn nên có thể thực hiện cập nhật bất kỳ lúc nào mà không ảnh hưởng đến vận hành hệ thống.</t>
  </si>
  <si>
    <t>2025-05-02T20:04:45.144+0700</t>
  </si>
  <si>
    <t>2025-05-02T21:47:44.714+0700</t>
  </si>
  <si>
    <t>Hi anh, nhờ anh chạy giúp em script này ở môi trường PRODUCTION theo thông tin chạy dưới đây: Thời gian chạy script: sau khi được approve Thông tin database saas_tpay: mysql://pay-tidb.int.onemount.com:4000/saas_tpay script: DELETE FROM TCB_DEVICE WHERE device_serial_number = 'V9E0597704';
DELETE FROM TCB_DEVICE_HISTORY WHERE device_serial_number = 'V9E0597704';
DELETE FROM SMARTPOS_DEVICE_MAPPING WHERE device_serial_number = 'V9E0597704';
DELETE FROM SMARTPOS_DEVICE_MAPPING_HISTORY WHERE device_serial_number = 'V9E0597704';</t>
  </si>
  <si>
    <t>Kéo bảng từ database Taskbox lên ODS</t>
  </si>
  <si>
    <t>2025-05-02T11:40:52.038+0700</t>
  </si>
  <si>
    <t>2025-05-02T16:33:40.380+0700</t>
  </si>
  <si>
    <t>Context: Team 1SEAL cần dùng các thông tin trong bảng Evidence để tính công cho SA. Vậy nhờ các sếp kéo giúp e lên dremio non-prod. Theo e nhớ folder là dp.omd.application."taskbox" ạ Bảng: Evidence Data source QC : mysql://vinid-app-common-dev--main-mysql-8.cloudsql.int:3306/omd_taskbox_qc Output: column name giữ nguyên theo table  Logic: không có logic riêng, chỉ cần data gốc. Ngoài ra a phân quyền query giúp e group account  dremio.omd.taskbox-group@onemount.com  vào folder dp.omd.semantic.taskbox với ạ. E cảm ơn</t>
  </si>
  <si>
    <t xml:space="preserve"> [OMD][1SEAL][PROD]Kéo bảng từ database Taskbox lên ODS PROD</t>
  </si>
  <si>
    <t>2025-05-02T11:40:22.015+0700</t>
  </si>
  <si>
    <t>2025-05-02T16:52:32.188+0700</t>
  </si>
  <si>
    <t>Context: Team 1SEAL cần dùng các thông tin trong bảng  Evidence  để tính công cho SA. Vậy nhờ các sếp kéo giúp e lên dremio PROD. Theo e nhớ folder là dp.omd.application."taskbox" ạ Bảng:  Evidence Data source PROD: mysql://onemg-integration-platform-prd--main.cloudsql.int:3306/omd_taskbox ip: 172.31.1.118 Output: column name giữ nguyên theo table  Logic: không có logic riêng, chỉ cần data gốc. Ngoài ra a phân quyền query giúp e group account  dremio.omd.taskbox-group@onemount.com  vào folder dp.omd.semantic.taskbox với ạ. E cảm ơn</t>
  </si>
  <si>
    <t>[OMC][GAMI][PS2][Prod] Thu hồi lượt chơi Spin to win tuần 21/4-27/4</t>
  </si>
  <si>
    <t>2025-04-30T19:43:45.316+0700</t>
  </si>
  <si>
    <t>2025-04-30T19:43:55.289+0700</t>
  </si>
  <si>
    <t>Thu hồi lượt chơi Spin to win tuần 21/4-27/4 Host:  172.31.4.75 DB: promo_gamezone Lấy danh sách lượt chơi đã phát ở campaign 30 SELECT * FROM `rule_logs` WHERE campaign_id = 30; Thực hiện xóa các record lấy ở bước 1</t>
  </si>
  <si>
    <t>[OMC][GAMI][PS2][Prod] Thu hồi quà trung gian, quà cuối cho campaign 29 - Sticky Scheme</t>
  </si>
  <si>
    <t>2025-04-30T19:43:19.343+0700</t>
  </si>
  <si>
    <t>2025-04-30T19:43:26.290+0700</t>
  </si>
  <si>
    <t>Thu hồi quà trung gian, quà cuối cho campaign 29 - Sticky Scheme Thực hiện đánh dấu các giao thành trạng thái mới Host:  172.31.4.75 DB: promo_gamezone Quà tặng trung gian theo script exel sheet 1:    Quà tặng trung gian theo script exel sheet 2:    Thu hồi challenge Host:  172.31.4.75 DB: promo_quest thu hồi với rule 100 script exel sheet 1:    thu hồi với rule 100 script exel sheet 2:    Xóa key Redis xóa các key với prefix sau: ps2-gami-quest:ChallengeV2UserProgress</t>
  </si>
  <si>
    <t xml:space="preserve">[BE][VINIDPAY] Tác động database Tpay - Remove device thất lạc </t>
  </si>
  <si>
    <t>2025-04-30T19:21:48.179+0700</t>
  </si>
  <si>
    <t>2025-04-30T19:22:40.987+0700</t>
  </si>
  <si>
    <t>Hi anh, nhờ anh chạy giúp em script này ở môi trường PRODUCTION theo thông tin chạy dưới đây: Thời gian chạy script: ngay sau khi được approval. Thông tin database saas_tpay: mysql://pay-tidb.int.onemount.com:4000/saas_tpay Export data   1.  TCB_DEVICE SELECT * FROM TCB_DEVICE WHERE device_serial_number = '38250321904476';
SELECT * FROM TCB_DEVICE WHERE device_serial_number = '38250321904477';
SELECT * FROM TCB_DEVICE WHERE device_serial_number = '38250321904478';
SELECT * FROM TCB_DEVICE WHERE device_serial_number = '38250321904479';
SELECT * FROM TCB_DEVICE WHERE device_serial_number = '38250321904480';
SELECT * FROM TCB_DEVICE WHERE device_serial_number = '38250321904481';
SELECT * FROM TCB_DEVICE WHERE device_serial_number = '38250321904482';
SELECT * FROM TCB_DEVICE WHERE device_serial_number = '38250321904483';
SELECT * FROM TCB_DEVICE WHERE device_serial_number = '38250321904484';
SELECT * FROM TCB_DEVICE WHERE device_serial_number = '38250321904485';
SELECT * FROM TCB_DEVICE WHERE device_serial_number = '38250321904486';
SELECT * FROM TCB_DEVICE WHERE device_serial_number = '38250321904487';
SELECT * FROM TCB_DEVICE WHERE device_serial_number = '38250321904488';
SELECT * FROM TCB_DEVICE WHERE device_serial_number = '38250321904489';
SELECT * FROM TCB_DEVICE WHERE device_serial_number = '38250321904490';
SELECT * FROM TCB_DEVICE WHERE device_serial_number = '38250321904491';
SELECT * FROM TCB_DEVICE WHERE device_serial_number = '38250321904492';
SELECT * FROM TCB_DEVICE WHERE device_serial_number = '38250321904493';
SELECT * FROM TCB_DEVICE WHERE device_serial_number = '38250321904494';
SELECT * FROM TCB_DEVICE WHERE device_serial_number = '38250321904495';
SELECT * FROM TCB_DEVICE WHERE device_serial_number = '38250321904496';
SELECT * FROM TCB_DEVICE WHERE device_serial_number = '38250321904497';
SELECT * FROM TCB_DEVICE WHERE device_serial_number = '38250321904498';
SELECT * FROM TCB_DEVICE WHERE device_serial_number = '38250321904499';
SELECT * FROM TCB_DEVICE WHERE device_serial_number = '38250321904500'; 2.   SOUNDBOX_DEVICE_SALES SELECT * FROM SOUNDBOX_DEVICE_SALES WHERE device_id = (SELECT device_id FROM TCB_DEVICE WHERE device_serial_number = '38250321904476');
SELECT * FROM SOUNDBOX_DEVICE_SALES WHERE device_id = (SELECT device_id FROM TCB_DEVICE WHERE device_serial_number = '38250321904477');
SELECT * FROM SOUNDBOX_DEVICE_SALES WHERE device_id = (SELECT device_id FROM TCB_DEVICE WHERE device_serial_number = '38250321904478');
SELECT * FROM SOUNDBOX_DEVICE_SALES WHERE device_id = (SELECT device_id FROM TCB_DEVICE WHERE device_serial_number = '38250321904479');
SELECT * FROM SOUNDBOX_DEVICE_SALES WHERE device_id = (SELECT device_id FROM TCB_DEVICE WHERE device_serial_number = '38250321904480');
SELECT * FROM SOUNDBOX_DEVICE_SALES WHERE device_id = (SELECT device_id FROM TCB_DEVICE WHERE device_serial_number = '38250321904481');
SELECT * FROM SOUNDBOX_DEVICE_SALES WHERE device_id = (SELECT device_id FROM TCB_DEVICE WHERE device_serial_number = '38250321904482');
SELECT * FROM SOUNDBOX_DEVICE_SALES WHERE device_id = (SELECT device_id FROM TCB_DEVICE WHERE device_serial_number = '38250321904483');
SELECT * FROM SOUNDBOX_DEVICE_SALES WHERE device_id = (SELECT device_id FROM TCB_DEVICE WHERE device_serial_number = '38250321904484');
SELECT * FROM SOUNDBOX_DEVICE_SALES WHERE device_id = (SELECT device_id FROM TCB_DEVICE WHERE device_serial_number = '38250321904485');
SELECT * FROM SOUNDBOX_DEVICE_SALES WHERE device_id = (SELECT device_id FROM TCB_DEVICE WHERE device_serial_number = '38250321904486');
SELECT * FROM SOUNDBOX_DEVICE_SALES WHERE device_id = (SELECT device_id FROM TCB_DEVICE WHERE device_serial_number = '38250321904487');
SELECT * FROM SOUNDBOX_DEVICE_SALES WHERE device_id = (SELECT device_id FROM TCB_DEVICE WHERE device_serial_number = '38250321904488');
SELECT * FROM SOUNDBOX_DEVICE_SALES WHERE device_id = (SELECT device_id FROM TCB_DEVICE WHERE device_serial_number = '38250321904489');
SELECT * FROM SOUNDBOX_DEVICE_SALES WHERE device_id = (SELECT device_id FROM TCB_DEVICE WHERE device_serial_number = '38250321904490');
SELECT * FROM SOUNDBOX_DEVICE_SALES WHERE device_id = (SELECT device_id FROM TCB_DEVICE WHERE device_serial_number = '38250321904491');
SELECT * FROM SOUNDBOX_DEVICE_SALES WHERE device_id = (SELECT device_id FROM TCB_DEVICE WHERE device_serial_number = '38250321904492');
SELECT * FROM SOUNDBOX_DEVICE_SALES WHERE device_id = (SELECT device_id FROM TCB_DEVICE WHERE device_serial_number = '38250321904493');
SELECT * FROM SOUNDBOX_DEVICE_SALES WHERE device_id = (SELECT device_id FROM TCB_DEVICE WHERE device_serial_number = '38250321904494');
SELECT * FROM SOUNDBOX_DEVICE_SALES WHERE device_id = (SELECT device_id FROM TCB_DEVICE WHERE device_serial_number = '38250321904495');
SELECT * FROM SOUNDBOX_DEVICE_SALES WHERE device_id = (SELECT device_id FROM TCB_DEVICE WHERE device_serial_number = '38250321904496');
SELECT * FROM SOUNDBOX_DEVICE_SALES WHERE device_id = (SELECT device_id FROM TCB_DEVICE WHERE device_serial_number = '38250321904497');
SELECT * FROM SOUNDBOX_DEVICE_SALES WHERE device_id = (SELECT device_id FROM TCB_DEVICE WHERE device_serial_number = '38250321904498');
SELECT * FROM SOUNDBOX_DEVICE_SALES WHERE device_id = (SELECT device_id FROM TCB_DEVICE WHERE device_serial_number = '38250321904499');
SELECT * FROM SOUNDBOX_DEVICE_SALES WHERE device_id = (SELECT device_id FROM TCB_DEVICE WHERE device_serial_number = '38250321904500'); Delete data theo thứ tự dưới đây 1.  TCB_DEVICE_HISTORY DELETE FROM TCB_DEVICE_HISTORY WHERE device_id = (SELECT device_id FROM TCB_DEVICE WHERE device_serial_number = '38250321904476');
DELETE FROM TCB_DEVICE_HISTORY WHERE device_id = (SELECT device_id FROM TCB_DEVICE WHERE device_serial_number = '38250321904477');
DELETE FROM TCB_DEVICE_HISTORY WHERE device_id = (SELECT device_id FROM TCB_DEVICE WHERE device_serial_number = '38250321904478');
DELETE FROM TCB_DEVICE_HISTORY WHERE device_id = (SELECT device_id FROM TCB_DEVICE WHERE device_serial_number = '38250321904479');
DELETE FROM TCB_DEVICE_HISTORY WHERE device_id = (SELECT device_id FROM TCB_DEVICE WHERE device_serial_number = '38250321904480');
DELETE FROM TCB_DEVICE_HISTORY WHERE device_id = (SELECT device_id FROM TCB_DEVICE WHERE device_serial_number = '38250321904481');
DELETE FROM TCB_DEVICE_HISTORY WHERE device_id = (SELECT device_id FROM TCB_DEVICE WHERE device_serial_number = '38250321904482');
DELETE FROM TCB_DEVICE_HISTORY WHERE device_id = (SELECT device_id FROM TCB_DEVICE WHERE device_serial_number = '38250321904483');
DELETE FROM TCB_DEVICE_HISTORY WHERE device_id = (SELECT device_id FROM TCB_DEVICE WHERE device_serial_number = '38250321904484');
DELETE FROM TCB_DEVICE_HISTORY WHERE device_id = (SELECT device_id FROM TCB_DEVICE WHERE device_serial_number = '38250321904485');
DELETE FROM TCB_DEVICE_HISTORY WHERE device_id = (SELECT device_id FROM TCB_DEVICE WHERE device_serial_number = '38250321904486');
DELETE FROM TCB_DEVICE_HISTORY WHERE device_id = (SELECT device_id FROM TCB_DEVICE WHERE device_serial_number = '38250321904487');
DELETE FROM TCB_DEVICE_HISTORY WHERE device_id = (SELECT device_id FROM TCB_DEVICE WHERE device_serial_number = '38250321904488');
DELETE FROM TCB_DEVICE_HISTORY WHERE device_id = (SELECT device_id FROM TCB_DEVICE WHERE device_serial_number = '38250321904489');
DELETE FROM TCB_DEVICE_HISTORY WHERE device_id = (SELECT device_id FROM TCB_DEVICE WHERE device_serial_number = '38250321904490');
DELETE FROM TCB_DEVICE_HISTORY WHERE device_id = (SELECT device_id FROM TCB_DEVICE WHERE device_serial_number = '38250321904491');
DELETE FROM TCB_DEVICE_HISTORY WHERE device_id = (SELECT device_id FROM TCB_DEVICE WHERE device_serial_number = '38250321904492');
DELETE FROM TCB_DEVICE_HISTORY WHERE device_id = (SELECT device_id FROM TCB_DEVICE WHERE device_serial_number = '38250321904493');
DELETE FROM TCB_DEVICE_HISTORY WHERE device_id = (SELECT device_id FROM TCB_DEVICE WHERE device_serial_number = '38250321904494');
DELETE FROM TCB_DEVICE_HISTORY WHERE device_id = (SELECT device_id FROM TCB_DEVICE WHERE device_serial_number = '38250321904495');
DELETE FROM TCB_DEVICE_HISTORY WHERE device_id = (SELECT device_id FROM TCB_DEVICE WHERE device_serial_number = '38250321904496');
DELETE FROM TCB_DEVICE_HISTORY WHERE device_id = (SELECT device_id FROM TCB_DEVICE WHERE device_serial_number = '38250321904497');
DELETE FROM TCB_DEVICE_HISTORY WHERE device_id = (SELECT device_id FROM TCB_DEVICE WHERE device_serial_number = '38250321904498');
DELETE FROM TCB_DEVICE_HISTORY WHERE device_id = (SELECT device_id FROM TCB_DEVICE WHERE device_serial_number = '38250321904499');
DELETE FROM TCB_DEVICE_HISTORY WHERE device_id = (SELECT device_id FROM TCB_DEVICE WHERE device_serial_number = '38250321904500'); 2. SOUNDBOX_DEVICE_MAPPING DELETE FROM SOUNDBOX_DEVICE_MAPPING WHERE device_id = (SELECT device_id FROM TCB_DEVICE WHERE device_serial_number = '38250321904476');
DELETE FROM SOUNDBOX_DEVICE_MAPPING WHERE device_id = (SELECT device_id FROM TCB_DEVICE WHERE device_serial_number = '38250321904477');
DELETE FROM SOUNDBOX_DEVICE_MAPPING WHERE device_id = (SELECT device_id FROM TCB_DEVICE WHERE device_serial_number = '38250321904478');
DELETE FROM SOUNDBOX_DEVICE_MAPPING WHERE device_id = (SELECT device_id FROM TCB_DEVICE WHERE device_serial_number = '38250321904479');
DELETE FROM SOUNDBOX_DEVICE_MAPPING WHERE device_id = (SELECT device_id FROM TCB_DEVICE WHERE device_serial_number = '38250321904480');
DELETE FROM SOUNDBOX_DEVICE_MAPPING WHERE device_id = (SELECT device_id FROM TCB_DEVICE WHERE device_serial_number = '38250321904481');
DELETE FROM SOUNDBOX_DEVICE_MAPPING WHERE device_id = (SELECT device_id FROM TCB_DEVICE WHERE device_serial_number = '38250321904482');
DELETE FROM SOUNDBOX_DEVICE_MAPPING WHERE device_id = (SELECT device_id FROM TCB_DEVICE WHERE device_serial_number = '38250321904483');
DELETE FROM SOUNDBOX_DEVICE_MAPPING WHERE device_id = (SELECT device_id FROM TCB_DEVICE WHERE device_serial_number = '38250321904484');
DELETE FROM SOUNDBOX_DEVICE_MAPPING WHERE device_id = (SELECT device_id FROM TCB_DEVICE WHERE device_serial_number = '38250321904485');
DELETE FROM SOUNDBOX_DEVICE_MAPPING WHERE device_id = (SELECT device_id FROM TCB_DEVICE WHERE device_serial_number = '38250321904486');
DELETE FROM SOUNDBOX_DEVICE_MAPPING WHERE device_id = (SELECT device_id FROM TCB_DEVICE WHERE device_serial_number = '38250321904487');
DELETE FROM SOUNDBOX_DEVICE_MAPPING WHERE device_id = (SELECT device_id FROM TCB_DEVICE WHERE device_serial_number = '38250321904488');
DELETE FROM SOUNDBOX_DEVICE_MAPPING WHERE device_id = (SELECT device_id FROM TCB_DEVICE WHERE device_serial_number = '38250321904489');
DELETE FROM SOUNDBOX_DEVICE_MAPPING WHERE device_id = (SELECT device_id FROM TCB_DEVICE WHERE device_serial_number = '38250321904490');
DELETE FROM SOUNDBOX_DEVICE_MAPPING WHERE device_id = (SELECT device_id FROM TCB_DEVICE WHERE device_serial_number = '38250321904491');
DELETE FROM SOUNDBOX_DEVICE_MAPPING WHERE device_id = (SELECT device_id FROM TCB_DEVICE WHERE device_serial_number = '38250321904492');
DELETE FROM SOUNDBOX_DEVICE_MAPPING WHERE device_id = (SELECT device_id FROM TCB_DEVICE WHERE device_serial_number = '38250321904493');
DELETE FROM SOUNDBOX_DEVICE_MAPPING WHERE device_id = (SELECT device_id FROM TCB_DEVICE WHERE device_serial_number = '38250321904494');
DELETE FROM SOUNDBOX_DEVICE_MAPPING WHERE device_id = (SELECT device_id FROM TCB_DEVICE WHERE device_serial_number = '38250321904495');
DELETE FROM SOUNDBOX_DEVICE_MAPPING WHERE device_id = (SELECT device_id FROM TCB_DEVICE WHERE device_serial_number = '38250321904496');
DELETE FROM SOUNDBOX_DEVICE_MAPPING WHERE device_id = (SELECT device_id FROM TCB_DEVICE WHERE device_serial_number = '38250321904497');
DELETE FROM SOUNDBOX_DEVICE_MAPPING WHERE device_id = (SELECT device_id FROM TCB_DEVICE WHERE device_serial_number = '38250321904498');
DELETE FROM SOUNDBOX_DEVICE_MAPPING WHERE device_id = (SELECT device_id FROM TCB_DEVICE WHERE device_serial_number = '38250321904499');
DELETE FROM SOUNDBOX_DEVICE_MAPPING WHERE device_id = (SELECT device_id FROM TCB_DEVICE WHERE device_serial_number = '38250321904500'); 3. SOUNDBOX_DEVICE_SALES DELETE FROM SOUNDBOX_DEVICE_SALES WHERE device_id = (SELECT device_id FROM TCB_DEVICE WHERE device_serial_number = '38250321904476');
DELETE FROM SOUNDBOX_DEVICE_SALES WHERE device_id = (SELECT device_id FROM TCB_DEVICE WHERE device_serial_number = '38250321904477');
DELETE FROM SOUNDBOX_DEVICE_SALES WHERE device_id = (SELECT device_id FROM TCB_DEVICE WHERE device_serial_number = '38250321904478');
DELETE FROM SOUNDBOX_DEVICE_SALES WHERE device_id = (SELECT device_id FROM TCB_DEVICE WHERE device_serial_number = '38250321904479');
DELETE FROM SOUNDBOX_DEVICE_SALES WHERE device_id = (SELECT device_id FROM TCB_DEVICE WHERE device_serial_number = '38250321904480');
DELETE FROM SOUNDBOX_DEVICE_SALES WHERE device_id = (SELECT device_id FROM TCB_DEVICE WHERE device_serial_number = '38250321904481');
DELETE FROM SOUNDBOX_DEVICE_SALES WHERE device_id = (SELECT device_id FROM TCB_DEVICE WHERE device_serial_number = '38250321904482');
DELETE FROM SOUNDBOX_DEVICE_SALES WHERE device_id = (SELECT device_id FROM TCB_DEVICE WHERE device_serial_number = '38250321904483');
DELETE FROM SOUNDBOX_DEVICE_SALES WHERE device_id = (SELECT device_id FROM TCB_DEVICE WHERE device_serial_number = '38250321904484');
DELETE FROM SOUNDBOX_DEVICE_SALES WHERE device_id = (SELECT device_id FROM TCB_DEVICE WHERE device_serial_number = '38250321904485');
DELETE FROM SOUNDBOX_DEVICE_SALES WHERE device_id = (SELECT device_id FROM TCB_DEVICE WHERE device_serial_number = '38250321904486');
DELETE FROM SOUNDBOX_DEVICE_SALES WHERE device_id = (SELECT device_id FROM TCB_DEVICE WHERE device_serial_number = '38250321904487');
DELETE FROM SOUNDBOX_DEVICE_SALES WHERE device_id = (SELECT device_id FROM TCB_DEVICE WHERE device_serial_number = '38250321904488');
DELETE FROM SOUNDBOX_DEVICE_SALES WHERE device_id = (SELECT device_id FROM TCB_DEVICE WHERE device_serial_number = '38250321904489');
DELETE FROM SOUNDBOX_DEVICE_SALES WHERE device_id = (SELECT device_id FROM TCB_DEVICE WHERE device_serial_number = '38250321904490');
DELETE FROM SOUNDBOX_DEVICE_SALES WHERE device_id = (SELECT device_id FROM TCB_DEVICE WHERE device_serial_number = '38250321904491');
DELETE FROM SOUNDBOX_DEVICE_SALES WHERE device_id = (SELECT device_id FROM TCB_DEVICE WHERE device_serial_number = '38250321904492');
DELETE FROM SOUNDBOX_DEVICE_SALES WHERE device_id = (SELECT device_id FROM TCB_DEVICE WHERE device_serial_number = '38250321904493');
DELETE FROM SOUNDBOX_DEVICE_SALES WHERE device_id = (SELECT device_id FROM TCB_DEVICE WHERE device_serial_number = '38250321904494');
DELETE FROM SOUNDBOX_DEVICE_SALES WHERE device_id = (SELECT device_id FROM TCB_DEVICE WHERE device_serial_number = '38250321904495');
DELETE FROM SOUNDBOX_DEVICE_SALES WHERE device_id = (SELECT device_id FROM TCB_DEVICE WHERE device_serial_number = '38250321904496');
DELETE FROM SOUNDBOX_DEVICE_SALES WHERE device_id = (SELECT device_id FROM TCB_DEVICE WHERE device_serial_number = '38250321904497');
DELETE FROM SOUNDBOX_DEVICE_SALES WHERE device_id = (SELECT device_id FROM TCB_DEVICE WHERE device_serial_number = '38250321904498');
DELETE FROM SOUNDBOX_DEVICE_SALES WHERE device_id = (SELECT device_id FROM TCB_DEVICE WHERE device_serial_number = '38250321904499');
DELETE FROM SOUNDBOX_DEVICE_SALES WHERE device_id = (SELECT device_id FROM TCB_DEVICE WHERE device_serial_number = '38250321904500'); 4. TCB_DEVICE DELETE FROM TCB_DEVICE WHERE device_serial_number = '38250321904476';
DELETE FROM TCB_DEVICE WHERE device_serial_number = '38250321904477';
DELETE FROM TCB_DEVICE WHERE device_serial_number = '38250321904478';
DELETE FROM TCB_DEVICE WHERE device_serial_number = '38250321904479';
DELETE FROM TCB_DEVICE WHERE device_serial_number = '38250321904480';
DELETE FROM TCB_DEVICE WHERE device_serial_number = '38250321904481';
DELETE FROM TCB_DEVICE WHERE device_serial_number = '38250321904482';
DELETE FROM TCB_DEVICE WHERE device_serial_number = '38250321904483';
DELETE FROM TCB_DEVICE WHERE device_serial_number = '38250321904484';
DELETE FROM TCB_DEVICE WHERE device_serial_number = '38250321904485';
DELETE FROM TCB_DEVICE WHERE device_serial_number = '38250321904486';
DELETE FROM TCB_DEVICE WHERE device_serial_number = '38250321904487';
DELETE FROM TCB_DEVICE WHERE device_serial_number = '38250321904488';
DELETE FROM TCB_DEVICE WHERE device_serial_number = '38250321904489';
DELETE FROM TCB_DEVICE WHERE device_serial_number = '38250321904490';
DELETE FROM TCB_DEVICE WHERE device_serial_number = '38250321904491';
DELETE FROM TCB_DEVICE WHERE device_serial_number = '38250321904492';
DELETE FROM TCB_DEVICE WHERE device_serial_number = '38250321904493';
DELETE FROM TCB_DEVICE WHERE device_serial_number = '38250321904494';
DELETE FROM TCB_DEVICE WHERE device_serial_number = '38250321904495';
DELETE FROM TCB_DEVICE WHERE device_serial_number = '38250321904496';
DELETE FROM TCB_DEVICE WHERE device_serial_number = '38250321904497';
DELETE FROM TCB_DEVICE WHERE device_serial_number = '38250321904498';
DELETE FROM TCB_DEVICE WHERE device_serial_number = '38250321904499';
DELETE FROM TCB_DEVICE WHERE device_serial_number = '38250321904500';</t>
  </si>
  <si>
    <t>[NON-PROD] update db smartpos device 19/04/2025</t>
  </si>
  <si>
    <t>2025-04-29T14:21:35.161+0700</t>
  </si>
  <si>
    <t>2025-04-29T14:21:53.848+0700</t>
  </si>
  <si>
    <t>thông tin db: jdbc:mysql://tidb.int.onemount.dev:4000/vinpay_saas_tpay_staging script: ALTER TABLE TCB_DEVICE_HISTORY
    ADD COLUMN device_provider_code VARCHAR(100) NULL,
    ADD COLUMN entry_date           TIMESTAMP    NULL,
    ADD COLUMN order_date           TIMESTAMP    NULL;
alter table SMARTPOS_DEVICE_MAPPING
    add partner_expiry_at timestamp null;
alter table SMARTPOS_DEVICE_MAPPING
    add delivery_at_list varchar(255) null;
alter table SMARTPOS_DEVICE_MAPPING_HISTORY
    add partner_expiry_at timestamp null;
alter table SMARTPOS_DEVICE_MAPPING_HISTORY
    add delivery_at_list varchar(255) null;</t>
  </si>
  <si>
    <t>2025-04-29T14:13:31.903+0700</t>
  </si>
  <si>
    <t>2025-04-29T14:14:32.568+0700</t>
  </si>
  <si>
    <t>Hi anh, nhờ anh chạy giúp em script này ở môi trường PRODUCTION theo thông tin chạy dưới đây: Thời gian chạy script: sau khi được approve Thông tin database saas_tpay: mysql://pay-tidb.int.onemount.com:4000/saas_tpay DELETE FROM TCB_DEVICE WHERE device_serial_number = 'V9E0597813';
DELETE FROM SMARTPOS_DEVICE_MAPPING WHERE device_serial_number = 'V9E0597813';
DELETE FROM SMARTPOS_DEVICE_MAPPING_HISTORY WHERE device_serial_number = 'V9E0597813';
DELETE FROM TCB_DEVICE_HISTORY WHERE device_serial_number = 'V9E0597813';</t>
  </si>
  <si>
    <t>[OMC][GAMI][PS2][Prod] Hỗ trợ xuất data monitor hệ thống ở tuần 1 cho campaign Spin To Win</t>
  </si>
  <si>
    <t>2025-04-29T11:58:48.174+0700</t>
  </si>
  <si>
    <t>2025-04-29T11:58:59.549+0700</t>
  </si>
  <si>
    <t>Hỗ trợ xuất data monitor hệ thống ở tuần 1 cho campaign Spin To Win Host:  172.31.4.75 DB: promo_gamezone Query SELECT * FROM `rule_logs` WHERE campaign_id = 30;</t>
  </si>
  <si>
    <t>[OM][DP][Kafka][NON-PROD] Hỗ trợ tạo kafka topic cho bảng ở db onevc_vsm_uat</t>
  </si>
  <si>
    <t>2025-04-28T18:44:07.105+0700</t>
  </si>
  <si>
    <t>2025-04-28T19:10:04.211+0700</t>
  </si>
  <si>
    <t>Dear anh Linh, Phục vụ thêm thông tin đối soát cho báo cáo vận hành, nhờ anh tạo kafka topic cho bảng sau: IP:  vinid-app-common-dev--main-mysql-8.cloudsql.int:3306 DB:  onevc_vsm_uat Bảng:  sale_history Em cảm ơn ạ</t>
  </si>
  <si>
    <t xml:space="preserve"> [OM][DP][Kafka][PROD] Hỗ trợ tạo kafka topic cho bảng ở db onevc_vsm_prod</t>
  </si>
  <si>
    <t>2025-04-28T18:29:55.772+0700</t>
  </si>
  <si>
    <t>2025-04-28T18:42:51.443+0700</t>
  </si>
  <si>
    <t>Dear anh Linh, Phục vụ thêm thông tin đối soát cho báo cáo vận hành, nhờ anh tạo kafka topic cho bảng sau: IP:  172.31.4.126:3306 DB:  onevc_vsm_prod Bảng:  sale_history Em cảm ơn ạ</t>
  </si>
  <si>
    <t>2025-04-28T17:30:55.353+0700</t>
  </si>
  <si>
    <t>2025-04-28T17:31:19.550+0700</t>
  </si>
  <si>
    <t>Nhờ team chạy các lệnh UPDATE trên MySQL Production như sau ạ: URL:  mysql://omre-onehs-mysql-main.int.onemount.com:3306/onehs_dictionary Query: UPDATE `INVENTORY_PROPERTIES` set status = "REVOKED", available_for_sale_status = "NOT_AVAILABLE", last_modified_date = "2025-04-28 16:00:00", last_modified_by = "master_data_admin" WHERE id = "32401bad-a097-4670-be4f-d274223b8e62"
INSERT INTO `eav_attribute_json_values` (eav_attribute_id, entity_id, entity_id_v2, data_type, name, value, created_by, created_date, last_modified_by, last_modified_date) VALUES ((SELECT eav_attribute_id FROM `eav_attributes` WHERE field_name = "updating_status_reason"), 0, "32401bad-a097-4670-be4f-d274223b8e62", "PICKLIST_MULTI_SELECT", "updating_status_reason", '[ { "id": null, "gid": null, "code": "REPLACED_BY_ANOTHER", "name": "Bị thay thế bởi hàng khác", "uuid": null, "dname": null, "gcode": null, "gname": null, "order": null, "sector_id": null } ]', "master_data_admin", "2025-04-28 16:00:00", "master_data_admin", "2025-04-28 16:00:00")
INSERT INTO `eav_attribute_text_values` (eav_attribute_id, entity_id, entity_id_v2, data_type, name, value, created_by, created_date, last_modified_by, last_modified_date) VALUES ((SELECT eav_attribute_id FROM `eav_attributes` WHERE field_name = "inventory_replacement_code"), 0, "3aad2aaf-72b9-4cc9-a612-2677172aa9a7", "TEXT", "inventory_replacement_code", "INV.QZBXQK", "master_data_admin", "2025-04-28 16:00:00", "master_data_admin", "2025-04-28 16:00:00")</t>
  </si>
  <si>
    <t>[OMD] [Workflow] clear data cho môi trường non-prod</t>
  </si>
  <si>
    <t>2025-04-28T09:53:35.474+0700</t>
  </si>
  <si>
    <t>2025-04-28T14:10:58.873+0700</t>
  </si>
  <si>
    <t>Dear  @Trần Trương Dương   nhờ hỗ trợ nhé DB camunda_bpm_qc trên con postgresql  https://console.cloud.google.com/sql/instances/main-postgres/databases?invt=AbvrJg&amp;project=vinid-app-common-dev remove data chỉ để lại một tháng gần nhất các bảng sau SELECT * from public.act_hi_job_log hl  where timestamp_&lt;now() - interval '1 month' SELECT * from public.act_hi_actinst where start_time_&lt;now() - interval '1 month' SELECT * from public.act_hi_detail   where time_&lt;now() - interval '1 month'</t>
  </si>
  <si>
    <t>2025-04-28T02:16:52.320+0700</t>
  </si>
  <si>
    <t>2025-04-28T02:17:03.187+0700</t>
  </si>
  <si>
    <t>Nhờ team chạy các lệnh UPDATE trên MySQL Production như sau ạ: URL:  mysql://omre-onehs-mysql-main.int.onemount.com:3306/onehs_dictionary Query: UPDATE APPROVAL_REQUESTS2 
SET approval_status = "APPROVED", last_modified_date="2025-04-24 16:00:00", last_modified_by="master_data_admin" 
WHERE id = "2c9421e2963a0720019662fb7cfc1e46"</t>
  </si>
  <si>
    <t>[OMC][GAMI][PS2][Prod] Hỗ trợ xuất data quà tặng sau chương trình "Hành trình vượt trội cùng Techcombank"</t>
  </si>
  <si>
    <t>2025-04-28T02:08:19.502+0700</t>
  </si>
  <si>
    <t>2025-04-28T02:16:15.357+0700</t>
  </si>
  <si>
    <t>Hỗ trợ xuất data quà tặng sau chương trình "Hành trình vượt trội cùng Techcombank" Host:  172.31.4.75 DB: promo_gamezone Query SELECT DISTINCT(customer_id) FROM `transactions` WHERE campaign_id = 27 &amp;&amp; status ='SUCCESS';</t>
  </si>
  <si>
    <t>[OMD CDP] Bổ sung index cho engagement event</t>
  </si>
  <si>
    <t>2025-04-26T15:24:51.658+0700</t>
  </si>
  <si>
    <t>2025-04-26T22:52:24.681+0700</t>
  </si>
  <si>
    <t>Theo release plan  , nhờ team điều chỉnh một số index (xóa index không dùng, thêm index mới) Server: OMD TiDB at  omd-tidb.int.onemount.com:4000 Database:  omd_cdp_data_from_ingest Script: DROP INDEX vinshop_engagement_index_1 on omd_cdp_data_from_ingest.vinshop_engagement;
CREATE INDEX vinshop_engagement_index_1
    ON omd_cdp_data_from_ingest.vinshop_engagement (created_date, created_at, id);</t>
  </si>
  <si>
    <t>[OMRE] [PROD] Force update Agent App lên version 1.50.0</t>
  </si>
  <si>
    <t>2025-04-26T12:09:56.204+0700</t>
  </si>
  <si>
    <t>2025-04-26T12:10:17.608+0700</t>
  </si>
  <si>
    <t xml:space="preserve">Nhờ DBA chạy giúp em câu lệnh này để cập nhật version force update cho Agent app nhé ! Thời gian: 11:00 26/04/2025 INSERT INTO mobile_application_versions (version, force_update_condition, force_update_message, warning_update_condition, warning_update_message, create_by, update_by, create_time, update_time, is_supporting, application) VALUES ('1.50.0', 'true', 'all users must update to 1.50.0', 'false', '', NULL, NULL, CURRENT_TIMESTAMP, CURRENT_TIMESTAMP, '1', 'ProAgentApp') Thông tin DB : HOST = " 172.31.4.83 " PORT = 3306 DATABASE = "agent-platform" CR Link:    Release Plan:   </t>
  </si>
  <si>
    <t>[OMC][PS2][Loyalty][PROD] Thực hiện insert data yêu cầu chạy Campaign của TCB</t>
  </si>
  <si>
    <t>2025-04-25T22:48:38.490+0700</t>
  </si>
  <si>
    <t>2025-04-25T23:24:33.223+0700</t>
  </si>
  <si>
    <t xml:space="preserve">Thực hiện insert data Production cho database loyalty core theo yều từ TCB, mục đích Hỗ trợ triển khai chương trình "Hành trình vượt trội cùng Techcombank" Các bước thực hiện. B1: Tạo bảng tạm để insert danh sách khách hàng cần bổ sung member attribute CST_TARGET_GROUP =  MTB_CHALLENGE_T3 CREATE TABLE OLOYALTY.PS2_CST_TARGET_GROUP_250425_01
(
    "ID"                NUMBER(10, 0) GENERATED BY DEFAULT ON NULL AS IDENTITY,
    "LOYALTY_CODE"      VARCHAR2(256) NULL,
    PRIMARY KEY (ID)
); B2: Insert khách hàng vào bảng  PS2_CST_TARGET_GROUP_250425_01  (bổ sung vào sáng 25/04) B3: Insert Member Attribute INSERT INTO OLOYALTY.MEMBER_ATTRIBUTE
(PROGRAM_ID, MEMBER_ID, PROGRAM_ATTRIBUTE_ID, VALUE, STATUS)
SELECT m.PROGRAM_ID AS ,m.id AS MEMBER_ID,423 AS PROGRAM_ATTRIBUTE_ID,'MTB_CHALLENGE_T3' AS VALUE,'A' AS STATUS
FROM OLOYALTY.MEMBER m JOIN OLOYALTY.PS2_CST_TARGET_GROUP_250425_01 b ON m.PARTNER_CUSTOMER_ID = b.LOYALTY_CODE 
WHERE 1 = 1
AND m.PROGRAM_ID = 426
;  B4: Tạo bảng tạm để insert danh sách khách hàng cần cập nhật member attribute CST_TARGET_GROUP =  MTB_CHALLENGE_T3  về trạng thái INACTIVE CREATE TABLE OLOYALTY.PS2_CST_TARGET_GROUP_250425_02
  (
      "ID"                NUMBER(10, 0) GENERATED BY DEFAULT ON NULL AS IDENTITY,
      "LOYALTY_CODE"      VARCHAR2(256) NULL,
      PRIMARY KEY (ID)
  ); B5: Insert khách hàng vào bảng  PS2_CST_TARGET_GROUP_250425_02  (bổ sung vào sáng 25/04) B6: Update Member Attribute UPDATE OLOYALTY.MEMBER_ATTRIBUTE 
SET STATUS ='I' 
WHERE MEMBER_ID IN (SELECT m.ID FROM OLOYALTY.MEMBER m JOIN OLOYALTY.PS2_CST_TARGET_GROUP_250425_02 b ON m.PARTNER_CUSTOMER_ID = b.LOYALTY_CODE 
                   WHERE 1 = 1
                   AND m.PROGRAM_ID = 426)
AND PROGRAM_ATTRIBUTE_ID = 423
AND VALUE ='MTB_CHALLENGE_T3'
AND PROGRAM_ID = 426; Thời gian bắt đầu thực hiện 25/04/2025 10:00 PM Link CR:   </t>
  </si>
  <si>
    <t>[VinID Pay][TPAY] [PROD] Script update publickey merchant PHUCLONG</t>
  </si>
  <si>
    <t>2025-04-25T22:32:53.834+0700</t>
  </si>
  <si>
    <t>2025-04-25T22:33:22.207+0700</t>
  </si>
  <si>
    <t>Hi anh Lúc 22h30 tối ngày hôm nay 25/4/2025, nhờ anh chạy script để cấu hình merchant PHUCLONG ạ. Thông tin database saas_tpay: mysql://pay-tidb.int.onemount.com:4000/saas_tpay Script: UPDATE partner 
SET public_key='-----BEGIN PUBLIC KEY-----
MIIBIjANBgkqhkiG9w0BAQEFAAOCAQ8AMIIBCgKCAQEAvJ+ewJkrulevsaS45j2l
/QXjWPyBwxHm+xoHPOnlgIl7EhDIui8OALEluvZh3CUE+UoUwkpVbCmfNL0QXlAL
HKKA2407iYR3WRG73AmqaZ0LPPyX+fnNqLW5gXtXJXrdag8zQU1GlqYveMqqwlBY
onvcf/b+GgEqOcENRDZhuT4HfdbPEk3UmWfbCiqaAlvvfmvFX2pMMLFQ1JYXGhnz
sADpnNA139+6IEGV9DjWT+hP6qVCoEqxFLQTWDEADbSUbXIqYELt9TmCyMwSv+SA
8c1yjHseC3ixx3tW7gmP7dYU1HrQdvcof+0Ss2e33y7ausCN4gHgAEGKphyd1fvS
MQIDAQAB
-----END PUBLIC KEY-----
'
where merchant_code='PHUCLONG' and client_id='wBhuMtAXuQsZfVDBygMjZXGuUIXVyJNA';</t>
  </si>
  <si>
    <t>[OMC][PS2][OneVoucher][PROD] - Hỗ trợ cập nhật dữ liệu của hệ thống OneVoucher</t>
  </si>
  <si>
    <t>2025-04-25T15:51:46.566+0700</t>
  </si>
  <si>
    <t>2025-04-28T09:58:27.612+0700</t>
  </si>
  <si>
    <t>VCM, Voucher</t>
  </si>
  <si>
    <t>Trong quá trình vận hành sản phẩm, phát sinh lỗi dữ liệu không đồng bộ cần được cập nhật lại dữ liệu, nhờ team DBA hỗ trợ giúp ạ. Thông tin GCP project : vinid-loyalty-prod Instance name : onevoucher Instance IP : 172.31.4.126 Database :  onevc_vsm_prod onevc_vwm_prod Query 1 SELECT t.serial_request_id
FROM onevc_vsm_prod.ticket t
WHERE
    t.warehouse_code = 'PV_GIFTGRAB20K_280325' AND
    t.ticket_status = 'REVOKED' AND
    t.user_id IN ('1015400459', '1015606852', '1015646240', '1015645648', '1015642751'); Query 2 UPDATE onevc_vwm_prod.warehouse_serial ws
SET ws.status = 'NEW',
  ws.request_id = null
WHERE ws.deleted = 0 AND
  ws.request_id IN (&lt;list_request_id_query_1&gt;) AND
  ws.status = 'DISTRIBUTED'; Thanks team</t>
  </si>
  <si>
    <t>[PROD] Smartpos Script onboard gán 300 thiếu bị VVIP TCB</t>
  </si>
  <si>
    <t>2025-04-25T14:46:26.290+0700</t>
  </si>
  <si>
    <t>2025-04-25T14:46:55.076+0700</t>
  </si>
  <si>
    <t>Hi anh, nhờ anh chạy giúp em script này ở môi trường PRODUCTION theo thông tin chạy dưới đây: Thời gian chạy script: sau khi được approve Thông tin database saas_tpay: mysql://pay-tidb.int.onemount.com:4000/saas_tpay theo file dưới đây ạ</t>
  </si>
  <si>
    <t>[VINIDPAY][PROD] Tác động database Tpay</t>
  </si>
  <si>
    <t>2025-04-25T14:42:48.758+0700</t>
  </si>
  <si>
    <t>2025-04-25T14:42:53.994+0700</t>
  </si>
  <si>
    <t>Hi anh, nhờ anh chạy giúp em script này ở môi trường PRODUCTION theo thông tin chạy dưới đây: Thời gian chạy script: Chạy luôn trong giờ khi ticket được approve. Thông tin database saas_tpay: mysql://pay-tidb.int.onemount.com:4000/saas_tpay ALTER TABLE SOFTPOS_QR_TERMINAL
MODIFY COLUMN TCB_VIRTUAL_ACCOUNT_NAME varchar(255) COLLATE utf8mb4_unicode_ci DEFAULT NULL;</t>
  </si>
  <si>
    <t>[OMC][NRs][PROD] Update cấu hình giới hạn truy cập cho merchant</t>
  </si>
  <si>
    <t>2025-04-25T13:34:17.847+0700</t>
  </si>
  <si>
    <t>2025-04-25T13:34:25.119+0700</t>
  </si>
  <si>
    <t>Dear team DBA Do vận hành có nhu cầu cấu hình tập user pilot cho merchant nên nhờ team hỗ trợ giúp team chạy script sau Chạy ngay khi được approve project: vincart-prod instance: main ip: 172.31.1.41 DB: vincart_mm_merchant UPDATE settings
SET updated_at= CURRENT_TIMESTAMP,
    setting_value='{"user_ids":["20205859","398837","21403","304196","363292","458631","574789","2649368","5561711","6568113","10607601","12617176","20145512","20154957","800141657","103506","203795","782872","7424997","9128828","12448930","20382112","800104636","446731","612401","3440105","3903963","4666300","7822860","20241315","20382548","315462","384750","610428","624006","5108283","5544909","9830845","10401127","11179678","12127104","12326398","20437464","800007347","1096788","1244907","6525623","8335135","9666902","9858886","10271609","10696199","12503322","20246805","853384","1047703","2276202","10439149","20382089","20462861","94741","751951","849110","940499","1226634","7290826","7702304","8023285","11317357","20197222","20321617","1233534","7286265","12941282","385526","389569","1323927","1735976","2224351","11996221","12908365","20149409","7351456","7722598","11783433","12408296","12504035","20018304","20324338","20456982","430566","970993","1598937","2154175","9257529","9452251","9913174","10113522","10399933","10566431","170058","1580031","1611061","7365118","9629299","10382438","10554839","11420836","626281","3528316","5554881","12637795","13189025","20111882","20419925","193129","219345","452565","581982","1031578","1681677","3165875","7705221","10169176","10533235","12449882","20017525","20170478","2105308","3675654","7727781","10682595","11087970","12082190","13379566","20218102","178957","628052","767845","7671080","10129020","12403666","324450","20005570","20277080","20309352","20381469","86331","472745","484795","2644826","3129748","12421112","13196901","305159","321851","10314457","101725","124256","459628","888888","1472059","3392292","7551794","7691338","10339646","11014599","12017152","12035898","12782332","20212674","800138850","561420","12415385","20159542","20309039","136367","621271","977600","4107396","20212563","20286228","20301567","76918","493804","1533357","4567566","12017136","20285198","20406001","86157","239993","7285200","8180612","13195696","363420","1526174","1590419","4983437","10503964","11374327","13256270","20010997","16671","224886","760284","7675836","11861430","20057989","20199422","1003327","2142820","7783434","11413088","12255692","12401412","20319204","20465792","302891","992704","1471775","4431504","12575808","20256352","20382096","20405989","800070819","83279","215348","1669091","6289524","6302492","10313680","12876150","20323549","800057172","220171","289506","292555","591400","791311","1306964","2827990","4215087","6160405","12144060","12449592","12770115","20306089","20319366","20464348","76663","238272","277900","7920014","12017114","20126109","20337920","632543","1182885","1346346","1350472","2564038","5816501","6459292","6699208","5125728","7804087","12988207","20017340","20142831","20284735","800058257","614921","908349","1519853","1924205","3927298","5729251","7417582","10566015","555285","1418800","1487798","2172848","4292893","7240701","8073684","12609592","20300798","6576","735490","2703322","5782371","6972347","20377221","800030871","800147559","15386","1241321","3047239","10914218","11752949","1119051","1133458","1446248","3071425","3443945","5082050","9329244","12044658","39812","406988","1220342","4522235","6226420","10901237","189760","938789","2143246","6631952","11523765","12868775","20262898","20338659","404504","719358","10439672","11487123","11924595","12017205","13378661","20118084","20381061","42197","608520","1409901","13037645","24794","586444","1188088","4454206","8570641","11962275","12044762","12151373","20242071","20307869","456297","962338","1710660","2821224","3882537","6147115","10860116","12267058","13395970","20319164","1166900","4641315","4748954","6004379","8579178","10631209","13416042","179100","829591","891900","6100456","11200645","11779484","12035636","800083747","14600","7793702","8526952","9978598","10612479","495957","4458155","9461921","11164770","11435097","11691306","20243953","20332210","20380304","630134","3451792","3715397","6057355","8446126","8483146","10521219","20255833","20381545","20382082","986962","8105168","13146847","13267164","20304545","614303","2325596","5335216","8086464","9725414","10306749","11142242","13221208","20136967","49478","4689110","5525844","8937506","12479770","12600406","12828450","20075541","20330516","800061147","15685","7011916","7826955","10389362","11573111","20304997","20326248","1027734","2615711","3185580","6354150","12371485","12988608","13369574","20382102","277927","460250","625301","10910427","20316743","106451","171018","259872","4086967","6647731","6863931","7178531","12186618","20014602","51386","522832","2090020","10432387","12188349","20262347","1317154","1768797","4730178","9903528","10666812","11466709","12504498","800078341","607484","1299845","6779445","9916046","20160654","20258588","800001522","800099516","934983","6546494","9798689","12579018","391264","528046","708122","5557230","5806758","8148031","12935737","13313603","20287706","74894","382312","1189855","1218958","5114363","6768291","7650025","12256885","20130389","20352300","800070008","476086","894705","1249490","1666729","2336296","8535137","10478003","11576117","12914058","108996","401717","549369","5604302","10150271","20210530","20233712","20307548","800024283","3219892","4029002","11286329","1841404","3360963","3635501","454839","7942122","9701074","12899194","800049735","213755","998259","1120631","3668241","7679248","9462934","10523979","20180468","20340022","20382227","395219","1591949","3797197","4629283","8173811","10570457","11199248","12094256","12113350","20173991","729496","840682","1540775","1544286","4233750","6293379","11662686","11803190","13223335","20310864","185409","204172","291718","2501915","7538400","9642081","10393295","10946544","13379367","20134715","20295238","20382079","416124","982078","4660011","5405583","7543451","9755511","11686767","12534364","12589834","13106878","20320970","20382006","20382073","32962","133327","171638","398177","624042","789915","2570729","6443891","7840502","20276524","20386041","800007314","800032183","555323","1491015","5942355","6869407","8033867","10657835","20111255","20152154","20162791","20382092","274455","1710551","1878638","3348485","4548706","4979923","5271540","9361427","13343712","20168602","20202250","20300625","84170","1037974","1141901","1793196","3363190","5883319","6364179","10735462","12935098","20133831","20180776","20382103","20382108","398837","1445808","1472413","4763793","4877371","5912256","11086346","265094","329445","7892399","8199748","8333934","8535489","8031","252982","253671","401854","1572537","5468723","13372007","20002496","20164671","20381472","473024","1024072","1215367","3491677","20382107","27686","164706","987709","1479907","3462079","3848834","3925370","5940956","5977701","7672680","9052263","10260474","11001318","12615111","20321312","20381426","800023337","800047772","3003435","11183319","800034655","266448","484126","1578915","3017161","7660980","9825171","11230559","12379932","13443202","20137618","427053","13206784","196476","1141931","2944404","4537286","7966501","9808800","10920904","11201886","12028436","12830993","13369900","20140761","20194616","20197219","20213674","800149281","610923","2747076","4068155","4312195","8093345","20174056","878838","1103063","1664509","3977969","5295192","5576312","6028945","7687884","7925597","12680963","20382280","20456966","800110904","173061","414277","473046","4100990","6434546","7793837","9723642","10061122","20278990","20342073","304830","474434","5928391","6394863","8389421","8505722","8629456","10369432","10599567","11710938","11805483","20130393","20292008","178042","539045","765984","844939","971515","1096265","1173036","5928772","6349578","10103041","11374836","12017321","800072454","36313","73723","483851","722204","1482207","1513431","1607720","2368253","3744858","12684053","20213835","20267607","20381532","1695531","7728229","20111576","20381464","430134","5636173","10239459","10367372","12828366","1836554","5767792","9318042","12682009","381695","1229026","8725496","20291055","788579","1065277","1392445","1400437","1557124","8067219","12334237","322397","1058277","1704784","6654545","7489447","8410914","20219006","245680","939966","1153454","4444226","7794715","8055097","9186644","10247509","12460908","12869265","20316110","156272","310775","1243768","2793127","10249791","12017145","12030056","20218344","64078","184032","1694211","2278421","3798656","7074516","7854088","8040914","8161457","10244290","10822430","11720554","12017322","12034404","13384401","232654","271600","1228247","8856633","12044985","12182597","24524","55853","271358","1095879","1172445","3880341","12017762","12226067","12563059","525297","904696","1391251","6144060","6748733","9268910","20381111","20382084","20382091","453533","1226459","7923895","9490100","10500406","10925468","11585808","11633765","12200782","20381427","990255","7213485","8055207","8768167","9092795","10940858","13338565","20209525","24278","1292377","1650111","7465487","8178905","9896969","11201901","11983470","12249385","20224623","7738239","8004547","11656010","13040203","13105283","20083609","20444062","469851","536628","905087","1203435","1522012","5862356","8173676","13419710","18398","3187152","3435932","3760386","7980776","8044041","11032347","20234066","392543","1337925","1468115","8148218","10025833","11924492","20395148","1678504","4633926","20382021","709335","869588","1063855","4164183","4605981","8131923","9500347","20289200","570070","785297","1327997","2811793","7140090","8491762","11573689","12030360","20261488","20324340","1547224","8484915","8997149","10495844","800147558","62452","310695","5713094","6025690","6110207","12017182","12207652","20308584","708845","3087777","425076","1390045","7256202","8979090","10368115","12167651","20042603","20382115","800074853","4729","448268","1029791","1987498","7533200","10169196","20315115","20405992","800050588","47867","614925","1175068","1182991","1721550","7522706","10436368","20011063","20152151","138482","884337","948166","1321395","12041001","20468867","314088","566223","6434186","20130395","20160030","258136","1153010","5769350","10727525","13256006","20117740","20381601","800135824","1716194","3518980","5803225","8254445","12100239","1081231","7680108","7837130","10574832","11026287","12094111","20277420","20303169","879087","6904979","12631908","1184641","1630549","1643659","2912615","4147088","7489360","10988147","12248207","20165501","20381240","29014","3545116","5299787","6484645","7786078","12362770","20141067","376363","496435","5190420","7954094","10003054","12044566","20325203","157363","176349","307354","618401","5263339","6434482","12827441","1368502","7324881","8376663","10217811","12017439","827514","1003333","5176449","6830901","8151687","9372410","20382202","62962","93982","621676","8276117","10447221","12971630","20330884","800074660","75688","180634","2272719","4362038","10358019","13436138","20382105","454007","565377","969113","1253397","11044377","12941671","20245556","20382260","800073179","113916","261802","422128","600426","810789","4632639","4891035","7740937","9760528","10471556","10505428","20030417","196047","419800","746004","4875600","80195","1588193","4856044","8314340","11653305","20111578","9551718","12033359","20252790","20327409","88322","760158","1286756","7679786","10683226","11002217","11675915","12210826","495781","8525091","10585364","12222819","12243105","800132150","6630","11888","484644","10039734","10307342","20385000","800073042","800141621","82659","249395","1471952","5782033","13257112","13348143","20283085","20382098","7722939","9905952","20465947","800046184","800067959","16184","56915","376248","443040","5507030","8839192","9946595","12044527","12842761","13434021","20308682","20382152","1566550","8347389","9641033","10210341","11116376","12911767","196898","339565","1573667","8015191","9614266","9882044","10388124","11267566","12268789","20382097","800018708","800088863","527557","603840","618789","1711310","5690172","9922399","10928953","11723574","12111439","58377","2252946","5898147","10083510","20077337","800015678","132158","291652","2467927","5877577","311870","519563","8091446","8404088","9802025","10346532","12044849","12244246","19084","7531468","7688291","8640282","12213180","13369255","20381471","79129","1916315","6188266","8716717","2507568","2696805","6527382","9473991","12115046","12426096","20164389","20315168","769366","6451210","6870980","8803289","12837767","133774","615652","8962994","10671827","11311103","12549184","61192","413763","6104506","6315212","6457443","9216808","10147960","9790","26028","1059974","7542256","221746","323891","1171291","10040190","10891551","11283407","11450410","11706443","12017252","12360706","20382133","800106158","1122311","1310404","1423670","1631725","6432419","8318520","10436597","20228425","20381038","20420645","98482","99750","816338","907052","6291858","10875797","11327900","13076022","800139268","259371","1163175","1460786","1539989","12828446","20111839","20340786","46653","1162777","7433941","7498580","10342941","10594","597176","619910","1062549","1195079","1252952","2260820","7772355","11094600","20216563","20293325","42180","6427564","10268412","11325767","12554097","20454803","171922","317049","10439134","11496134","20071661","20155096","20381034","151130","167517","796366","1520757","4645835","4671883","9494773","11097358","20237259","20382156","884938","4982770","10315260","10382885","13295173","20111314","20381039","20457750","108677","1615187","3023365","9973647","20173640","20260473","20269133","20381436","20429412","16810","40228","2068270","3711693","5617722","6819069","7291966","12044506","12394279","20111864","20149811","20230568","20382126","800109502","3412943","3764968","8353649","9584532","9792385","11372699","20145640","20325460","20447165","250260","442105","1547870","10345712","10655341","10827316","10873197","13414130","800007443","92965","7006819","7920410","9120056","11675725","12330755","12613627","13413951","13447385","20016954","367709","900141","2405636","2574087","4401913","5381620","6315928","11108631","11113045","11374437","13041264","20215113","343711","3755651","5660758","5881913","10075154","10248447","10590762","10818850","11702754","20227493","400268","422337","591826","8308334","10494806","12170445","13244170","20076359","800047919","288242","729965","1169698","5489222","9395830","9883200","780706","1309225","1610725","5212000","11942432","20021540","20258605","484216","3614243","4460494","8136353","12337094","1173869","1851322","3529285","3921183","8508595","9988614","12497921","20159253","627319","1225487","1350800","2523312","2886228","5275560","7297486","12049373","12671180","20333515","800138143","829008","3496394","4888489","6301417","10757693","13380934","57","17594","295122","318278","501892","4847017","10738336","11249431","62554","395567","1489080","10393846","20382074","418108","8160314","9535468","20072276","2667358","4114373","4898406","5560614","9975443","12868569","20264901","20273150","20378372","139794","7416924","8037495","8814053","10417474","12120665","12372839","20067130","20174348","800062131","40916","113241","1525670","7763327","8299531","10399908","11089889","20010335","20017342","20382104","800074047","800143919","698752","855363","1481884","10932939","1898876","3593290","10813255","20381071","514515","573341","4692365","6407135","7462671","20300966","20382078","777964","981719","992610","1528471","5419923","7808723","7816780","12478054","20382124","16826","318468","1110479","1242171","3494437","4665267","7015129","8528097","11613327","324455","5824031","10673624","20001190","213675","380279","1412976","1453627","7850040","12048715","12101127","12599404","20134358","7979653","20317889","20445417","1397299","9349277","9958259","11637859","11932226","12828347","203332","457033","2892800","4421738","8034233","8062411","9477357","10765541","270502","503968","782044","2685789","6958244","8053472","20325371","37451","135719","481099","1238598","1291775","2201502","6534234","7673012"]}'
WHERE merchant_id = 333908
  and setting_key = 'MERCHANT_ACCESS_RULE';</t>
  </si>
  <si>
    <t>[VINIDPAY][TPAY][SOUNDBOX] Update dữ liệu bảng tcb_device và soundbox_device_mapping</t>
  </si>
  <si>
    <t>2025-04-25T12:16:21.753+0700</t>
  </si>
  <si>
    <t>2025-04-25T12:16:28.787+0700</t>
  </si>
  <si>
    <t>2025-04-25T12:14:52.821+0700</t>
  </si>
  <si>
    <t>2025-04-25T12:15:12.114+0700</t>
  </si>
  <si>
    <t>Nhờ team chạy các lệnh UPDATE trên MySQL Production như sau ạ: URL:  mysql://omre-onehs-mysql-main.int.onemount.com:3306/onehs_dictionary Query: UPDATE `INVENTORY_PROPERTIES` set status = "REVOKED", available_for_sale_status = "NOT_AVAILABLE", last_modified_date = "2025-04-24 16:00:00", last_modified_by = "master_data_admin" WHERE id = "1ee4febb-7bd4-4ea5-8876-1789951c614f";
INSERT INTO `eav_attribute_json_values` 
(eav_attribute_id, entity_id, entity_id_v2, data_type, name, value, created_by, created_date, last_modified_by, last_modified_date) VALUES ((SELECT eav_attribute_id FROM `eav_attributes` WHERE field_name = "updating_status_reason"), 0, "1ee4febb-7bd4-4ea5-8876-1789951c614f", "PICKLIST_MULTI_SELECT", "updating_status_reason", '[ { "id": null, "gid": null, "code": "SOLD_BY_ANOTHER", "name": "Đã bán bởi đơn vị khác", "uuid": null, "dname": null, "gcode": null, "gname": null, "order": null, "sector_id": null } ]', "master_data_admin", "2025-04-24 16:00:00", "master_data_admin", "2025-04-24 16:00:00");</t>
  </si>
  <si>
    <t>2025-04-25T12:12:46.124+0700</t>
  </si>
  <si>
    <t>2025-04-25T12:12:59.851+0700</t>
  </si>
  <si>
    <t>Hiện tại em cần update data trên prod bảng tcb_device, nhờ các anh review và approve giúp em, Thông tin database  saas_tpay: jdbc:mysql:// pay-tidb.int.onemount.com:4000/saas_tpay UPDATE TCB_DEVICE SET warranty_expired_at = '2027-04-21 00:00:00.000' WHERE device_serial_number = '38250321905581' ;
UPDATE TCB_DEVICE SET warranty_expired_at = '2027-04-21 00:00:00.000' WHERE device_serial_number = '38250321905582' ;
UPDATE TCB_DEVICE SET warranty_expired_at = '2027-04-21 00:00:00.000' WHERE device_serial_number = '38250321905583' ;
UPDATE TCB_DEVICE SET warranty_expired_at = '2027-04-21 00:00:00.000' WHERE device_serial_number = '38250321905584' ;
UPDATE TCB_DEVICE SET warranty_expired_at = '2027-04-21 00:00:00.000' WHERE device_serial_number = '38250321905585' ;
UPDATE TCB_DEVICE SET warranty_expired_at = '2027-04-21 00:00:00.000' WHERE device_serial_number = '38250321905586' ;
UPDATE TCB_DEVICE SET warranty_expired_at = '2027-04-21 00:00:00.000' WHERE device_serial_number = '38250321905587' ;
UPDATE TCB_DEVICE SET warranty_expired_at = '2027-04-21 00:00:00.000' WHERE device_serial_number = '38250321905588' ;
UPDATE TCB_DEVICE SET warranty_expired_at = '2027-04-21 00:00:00.000' WHERE device_serial_number = '38250321905589' ;
UPDATE TCB_DEVICE SET warranty_expired_at = '2027-04-21 00:00:00.000' WHERE device_serial_number = '38250321905590' ;
UPDATE TCB_DEVICE SET warranty_expired_at = '2027-04-21 00:00:00.000' WHERE device_serial_number = '38250321905591' ;
UPDATE TCB_DEVICE SET warranty_expired_at = '2027-04-21 00:00:00.000' WHERE device_serial_number = '38250321905592' ;
UPDATE TCB_DEVICE SET warranty_expired_at = '2027-04-21 00:00:00.000' WHERE device_serial_number = '38250321905593' ;
UPDATE TCB_DEVICE SET warranty_expired_at = '2027-04-21 00:00:00.000' WHERE device_serial_number = '38250321905594' ;
UPDATE TCB_DEVICE SET warranty_expired_at = '2027-04-21 00:00:00.000' WHERE device_serial_number = '38250321905595' ;
UPDATE TCB_DEVICE SET warranty_expired_at = '2027-04-21 00:00:00.000' WHERE device_serial_number = '38250321905596' ;
UPDATE TCB_DEVICE SET warranty_expired_at = '2027-04-21 00:00:00.000' WHERE device_serial_number = '38250321905597' ;
UPDATE TCB_DEVICE SET warranty_expired_at = '2027-04-21 00:00:00.000' WHERE device_serial_number = '38250321905598' ;
UPDATE TCB_DEVICE SET warranty_expired_at = '2027-04-21 00:00:00.000' WHERE device_serial_number = '38250321905599' ;
UPDATE TCB_DEVICE SET warranty_expired_at = '2027-04-21 00:00:00.000' WHERE device_serial_number = '38250321905600' ;
UPDATE TCB_DEVICE SET warranty_expired_at = '2027-04-21 00:00:00.000' WHERE device_serial_number = '38250321909126' ;
UPDATE TCB_DEVICE SET warranty_expired_at = '2027-04-21 00:00:00.000' WHERE device_serial_number = '38250321909127' ;
UPDATE TCB_DEVICE SET warranty_expired_at = '2027-04-21 00:00:00.000' WHERE device_serial_number = '38250321909128' ;
UPDATE TCB_DEVICE SET warranty_expired_at = '2027-04-21 00:00:00.000' WHERE device_serial_number = '38250321909129' ;
UPDATE TCB_DEVICE SET warranty_expired_at = '2027-04-21 00:00:00.000' WHERE device_serial_number = '38250321909130' ;
UPDATE TCB_DEVICE SET warranty_expired_at = '2027-04-21 00:00:00.000' WHERE device_serial_number = '38250321909131' ;
UPDATE TCB_DEVICE SET warranty_expired_at = '2027-04-21 00:00:00.000' WHERE device_serial_number = '38250321909132' ;
UPDATE TCB_DEVICE SET warranty_expired_at = '2027-04-21 00:00:00.000' WHERE device_serial_number = '38250321909133' ;
UPDATE TCB_DEVICE SET warranty_expired_at = '2027-04-21 00:00:00.000' WHERE device_serial_number = '38250321909134' ;
UPDATE TCB_DEVICE SET warranty_expired_at = '2027-04-21 00:00:00.000' WHERE device_serial_number = '38250321909135' ;
UPDATE TCB_DEVICE SET warranty_expired_at = '2027-04-21 00:00:00.000' WHERE device_serial_number = '38250321909540' ;
UPDATE TCB_DEVICE SET warranty_expired_at = '2027-04-21 00:00:00.000' WHERE device_serial_number = '38250321909543' ;
UPDATE TCB_DEVICE SET warranty_expired_at = '2027-04-21 00:00:00.000' WHERE device_serial_number = '38250321909544' ;
UPDATE TCB_DEVICE SET warranty_expired_at = '2027-04-21 00:00:00.000' WHERE device_serial_number = '38250321909545' ;
UPDATE TCB_DEVICE SET warranty_expired_at = '2027-04-21 00:00:00.000' WHERE device_serial_number = '38250321909549' ;
UPDATE TCB_DEVICE SET warranty_expired_at = '2027-04-21 00:00:00.000' WHERE device_serial_number = '38250321909550' ;
UPDATE SOUNDBOX_DEVICE_MAPPING SET handover_at = '2025-04-22 00:00:00.000' WHERE DEVICE_ID  = (SELECT DEVICE_ID  from TCB_DEVICE WHERE device_serial_number = '38250321905581');
UPDATE SOUNDBOX_DEVICE_MAPPING SET handover_at = '2025-04-22 00:00:00.000' WHERE DEVICE_ID  = (SELECT DEVICE_ID  from TCB_DEVICE WHERE device_serial_number = '38250321905582');
UPDATE SOUNDBOX_DEVICE_MAPPING SET handover_at = '2025-04-22 00:00:00.000' WHERE DEVICE_ID  = (SELECT DEVICE_ID  from TCB_DEVICE WHERE device_serial_number = '38250321905583');
UPDATE SOUNDBOX_DEVICE_MAPPING SET handover_at = '2025-04-22 00:00:00.000' WHERE DEVICE_ID  = (SELECT DEVICE_ID  from TCB_DEVICE WHERE device_serial_number = '38250321905584');
UPDATE SOUNDBOX_DEVICE_MAPPING SET handover_at = '2025-04-22 00:00:00.000' WHERE DEVICE_ID  = (SELECT DEVICE_ID  from TCB_DEVICE WHERE device_serial_number = '38250321905585');
UPDATE SOUNDBOX_DEVICE_MAPPING SET handover_at = '2025-04-22 00:00:00.000' WHERE DEVICE_ID  = (SELECT DEVICE_ID  from TCB_DEVICE WHERE device_serial_number = '38250321905586');
UPDATE SOUNDBOX_DEVICE_MAPPING SET handover_at = '2025-04-22 00:00:00.000' WHERE DEVICE_ID  = (SELECT DEVICE_ID  from TCB_DEVICE WHERE device_serial_number = '38250321905587');
UPDATE SOUNDBOX_DEVICE_MAPPING SET handover_at = '2025-04-22 00:00:00.000' WHERE DEVICE_ID  = (SELECT DEVICE_ID  from TCB_DEVICE WHERE device_serial_number = '38250321905588');
UPDATE SOUNDBOX_DEVICE_MAPPING SET handover_at = '2025-04-22 00:00:00.000' WHERE DEVICE_ID  = (SELECT DEVICE_ID  from TCB_DEVICE WHERE device_serial_number = '38250321905589');
UPDATE SOUNDBOX_DEVICE_MAPPING SET handover_at = '2025-04-22 00:00:00.000' WHERE DEVICE_ID  = (SELECT DEVICE_ID  from TCB_DEVICE WHERE device_serial_number = '38250321905590');
UPDATE SOUNDBOX_DEVICE_MAPPING SET handover_at = '2025-04-22 00:00:00.000' WHERE DEVICE_ID  = (SELECT DEVICE_ID  from TCB_DEVICE WHERE device_serial_number = '38250321905591');
UPDATE SOUNDBOX_DEVICE_MAPPING SET handover_at = '2025-04-22 00:00:00.000' WHERE DEVICE_ID  = (SELECT DEVICE_ID  from TCB_DEVICE WHERE device_serial_number = '38250321905592');
UPDATE SOUNDBOX_DEVICE_MAPPING SET handover_at = '2025-04-22 00:00:00.000' WHERE DEVICE_ID  = (SELECT DEVICE_ID  from TCB_DEVICE WHERE device_serial_number = '38250321905593');
UPDATE SOUNDBOX_DEVICE_MAPPING SET handover_at = '2025-04-22 00:00:00.000' WHERE DEVICE_ID  = (SELECT DEVICE_ID  from TCB_DEVICE WHERE device_serial_number = '38250321905594');
UPDATE SOUNDBOX_DEVICE_MAPPING SET handover_at = '2025-04-22 00:00:00.000' WHERE DEVICE_ID  = (SELECT DEVICE_ID  from TCB_DEVICE WHERE device_serial_number = '38250321905595');
UPDATE SOUNDBOX_DEVICE_MAPPING SET handover_at = '2025-04-22 00:00:00.000' WHERE DEVICE_ID  = (SELECT DEVICE_ID  from TCB_DEVICE WHERE device_serial_number = '38250321905596');
UPDATE SOUNDBOX_DEVICE_MAPPING SET handover_at = '2025-04-22 00:00:00.000' WHERE DEVICE_ID  = (SELECT DEVICE_ID  from TCB_DEVICE WHERE device_serial_number = '38250321905597');
UPDATE SOUNDBOX_DEVICE_MAPPING SET handover_at = '2025-04-22 00:00:00.000' WHERE DEVICE_ID  = (SELECT DEVICE_ID  from TCB_DEVICE WHERE device_serial_number = '38250321905598');
UPDATE SOUNDBOX_DEVICE_MAPPING SET handover_at = '2025-04-22 00:00:00.000' WHERE DEVICE_ID  = (SELECT DEVICE_ID  from TCB_DEVICE WHERE device_serial_number = '38250321905599');
UPDATE SOUNDBOX_DEVICE_MAPPING SET handover_at = '2025-04-22 00:00:00.000' WHERE DEVICE_ID  = (SELECT DEVICE_ID  from TCB_DEVICE WHERE device_serial_number = '38250321905600');
UPDATE SOUNDBOX_DEVICE_MAPPING SET handover_at = '2025-04-22 00:00:00.000' WHERE DEVICE_ID  = (SELECT DEVICE_ID  from TCB_DEVICE WHERE device_serial_number = '38250321909126');
UPDATE SOUNDBOX_DEVICE_MAPPING SET handover_at = '2025-04-22 00:00:00.000' WHERE DEVICE_ID  = (SELECT DEVICE_ID  from TCB_DEVICE WHERE device_serial_number = '38250321909127');
UPDATE SOUNDBOX_DEVICE_MAPPING SET handover_at = '2025-04-22 00:00:00.000' WHERE DEVICE_ID  = (SELECT DEVICE_ID  from TCB_DEVICE WHERE device_serial_number = '38250321909128');
UPDATE SOUNDBOX_DEVICE_MAPPING SET handover_at = '2025-04-22 00:00:00.000' WHERE DEVICE_ID  = (SELECT DEVICE_ID  from TCB_DEVICE WHERE device_serial_number = '38250321909129');
UPDATE SOUNDBOX_DEVICE_MAPPING SET handover_at = '2025-04-22 00:00:00.000' WHERE DEVICE_ID  = (SELECT DEVICE_ID  from TCB_DEVICE WHERE device_serial_number = '38250321909130');
UPDATE SOUNDBOX_DEVICE_MAPPING SET handover_at = '2025-04-22 00:00:00.000' WHERE DEVICE_ID  = (SELECT DEVICE_ID  from TCB_DEVICE WHERE device_serial_number = '38250321909131');
UPDATE SOUNDBOX_DEVICE_MAPPING SET handover_at = '2025-04-22 00:00:00.000' WHERE DEVICE_ID  = (SELECT DEVICE_ID  from TCB_DEVICE WHERE device_serial_number = '38250321909132');
UPDATE SOUNDBOX_DEVICE_MAPPING SET handover_at = '2025-04-22 00:00:00.000' WHERE DEVICE_ID  = (SELECT DEVICE_ID  from TCB_DEVICE WHERE device_serial_number = '38250321909133');
UPDATE SOUNDBOX_DEVICE_MAPPING SET handover_at = '2025-04-22 00:00:00.000' WHERE DEVICE_ID  = (SELECT DEVICE_ID  from TCB_DEVICE WHERE device_serial_number = '38250321909134');
UPDATE SOUNDBOX_DEVICE_MAPPING SET handover_at = '2025-04-22 00:00:00.000' WHERE DEVICE_ID  = (SELECT DEVICE_ID  from TCB_DEVICE WHERE device_serial_number = '38250321909135');
UPDATE SOUNDBOX_DEVICE_MAPPING SET handover_at = '2025-04-22 00:00:00.000' WHERE DEVICE_ID  = (SELECT DEVICE_ID  from TCB_DEVICE WHERE device_serial_number = '38250321909540');
UPDATE SOUNDBOX_DEVICE_MAPPING SET handover_at = '2025-04-22 00:00:00.000' WHERE DEVICE_ID  = (SELECT DEVICE_ID  from TCB_DEVICE WHERE device_serial_number = '38250321909543');
UPDATE SOUNDBOX_DEVICE_MAPPING SET handover_at = '2025-04-22 00:00:00.000' WHERE DEVICE_ID  = (SELECT DEVICE_ID  from TCB_DEVICE WHERE device_serial_number = '38250321909544');
UPDATE SOUNDBOX_DEVICE_MAPPING SET handover_at = '2025-04-22 00:00:00.000' WHERE DEVICE_ID  = (SELECT DEVICE_ID  from TCB_DEVICE WHERE device_serial_number = '38250321909545');
UPDATE SOUNDBOX_DEVICE_MAPPING SET handover_at = '2025-04-22 00:00:00.000' WHERE DEVICE_ID  = (SELECT DEVICE_ID  from TCB_DEVICE WHERE device_serial_number = '38250321909549');
UPDATE SOUNDBOX_DEVICE_MAPPING SET handover_at = '2025-04-22 00:00:00.000' WHERE DEVICE_ID  = (SELECT DEVICE_ID  from TCB_DEVICE WHERE device_serial_number = '38250321909550');
UPDATE SOUNDBOX_VA SET IS_ACTIVE = 'false' WHERE VIRTUAL_ACCOUNT_NUMBER = 'M22629629562266'; Thanks kiuuu các anh,</t>
  </si>
  <si>
    <t>[VINIDPAY][PROD] Script hot fix</t>
  </si>
  <si>
    <t>2025-04-24T20:06:35.677+0700</t>
  </si>
  <si>
    <t>2025-04-24T20:06:58.667+0700</t>
  </si>
  <si>
    <t>Nhờ anh chạy giúp em script này để hot fix cho đối tác TCB thông luồng aj Thông tin database saas_tpay: mysql://pay-tidb.int.onemount.com:4000/saas_tpay. Em gửi script ạ UPDATE SOUNDBOX_DEVICE_MAPPING
SET status = 'INACTIVE'
WHERE id =9988;</t>
  </si>
  <si>
    <t>[OM][DP][Kafka][PROD] V/v tạo topic bảng mới</t>
  </si>
  <si>
    <t>2025-04-24T18:01:15.413+0700</t>
  </si>
  <si>
    <t>2025-04-24T18:22:26.550+0700</t>
  </si>
  <si>
    <t>Dear Linh, Em hỗ trợ grant quyền và tạo topic các bảng sau để anh kéo dữ liệu về DP với nhé: Host:172.31.1.41 DB:  address_book Table: default_delivery_address, delivery_address</t>
  </si>
  <si>
    <t>[OM][DP][Kafka][PROD] Tạo kafka topic cho bảng ở db onehs_onemap</t>
  </si>
  <si>
    <t>2025-04-24T17:58:41.764+0700</t>
  </si>
  <si>
    <t>2025-04-24T17:59:26.636+0700</t>
  </si>
  <si>
    <t>DataPlatform, Kafka</t>
  </si>
  <si>
    <t xml:space="preserve">Dear team DBA và anh Duân. Em hiện đang cần đồng bộ dữ liệu từ hệ thống về Dataplatform để phục vụ xử lý ticket  https://vinid-team.atlassian.net/browse/DWHV2-11322 Cụ thể,em cần tạo kafka topic cho 2 bảng . Thông tin DB và bảng như sau: Môi trường: PROD. Host:  172.31.4.83 Port:  3306 Database:  onehs_onemap Table: +  onehs_onemap.feedbacks +  onehs_onemap.feedback_properties Em cảm ơn các anh </t>
  </si>
  <si>
    <t>Kéo dữ liệu về ODS cho dự án 1Seal</t>
  </si>
  <si>
    <t>2025-04-24T17:27:15.322+0700</t>
  </si>
  <si>
    <t>2025-04-24T17:48:54.646+0700</t>
  </si>
  <si>
    <t>Description Mục tiêu:  Đẩy dữ liệu từ Taskbox lên ODS, từ đó 1SEAL lên ODS lấy các thông tin để xử lý chấm công cho LLB. Và cấp quyền truy cập cho user Cấp quyền cho user Username :  omd_salestools_dp_qc Quyền :  Read Kéo dữ liệu Bảng dữ liệu: Source: Thời gian refresh  : Realtime Thời gian lưu trữ dữ liệu:  Lưu trữ ít nhất 6 tháng Các thông tin cần lưu: Với task Vitsi: Task type Task ID SA ID Merchant code gắn với Task visit Status Thời gian CI, CO Thời gian hoàn thành Task Duration Với task order: Task type Task ID SA ID Số lượng đơn hàng type SA order phát sinh trong ngày remote (tính cho unique GT) Mã đơn hàng Trạng thái đơn hàng tương ứng Status task Đơn bị huỷ bởi đối tượng nào (vì theo chính sách đơn bị huỷ cứ không bởi SA thì vẫn tính là đơn thành công để tính công) Thời gian hoàn thành Task</t>
  </si>
  <si>
    <t>[OM][Kafka][Prod] Tạo kafka topic cho các bảng của TMS</t>
  </si>
  <si>
    <t>2025-04-24T14:17:54.166+0700</t>
  </si>
  <si>
    <t>2025-04-24T18:39:21.653+0700</t>
  </si>
  <si>
    <t>Dear team DBA, Hiện tại OMD có nhu cầu kéo dữ liệu phục vụ nhu cầu build model TMS mới phục vụ cho việc tra cứu cấu hình config Tariff ở các kho và lấy mốc Mincharge của các kho, nhằm đưa vào luồng LogCost phục vụ cho nhiều team khác nhau, nhờ anh Linh và team tạo giúp em kafka topic theo thông tin dưới đây ạ PROD: IP: 172.31.4.129 Port: 3306 Schema: omd_tms_planning_prod Table: tariff_rate
tariff_rate_range
tariff_rate_table Thanks and regards! cong.do1</t>
  </si>
  <si>
    <t>[OM][Kafka][PROD] Tạo topic kéo bảng từ mongodb phục vụ decrypt_phone_number trang batdongsan.com</t>
  </si>
  <si>
    <t>2025-04-24T14:16:15.772+0700</t>
  </si>
  <si>
    <t>2025-04-24T17:31:25.139+0700</t>
  </si>
  <si>
    <t>Dear team DBA và anh Duân. Em đang xử lý ticket  https://vinid-team.atlassian.net/browse/DWHV2-11271  và có nhu cầu kéo bảng từ mongo db. Nhờ team DBA hỗ trợ tạo topic cho thông tin bảng như sau: Host: 10.255.24.146 Port: 27017 Database: dataplatform_crawler collection:  batdongsan_decrypt_phone_number Em xin cảm ơn</t>
  </si>
  <si>
    <t>[OMC][GAMI][PS2][Prod] Hỗ trợ gán default column cho DB</t>
  </si>
  <si>
    <t>2025-04-24T10:08:40.398+0700</t>
  </si>
  <si>
    <t>2025-04-24T10:41:27.262+0700</t>
  </si>
  <si>
    <t>Hỗ trợ gán default column cho DB Host:  172.31.4.75 DB: promo_quest Query ALTER TABLE promo_quest.transaction_logs_v2 MODIFY phrase_id VARCHAR(255) DEFAULT '', ALGORITHM=INPLACE, LOCK=NONE;</t>
  </si>
  <si>
    <t>[OMC][GAMI][PS2][Prod] Support monitor hệ thống cho campaign challenge</t>
  </si>
  <si>
    <t>2025-04-24T10:08:11.246+0700</t>
  </si>
  <si>
    <t>2025-04-24T10:08:17.396+0700</t>
  </si>
  <si>
    <t>Support monitor hệ thống cho campaign challenge Host:  172.31.4.75 DB: promo_quest Query SELECT * FROM promo_quest.transaction_logs_v2 WHERE user_id = '10322871' AND tenant_id = 1 AND campaign_id = 29;</t>
  </si>
  <si>
    <t>[OM][DP][PROD] Giảm size disk của node TiKV-8 cụm ODS project onemg-dp-prod</t>
  </si>
  <si>
    <t>2025-04-24T01:41:10.418+0700</t>
  </si>
  <si>
    <t>2025-04-24T01:45:16.601+0700</t>
  </si>
  <si>
    <t xml:space="preserve">DBA team cần cấp 1 disk SSD 2TB để resize lại disk data cho các node TiKV của cụm ODS project onemg-dp-prod 10.255.24.189/ ods-tikv-6  → Done ngày 22-04-2025 10.255.24.198/ ods-tikv-7  → Done ngày 23-04-2025 10.255.24.217/ ods-tikv-8  → Done ngày 24-04-2025 việc này sẽ không gây downtime hệ thống Planning: </t>
  </si>
  <si>
    <t>[OMD CDP][Prod] Execute sql migration script for golive Sprint 13</t>
  </si>
  <si>
    <t>2025-04-23T22:32:55.188+0700</t>
  </si>
  <si>
    <t>2025-04-24T17:13:33.986+0700</t>
  </si>
  <si>
    <t>Nhờ team process execute sql script theo release plan    (script trong file đính kèm) Server: OMD TiDB at  omd-tidb.int.onemount.com:4000 Database:  omd_cdp_orchestration ,  omd_cdp_data_from_ingest Due date: 22h00 ngày 23/04/2025 Script: see in attachments (execute in order) 1. omd-cdp-bff-api-v0.8.0.meta.sql
2. omd-cdp-bff-api-v0.8.0.ingest.sql
3. omd-cdp-ingest-api-v0.4.0.sql
4. omd-cdp-transform-workers-v0.1.0.ingest.sql
5. omd-cdp-transform-workers-v0.1.0.meta.sql (thực hiện sau khi team dự án deploy xong) Database:  omd_cdp_orchestration Due date: 22h00 ngày 24/04/2025 Script: see in attachments (execute in order) omd-cdp-transform-workers-v0.1.0.meta.2.sql</t>
  </si>
  <si>
    <t>[OMC][DP][NONPROD]V/v kéo omc_data.oneu_voucher_recommendation lên ODS môi trường non production</t>
  </si>
  <si>
    <t>2025-04-23T17:14:41.764+0700</t>
  </si>
  <si>
    <t>2025-04-23T17:19:13.181+0700</t>
  </si>
  <si>
    <t>Objective Đẩy dữ liệu lên ODS để team oneu product tạo API kết nối voucher rec lên oneu User Backend Requirements one-off dữ liệu lên mt non-product kéo dữ liệu lên mt product Conditions And fields Frequency: 2h sáng hàng ngày Index: user_id list_recommended : định dạng list json View được tạo sẽ ở space non product và product . Phần này nhờ a  @Trần Trương Dương   tư vấn để phù hợp với structure hiện tại của OMC. Phân quyền cho team: linhtt31@onemount.com anh.le33@onemount.com loint4@onemount.com quynhnt26@onemount.com hieplh4@onemount.com huong.nguyen21@onemount.com hien.bui@onemount.com Kéo dữ liệu từ GCS về ODS: nhờ  @Lê Minh Tú  hỗ trợ Datasource schema om-dremio-ctas-prod/omc_warehouse/omc_data/oneu_voucher_recommendation select *
from "onemg-dp-prod-gcs"."om-dremio-ctas-prod"."omc_warehouse"."omc_data"."oneu_voucher_recommendation"
where 1 = 1; Bên chỗ anh  @Nguyễn Văn Duy  anh  @Nguyễn Việt Tiến   @Nguyễn Tá Lợi  đang muốn test perf luồng này trên UAT trước, vậy nhờ team làm giúp các việc sau nhé: @Former user  : Em clone ra 1 bản, tầm 2 triệu bản ghi anh  @Trần Trương Dương   @Lê Minh Tú  đẩy giúp file (1)  của Ngân lên ODS UAT, và cho lại em xin thông tin kết nối ODS UAT nhé. @Nguyễn Tá Lợi  ntt phối hợp cùng nhé.</t>
  </si>
  <si>
    <t xml:space="preserve"> [Merchant-TCB] Cập nhật dữ liệu merchant_document_item</t>
  </si>
  <si>
    <t>2025-04-23T15:30:38.119+0700</t>
  </si>
  <si>
    <t>2025-04-23T15:36:00.345+0700</t>
  </si>
  <si>
    <t>Dear team, Do OPS chưa hỗ trợ sửa dữ liệu, nên nhờ team chạy giúp câu lệnh bên dưới để cập nhật lại cho đúng ạ. Thông tin database https://console.cloud.google.com/sql/instances/merchant-tcb/overview?inv=1&amp;invt=AbsndA&amp;project=vinid-merchant-prod DB_MYSQL_HOST=172.31.4.108
DB_MYSQL_DATABASE=merchant_service_tcb Câu lệnh -- reconcile: remove null item
UPDATE `tpay_merchant_document_items`
SET `document_url` = '["https://cdn-merchant.vinid.net/tcbmerchant/IMG_5251_1734518414956_CXQu2J.jpeg", "https://cdn-merchant.vinid.net/tcbmerchant/IMG_5251_1734518614276_ovAJCs.jpeg", "https://cdn-merchant.vinid.net/tcbmerchant/IMG_5252_1734518613556_0kPe94.jpeg"]'
WHERE id = 33402;
UPDATE `tpay_merchant_document_items`
SET `document_url` = '["https://cdn-merchant.vinid.net/tcbmerchant/khao sat_1742437847272_EsjWJf.pdf"]'
WHERE id = 49457;
UPDATE `tpay_merchant_document_items`
SET `document_url` = '["https://cdn-merchant.vinid.net/tcbmerchant/GPKD mr gun _1745283693102_sDIG1a.png", "https://cdn-merchant.vinid.net/tcbmerchant/cua hang mr gun _1745283687930_sIvmLD.png", "https://cdn-merchant.vinid.net/tcbmerchant/hop dong mr gun _1745283686877_Fz6Ba5.png"]'
WHERE id = 58102;
-- reconcile: revert original data
UPDATE `tpay_merchant_document_items`
SET `document_url` = '["https://cdn-merchant.vinid.net/tcbmerchant/YÊU CẦU TRỢ GIÚP ĐVCNT_1725874730053_ivbZth.pdf"]'
WHERE id = 8635;
UPDATE `tpay_merchant_document_items`
SET `document_url` = '["https://cdn-merchant.vinid.net/tcbmerchant/SHOFTPOS NGUYEN HOANG THANG_1723176084803_AjyW3m.pdf"]'
WHERE id = 4861;</t>
  </si>
  <si>
    <t>2025-04-23T15:00:33.109+0700</t>
  </si>
  <si>
    <t>2025-04-23T15:00:52.858+0700</t>
  </si>
  <si>
    <t>Hi anh, nhờ anh chạy giúp em script này ở môi trường PRODUCTION theo thông tin chạy dưới đây: Thời gian chạy script: sau khi được approve Thông tin database saas_tpay: mysql://pay-tidb.int.onemount.com:4000/saas_tpay script: DELETE FROM TCB_DEVICE WHERE device_serial_number = 'V1E0371993';
DELETE FROM SMARTPOS_DEVICE_MAPPING WHERE device_serial_number = 'V1E0371993';
DELETE FROM SMARTPOS_DEVICE_MAPPING_HISTORY WHERE device_serial_number = 'V1E0371993';</t>
  </si>
  <si>
    <t>Xin quyền truy cập thông tin bảng Inv của Omre: "tidb_ods"."omre_onehs_prod_main_onehs_dictionary"</t>
  </si>
  <si>
    <t>2025-04-23T14:59:54.978+0700</t>
  </si>
  <si>
    <t>2025-04-23T15:00:09.846+0700</t>
  </si>
  <si>
    <t>OMRE_OPS</t>
  </si>
  <si>
    <t xml:space="preserve">Dear Team DBA, Do nhu cầu quản trị bảng hàng của Ops, em cần truy cập thông tin các bảng sau thông qua dremio: INVENTORY_PROPERTIES STACKING_PLANS_JOIN_TABLE STACKING_PLANS_PROPERTIES "tidb_ods"."omre_onehs_prod_main_onehs_dictionary" Kính nhờ Team DBA hỗ trợ cấp quyền truy cập giúp em. Em cám ơn ạ ! </t>
  </si>
  <si>
    <t>[OM][DP][PROD] Umount Detach và remove old Disk DATA 4TiB trên 2 Nodes Tikv-6 và Tikv-7 cụm TiDB ODS project onemg-dp-prod</t>
  </si>
  <si>
    <t>2025-04-23T12:25:07.756+0700</t>
  </si>
  <si>
    <t>2025-04-24T09:32:25.812+0700</t>
  </si>
  <si>
    <t>Team tiến hành Umount, Detach và remove old Disk DATA 4TiB trên 2 Nodes Tikv-6 và Tikv-7 cụm TiDB ODS project onemg-dp-prod đã resize xong về 2 TB DISK DATA mới. DBA đã Umount các ổ DATA cũ Done. SRE thực hiện detach và remove giúp 2 ổ DISK DATA 4 TiB cũ theo: Project Instance cluster TiKV Device Serial Name Size Disk Mô tả onemg-dp-prod ods-tikv-6 data-store-ods-tikv-6 4 TB Cần Remove onemg-dp-prod ods-tikv-7 data-store-ods-tikv-7 4 TB Cần Remove [root@ods-tikv-7 ~]# lsblk -o uuid,name,size,fstype,serial,mountpoint
UUID                                   NAME                  SIZE FSTYPE      SERIAL                  MOUNTPOINT
                                       sda                   100G             persistent-disk-0       
60EA-EB06                              ├─sda1                200M vfat                                /boot/efi
7735b65e-8bd7-4963-a380-fce2d52c2a3b   └─sda2               99.8G xfs                                 /
VBe7GP-j7eD-w7aY-eNDr-rJYs-OuDg-34t0pH sdb                     4T LVM2_member data-store-ods-tikv-7   
8d6bdbf4-143c-42f3-864e-88e342182ce3   └─hometi-home_data      4T ext4                                
Q2JVNk-LClj-aVO1-Y3Ht-yCQl-Y7i5-dCZSsR sdc                     2T LVM2_member data-store-1-ods-tikv-7 
095b28cf-4234-495b-9fa0-4f7c506a17c9   └─hometi1-home_data1    2T ext4                                /data
[root@ods-tikv-7 ~]# 
[root@ods-tikv-6 ~]# lsblk -o uuid,name,size,fstype,serial,mountpoint
UUID                                   NAME                  SIZE FSTYPE      SERIAL                  MOUNTPOINT
                                       sda                   100G             persistent-disk-0       
60EA-EB06                              ├─sda1                200M vfat                                /boot/efi
7735b65e-8bd7-4963-a380-fce2d52c2a3b   └─sda2               99.8G xfs                                 /
Ha8bQc-izoE-Y4Zj-uwUl-ykYn-M51X-k4ef8a sdb                     4T LVM2_member data-store-ods-tikv-6   
9d91fca8-be4d-494a-9491-270aa3206f2c   └─hometi-home_data      4T ext4                                
wU5WQY-uJZk-adWg-o1pF-9IMl-f7JN-IC18j6 sdc                     2T LVM2_member data-store-1-ods-tikv-6 
94495b13-9ac7-494c-9860-e3d13396a5fc   └─hometi1-home_data1    2T ext4                                /data
[root@ods-tikv-6 ~]#</t>
  </si>
  <si>
    <t>[VINID PAY][TPAY][SOUNDBOX][PROD] Update dữ liệu bảng tcb_device</t>
  </si>
  <si>
    <t>2025-04-23T10:34:19.789+0700</t>
  </si>
  <si>
    <t>2025-04-23T10:34:43.874+0700</t>
  </si>
  <si>
    <t>Hi các anh DBA, Hiện tại em cần update data trên prod bảng tcb_device, nhờ các anh review và approve giúp em, Thông tin database  saas_tpay: jdbc:mysql://pay-tidb.int.onemount.com:4000/saas_tpay DELETE FROM TCB_DEVICE WHERE device_id = 'SB_MF_38_38250321910080';
DELETE FROM SOUNDBOX_DEVICE_MAPPING WHERE DEVICE_ID = 'SB_MF_38_38250321910080';
DELETE FROM TCB_DEVICE_HISTORY WHERE DEVICE_ID = 'SB_MF_38_38250321910080';
DELETE FROM TCB_DEVICE WHERE device_id = 'SB_MF_38_38250321909436';
DELETE FROM SOUNDBOX_DEVICE_MAPPING WHERE DEVICE_ID = 'SB_MF_38_38250321909436';
DELETE FROM TCB_DEVICE_HISTORY WHERE DEVICE_ID = 'SB_MF_38_38250321909436'; Thanks kiuuu các anh,</t>
  </si>
  <si>
    <t>[ODS][DP][PROD] Cấp disk cho các TiKV nodes dùng migrade data của cụm TiDB ODS môi trường PROD</t>
  </si>
  <si>
    <t>2025-04-22T22:33:24.773+0700</t>
  </si>
  <si>
    <t>2025-04-23T10:49:57.791+0700</t>
  </si>
  <si>
    <t>DBA team cần cấp 1 disk SSD 2TB cho các node TiKV của cụm ods 10.255.24.189/ ods-tikv-6 10.255.24.189 ods-tikv-7 10.255.24.217/ ods-tikv-8 sau khi move data sẽ remove disk 4TB cũ trên các node tikv</t>
  </si>
  <si>
    <t>[OM][DP][PROD] Giảm size disk của 2 node tikv-7 và TiKV-8 cụm ODS project onemg-dp-prod</t>
  </si>
  <si>
    <t>2025-04-22T22:32:54.261+0700</t>
  </si>
  <si>
    <t>2025-04-23T01:25:16.093+0700</t>
  </si>
  <si>
    <t xml:space="preserve">DBA team cần cấp 1 disk SSD 2TB để resize lại disk data cho các node TiKV của cụm ODS project onemg-dp-prod 10.255.24.189/ ods-tikv-6  → Done ngày 22-04-2025 10.255.24.198/ ods-tikv-7  → Done ngày 23-04-2025 10.255.24.217/ ods-tikv-8 việc này sẽ không gây downtime hệ thống Planning:   </t>
  </si>
  <si>
    <t>[Merchant-TCB] Cập nhật dữ liệu merchant_document_item</t>
  </si>
  <si>
    <t>2025-04-22T18:37:37.403+0700</t>
  </si>
  <si>
    <t>2025-04-22T22:32:07.852+0700</t>
  </si>
  <si>
    <t>Dear team, Do OPS chưa hỗ trợ sửa dữ liệu, nên nhờ team chạy giúp câu lệnh bên dưới để cập nhật lại cho đúng ạ. Thông tin database https://console.cloud.google.com/sql/instances/merchant-tcb/overview?inv=1&amp;invt=AbsndA&amp;project=vinid-merchant-prod DB_MYSQL_HOST=172.31.4.108
DB_MYSQL_DATABASE=merchant_service_tcb Câu lệnh UPDATE
	`tpay_merchant_document_items`
SET
	`document_url` = '["https://cdn-merchant.vinid.net/tcbmerchant/IMG_5251_1734518414956_CXQu2J.jpeg", "https://cdn-merchant.vinid.net/tcbmerchant/IMG_5251_1734518614276_ovAJCs.jpeg", "https://cdn-merchant.vinid.net/tcbmerchant/IMG_5252_1734518613556_0kPe94.jpeg"]'
WHERE
	id = 4861;
UPDATE
	`tpay_merchant_document_items`
SET
	`document_url` = '["https://cdn-merchant.vinid.net/tcbmerchant/khao sat_1742437847272_EsjWJf.pdf"]'
WHERE
	id = 8635;
UPDATE
	`tpay_merchant_document_items`
SET
	`document_url` = '["https://cdn-merchant.vinid.net/tcbmerchant/GPKD mr gun _1745283693102_sDIG1a.png", "https://cdn-merchant.vinid.net/tcbmerchant/cua hang mr gun _1745283687930_sIvmLD.png", "https://cdn-merchant.vinid.net/tcbmerchant/hop dong mr gun _1745283686877_Fz6Ba5.png"]'
WHERE
	id = 10160;</t>
  </si>
  <si>
    <t>[OMC][DP][ODS]Đẩy dữ liệu omc_data.oneu_voucher_recommendation lên ODS môi trường production</t>
  </si>
  <si>
    <t>2025-04-22T18:32:58.162+0700</t>
  </si>
  <si>
    <t>2025-04-22T18:35:51.333+0700</t>
  </si>
  <si>
    <t>Objective Đẩy dữ liệu lên ODS để team oneu product tạo API kết nối voucher rec lên oneu User Backend Requirements one-off dữ liệu lên mt non-product kéo dữ liệu lên mt product Conditions And fields Frequency: 2h sáng hàng ngày Index: user_id list_recommended : định dạng list json View được tạo sẽ ở space non product và product . Phần này nhờ a  @Trần Trương Dương   tư vấn để phù hợp với structure hiện tại của OMC. Phân quyền cho team: linhtt31@onemount.com anh.le33@onemount.com loint4@onemount.com quynhnt26@onemount.com hieplh4@onemount.com huong.nguyen21@onemount.com hien.bui@onemount.com Kéo dữ liệu từ GCS về ODS: nhờ  @Lê Minh Tú  hỗ trợ Datasource schema om-dremio-ctas-prod/omc_warehouse/omc_data/oneu_voucher_recommendation select *
from "onemg-dp-prod-gcs"."om-dremio-ctas-prod"."omc_warehouse"."omc_data"."oneu_voucher_recommendation"
where 1 = 1;</t>
  </si>
  <si>
    <t>[VINIDPAY][STAGING] Script tác động database</t>
  </si>
  <si>
    <t>2025-04-22T15:20:39.033+0700</t>
  </si>
  <si>
    <t>2025-04-24T09:38:38.157+0700</t>
  </si>
  <si>
    <t>Hi team, nhờ các anh chạy giúp e script này ở database staging với ạ (chạy luôn trong giờ), em cảm ơn Thông tin database: jdbc:mysql://tidb.int.onemount.dev:4000/vinpay_saas_tpay_staging alter table FEE_PROFILE
	add time_in_use int default 1 null;
alter table FEE_PROFILE
	add period int default 1 null;
alter table FEE_PROFILE
	add vat decimal(5, 2) default 0 null;
alter table FEE_PROFILE
	add free_in_months int default 0 null;
alter table SOUNDBOX_MERCHANT
    add CIF varchar(10) null after CUSTOMER_NAME;
alter table SOUNDBOX_MERCHANT
    add MERCHANT_SOURCE varchar(20) null after CIF;
alter table SOUNDBOX_MERCHANT
    add NUM_OF_DEVICE int null after DEVICE_TRANSFER_DOCUMENT_STATUS;
update SOUNDBOX_MERCHANT 
    set MERCHANT_SOURCE = 'TCB_OPS' 
    where MERCHANT_SOURCE is null;
create table SOUNDBOX_MERCHANT_SERVICE
(
    ID              bigint auto_increment
        primary key,
    MERCHANT_CODE   varchar(32)  null,
    TCB_MERCHANT_ID varchar(15)  null,
    CREATED_AT      timestamp    null,
    CREATED_BY      varchar(128) null,
    UPDATED_AT      timestamp    null,
    UPDATED_BY      varchar(128) null
) AUTO_ID_CACHE=1;
create table SOUNDBOX_STORE
(
    ID               bigint auto_increment
        primary key,
    MERCHANT_CODE    varchar(32)  null,
    TCB_MERCHANT_ID  varchar(15)  null,
    QR_STORE         varchar(64)  null,
    TCB_STORE_ID     varchar(15)  null,
    STORE_NAME       varchar(256) null,
    STORE_ADDRESS    varchar(512) null,
    PERSON_IN_CHARGE varchar(128) null,
    CREATED_AT       timestamp    null,
    CREATED_BY       varchar(128) null,
    UPDATED_AT       timestamp    null,
    UPDATED_BY       varchar(128) null,
    BRANCH_CODE      varchar(64)  null,
    BRANCH_NAME      varchar(256) null,
    INDEX SOUNDBOX_STORE_merchant_code_IDX (MERCHANT_CODE),
    INDEX SOUNDBOX_STORE_qr_store_IDX (QR_STORE),
    INDEX SOUNDBOX_STORE_tcb_merchant_id_IDX (TCB_MERCHANT_ID)
) AUTO_ID_CACHE=1;
create table SOUNDBOX_TERMINAL
(
    ID                              bigint auto_increment
        primary key,
    MERCHANT_CODE                   varchar(32)  null,
    TCB_MERCHANT_ID                 varchar(15)  null,
    TCB_STORE_ID                    varchar(15)  null,
    TCB_TERMINAL_ID                 varchar(15)  null,
    DEVICE_SERIAL_NUMBER            varchar(200) null,
    DEVICE_TRANSFER_DOCUMENT_STATUS varchar(64)  null,
    DEVICE_TYPE                     varchar(64)  null,
    PROVIDER_ID                     varchar(64)  null,
    FEE_ID                          varchar(64)  null,
    FEE_ACCOUNT                     varchar(64)  null,
    BRANCH_CODE                     varchar(64)  null,
    BRANCH_NAME                     varchar(64)  null,
    SIM                             varchar(8)   null,
    CREATED_AT                      timestamp    null,
    CREATED_BY                      varchar(128) null,
    UPDATED_AT                      timestamp    null,
    UPDATED_BY                      varchar(128) null,
    INDEX SOUNDBOX_TERMINAL_merchant_code_IDX (MERCHANT_CODE),
    INDEX SOUNDBOX_TERMINAL_branch_code_IDX (BRANCH_CODE)
) AUTO_ID_CACHE=1;
alter table SOUNDBOX_FILE 
    add device_serial_number varchar(64) null after merchant_code;
INSERT INTO SYSTEM_CONFIGURATION (SYSTEM_PARAM_CODE, SYSTEM_PARAM_NAME, SYSTEM_PARAM_VALUE, IS_ACTIVE, CREATED_DATE) VALUES ('EXPORT_LIST_SOUNDBOX_MERCHANT_MAX_QUERY_SIZE', 'EXPORT_LIST_SOUNDBOX_MERCHANT_MAX_QUERY_SIZE', '5000', 1, CURRENT_TIMESTAMP);</t>
  </si>
  <si>
    <t>[OMD aftersales campaign] Review query ODS</t>
  </si>
  <si>
    <t>2025-04-22T12:51:49.964+0700</t>
  </si>
  <si>
    <t>2025-04-28T16:48:31.649+0700</t>
  </si>
  <si>
    <t>Query</t>
  </si>
  <si>
    <t>Hi team : Nhờ các anh review và đánh giá câu query (dòng số 5,8,14 đến 20 cột L, M, N) cho các kịch bản trong  link</t>
  </si>
  <si>
    <t>[OMC][GAMI][PS2][Prod] Hỗ trợ xuất báo cáo data of campaign 27, 29</t>
  </si>
  <si>
    <t>2025-04-22T10:44:03.350+0700</t>
  </si>
  <si>
    <t>2025-04-22T10:44:18.968+0700</t>
  </si>
  <si>
    <t>[OMC][GAMI][PS2][Prod] Hỗ trợ xuất báo cáo data of campaign 27, 29 Host:  172.31.4.75 DB: promo_gamezone Query campaign 27 SELECT customer_id,campaign_id,rule_id,id,txn_ref,invoice_no,event_source,claim_type,claim_amount,reward_type,transaction_time,created_at FROM `rule_logs` WHERE campaign_id = 27 &amp;&amp; rule_id IN(88,90,93)  &amp;&amp; created_at &gt;= '2025-03-26 00:00:00' &amp;&amp; created_at &lt;= '2025-04-15 00:00:00'; Query campaign 29 SELECT customer_id,campaign_id,rule_id,id,txn_ref,invoice_no,event_source,claim_type,claim_amount,reward_type,transaction_time,created_at FROM `rule_logs` WHERE campaign_id = 29 &amp;&amp; rule_id IN(100,101) &amp;&amp; created_at &gt;= '2025-03-26 00:00:00' &amp;&amp; created_at &lt;= '2025-04-15 00:00:00'; Theo yêu cầu report của TCB</t>
  </si>
  <si>
    <t>[VinID Pay][Tpay][PROD] Tác động database Tpay</t>
  </si>
  <si>
    <t>2025-04-21T16:19:08.021+0700</t>
  </si>
  <si>
    <t>2025-04-21T16:21:35.599+0700</t>
  </si>
  <si>
    <t>Hi anh, nhờ anh chạy giúp em script này ở môi trường PRODUCTION theo thông tin chạy dưới đây: Thông tin database saas_tpay: mysql://pay-tidb.int.onemount.com:4000/saas_tpay Chạy ngay sau khi approval  UPDATE UNIFIED_TERMINAL SET terminal_name = 'MC_VVIP'
where terminal_code = 'QTTFMPYQM' and service_code IN ('SMARTPOS_QR', 'SMARTPOS_CARD');
UPDATE UNIFIED_STORE SET store_name = 'MC_VVIP'
where store_code = 'CH45AF2Q' and service_code IN ('SMARTPOS_QR');
UPDATE UNIFIED_MERCHANT SET merchant_name = 'MC_VVIP'
where merchant_code = 'NCCW4M5T';</t>
  </si>
  <si>
    <t>2025-04-21T14:56:22.946+0700</t>
  </si>
  <si>
    <t>2025-04-22T10:09:42.419+0700</t>
  </si>
  <si>
    <t>[OMC][GAMI][PS2][Prod] Hỗ trợ xuất báo cáo data of campaign 27, 29 Host:  172.31.4.75 DB: promo_quest Query campaign 27 SELECT customer_id,campaign_id,rule_id,id,txn_ref,invoice_no,event_source,claim_type,claim_amount,reward_type,transaction_time FROM `rule_logs` WHERE campaign_id = 27 &amp;&amp; rule_id IN(88,90,93)  &amp;&amp; created_at &gt;= '2025-03-26 00:00:00' &amp;&amp; created_at &lt;= '2025-04-15 00:00:00'; Query campaign 29 SELECT customer_id,campaign_id,rule_id,id,txn_ref,invoice_no,event_source,claim_type,claim_amount,reward_type,transaction_time FROM `rule_logs` WHERE campaign_id = 29 &amp;&amp; rule_id IN(100,101) &amp;&amp; created_at &gt;= '2025-03-26 00:00:00' &amp;&amp; created_at &lt;= '2025-04-15 00:00:00';</t>
  </si>
  <si>
    <t>2025-04-21T14:11:37.137+0700</t>
  </si>
  <si>
    <t>2025-04-21T14:12:11.174+0700</t>
  </si>
  <si>
    <t>Dear a  @Nguyễn Văn Dũng  , Nhờ a thực hiện tạo schema mới giúp em với ạ tiDB  : tidb.int.onemount.dev:4000 schema name : omc_mtp_merchant_loyalty username : omc_mtp_merchant_loyalty Thanks.</t>
  </si>
  <si>
    <t>2025-04-21T14:07:19.146+0700</t>
  </si>
  <si>
    <t>2025-04-21T14:07:32.722+0700</t>
  </si>
  <si>
    <t>Hi anh, nhờ anh chạy giúp em script này ở môi trường PRODUCTION theo thông tin chạy dưới đây: Thời gian chạy script: sau khi được approve Thông tin database saas_tpay: mysql://pay-tidb.int.onemount.com:4000/saas_tpay script: DELETE FROM TCB_DEVICE WHERE device_serial_number = 'V9E0597943';
DELETE FROM TCB_DEVICE_HISTORY WHERE device_serial_number = 'V9E0597943';
DELETE FROM SMARTPOS_DEVICE_MAPPING WHERE device_serial_number = 'V9E0597943';
DELETE FROM SMARTPOS_DEVICE_MAPPING_HISTORY WHERE device_serial_number = 'V9E0597943';</t>
  </si>
  <si>
    <t>[OMC][NRs][Vincart][PROD] Nâng cấu hình các instance database phục vụ Flash Sale 2025-04-20</t>
  </si>
  <si>
    <t>2025-04-21T09:48:18.565+0700</t>
  </si>
  <si>
    <t>2025-04-21T09:48:33.062+0700</t>
  </si>
  <si>
    <t>Project: vincart-prod Instance:  main Từ: 4 vCPUs 16 GB RAM , innodb_buffer_pool_size 8589934592  Lên: 8 CPUs 24 GB RAM, innodb_buffer_pool_size 12884901888</t>
  </si>
  <si>
    <t>[VINIDPAY][PROD] Script golive ngày 19/04/2025</t>
  </si>
  <si>
    <t>2025-04-21T09:43:54.496+0700</t>
  </si>
  <si>
    <t>2025-04-21T09:44:11.915+0700</t>
  </si>
  <si>
    <t>Hi anh, nhờ anh chạy giúp em script này ở môi trường PRODUCTION theo thông tin chạy dưới đây:  Thời gian chạy script: hôm golive  23h59 ngày 19/04/2025  khi team thông báo nha ạ. Thông tin database saas_tpay: mysql://pay-tidb.int.onemount.com:4000/saas_tpay Em gửi script ạ SYSTEM_CONFIGURATION UPDATE SYSTEM_CONFIGURATION
SET SYSTEM_PARAM_VALUE = 'self_onboard/template/contract_template_main_v8.jrxml'
WHERE SYSTEM_PARAM_CODE = 'SELF_ONBOARD_TEMPLATE_CONTRACT_PORTRAIT';
INSERT INTO SYSTEM_CONFIGURATION (SYSTEM_PARAM_CODE, SYSTEM_PARAM_NAME, SYSTEM_PARAM_VALUE, IS_ACTIVE, IS_ENCRYPTED, CREATED_BY, UPDATED_BY, UPDATED_DATE, CREATED_DATE) 
VALUES ('DELAY_UPLOAD_FILE_TO_TCB', 'DELAY_UPLOAD_FILE_TO_TCB', '30000', 1, null, null, null, null, DEFAULT); UNIFIED_STORE ALTER TABLE UNIFIED_STORE ADD COLUMN mcc VARCHAR(100); FEE_MERCHANT_SERVICE ALTER TABLE FEE_MERCHANT_SERVICE
ADD COLUMN pos_visa_tcb DECIMAL(7,3);
ALTER TABLE FEE_MERCHANT_SERVICE
ADD COLUMN pos_master_tcb DECIMAL(7,3);
ALTER TABLE FEE_MERCHANT_SERVICE
ADD COLUMN pos_jcb_tcb DECIMAL(7,3);
ALTER TABLE FEE_MERCHANT_SERVICE
ADD COLUMN pos_visa_tn DECIMAL(7,3);
ALTER TABLE FEE_MERCHANT_SERVICE
ADD COLUMN pos_master_tn DECIMAL(7,3);
ALTER TABLE FEE_MERCHANT_SERVICE
ADD COLUMN pos_jcb_tn DECIMAL(7,3);</t>
  </si>
  <si>
    <t>[VINPAY] [PROD] Script golive ngày 11/04/2025</t>
  </si>
  <si>
    <t>2025-04-19T22:52:09.438+0700</t>
  </si>
  <si>
    <t>2025-04-19T22:53:12.800+0700</t>
  </si>
  <si>
    <t>PS2_RnF, Risk_Fraud</t>
  </si>
  <si>
    <t xml:space="preserve">Hi anh Dũng. Nhờ anh chạy giúp em script này hôm golive  23h00   ngày 19/04/2025  ạ. Thông tin database: jdbc:mysql://tidb.int.onemount.com:4000/vinpay_vinpay_prod_saas_ps2_risk_fraud Script trong file đính kèm ạ Em gửi CR:   </t>
  </si>
  <si>
    <t>[OMC][PS2][Loyalty][PROD] Migrate db</t>
  </si>
  <si>
    <t>2025-04-19T22:05:24.854+0700</t>
  </si>
  <si>
    <t>2025-04-19T22:06:33.805+0700</t>
  </si>
  <si>
    <t>Nhờ team chạy script này trên PROD env của DB loyalty oracle giúp team Loyalty ạ. IP: 10.255.23.119 Service name: oneloyaltydb Port: 1521 schema app: OLOYALTY Có thể chạy giờ hành chính Link CR:  https://vinid-team.atlassian.net/jira/servicedesk/projects/SH/queues/issue/SH-64397</t>
  </si>
  <si>
    <t>[OMC][PS2][OneVoucher][PROD] - Cập nhật thông tin database hệ thống OneVoucher</t>
  </si>
  <si>
    <t>2025-04-19T12:57:14.560+0700</t>
  </si>
  <si>
    <t>2025-04-19T13:04:30.919+0700</t>
  </si>
  <si>
    <t>Nhờ team hỗ trợ đội SPCN cập nhật thông tin database theo yêu cầu bên dưới GCP project  vinid-loyalty-prod Instance name : onevoucher Instance IP : 172.31.4.126 Database : onevc_vsm_prod Query Lấy thông tin ticket code SELECT t.code
FROM ticket t
LEFT JOIN distribute_request dr ON dr.id = t.distribute_request_id
WHERE dr.distribute_ref IN ('MAXBD98', 'MYX4KDQ', 'MYXL4AK', 'MREK8NN'); Cập nhật claim_channel từ danh sách ticket ở query 1 UPDATE ticket t
SET t.claim_channel = 'TCB'
WHERE t.code IN (&lt;mã_code_query_1&gt;); Thanks team.</t>
  </si>
  <si>
    <t>[BO] [OMD] Sửa cấu hình bút toán hạch toán OMC</t>
  </si>
  <si>
    <t>2025-04-18T17:42:47.510+0700</t>
  </si>
  <si>
    <t>2025-04-18T17:42:55.301+0700</t>
  </si>
  <si>
    <t>Hi anh,  Nhờ a chạy giúp e script bên dưới ạ UPDATE CONFIG_POSTING_FLAG
SET BO_CUSTOMER_ID     = '10000049',
    BO_CUSTOMER_OFF_ID = '10000049'
WHERE ID = (227, 228, 229, 230, 231, 232, 233); Thông tin database:  172.31.1.133:3306/bo</t>
  </si>
  <si>
    <t>[OMC][MTP] Grant quyền cho service account</t>
  </si>
  <si>
    <t>2025-04-18T17:34:11.230+0700</t>
  </si>
  <si>
    <t>2025-04-18T17:34:26.014+0700</t>
  </si>
  <si>
    <t>Dear anh  @Nguyễn Văn Dũng  , nhờ anh grant quyền giúp em cho sa:  sa.dremio.om.mtp-local  vào path tidb_omc.omc_mtp_user_profile Best regards Dinh Quang Nguyen</t>
  </si>
  <si>
    <t>[PROD]Đẩy dữ liệu từ Taskbox lên ODS</t>
  </si>
  <si>
    <t>2025-04-18T12:43:45.435+0700</t>
  </si>
  <si>
    <t>2025-04-21T17:12:28.117+0700</t>
  </si>
  <si>
    <t>1seal, Task</t>
  </si>
  <si>
    <t>Mục tiêu:  Đẩy dữ liệu từ Taskbox lên ODS, từ đó 1SEAL lên ODS lấy các thông tin để xử lý chấm công cho LLB Bảng dữ liệu:   Source:   Thời gian refresh  : Realtime Thời gian lưu trữ dữ liệu:  Lưu trữ ít nhất 6 tháng Các thông tin cần lưu: Với task Vitsi: Task type Task ID SA ID Merchant code gắn với Task visit Status Thời gian CI, CO Thời gian hoàn thành Task Duration Với task order: Task type Task ID SA ID Số lượng đơn hàng type SA order phát sinh trong ngày remote (tính cho unique GT) Mã đơn hàng Trạng thái đơn hàng tương ứng Status task Đơn bị huỷ bởi đối tượng nào (vì theo chính sách đơn bị huỷ cứ không bởi SA thì vẫn tính là đơn thành công để tính công) Thời gian hoàn thành Task</t>
  </si>
  <si>
    <t>[Non-PROD] Hỗ trợ tạo và phân quyền user môi trường staging dự án TCB</t>
  </si>
  <si>
    <t>2025-04-18T10:38:29.443+0700</t>
  </si>
  <si>
    <t>2025-04-18T10:38:57.603+0700</t>
  </si>
  <si>
    <t>Nhờ team DBA Hỗ trợ tạo user:  vinpay_saas_tpay_staging_read Thông tin database URL:  jdbc:mysql://tidb.int.onemount.dev:4000/vinpay_saas_tpay_staging Thông tin Permission : quyền SELECT  tất cả table trong schema  vinpay_saas_tpay_staging Em cảm ơn ạ</t>
  </si>
  <si>
    <t>[OMC][MTP] Clear dữ liệu trên ODS</t>
  </si>
  <si>
    <t>2025-04-18T09:16:10.949+0700</t>
  </si>
  <si>
    <t>2025-04-18T09:16:24.652+0700</t>
  </si>
  <si>
    <t>Dear anh  @Nguyễn Văn Dũng  , nhờ anh drop giúp em schema sau trên ODS sau khi thực hiện xong CR    DROP SCHEMA omc_mtp_tracking_events;
DROP SCHEMA omc_mtp_user_profile; Best regards Dinh Quang Nguyen</t>
  </si>
  <si>
    <t>[PROD] Hỗ trợ golive tính năng mới</t>
  </si>
  <si>
    <t>2025-04-17T22:45:17.990+0700</t>
  </si>
  <si>
    <t>2025-04-17T22:45:39.592+0700</t>
  </si>
  <si>
    <t>Dear a @Nguyễn Văn Dũng Note : Dự kiến giờ golive 22h ngày 17/4 Nhờ a tạo account, schema và table mới trên tidb của OMC với thông tin như sau :  DB host :  omc-mtp-tidb.int.onemount.com:4000 schema name :  omc_mtp_user_profile Table :  create table user_segment_id_map
(
    id          BIGINT AUTO_RANDOM,
    user_id     varchar(50) not null,
    segment_ids json,
    created_at  timestamp default CURRENT_TIMESTAMP,
    PRIMARY KEY (id, created_at),
    INDEX user_segment_id_map_user_id_idx (user_id) using hash,
    INDEX user_segment_id_map_created_at_idx (created_at)
)
PARTITION BY RANGE (UNIX_TIMESTAMP(created_at) ) (
    PARTITION usid_20250417 VALUES LESS THAN ( UNIX_TIMESTAMP('2025-04-18 00:00:00') )
);
CREATE TABLE identified_profile (
    id                    VARCHAR(36)                           NOT NULL PRIMARY KEY,
    uid                   VARCHAR(64)                           NULL,
    destination           VARCHAR(10)                           NULL,
    tcb_user_status       VARCHAR(64) DEFAULT ''                NULL,
    is_linking            TINYINT(1)  DEFAULT 1                 NULL,
    extra_data            JSON                                  NULL,
    om_referral_id        VARCHAR(36) DEFAULT ''                NOT NULL,
    is_dien_may_xanh      TINYINT(1) DEFAULT 0                  NULL,
    last_event            VARCHAR(64) DEFAULT ''                NOT NULL,
    is_unlink_previous    TINYINT(1) DEFAULT 0                  NULL,
    last_confirmed        DATETIME                              NULL,
    last_unlinked         DATETIME                              NULL,
    last_source_of_link   VARCHAR(36)                           NULL,
    last_source_of_unlink VARCHAR(36)                           NULL,
    unlink_type           VARCHAR(36)                           NULL,
    created_at            TIMESTAMP DEFAULT CURRENT_TIMESTAMP   NULL,
    updated_at            TIMESTAMP DEFAULT CURRENT_TIMESTAMP   NULL ON UPDATE CURRENT_TIMESTAMP,
    UNIQUE KEY identified_profile_uid_destination_uindex (uid, destination),
    INDEX tcb_user_status_index (tcb_user_status)
); Và thực hiện update dữ liệu trong  : MYSQL_ADDRESS: '172.31.1.21:3306'
MYSQL_DATABASE: mtp_martech_profile
UPDATE `mtp_anonymous_profile_segmentation` SET `name` = 'Link account history' WHERE `mtp_anonymous_profile_segmentation`.`id` = 'a88da106fca74ca1bfee2df8e9892447';
INSERT INTO `mtp_anonymous_profile_segmentation` (`id`, `attribute_type`, `segment_type`, `time_duration`, `status`, `name`, `category_id`, `properties`, `extra_data`, `created_at`, `updated_at`, `segmentation_display`)
  VALUES ('a88da106fca74ca1bfee2df8e98924e8', '0', '1', '30', 'INITIALIZE', 'Link account status', '4810d995f7c54be89bc33b4b795cba9f', '[\"tcb_user_status\",\"is_linking\"]', '{\"method\":\"1-1\",\"rule\":\"techcombank\"}', '2024-03-07 02:30:48', ''2025-04-14 00:00:00'', 'VINID');
UPDATE `mtp_anonymous_profile_segmentation_job` SET `display_name` = 'Has linked before' WHERE `mtp_anonymous_profile_segmentation_job`.`id` = '54c77be815d44114bf6c06bd9a5be5b8';
UPDATE `mtp_anonymous_profile_segmentation_job` SET `display_name` = 'Never linked' WHERE `mtp_anonymous_profile_segmentation_job`.`id` = '9ebb376542894f708a0fe9db6380506a';
INSERT INTO `mtp_anonymous_profile_segmentation_job` (`id`, `segmentation_id`, `status`, `hash`, `properties`, `created_at`, `display_name`, `display_order`) 
  VALUES ('54c77be815d44114bf6c06bd9a5be5e9', 'a88da106fca74ca1bfee2df8e98924e8', NULL, '3356228341724399997', '{\"is_linking\":{\"$equal\":false},\"tcb_user_status\":{\"$in\":[\"ETB_ACC_LINKED\"]}}', '2025-04-14 00:00:00', 'Not currently linked', '0');
INSERT INTO `mtp_anonymous_profile_segmentation_job` (`id`, `segmentation_id`, `status`, `hash`, `properties`, `created_at`, `display_name`, `display_order`) 
  VALUES ('54c77be815d44114bf6c06bd9a5b3eb9', 'a88da106fca74ca1bfee2df8e98924e8', NULL, '6167840428617364852', '{\"is_linking\":{\"$equal\":true}}', '2025-04-14 00:00:00', 'Currently linked', '0'); Thanks.</t>
  </si>
  <si>
    <t>[OMC][NRs][PROD] Chạy câu lệnh SQL</t>
  </si>
  <si>
    <t>2025-04-17T22:23:37.806+0700</t>
  </si>
  <si>
    <t>2025-04-17T22:31:28.733+0700</t>
  </si>
  <si>
    <t>Nhờ anh  @Phạm Tuấn Linh  chạy giúp em lệnh sau ạ: Thông tin db:  IP: 172.31.4.10 DB name: ecom_data_analytics ALTER TABLE ops_voucher_views
    ADD voucher_audience varchar(50),
    ADD audience_group_type varchar(50),
    ADD merchant_campaign_code varchar(50),
    ADD merchant_scheme_code varchar(50);
CREATE INDEX voucher_audience_idx ON ops_voucher_views (voucher_audience);
CREATE INDEX audience_group_type_idx ON ops_voucher_views (audience_group_type);
CREATE INDEX merchant_campaign_code_idx ON ops_voucher_views (merchant_campaign_code);
CREATE INDEX merchant_scheme_code_idx ON ops_voucher_views (merchant_scheme_code);</t>
  </si>
  <si>
    <t>Cập nhật Aftersale DB thêm field cho bảng Job</t>
  </si>
  <si>
    <t>2025-04-17T17:31:17.186+0700</t>
  </si>
  <si>
    <t>2025-04-17T17:47:19.094+0700</t>
  </si>
  <si>
    <t>Hi các anh , Team promotion OMD nhờ các anh hỗ trợ chạy script add thêm field vào bảng Job. alter table Job
    add logLevel varchar(255) null after triggerMisfired;
alter table Job
    add weight int null after logLevel; Thông tin database: GCP Project Instance DB name Production : vinid-b2b-platform-prod main (mysql 8.0 - 172.31.4.59) omd_aftersale_campaign Thanks!</t>
  </si>
  <si>
    <t>Cập nhật Aftersale DB</t>
  </si>
  <si>
    <t>2025-04-17T17:09:56.865+0700</t>
  </si>
  <si>
    <t>2025-04-17T17:48:20.300+0700</t>
  </si>
  <si>
    <t>Hi các anh , Team promotion OMD nhờ các anh hỗ trợ chạy script add thêm field vào bảng Job. alter table Job
    add weight int null after logLevel; Thông tin database: GCP Project Instance DB name Production : vinid-b2b-platform-prod main (mysql 8.0 - 172.31.4.59) omd_aftersale_campaign Thanks!</t>
  </si>
  <si>
    <t>Nhờ các anh dba update column bảng taskcenter DB taskbox PROD ạ</t>
  </si>
  <si>
    <t>2025-04-17T16:39:57.530+0700</t>
  </si>
  <si>
    <t>2025-04-17T17:02:34.742+0700</t>
  </si>
  <si>
    <t>Câu lệnh: ALTER TABLE TaskCenter
MODIFY customerCode VARCHAR(255) NULL;
ALTER TABLE TaskCenter
MODIFY customerPhone VARCHAR(255) NULL; DB infor: jdbc:mysql://onemg-integration-platform-prd--main.cloudsql.int:3306/omd_taskbox
172.31.1.118 Thời gian thực hiện: Trong giờ làm việc luôn vì bảng này chưa đưa vào vận hành, tuy nhiên trừ 4h sáng vì đây là thời gian xử lý data ạ.</t>
  </si>
  <si>
    <t>[OMC][OneVoucher|VoucherDistribution] Thực hiện migrate database cho golive ngày 17/04/2025</t>
  </si>
  <si>
    <t>2025-04-17T16:20:05.557+0700</t>
  </si>
  <si>
    <t>2025-04-17T17:18:49.736+0700</t>
  </si>
  <si>
    <t>OneVoucher, Voucher_Distribution</t>
  </si>
  <si>
    <t>Theo kế hoạch golive vào ngày 17/04/2025 thì team Voucher có các migration sau, nhờ team Database Service support team ạ. Link CR:  https://vinid-team.atlassian.net/browse/SH-64297 Thông tin migration: 1. Hệ thống Voucher Distribution Thông tin database IP:  172.31.4.82 Database:  b2b_voucher_distribution Chi tiết migrate Thêm column cho table voucher bằng script sau ALTER TABLE `voucher` ADD (
	`partner_campaign_code` VARCHAR(64)
); Chạy migrate data bằng script sau UPDATE
    voucher v
SET
    v.partner_campaign_code = CASE
        WHEN v.partner_voucher_code = '17355' THEN 'EV004266'
        WHEN v.partner_voucher_code = '17354' THEN 'EV464269'
        ELSE 'UG938763'
    END
WHERE
    v.type = 'ON_DEMAND'
    AND v.partner_type = 'URBOX'
    AND v.status = 'ACTIVE'; 2. Hệ thống OneVoucher Thông tin database IP:  172.31.4.126 Database:  onevc_vsm_prod Chi tiết migrate Thêm field cho table sale_history bằng script sau ALTER TABLE `sale_history`
    ADD COLUMN `name` varchar(255) NULL,
    ADD COLUMN `name_eng` varchar(255) NULL,
    ADD COLUMN `usage_oneu` TEXT NULL,
    ADD COLUMN `usage_oneu_eng` TEXT NULL,
    ADD COLUMN `sale_thumbnail_url` VARCHAR(512),
    ADD COLUMN `sale_banner_url` VARCHAR(512),
    ADD COLUMN `sale_logo_url` VARCHAR(512),
    ADD COLUMN `cta_title` TEXT NULL,
    ADD COLUMN `cta_title_eng` TEXT NULL,
    ADD COLUMN `cta_link` TEXT NULL,
ALGORITHM=INPLACE, LOCK=NONE; Migrate data cho voucher có  purpose=GIFT  bằng script sau UPDATE
	sale_history sh
INNER JOIN sale s ON
	sh.code = s.code
	and sh.business_code = s.business_code
SET
	sh.name = s.name,
	sh.name_eng = s.name_eng,
	sh.usage_oneu = s.usage_oneu,
	sh.usage_oneu_eng = s.usage_oneu_eng,
	sh.sale_thumbnail_url = s.sale_thumbnail_url,
	sh.sale_banner_url = s.sale_banner_url,
	sh.sale_logo_url = s.sale_logo_url,
	sh.cta_title = s.cta_title,
	sh.cta_title_eng = s.cta_title_eng,
	sh.cta_link = s.cta_link
where
	s.purpose = 'GIFT'; Migrate data cho voucher có  purpose=SALE  bằng các thao tác sau B1: Tạo table tạm để lưu dữ liệu cần migrate CREATE TABLE IF NOT EXISTS sale_history_temp (
    `code` VARCHAR(255) NOT NULL,
    `channel` VARCHAR(255),
    `name` varchar(255) NOT NULL,
    `name_eng` varchar(255) NOT NULL,
    `sale_thumbnail_url` VARCHAR(512),
    `sale_banner_url` VARCHAR(512),
    `sale_logo_url` VARCHAR(512),
    `cta_title` TEXT NULL,
    `cta_title_eng` TEXT NULL,
    `cta_link` TEXT NULL
    ); B2: Đổ dữ liệu cần migrate vào bảng tạm  sale_history_temp  bằng file  sale_history_temp.sql   hoặc  sale_history_temp.csv  trong file đính kèm. B3: Thực hiện migrate data bằng câu lệnh sau UPDATE
	sale_history sh
INNER JOIN sale_history_temp sht ON
	sh.code = sht.code
	AND sh.sale_channel = sht.channel
SET
	sh.name = sht.name,
	sh.name_eng = sht.name_eng,
	sh.usage_oneu = sh.`usage` ,
	sh.usage_oneu_eng = sh.usage_eng,
	sh.sale_thumbnail_url = sht.sale_thumbnail_url,
	sh.sale_banner_url = sht.sale_banner_url,
	sh.sale_logo_url = sht.sale_logo_url,
	sh.cta_title = sht.cta_title,
	sh.cta_title_eng = sht.cta_title_eng,
	sh.cta_link = sht.cta_link; B4: Xóa table tạm  sale_history_temp  bằng lệnh DROP TABLE IF EXISTS sale_history_temp;</t>
  </si>
  <si>
    <t>[VINPAY] [PROD] Script bổ sung thông tin virtal account soundbox</t>
  </si>
  <si>
    <t>2025-04-17T15:46:59.851+0700</t>
  </si>
  <si>
    <t>2025-04-17T15:47:49.169+0700</t>
  </si>
  <si>
    <t>Hi anh. Nhờ anh chạy giúp em script bên dưới vào 15h15 chiều nay ạ Thông tin database saas_tpay: mysql://pay-tidb.int.onemount.com:4000/saas_tpay Em gửi script ạ INSERT INTO SOUNDBOX_VA (VIRTUAL_ACCOUNT_NUMBER,MAIN_ACCOUNT_NUMBER,VIRTUAL_ACCOUNT_NAME,BANK_CODE,BANK_NAME,REFERENCE_ID,SERVICE_TYPE,IS_ACTIVE,MERCHANT_QR_CODE) 
VALUES ('M22625283994687','19099995555661','Vũ Trọng Hiệp','VTCBVNVX','Techcombank','SDLTCBY66A1223241520','TCB_SOUNDBOX',true,'00020101021138590010A000000727012900069704070115M226252839946870208QRIBFTTA53037045802VN63049744');
INSERT INTO SOUNDBOX_VA (VIRTUAL_ACCOUNT_NUMBER,MAIN_ACCOUNT_NUMBER,VIRTUAL_ACCOUNT_NAME,BANK_CODE,BANK_NAME,REFERENCE_ID,SERVICE_TYPE,IS_ACTIVE,MERCHANT_QR_CODE) 
VALUES ('M22629629562266','19099995555661','CTCP VINIDPAY','VTCBVNVX','Techcombank','SDLTCBY66A1223240374','TCB_SOUNDBOX',true,'00020101021138590010A000000727012900069704070115M226296295622660208QRIBFTTA53037045802VN63042DEF');</t>
  </si>
  <si>
    <t>[OMC][Link Account] [Prod] thực hiện query update 1 record trong table "linkages" ở dự án Link Account với user_id 10173177</t>
  </si>
  <si>
    <t>2025-04-17T14:16:37.639+0700</t>
  </si>
  <si>
    <t>2025-04-17T14:19:29.863+0700</t>
  </si>
  <si>
    <t>Dear team DBA, Theo thread trao đổi:  https://chat.google.com/room/AAAAbcTWvJQ/lHbZp8Gt6nY/lHbZp8Gt6nY?cls=10   Hiện user bị gãy luồng, nên team cần thực hiện update record để đảm bảo luồng của user UID 10173177 trước đây có sđt cũ 0949851879 thực hiện request link account và lỗi.
 Sau đó đổi sđt sang 0825556786 và thực hiện liên kết nên hệ thống báo lỗi uid đã tồn tại bản ghi LA Nhờ team thực hiện query: Instance ID:  https://console.cloud.google.com/sql/instances/postgres-01/overview?authuser=1&amp;project=vinid-service-platform-prod Database name:  sp_postgres_link_account Câu lệnh SQL: UPDATE linkages SET active = false
WHERE user_id = 10173177</t>
  </si>
  <si>
    <t>[Prod][Salestools] Sync thêm dữ liệu KPI sales về ods</t>
  </si>
  <si>
    <t>2025-04-17T11:32:11.509+0700</t>
  </si>
  <si>
    <t>2025-04-17T16:35:10.378+0700</t>
  </si>
  <si>
    <t>KPIS, SalesTools</t>
  </si>
  <si>
    <t>Team cần kéo các table về ODS với thông tin như sau: Đích :  "tidb_ods"."omd_vinid_integration_prod_main_sales_tools"."kpis_sa_attributes" Source : IP  172_31_4_7 "sales_tools"."kpis_sa_attributes"</t>
  </si>
  <si>
    <t>[OMRE][PROD] Export data tracking performance</t>
  </si>
  <si>
    <t>2025-04-17T11:32:09.498+0700</t>
  </si>
  <si>
    <t>2025-04-17T11:32:37.470+0700</t>
  </si>
  <si>
    <t>Description Dear team, Nhờ team export data collection  perf_tracking  của database  onehs_user_tracking_data  1Housing theo query:  db . getCollection( "perf_tracking" ) . find({ 'created_at' :{  $gte*: ISODate ( "2025-04-01" ), $lt : ISODate ( "2025-04-20" )}})* để team thực hiện đánh giá.</t>
  </si>
  <si>
    <t>2025-04-17T10:43:54.038+0700</t>
  </si>
  <si>
    <t>2025-04-17T10:44:04.218+0700</t>
  </si>
  <si>
    <t>Soungbox</t>
  </si>
  <si>
    <t>Hi các anh DBA, Hiện tại em cần update data trên prod bảng tcb_device, nhờ các anh review và approve giúp em, Thông tin database  saas_tpay: jdbc:mysql://pay-tidb.int.onemount.com:4000/saas_tpay UPDATE TCB_DEVICE SET device_hub_code = 'ROC', device_hub = 'Team ROC' WHERE device_serial_number = 'SDLTCBY66A1223240374'; Thanks kiuuu các anh,</t>
  </si>
  <si>
    <t>[OMD][TMS][PROD] Monitor disk/jobs Purge dữ liệu các bảng audit data trên database Oracle DB (prod)</t>
  </si>
  <si>
    <t>2025-04-16T17:24:13.898+0700</t>
  </si>
  <si>
    <t>2025-04-24T11:44:05.480+0700</t>
  </si>
  <si>
    <t>Support monitoring Disk/Job Purge dữ liệu các bảng audit data trên database Oracle DB (prod) Setup các job chạy purge của hệ thống BY TMS theo tần suất: 10 phút chạy purge dữ liệu của 1 ngày, chạy trong khung giờ 09h30 đến 17h30 hàng ngày từ thứ 2 đến thứ 6. Khoảng thời gian dữ liệu audit: tháng 01/2023 đến 06/2023 Lý do: Dọn dẹp dữ liệu audit định kì Các bảng của hệ thống BY TMS: Purge Audit Data AUDT_CTL_T AUDT_CHRG_DETL_T AUDT_CHRG_OVRD_T AUDT_EXTL_COST_T AUDT_LD_LEG_T AUDT_LD_LEG_SCHD_T AUDT_RSRC_T AUDT_LD_LEG_DETL_T AUDT_SHPM_T AUDT_STOP_T AUDT_TRIP_T Purge Event Notification Data EVNT_QUE_T EVNT_DLVY_T EVNT_CIS_DATA_T Purge Job Server Runs JOB_QUE_T ADTN_DATA_T</t>
  </si>
  <si>
    <t>[OMC][NRs][PROD]Chạy seeding test</t>
  </si>
  <si>
    <t>2025-04-16T17:00:07.135+0700</t>
  </si>
  <si>
    <t>2025-04-16T17:00:33.423+0700</t>
  </si>
  <si>
    <t>Dear anh Dũng, Nhờ các anh hỗ trợ team thực hiện script SQL để seeding vé cho khách sự kiện Xương Rồng Nở Hoa  seeding vé cho khách: IP:  172.31.1.3 DB: vinticket SQL script: INSERT INTO e_tickets (ticket_type_id, attendee_id, code, bought_at, status, created_at, updated_at, seat_code, is_downloaded, channel)
VALUES
	(5014, 693630, 'IW6V61I33ACUIJLA', '2025-04-06 21:00:00', 'PURCHASED', NOW(), NOW(), 'TEST_1', 0, 'VINID'),
	(5014, 693630, 'CLPMRCLJVE8M9X5K', '2025-04-06 21:00:00', 'PURCHASED', NOW(), NOW(), 'TEST_2', 0, 'VINID'),
	(5014, 693630, 'LQ8DHCW6AU9BQSDD', '2025-04-06 21:00:00', 'PURCHASED', NOW(), NOW(), 'TEST_3', 0, 'VINID');</t>
  </si>
  <si>
    <t>Kéo dữ liệu WES của kho 8115 về ODS</t>
  </si>
  <si>
    <t>2025-04-16T10:58:00.036+0700</t>
  </si>
  <si>
    <t>2025-04-17T11:22:15.509+0700</t>
  </si>
  <si>
    <t>ví dụ [Xây dựng service tính toán tích lũy cho hệ thống Aftersale campaign] Hỗ trợ PO/BA trong việc xây dựng các báo cáo vận hành trên superset, cần thời gian thực Tạo các alert về mặt sai lệch trong dữ liệu hoặc các alert liên quan đến dữ liệu vận hành Thông tin database nguồn như sau WMS Database instance vinid-b2b-platform-prod IP 172.31.1.251 Database name: wes_8195 List database và table cần sync về ODS Table name TTL (Day) flat_task_group 180 flat_task 180 flat_host_order 180 flat_host_order_line 180</t>
  </si>
  <si>
    <t>[OMC][GAMI][PS2][Prod] Hỗ trợ xuất báo cáo data of campaign "Hành trình vượt trội cùng Techcombank" tuần 2</t>
  </si>
  <si>
    <t>2025-04-16T10:54:22.986+0700</t>
  </si>
  <si>
    <t>2025-04-16T10:54:35.704+0700</t>
  </si>
  <si>
    <t>Hỗ trợ xuất báo cáo data of campaign "Hành trình vượt trội cùng Techcombank" tuần 2 cho TCB thực hiện đi comm khách hàng Host:  172.31.4.75 DB: promo_quest Query SELECT * FROM `campaign_progress` WHERE campaign_id = 27;</t>
  </si>
  <si>
    <t>[OMC][NRs][PROD] Đồng bộ lại dữ liệu bị lệch</t>
  </si>
  <si>
    <t>2025-04-15T22:24:59.449+0700</t>
  </si>
  <si>
    <t>2025-04-15T22:27:14.486+0700</t>
  </si>
  <si>
    <t>Hi team. Nhờ mọi người chạy giúp em câu lệnh để đồng bộ lại dữ liệu bị lệch trong bảng  orders  và  fulfillments  ạ Câu lệnh này ko ảnh hưởng đến người dùng, có thể chạt ngay khi approve. Link CR:  https://vinid-team.atlassian.net/browse/SH-64402 project: vincart-prod instance: main ip: 172.31.1.41 DB:  vincart_mm_order update orders
set status = 'EXPIRED'
where id in
      (1539453, 1552191, 1557089, 1565355, 1565362, 1565376, 1565377, 1568339, 1568349, 1568355,
       1568367, 1568954, 1569859, 1569888, 1569891, 1570455, 1570476, 1571273, 1575067, 1576801,
       1576938, 1578794, 1578812, 1580991, 1584346, 1584353, 1584372, 1584388, 1584390, 1585432,
       1585799, 1586217, 1590556, 1594544, 1597007, 1597477, 1597492, 1597498, 1597500, 1599395,
       1599460, 1602217, 1602226, 1605414);
update orders
set status        = 'CANCELLED',
    cancel_reason = 'CANCELLED_BY_MERCHANT',
    cancelled_at  = now()
where id in
      (1312938, 1313398, 444465, 444588, 444590, 447930, 447931, 448927, 448930, 448931, 448932,
       448933, 454317, 454391, 454428, 454431, 454487, 454549, 454555, 454557, 454563, 454651,
       454665, 454805, 541258, 548419, 549713, 551189, 551345, 551407, 551614, 551902, 552435,
       552771, 552934, 553143, 553676, 556739, 556786, 557049, 752624, 752626, 752630, 752631,
       843262, 848354, 848381, 848404, 848405, 1106021, 1140125, 1140126, 1265592, 1265597, 1265713,
       1298383, 1303896, 1306093, 1306097, 1306099, 1306102, 1309770, 1309771, 1316714, 1358467,
       1358549, 1379203, 1379205, 1379208, 1426836, 1459912, 1459916, 1459917, 1459918, 1459919,
       1459920, 1459921, 1459922, 1459923, 1472536, 1493916, 1493920, 1493921, 1493924, 1493925,
       1498312, 1557923, 1592566, 1595649, 1595652, 1618547, 1618553, 1618646, 1618704, 1675876,
       1677123, 1677174, 1677186, 1677258, 1677274, 1677289, 1677358, 1677370, 1677395, 1677420,
       1677421, 1677442, 1677446, 1677447, 1677448, 1677449, 1677470, 1677472, 1677478, 1695081,
       1695093, 1695094, 1695095, 1695098, 1695112, 1695113, 1695114, 1695120, 1695121, 1695122,
       1695123, 1695124, 1695247, 1695249, 1695251, 1695254, 1695263, 1695433, 1695582, 1695586,
       1695921, 1695924, 1695926, 1695927, 1695930, 1695931, 1695934, 1695936, 1695938, 1695940,
       1695941, 1696060, 1696066, 1696067, 1696069, 1696070, 1696073, 1696074, 1696075, 1696076,
       1696079, 1696085, 1696086, 1696089, 1696090, 1696093, 1696096, 1701474, 1721870, 1726422,
       1731024, 1743370, 1752554, 1752578, 1752586, 1752588, 1752648, 1800615, 1816788);
update fulfillments
set status        = 'CANCELLED',
    cancel_reason = 'CANCELLED_BY_MERCHANT',
    cancel_date   = now()
where order_id in
      (1539453, 1552191, 1557089, 1565355, 1565362, 1565376, 1565377, 1568339, 1568349, 1568355,
       1568367, 1568954, 1569859, 1569888, 1569891, 1570455, 1570476, 1571273, 1575067, 1576801,
       1576938, 1578794, 1578812, 1580991, 1584346, 1584353, 1584372, 1584388, 1584390, 1585432,
       1585799, 1586217, 1590556, 1594544, 1597007, 1597477, 1597492, 1597498, 1597500, 1599395,
       1599460, 1602217, 1602226, 1605414, 1312938, 1313398, 444465, 444588, 444590, 447930, 447931,
       448927, 448930, 448931, 448932,
       448933, 454317, 454391, 454428, 454431, 454487, 454549, 454555, 454557, 454563, 454651,
       454665, 454805, 541258, 548419, 549713, 551189, 551345, 551407, 551614, 551902, 552435,
       552771, 552934, 553143, 553676, 556739, 556786, 557049, 752624, 752626, 752630, 752631,
       843262, 848354, 848381, 848404, 848405, 1106021, 1140125, 1140126, 1265592, 1265597, 1265713,
       1298383, 1303896, 1306093, 1306097, 1306099, 1306102, 1309770, 1309771, 1316714, 1358467,
       1358549, 1379203, 1379205, 1379208, 1426836, 1459912, 1459916, 1459917, 1459918, 1459919,
       1459920, 1459921, 1459922, 1459923, 1472536, 1493916, 1493920, 1493921, 1493924, 1493925,
       1498312, 1557923, 1592566, 1595649, 1595652, 1618547, 1618553, 1618646, 1618704, 1675876,
       1677123, 1677174, 1677186, 1677258, 1677274, 1677289, 1677358, 1677370, 1677395, 1677420,
       1677421, 1677442, 1677446, 1677447, 1677448, 1677449, 1677470, 1677472, 1677478, 1695081,
       1695093, 1695094, 1695095, 1695098, 1695112, 1695113, 1695114, 1695120, 1695121, 1695122,
       1695123, 1695124, 1695247, 1695249, 1695251, 1695254, 1695263, 1695433, 1695582, 1695586,
       1695921, 1695924, 1695926, 1695927, 1695930, 1695931, 1695934, 1695936, 1695938, 1695940,
       1695941, 1696060, 1696066, 1696067, 1696069, 1696070, 1696073, 1696074, 1696075, 1696076,
       1696079, 1696085, 1696086, 1696089, 1696090, 1696093, 1696096, 1701474, 1721870, 1726422,
       1731024, 1743370, 1752554, 1752578, 1752586, 1752588, 1752648, 1800615, 1816788);</t>
  </si>
  <si>
    <t>[OMC][NRs][PROD] Thêm cột phục vụ golive luồng B2B2B MerchantApp</t>
  </si>
  <si>
    <t>2025-04-15T22:14:54.337+0700</t>
  </si>
  <si>
    <t>2025-04-15T22:18:04.405+0700</t>
  </si>
  <si>
    <t>Hi team. Nhờ mọi người chạy giúp em câu lệnh sau vào vào lúc  22h ngày 15/4/2025  để phục vụ golive luồng B2B2B MerchantApp ạ Link CR:  https://vinid-team.atlassian.net/browse/SH-64398 project: vincart-prod instance: main ip: 172.31.1.41 DB:  vincart_mm_order ALTER TABLE imported_order_files
    ADD COLUMN file_type varchar(50) null ;
ALTER TABLE order_metas
    ADD COLUMN merchant_payment_status varchar(50) default 'UNPAID';
ALTER TABLE order_metas
    ADD COLUMN tax_amount decimal(18, 3) default 0;
ALTER TABLE refunds MODIFY COLUMN original_reference varchar(255) null</t>
  </si>
  <si>
    <t>[OMC][NRs][PROD]Chạy seeding Insert vé event seat map cho event Xương Rồng Nở Hoa</t>
  </si>
  <si>
    <t>2025-04-15T20:13:27.014+0700</t>
  </si>
  <si>
    <t>2025-04-15T20:13:47.105+0700</t>
  </si>
  <si>
    <t>Dear anh Dũng, Nhờ các anh hỗ trợ team thực hiện script SQL để seeding vé cho khách sự kiện Xương Rồng Nở Hoa  seeding vé cho khách: IP:  172.31.1.3 DB: vinticket SQL script: INSERT INTO e_tickets (ticket_type_id, attendee_id, code, bought_at, status, created_at, updated_at, seat_code, is_downloaded, channel)
VALUES
	(4996, 138553, '8GZ8B5AFJS18MT2E', '2025-04-06 21:00:00', 'PURCHASED', NOW(), NOW(), 'A2', 0, 'VINID'),
	(4996, 138553, 'CCDRABE4PK8D1E8H', '2025-04-06 21:00:00', 'PURCHASED', NOW(), NOW(), 'A4', 0, 'VINID'),
	(4996, 138553, 'EL1DNYS2M4461V95', '2025-04-06 21:00:00', 'PURCHASED', NOW(), NOW(), 'A6', 0, 'VINID'),
	(4996, 138553, '1SKBHVUI9LCCB4PV', '2025-04-06 21:00:00', 'PURCHASED', NOW(), NOW(), 'A8', 0, 'VINID'),
	(4996, 138553, 'WVVI5RF2RRZM13RW', '2025-04-06 21:00:00', 'PURCHASED', NOW(), NOW(), 'A10', 0, 'VINID'),
	(4996, 138553, 'S7KKLTM5PJ5H4FR7', '2025-04-06 21:00:00', 'PURCHASED', NOW(), NOW(), 'A12', 0, 'VINID'),
	(4996, 138553, 'SRAI3ZEQSGVVIP8U', '2025-04-06 21:00:00', 'PURCHASED', NOW(), NOW(), 'A1', 0, 'VINID'),
	(4996, 138553, 'KL668EGXS3JFKWIM', '2025-04-06 21:00:00', 'PURCHASED', NOW(), NOW(), 'A3', 0, 'VINID'),
	(4996, 138553, 'F2766997FB1FV7UK', '2025-04-06 21:00:00', 'PURCHASED', NOW(), NOW(), 'A5', 0, 'VINID'),
	(4996, 138553, '7BRLWP4XB6NER7QQ', '2025-04-06 21:00:00', 'PURCHASED', NOW(), NOW(), 'A7', 0, 'VINID'),
	(4996, 138553, '6FTPBZ4C99XBV3I6', '2025-04-06 21:00:00', 'PURCHASED', NOW(), NOW(), 'A9', 0, 'VINID'),
	(4996, 138553, 'BPVXF6M1GBLAWDTT', '2025-04-06 21:00:00', 'PURCHASED', NOW(), NOW(), 'A11', 0, 'VINID'),
	(4996, 138553, 'BQHPRG15Y4V1LC25', '2025-04-06 21:00:00', 'PURCHASED', NOW(), NOW(), 'B2', 0, 'VINID'),
	(4996, 138553, 'MDB8UA3LBRJ1ZDYP', '2025-04-06 21:00:00', 'PURCHASED', NOW(), NOW(), 'B4', 0, 'VINID'),
	(4996, 138553, '562AXC7F6Z5PZFLD', '2025-04-06 21:00:00', 'PURCHASED', NOW(), NOW(), 'B6', 0, 'VINID'),
	(4996, 138553, 'P3HL7FEPMG8FHKBM', '2025-04-06 21:00:00', 'PURCHASED', NOW(), NOW(), 'B8', 0, 'VINID'),
	(4996, 138553, 'AFC14LGVP2HNBT7W', '2025-04-06 21:00:00', 'PURCHASED', NOW(), NOW(), 'B10', 0, 'VINID'),
	(4996, 138553, 'W3N63V8LRFTS4AR8', '2025-04-06 21:00:00', 'PURCHASED', NOW(), NOW(), 'B12', 0, 'VINID'),
	(4996, 138553, 'A46U1UBRQR8VRTC3', '2025-04-06 21:00:00', 'PURCHASED', NOW(), NOW(), 'B14', 0, 'VINID'),
	(4996, 138553, '21XF8C39ULU93YRL', '2025-04-06 21:00:00', 'PURCHASED', NOW(), NOW(), 'B16', 0, 'VINID'),
	(4996, 138553, 'PEIY3G9DHIP59G62', '2025-04-06 21:00:00', 'PURCHASED', NOW(), NOW(), 'B1', 0, 'VINID'),
	(4996, 138553, 'CEL4FIIBB7KZ6XVE', '2025-04-06 21:00:00', 'PURCHASED', NOW(), NOW(), 'B3', 0, 'VINID'),
	(4996, 138553, '9BBU37FLFVIFUBJR', '2025-04-06 21:00:00', 'PURCHASED', NOW(), NOW(), 'B5', 0, 'VINID'),
	(4996, 138553, '2XYQ15M8SJF32C67', '2025-04-06 21:00:00', 'PURCHASED', NOW(), NOW(), 'B7', 0, 'VINID'),
	(4996, 138553, 'H85GNB2GLI7UFLJA', '2025-04-06 21:00:00', 'PURCHASED', NOW(), NOW(), 'B9', 0, 'VINID'),
	(4996, 138553, 'GV3SL7GR4CCQGA35', '2025-04-06 21:00:00', 'PURCHASED', NOW(), NOW(), 'B11', 0, 'VINID'),
	(4996, 138553, 'CAMWGX5ELVUZSPVC', '2025-04-06 21:00:00', 'PURCHASED', NOW(), NOW(), 'C2', 0, 'VINID'),
	(4996, 138553, 'YSAY9E89H66DBBG3', '2025-04-06 21:00:00', 'PURCHASED', NOW(), NOW(), 'C4', 0, 'VINID'),
	(4996, 138553, '2Z9Y9BS5Q7HIGVX4', '2025-04-06 21:00:00', 'PURCHASED', NOW(), NOW(), 'C6', 0, 'VINID'),
	(4996, 138553, 'RJR74CUXSZ7ACCJ4', '2025-04-06 21:00:00', 'PURCHASED', NOW(), NOW(), 'C8', 0, 'VINID'),
	(4996, 138553, '5NDTERAMTPLLG8MX', '2025-04-06 21:00:00', 'PURCHASED', NOW(), NOW(), 'C10', 0, 'VINID'),
	(4996, 138553, '87U2DI6I55BBGSF2', '2025-04-06 21:00:00', 'PURCHASED', NOW(), NOW(), 'C12', 0, 'VINID'),
	(4996, 138553, 'A2IF3MQTVDWRB1J5', '2025-04-06 21:00:00', 'PURCHASED', NOW(), NOW(), 'C1', 0, 'VINID'),
	(4996, 138553, 'IR4X3NI2DCXZ1WIA', '2025-04-06 21:00:00', 'PURCHASED', NOW(), NOW(), 'C3', 0, 'VINID'),
	(4996, 138553, 'I35JDE7C3IFR4FUM', '2025-04-06 21:00:00', 'PURCHASED', NOW(), NOW(), 'C5', 0, 'VINID'),
	(4996, 138553, 'CEU9DYVUK35UKHIG', '2025-04-06 21:00:00', 'PURCHASED', NOW(), NOW(), 'C7', 0, 'VINID'),
	(4996, 138553, 'WLJVAP4VGF53YY14', '2025-04-06 21:00:00', 'PURCHASED', NOW(), NOW(), 'C9', 0, 'VINID'),
	(4996, 138553, 'A6GT9SEKQKALVD8B', '2025-04-06 21:00:00', 'PURCHASED', NOW(), NOW(), 'C11', 0, 'VINID'),
	(4996, 138553, 'H7VMUSVFNYLCBJC6', '2025-04-06 21:00:00', 'PURCHASED', NOW(), NOW(), 'D1', 0, 'VINID'),
	(4996, 138553, '3ZFVWBLI2W89ITSG', '2025-04-06 21:00:00', 'PURCHASED', NOW(), NOW(), 'D3', 0, 'VINID'),
	(4996, 138553, 'XDKYQDPH5XVSDH3R', '2025-04-06 21:00:00', 'PURCHASED', NOW(), NOW(), 'D5', 0, 'VINID'),
	(4996, 138553, 'MKY6IFT3H9B5U9LU', '2025-04-06 21:00:00', 'PURCHASED', NOW(), NOW(), 'D7', 0, 'VINID'),
	(4996, 138553, '65QMHSU8BI9YSYUG', '2025-04-06 21:00:00', 'PURCHASED', NOW(), NOW(), 'D9', 0, 'VINID'),
	(4996, 138553, '5S791TDLZ15FWVUY', '2025-04-06 21:00:00', 'PURCHASED', NOW(), NOW(), 'D11', 0, 'VINID'),
	(4996, 138553, 'GW39FTD9HW6W2CJZ', '2025-04-06 21:00:00', 'PURCHASED', NOW(), NOW(), 'D2', 0, 'VINID'),
	(4996, 138553, 'XL3R75CLWCMS5XSU', '2025-04-06 21:00:00', 'PURCHASED', NOW(), NOW(), 'D4', 0, 'VINID'),
	(4996, 138553, 'XEF67PBDW8ENXDBV', '2025-04-06 21:00:00', 'PURCHASED', NOW(), NOW(), 'D6', 0, 'VINID'),
	(4996, 138553, 'ARW3ULZZP55Y1UQJ', '2025-04-06 21:00:00', 'PURCHASED', NOW(), NOW(), 'D8', 0, 'VINID'),
	(4996, 138553, '4H5DMZSNTFXWK7DY', '2025-04-06 21:00:00', 'PURCHASED', NOW(), NOW(), 'D10', 0, 'VINID'),
	(4996, 138553, '4CC71ZTJJEUQZ3UD', '2025-04-06 21:00:00', 'PURCHASED', NOW(), NOW(), 'D12', 0, 'VINID'),
	(4996, 138553, 'V13YQ1WPHARHK5LT', '2025-04-06 21:00:00', 'PURCHASED', NOW(), NOW(), 'E1', 0, 'VINID'),
	(4996, 138553, 'MDWSPE3VF869LTHU', '2025-04-06 21:00:00', 'PURCHASED', NOW(), NOW(), 'E3', 0, 'VINID'),
	(4996, 138553, 'N2JVEJWJ2CYQPCPI', '2025-04-06 21:00:00', 'PURCHASED', NOW(), NOW(), 'E5', 0, 'VINID'),
	(4996, 138553, '4H1SE3VQCE3JCUWN', '2025-04-06 21:00:00', 'PURCHASED', NOW(), NOW(), 'E7', 0, 'VINID'),
	(4996, 138553, '2ZTT5XGB4QKEKUID', '2025-04-06 21:00:00', 'PURCHASED', NOW(), NOW(), 'E9', 0, 'VINID'),
	(4996, 138553, 'TW2TVVHLTUPDRA8S', '2025-04-06 21:00:00', 'PURCHASED', NOW(), NOW(), 'E11', 0, 'VINID'),
	(4996, 138553, 'K7B8Z82YSW1ZCE67', '2025-04-06 21:00:00', 'PURCHASED', NOW(), NOW(), 'E2', 0, 'VINID'),
	(4996, 138553, 'E5T2AXJLL8KT8MK4', '2025-04-06 21:00:00', 'PURCHASED', NOW(), NOW(), 'E4', 0, 'VINID'),
	(4996, 138553, 'AGLGHP8IUNNDB4EC', '2025-04-06 21:00:00', 'PURCHASED', NOW(), NOW(), 'E6', 0, 'VINID'),
	(4996, 138553, 'IIWQZMI9YXLD7JWK', '2025-04-06 21:00:00', 'PURCHASED', NOW(), NOW(), 'E8', 0, 'VINID'),
	(4996, 138553, 'IFBXLX72V4V2PI5C', '2025-04-06 21:00:00', 'PURCHASED', NOW(), NOW(), 'F1', 0, 'VINID'),
	(4996, 138553, 'VL6MHADZ93PPEARF', '2025-04-06 21:00:00', 'PURCHASED', NOW(), NOW(), 'F3', 0, 'VINID'),
	(4996, 138553, 'HHDGRLVEKCAXWPA9', '2025-04-06 21:00:00', 'PURCHASED', NOW(), NOW(), 'F5', 0, 'VINID'),
	(4996, 138553, 'C1FJM6BYH1515283', '2025-04-06 21:00:00', 'PURCHASED', NOW(), NOW(), 'F7', 0, 'VINID'),
	(4996, 138553, 'WE5AAC5MGKFA4V4S', '2025-04-06 21:00:00', 'PURCHASED', NOW(), NOW(), 'G1', 0, 'VINID'),
	(4996, 138553, 'EAJWJ5YEEUZ9IJTU', '2025-04-06 21:00:00', 'PURCHASED', NOW(), NOW(), 'G3', 0, 'VINID'),
	(4996, 138553, '3A7IBGHPY3XZFA6J', '2025-04-06 21:00:00', 'PURCHASED', NOW(), NOW(), 'G5', 0, 'VINID'),
	(4996, 138553, 'IGMRAYUVZ28GKPPR', '2025-04-06 21:00:00', 'PURCHASED', NOW(), NOW(), 'G7', 0, 'VINID'),
	(4996, 138553, '311LH1VMII7Y7YA4', '2025-04-06 21:00:00', 'PURCHASED', NOW(), NOW(), 'H1', 0, 'VINID'),
	(4996, 138553, 'FUUSFWLWLM8JJVBM', '2025-04-06 21:00:00', 'PURCHASED', NOW(), NOW(), 'H3', 0, 'VINID'),
	(4996, 138553, 'UWZAYVD81TB8846L', '2025-04-06 21:00:00', 'PURCHASED', NOW(), NOW(), 'H5', 0, 'VINID'),
	(4996, 138553, '8NEVJVU57TTE5KQ2', '2025-04-06 21:00:00', 'PURCHASED', NOW(), NOW(), 'H7', 0, 'VINID'),
	(4996, 138553, 'TKEN3DQC1IR2896V', '2025-04-06 21:00:00', 'PURCHASED', NOW(), NOW(), 'I1', 0, 'VINID'),
	(4996, 138553, 'MYJA234RT66TJHFQ', '2025-04-06 21:00:00', 'PURCHASED', NOW(), NOW(), 'I3', 0, 'VINID'),
	(4996, 138553, 'DEWF4EY9UILUTZ1N', '2025-04-06 21:00:00', 'PURCHASED', NOW(), NOW(), 'I5', 0, 'VINID'),
	(4996, 138553, 'TCJA16MQBY9LBTCW', '2025-04-06 21:00:00', 'PURCHASED', NOW(), NOW(), 'I7', 0, 'VINID'),
	(4997, 138553, 'XF8MWIRIE6GD1CV9', '2025-04-06 21:00:00', 'PURCHASED', NOW(), NOW(), 'K17', 0, 'VINID'),
	(4997, 138553, 'E4N94B55V2L5X2KJ', '2025-04-06 21:00:00', 'PURCHASED', NOW(), NOW(), 'K19', 0, 'VINID'),
	(4997, 138553, '41G8SJJB4NSE5VI1', '2025-04-06 21:00:00', 'PURCHASED', NOW(), NOW(), 'K21', 0, 'VINID'),
	(4997, 138553, 'WNXHEWXJJ4CIKZQ9', '2025-04-06 21:00:00', 'PURCHASED', NOW(), NOW(), 'F34', 0, 'VINID'),
	(4997, 138553, 'FGD3KF7JS14VQQXA', '2025-04-06 21:00:00', 'PURCHASED', NOW(), NOW(), 'G36', 0, 'VINID'),
	(4997, 138553, '5ZJSZ6WQKDAHQNVP', '2025-04-06 21:00:00', 'PURCHASED', NOW(), NOW(), 'H34', 0, 'VINID'),
	(4997, 138553, '63NLEE5IDSQFWW56', '2025-04-06 21:00:00', 'PURCHASED', NOW(), NOW(), 'I34', 0, 'VINID'),
	(4997, 138553, 'PXARLQKL2A2NAS4W', '2025-04-06 21:00:00', 'PURCHASED', NOW(), NOW(), 'O33', 0, 'VINID'),
	(4997, 138553, 'UTQSRAF7QFQ215DE', '2025-04-06 21:00:00', 'PURCHASED', NOW(), NOW(), 'P22', 0, 'VINID'),
	(4997, 138553, '6UWVCHGDXSBL6U5E', '2025-04-06 21:00:00', 'PURCHASED', NOW(), NOW(), 'P30', 0, 'VINID'),
	(4997, 138553, 'UDP96PW1SZ85PM7M', '2025-04-06 21:00:00', 'PURCHASED', NOW(), NOW(), 'Q20', 0, 'VINID'),
	(4997, 138553, 'V1LQX3LXEA73JK9Z', '2025-04-06 21:00:00', 'PURCHASED', NOW(), NOW(), 'R33', 0, 'VINID'),
	(4997, 138553, '9AZG9VJD51ULUQQE', '2025-04-06 21:00:00', 'PURCHASED', NOW(), NOW(), 'S23', 0, 'VINID'),
	(4997, 138553, 'WY4MMMP4JZ9PCK4L', '2025-04-06 21:00:00', 'PURCHASED', NOW(), NOW(), 'K1', 0, 'VINID'),
	(4997, 138553, 'LUVVCKV6HZ82YF6S', '2025-04-06 21:00:00', 'PURCHASED', NOW(), NOW(), 'K3', 0, 'VINID'),
	(4997, 138553, 'NRYS8JRK82C8KUHB', '2025-04-06 21:00:00', 'PURCHASED', NOW(), NOW(), 'K5', 0, 'VINID'),
	(4997, 138553, '1EZWE32AJMJQ2Q44', '2025-04-06 21:00:00', 'PURCHASED', NOW(), NOW(), 'K7', 0, 'VINID'),
	(4997, 138553, 'P28VYTCTQJVNV8RY', '2025-04-06 21:00:00', 'PURCHASED', NOW(), NOW(), 'S27', 0, 'VINID'),
	(4997, 138553, '4IYTFRCMCLTBCF8A', '2025-04-06 21:00:00', 'PURCHASED', NOW(), NOW(), 'T14', 0, 'VINID'),
	(4997, 138553, 'GPN2HVYIEYDQBUXM', '2025-04-06 21:00:00', 'PURCHASED', NOW(), NOW(), 'T26', 0, 'VINID'),
	(4997, 138553, '8S8YHC5S8MHI9P73', '2025-04-06 21:00:00', 'PURCHASED', NOW(), NOW(), 'T29', 0, 'VINID'),
	(4997, 138553, '5FS1P8S2KCTAK7EK', '2025-04-06 21:00:00', 'PURCHASED', NOW(), NOW(), 'U27', 0, 'VINID'),
	(4997, 138553, '4UZXLPLCC9T2GUDR', '2025-04-06 21:00:00', 'PURCHASED', NOW(), NOW(), 'U28', 0, 'VINID'),
	(4997, 138553, 'IXEN1GSJCPE79TEY', '2025-04-06 21:00:00', 'PURCHASED', NOW(), NOW(), 'U29', 0, 'VINID'),
	(4997, 138553, 'YZT3MPTBFHI1C1GW', '2025-04-06 21:00:00', 'PURCHASED', NOW(), NOW(), 'V10', 0, 'VINID'),
	(4997, 138553, 'HIKYNJRTQYV24ZMM', '2025-04-06 21:00:00', 'PURCHASED', NOW(), NOW(), 'V27', 0, 'VINID'),
	(4997, 138553, 'UZTW2G2WWKSGK4DF', '2025-04-06 21:00:00', 'PURCHASED', NOW(), NOW(), 'V31', 0, 'VINID'),
	(4999, 138553, 'YKFNA9QDKHGXQEEY', '2025-04-06 21:00:00', 'PURCHASED', NOW(), NOW(), 'LG2', 0, 'VINID'),
	(4999, 138553, 'GFYVDYXYRU838K7T', '2025-04-06 21:00:00', 'PURCHASED', NOW(), NOW(), 'LG4', 0, 'VINID'),
	(4999, 138553, '7IX5DDAW589NM66S', '2025-04-06 21:00:00', 'PURCHASED', NOW(), NOW(), 'LG1', 0, 'VINID'),
	(4999, 138553, 'JMBCUUQYX22VA9MU', '2025-04-06 21:00:00', 'PURCHASED', NOW(), NOW(), 'LG3', 0, 'VINID'),
	(4999, 138553, '7P9KMB6ZWL2Y4YQP', '2025-04-06 21:00:00', 'PURCHASED', NOW(), NOW(), 'LG5', 0, 'VINID'),
	(4999, 138553, 'BTXK8U94ADVF7WRN', '2025-04-06 21:00:00', 'PURCHASED', NOW(), NOW(), 'LG7', 0, 'VINID'),
	(4999, 138553, '6JYS149K2TGJSIJG', '2025-04-06 21:00:00', 'PURCHASED', NOW(), NOW(), 'LG9', 0, 'VINID'),
	(4999, 138553, '8E222VP98VBQ573L', '2025-04-06 21:00:00', 'PURCHASED', NOW(), NOW(), 'LG11', 0, 'VINID');</t>
  </si>
  <si>
    <t>[OM][Kafka][Prod] Tạo kafka topic cho các bảng TaskCenter của Taskbox</t>
  </si>
  <si>
    <t>2025-04-15T16:51:51.737+0700</t>
  </si>
  <si>
    <t>2025-04-15T16:52:34.847+0700</t>
  </si>
  <si>
    <t>Dear anh Linh và đội DBA, Hiện tại, OMD có nhu cầu kéo dữ liệu từ bảng TaskCenter của project TaskBox về Data Platform ạ, nhờ anh Linh tạo kafka topic ở môi trường PROD giúp team để kéo data về DP ạ! Thông tin tạo Kafka Topic Data source:  jdbc:mysql://onemg-integration-platform-prd--main.cloudsql.int:3306/omd_taskbox IP: 172.31.1.118 Table:  TaskCenter Thanks and regards! cong.do1</t>
  </si>
  <si>
    <t>[VINIDPAY][PROD] Script golive hotfix Soundbox MVP1 ngày 15/04/2025</t>
  </si>
  <si>
    <t>2025-04-15T13:51:06.701+0700</t>
  </si>
  <si>
    <t>2025-04-15T13:51:20.861+0700</t>
  </si>
  <si>
    <t>Hi anh. Nhờ anh chạy giúp em script này hôm golive  23h59 ngày 15/04/2025  khi team thông báo nha ạ. Thông tin database saas_tpay: mysql://pay-tidb.int.onemount.com:4000/saas_tpay. Em gửi script ạ 1. SYSTEM_CONFIGURATION INSERT INTO SYSTEM_CONFIGURATION (SYSTEM_PARAM_CODE, SYSTEM_PARAM_NAME, SYSTEM_PARAM_VALUE, IS_ACTIVE, CREATED_DATE) VALUES ('IGNORE_CHECK_MERCHANT_BRANCH_URIS', 'IGNORE_CHECK_MERCHANT_BRANCH_URIS', '/partners/tcb-portal/v1/soundbox/;/partners/tcb-portal/v1/device-management/', 1, CURRENT_TIMESTAMP);</t>
  </si>
  <si>
    <t>[SAP][TPAY ODS]Xin phân quyền vào folder và các table trong dremio</t>
  </si>
  <si>
    <t>2025-04-15T13:38:50.333+0700</t>
  </si>
  <si>
    <t>2025-04-15T13:39:52.913+0700</t>
  </si>
  <si>
    <t>Kính nhờ anh/chị phân quyền giúp em vào các folder và table trên Dremio như dưới đây để phục vụ cho việc phân tích dữ liệu và lấy dữ liệu phục vụ cho hạch toán tự động của team kế toán Tài khoản cần quyền truy cập:   yennth41@onemount.com  và   sap-om-group@onemount.com Các bảng cần phân quyền: "tidb_ods"."saas_tpay"."TCB_DEVICE"  "tidb_ods"."saas_tpay"."TCB_DEVICE_HISTORY"  "tidb_ods"."saas_tpay"."SMARTPOS_DEVICE_MAPPING" " tidb_ods"."saas_tpay"."SMARTPOS_DEVICE_MAPPING_HISTORY"</t>
  </si>
  <si>
    <t>[BO] [OMC] Sửa cấu hình bút toán luồng IMEIDA, Voucher, VMM</t>
  </si>
  <si>
    <t>2025-04-15T09:23:10.109+0700</t>
  </si>
  <si>
    <t>2025-04-15T09:23:35.542+0700</t>
  </si>
  <si>
    <t>Hi a, Nhờ a chạy giúp e query dưới với ạ  UPDATE CONFIG_POSTING_FLAG SET BO_CUSTOMER_ID = '10000049', BO_CUSTOMER_OFF_ID = '10000049' WHERE ID = 234;
UPDATE CONFIG_POSTING_FLAG SET BO_CUSTOMER_OFF_ID = '10000049' WHERE ID = 241;
UPDATE TRANS_BUSINESS SET CATEGORY = 'PAY003' WHERE ID = '199';
UPDATE TRANS_BUSINESS SET CATEGORY = 'REC003' WHERE ID = 713;
UPDATE TRANS_MAP_BUSINESS SET PMT_METHOD_CODE = 'UPOINT_TPOINT_VC' WHERE ID = 907;
UPDATE TRANS_MAP_BUSINESS SET PMT_METHOD_CODE = 'TPOINT_VC' WHERE ID = 908;
UPDATE TRANS_MAP_BUSINESS SET PMT_METHOD_CODE = 'UPOINT_TPOINT' WHERE ID = 909;
UPDATE TRANS_MAP_BUSINESS SET PMT_METHOD_CODE = 'TPOINT' WHERE ID = 910;
UPDATE ACCT_MAP_COA SET ID = 'VN0010013.P304.PAY003...', GL_ACCOUNT = '3388114000', GL_ACCOUNT_NAME = 'Phải trả khác- Phải trả NCC tạm tính' WHERE ID = 'VN0010013.P304.REC006...';
UPDATE ACCT_MAP_COA SET ID = 'VN0010010.P118.REC003...', GL_ACCOUNT = '1311110999', GL_ACCOUNT_NAME = 'Phải trả khác - giỏ Upoint khách hàng' WHERE ID = 'VN0010010.P118.REV003...';
UPDATE ACCT_MAP_COA SET GL_ACCOUNT_NAME = 'Phải thu khách hàng' WHERE ID = 'VN0010010.P118.REV006...'; Thông tin database:  172.31.1.133:3306/bo</t>
  </si>
  <si>
    <t>Hỗ trợ phân quyền select DB trên Tidb_ODS</t>
  </si>
  <si>
    <t>2025-04-15T00:39:36.418+0700</t>
  </si>
  <si>
    <t>2025-04-15T00:41:01.446+0700</t>
  </si>
  <si>
    <t>Dear Anh/Chị team DBA, Team IT247 xin quyền select trên Dremio để hỗ trợ khai thác dữ liệu phục vụ vận hành Thông tin DB: JDBC_URL: "jdbc:mysql://pay-tidb.int.onemount.com:4000/osc" Group Dremio IT247:  dremio.om.vhud-group Các user gồm: nhatntt thanhdv19 dungnt96 huong.le3 tung.hoang2 kien.nguyen12 hoang.phan cuong.nguyen8 hoapd1 Trân trọng.</t>
  </si>
  <si>
    <t>[OMC][NRs][Vincart][PROD] Nâng cấu hình các instance database phục vụ Flash Sale 2025-04-11</t>
  </si>
  <si>
    <t>2025-04-14T17:38:10.344+0700</t>
  </si>
  <si>
    <t>2025-04-14T17:38:33.560+0700</t>
  </si>
  <si>
    <t>Team DBA thực hiện nâng cấu hình các instance database phục vụ Flash Sale 2025-04-11 Thời gian thực hiện: sau 0h 2025-04-11. Mysql: Project: vinid-loyalty-prod 1. Instance:  oneloyalty Từ: 4 CPUs 8 GB RAM , innodb_buffer_pool_size 4294967296  Lên: 8 CPUs 16 GB RAM , innodb_buffer_pool_size 8589934592 2. Instance:  onevoucher Từ: 4 CPUs 16 GB RAM , innodb_buffer_pool_size 8589934592  Lên: 8 CPUs 16 GB RAM , innodb_buffer_pool_size 8589934592 3. Instance:  voucher-distribution Từ: 2 CPUs 8 GB RAM , innodb_buffer_pool_size 4294967296  Lên: 8 CPUs 16 GB RAM , innodb_buffer_pool_size 8589934592 Project: vincart-prod 1. Instance:  ecom-medium-mysql Từ: 4 vCPUs 8 GB RAM , innodb_buffer_pool_size 4294967296  Lên: 8 CPUs 16 GB RAM , innodb_buffer_pool_size 8589934592 2. Instance:  ecom-medium-mysql Từ: 4 vCPUs 16 GB RAM , innodb_buffer_pool_size 8589934592  Lên: 24 CPUs 32 GB RAM, innodb_buffer_pool_size 20615843020 Postgresql: Project: vinid-service-platform-prod Instance:  postgres-01 Từ: 2vCPU 8GB RAM  Lên: 4vCPU 16GB RAM  Redis:  Project: vincart-prod 1. Instance:  vmm Từ: 5GB Mem  Lên: 11GB Mem 2. Instance:  cache Từ: 2GB Mem  Lên: 8GB Mem</t>
  </si>
  <si>
    <t>[OMC][NRs][Vincart][PROD] Hạ cấu hình các instance database phục vụ Flash Sale 2025-04-12</t>
  </si>
  <si>
    <t>2025-04-14T17:33:28.069+0700</t>
  </si>
  <si>
    <t>2025-04-14T17:34:48.899+0700</t>
  </si>
  <si>
    <t xml:space="preserve">Team DBA thực hiện nâng cấu hình các instance database phục vụ Flash Sale 2025-04-12 Thời gian thực hiện: sau 0h 2025-04-12. Mysql: Project: vinid-loyalty-prod 1.Instance:  oneloyalty Từ: 8 CPUs 16 GB RAM , innodb_buffer_pool_size 8589934592 Xuống: 4 CPUs 8 GB RAM , innodb_buffer_pool_size 4294967296  2.Instance:  onevoucher Từ: 8 CPUs 16 GB RAM , innodb_buffer_pool_size 8589934592 Xuống: 4 CPUs 16 GB RAM , innodb_buffer_pool_size 8589934592  3.Instance:  voucher-distribution Từ: 8 CPUs 16 GB RAM , innodb_buffer_pool_size 8589934592 Xuống: 2 CPUs 8 GB RAM , innodb_buffer_pool_size 4294967296  Project: vincart-prod 1. Instance:  ecom-medium-mysql Từ: 8 CPUs 16 GB RAM , innodb_buffer_pool_size 8589934592 Xuống: 4 vCPUs 8 GB RAM , innodb_buffer_pool_size 4294967296  2. Instance:  main Từ: 24 CPUs 32 GB RAM, innodb_buffer_pool_size 20615843020 Xuống: 4 vCPUs 16 GB RAM , innodb_buffer_pool_size 8589934592  Postgresql: Project: vinid-service-platform-prod Instance:  postgres-01 Từ: 4vCPU 16GB RAM  Xuống: 2vCPU 8GB RAM  Redis:  Project: vincart-prod 1.Instance:  vmm Từ: 11GB Mem Xuống: 5GB Mem  2.Instance:  cache Từ: 8GB Mem Xuống: 2GB Mem </t>
  </si>
  <si>
    <t>[OMC][NRs][PROD]Chạy seeding update vé event seat map cho event Xương Rồng Nở Hoa</t>
  </si>
  <si>
    <t>2025-04-14T15:37:04.952+0700</t>
  </si>
  <si>
    <t>2025-04-14T15:37:37.572+0700</t>
  </si>
  <si>
    <t>Dear anh Dũng, Nhờ các anh hỗ trợ team thực hiện script SQL để seeding vé cho khách sự kiện Xương Rồng Nở Hoa  seeding vé cho khách: IP:  172.31.1.3 DB: vinticket SQL script: UPDATE e_tickets SET ticket_type_id = 4997 WHERE code = 'MSV4IJF6GNP6AQ6T';
UPDATE order_lines SET ticket_type_id = 4997 WHERE order_id IN (select id from orders where code = 'BWWADLVG');
UPDATE seats SET status = 'SOLD' WHERE ticket_type_id = 4997 and code = 'E30';</t>
  </si>
  <si>
    <t>[OMC][NRs][VINCARD][PROD]Delete user role read_only trên vdesktop trên các database của vincart</t>
  </si>
  <si>
    <t>2025-04-14T11:57:15.399+0700</t>
  </si>
  <si>
    <t>2025-04-14T11:57:27.075+0700</t>
  </si>
  <si>
    <t>Delete các user có role mà trên vdesktop đang xử dụng để dev có thể query trực tiếp vào các database primary trên production.  IP: 172.31.1.41 IP: 172.31.4.9 IP: 172.31.4.10</t>
  </si>
  <si>
    <t>[VINIDPAY][PROD] Script golive Soundbox MVP1 ngày 12/04/2025</t>
  </si>
  <si>
    <t>2025-04-14T09:17:56.959+0700</t>
  </si>
  <si>
    <t>2025-04-14T09:18:10.764+0700</t>
  </si>
  <si>
    <t>Hi anh. Nhờ anh chạy giúp em script này hôm golive  23h59 ngày 12/04/2025  khi team thông báo nha ạ. Thông tin database saas_tpay: mysql://pay-tidb.int.onemount.com:4000/saas_tpay. Em gửi script ạ SOUNDBOX_MERCHANT alter table SOUNDBOX_MERCHANT
    add CIF varchar(10) null after CUSTOMER_NAME;
alter table SOUNDBOX_MERCHANT
    add MERCHANT_SOURCE varchar(20) null after CIF;
alter table SOUNDBOX_MERCHANT
    add NUM_OF_DEVICE int null after DEVICE_TRANSFER_DOCUMENT_STATUS;
update SOUNDBOX_MERCHANT 
    set MERCHANT_SOURCE = 'TCB_OPS' 
    where MERCHANT_SOURCE is null; SOUNDBOX_MERCHANT_SERVICE create table SOUNDBOX_MERCHANT_SERVICE
(
    ID              bigint auto_increment
        primary key,
    MERCHANT_CODE   varchar(32)  null,
    TCB_MERCHANT_ID varchar(15)  null,
    CREATED_AT      timestamp    null,
    CREATED_BY      varchar(128) null,
    UPDATED_AT      timestamp    null,
    UPDATED_BY      varchar(128) null
) AUTO_ID_CACHE=1; SOUNDBOX_STORE create table SOUNDBOX_STORE
(
    ID               bigint auto_increment
        primary key,
    MERCHANT_CODE    varchar(32)  null,
    TCB_MERCHANT_ID  varchar(15)  null,
    QR_STORE         varchar(64)  null,
    TCB_STORE_ID     varchar(15)  null,
    STORE_NAME       varchar(256) null,
    STORE_ADDRESS    varchar(512) null,
    PERSON_IN_CHARGE varchar(128) null,
    CREATED_AT       timestamp    null,
    CREATED_BY       varchar(128) null,
    UPDATED_AT       timestamp    null,
    UPDATED_BY       varchar(128) null,
    BRANCH_CODE      varchar(64)  null,
    BRANCH_NAME      varchar(256) null
) AUTO_ID_CACHE=1;
create index SOUNDBOX_STORE_merchant_code_IDX
    on SOUNDBOX_STORE (MERCHANT_CODE);
create index SOUNDBOX_STORE_qr_store_IDX
    on SOUNDBOX_STORE (QR_STORE);
create index SOUNDBOX_STORE_tcb_merchant_id_IDX
    on SOUNDBOX_STORE (TCB_MERCHANT_ID); SOUNDBOX_TERMINAL create table SOUNDBOX_TERMINAL
(
    ID                              bigint auto_increment
        primary key,
    MERCHANT_CODE                   varchar(32)  null,
    TCB_MERCHANT_ID                 varchar(15)  null,
    TCB_STORE_ID                    varchar(15)  null,
    TCB_TERMINAL_ID                 varchar(15)  null,
    DEVICE_SERIAL_NUMBER            varchar(200) null,
    DEVICE_TRANSFER_DOCUMENT_STATUS varchar(64)  null,
    DEVICE_TYPE                     varchar(64)  null,
    PROVIDER_ID                     varchar(64)  null,
    FEE_ID                          varchar(64)  null,
    FEE_ACCOUNT                     varchar(64)  null,
    BRANCH_CODE                     varchar(64)  null,
    BRANCH_NAME                     varchar(64)  null,
    SIM                             varchar(8)   null,
    CREATED_AT                      timestamp    null,
    CREATED_BY                      varchar(128) null,
    UPDATED_AT                      timestamp    null,
    UPDATED_BY                      varchar(128) null
) AUTO_ID_CACHE=1;
create index SOUNDBOX_TERMINAL_merchant_code_IDX
    on SOUNDBOX_TERMINAL (MERCHANT_CODE);
create index SOUNDBOX_TERMINAL_branch_code_IDX
    on SOUNDBOX_TERMINAL (BRANCH_CODE); SOUNDBOX_FILE alter table SOUNDBOX_FILE 
    add device_serial_number varchar(64) null after merchant_code; SYSTEM_CONFIGURATION INSERT INTO SYSTEM_CONFIGURATION (SYSTEM_PARAM_CODE, SYSTEM_PARAM_NAME, SYSTEM_PARAM_VALUE, IS_ACTIVE, CREATED_DATE) VALUES ('EXPORT_LIST_SOUNDBOX_MERCHANT_MAX_QUERY_SIZE', 'EXPORT_LIST_SOUNDBOX_MERCHANT_MAX_QUERY_SIZE', '5000', 1, CURRENT_TIMESTAMP); FEE_PROFILE alter table FEE_PROFILE
	add time_in_use int default 1 null;
alter table FEE_PROFILE
	add period int default 1 null;
alter table FEE_PROFILE
	add vat decimal(5, 2) default 0 null;
alter table FEE_PROFILE
	add free_in_months int default 0 null; FEE_SOUNDBOX_LINK create table FEE_SOUNDBOX_LINK
(
    id              bigint auto_increment
        primary key,
    fee_profile_id  bigint                        not null,
    fee_account     varchar(100)                  not null,
    sim             tinyint(1)                    null,
    store_address   varchar(500)                  null,
    status          varchar(100)                  not null,
    link_date       date   default 'CURRENT_DATE' not null,
    charge_fee_date date   default 'CURRENT_DATE' null,
    free_in_months  int    default 0              null,
    mapping_id      bigint default 0              not null
) AUTO_ID_CACHE=1;
create index FEE_SOUNDBOX_LINK_fee_profile_id_IDX
    on FEE_SOUNDBOX_LINK (fee_profile_id); FEE_SOUNDBOX create table FEE_SOUNDBOX
(
    id             bigint auto_increment
        primary key,
    fee_profile_id bigint                not null,
    fee_type       varchar(100)          not null,
    fee_type_value varchar(100)          null,
    fee_method     varchar(100)          null,
    fee_t24        varchar(100)          null,
    fee_amount     decimal(15) default 0 null
) AUTO_ID_CACHE=1;
create index FEE_SOUNDBOX_fee_profile_id_IDX
    on FEE_SOUNDBOX (fee_profile_id); SOUNDBOX_NOTIFICATION_TRANSACTION_ID_STATUS_INDEX create index SOUNDBOX_NOTIFICATION_TRANSACTION_ID_STATUS_INDEX 
    on SOUNDBOX_NOTIFICATION (transaction_id, status);</t>
  </si>
  <si>
    <t>[VinID Pay][TPAY] [ECOM] Script release ECOM ngày 12/04/2025</t>
  </si>
  <si>
    <t>2025-04-13T03:00:42.210+0700</t>
  </si>
  <si>
    <t>2025-04-13T03:04:06.468+0700</t>
  </si>
  <si>
    <t>Hi anh 23h59 ngày 12/04/2025 , team có release, nhờ anh chạy các script giúp em với nha ạ Thông tin database saas_tpay: mysql://pay-tidb.int.onemount.com:4000/saas_tpay</t>
  </si>
  <si>
    <t>[OMRE][PROD] Thực thi câu lệnh SQL</t>
  </si>
  <si>
    <t>2025-04-12T13:55:19.934+0700</t>
  </si>
  <si>
    <t>2025-04-12T13:55:46.807+0700</t>
  </si>
  <si>
    <t>update `INVENTORY_PROPERTIES` set business_last_modified_date = last_modified_date WHERE id in ("ca496841-12e9-4d5e-bf06-8a5ab8b4f202","fe3f167d-1464-4e3a-827d-c64022bf7e15","6282a177-2d5d-462a-b4fe-1d875bfe83ba","f2ed4c3a-6e8b-4327-9bfb-ced8ace65c47","e9c98847-dea3-4fd0-bd8a-5a4c82d4d5e3","0608af00-f076-41b5-8541-176df206cc76","69b1f0e2-4373-44d2-9078-0ffac498d1e2","d30c7c03-da34-495c-97d7-c9b5fe5363cc","821cd841-d242-4ab8-a053-1cd668614726","362ba4e9-77b0-498b-9bff-dbff5e13f3fb","8641104c-c3e9-45d0-a3a2-2e5c669d740b","3b392aef-f9fd-4d75-95e0-489f16d95775","97d657e9-1948-45a0-abf0-e564ca087663","9ee5f01d-9e3f-48e6-83a1-9f3edc8caeb5","c16d5622-c554-483b-89a5-5d83966e1653","f281404d-542f-4937-97d3-575d6d02bd00","9fc5d724-00b4-429a-aef2-ed8f1fcdef15","f2ed4c3a-6e8b-4327-9bfb-ced8ace65c47","6282a177-2d5d-462a-b4fe-1d875bfe83ba","5eab2170-0873-49ed-9233-85ab2132815a","3698904e-f29a-4bf6-a27d-5c311bcde790","9e59998a-ff73-4d17-a31f-3a733e9aa495","47bad6fb-0bb8-4589-88e3-043e82b45cb3","c29a5473-3145-4f68-84e9-fecbaf1922e9","117a71d3-d452-46f7-a1cf-9dfa59b22691","955d1918-ba76-4c00-ad44-5a99a4a5e4f1","f30f7e9b-718a-4451-bf8d-ba284aa21cb7","72c976a4-d9df-47fe-a085-288a3774da70","e0755396-1717-4ff6-bfa4-2548e5d52ce2","c6d22025-40f3-4fa9-b32e-063043734d6c","3a8535e8-a301-4b0a-8c1b-bb2f7ff87166","05283530-e062-46d4-a03b-8f953a9e98c9","a79b2f1d-b5e5-42fe-bfa4-14d117ba3299","883e853a-5013-43bb-acd5-5708a4f63bd3","e629709e-c497-4008-804f-af4d4a9ee28e","c5b681bc-b569-43a3-b827-4339b45df427","02421a46-0919-4685-9414-ddb1b50c36f5","a537ef8d-b091-4095-a1af-145604953aee","d30c7c03-da34-495c-97d7-c9b5fe5363cc","abe1c13c-6e60-4abd-bb24-21e65c5d6c74","70b5e970-3493-4bef-8564-c7b76ecf0dbb","5cf304bc-8412-46a3-b51c-0c6d9082ca72","0608af00-f076-41b5-8541-176df206cc76","a3561b3f-86d4-40e6-8fa1-eea8fadd4071","db60caae-5337-42f1-9c91-e092cc43c165","eaa79daa-45a1-49b8-b6dd-f1d1d06e4546","81be4b8f-2318-40b7-ba7c-2e8123c80753","f8b19f65-66ef-42ee-b3ae-ec7be1f47215","0c9ec6b0-e9c1-4a51-bb3e-309cb2ba057c","e81ddb55-4fd4-4501-8a85-0ffcff6e8bba","b8c3a84c-95d4-4191-bf4c-1c11d7c87721","15c2dc52-86e2-4bd0-9b35-ad616d5b975f","b2bc6df7-1a41-4c68-98ef-23f5082d3ebd","c0581f3a-6289-4b56-8073-5bbe4392db0a","edcf3684-3438-4b28-a22f-c8cd74cbb9b4","edcf3684-3438-4b28-a22f-c8cd74cbb9b4","3b59b767-a7da-4fb9-88d9-3b667d985cd4","0608af00-f076-41b5-8541-176df206cc76","e9c98847-dea3-4fd0-bd8a-5a4c82d4d5e3","8b81e563-bbc6-4698-b432-f31514456135","17b2889d-fcff-48d3-92be-ec3a9fc2883f","b751dc28-d761-4501-961a-59d8ce72d14c","91f070a6-1f59-419a-b3bc-bcf322768fe8","bff2f946-6fdb-47e8-9a75-036483b349ce","f6cbf972-e9d7-474d-8e48-0e90779fd756","ab2f6779-68aa-4965-b50f-1e52e91673d1","ed41cb54-4029-4053-aa0c-40ea5c44d3fa","da9d3812-de66-4208-820a-8d3da741305d","0c9ec6b0-e9c1-4a51-bb3e-309cb2ba057c","f8b19f65-66ef-42ee-b3ae-ec7be1f47215","81be4b8f-2318-40b7-ba7c-2e8123c80753","eaa79daa-45a1-49b8-b6dd-f1d1d06e4546","db60caae-5337-42f1-9c91-e092cc43c165","a3561b3f-86d4-40e6-8fa1-eea8fadd4071","d59ff082-2704-4bb4-817a-7f37fa935ebc","5edbe31a-17a2-4a82-9224-6e29385740dc","f2ed4c3a-6e8b-4327-9bfb-ced8ace65c47","589e410b-5251-44cc-a72c-c6251742b58f","69b1f0e2-4373-44d2-9078-0ffac498d1e2","b8879529-8836-46c4-aaae-754c0d9730d3","d16c6de2-701c-419c-ada9-1dbf4aee2c2c","63fc8a32-f3c9-4d62-8402-bb16f2613fe8","8a593318-ca88-4f81-98fd-1e0bb5c1bb24","8a593318-ca88-4f81-98fd-1e0bb5c1bb24","0c24c1d5-de2f-4ba7-b696-55d4bcb28a43","2ebc0cc6-2779-42e0-bd9e-2c5a23a6b535","c49e297a-d1b8-45bb-9922-3b575560b046","bead9e43-5e5d-4ee2-b799-449d656f756a","63a4957d-6635-4402-b129-d39df71a48ce","e97e0c51-c81b-46f8-8db1-b3b414c47964","df029c66-ac9e-44a3-b9e8-8fcca443427f","609921ac-8616-4bfa-95b2-7171fdbf3aa2","070ec57d-e62c-4888-8d3c-d298b8bf279b","b48cd585-7d83-41b1-9c75-d628b6e8de83","b48cd585-7d83-41b1-9c75-d628b6e8de83","d30f9c63-201a-4082-8aa9-5b8aa74160b8","640586cd-e39f-4e38-853a-57b27dc4d9cb","09f90bdb-2314-4c1d-9c09-6c1361308abf","f32ffa2e-6521-4045-87a0-807694616e08","e6f0bf42-9436-4d07-9330-867e7a6c7345","da9d3812-de66-4208-820a-8d3da741305d","e74d6dec-9a3f-4f26-a63a-d6399dfc199e","c16d5622-c554-483b-89a5-5d83966e1653","f5e3f0cc-89ef-415b-a6ee-eeedd8cd257b","9ee5f01d-9e3f-48e6-83a1-9f3edc8caeb5","d54df6b9-b007-4503-a12d-a0b027327c57","f32ffa2e-6521-4045-87a0-807694616e08","c6b6129e-f607-44a9-96a1-e178c837c102","09f90bdb-2314-4c1d-9c09-6c1361308abf","640586cd-e39f-4e38-853a-57b27dc4d9cb","c0771d2c-6c4b-4636-85c6-542330daaa36","d30f9c63-201a-4082-8aa9-5b8aa74160b8","b48cd585-7d83-41b1-9c75-d628b6e8de83","33508d52-c879-4e9d-a74e-9e28071d5841","ca496841-12e9-4d5e-bf06-8a5ab8b4f202","ca496841-12e9-4d5e-bf06-8a5ab8b4f202","5edbe31a-17a2-4a82-9224-6e29385740dc","a3561b3f-86d4-40e6-8fa1-eea8fadd4071","db60caae-5337-42f1-9c91-e092cc43c165","eaa79daa-45a1-49b8-b6dd-f1d1d06e4546","81be4b8f-2318-40b7-ba7c-2e8123c80753","3b59b767-a7da-4fb9-88d9-3b667d985cd4","2376d10b-36c5-4325-841e-ca4a73646d78","55925004-50e9-4aa2-a17b-c7f9f16be3d5","a7b3554c-e470-4e6a-b26f-1353556a6615","55925004-50e9-4aa2-a17b-c7f9f16be3d5","3b59b767-a7da-4fb9-88d9-3b667d985cd4","6a9ef82b-577a-47d5-bbd2-3c987caf69e2","6a9ef82b-577a-47d5-bbd2-3c987caf69e2","3605b65b-79c5-493c-bcaa-dfa47095c6cb","b48cd585-7d83-41b1-9c75-d628b6e8de83","d30f9c63-201a-4082-8aa9-5b8aa74160b8","c0771d2c-6c4b-4636-85c6-542330daaa36","640586cd-e39f-4e38-853a-57b27dc4d9cb","09f90bdb-2314-4c1d-9c09-6c1361308abf","c6b6129e-f607-44a9-96a1-e178c837c102","f32ffa2e-6521-4045-87a0-807694616e08","1890aef4-1fe6-4492-bac6-7df5c935ec10","64c937a4-f689-4cd1-94d1-765100ea222c","f81d82d0-1d3d-4d85-9336-cc5afb70c945","7fa5ff5f-0b8c-4f14-ba7d-0ea6dfaec90f","64c937a4-f689-4cd1-94d1-765100ea222c","3ffed012-7420-438c-a94d-e01e655a2f64","591876d8-711f-4244-bdb2-a8d622b876a6","05e53fc7-7cc5-472f-a602-5135b5d93991","5edbe31a-17a2-4a82-9224-6e29385740dc","a0029da5-8ef1-498c-8b68-2fbf35f40245","8512b528-2075-4f36-8f44-c7da997b6f65","520281cb-b480-4f37-81fe-d8316b679a92","99d5b864-696c-4157-b67d-bf5ac5155d94","7135ce4e-d0f1-4126-a00f-02c71b51f6c8","3b59b767-a7da-4fb9-88d9-3b667d985cd4","55925004-50e9-4aa2-a17b-c7f9f16be3d5","415cef06-bb5f-4dc4-a9dc-349239a84bd8","0e6f7438-eaf3-4223-9a90-3aa4e33113b7","735ae66e-8b24-4486-87ae-5bc41c807be6","33508d52-c879-4e9d-a74e-9e28071d5841","d54df6b9-b007-4503-a12d-a0b027327c57","55925004-50e9-4aa2-a17b-c7f9f16be3d5","4687d1fb-6bb0-4baf-a2c1-aba7c64b8c6c","4687d1fb-6bb0-4baf-a2c1-aba7c64b8c6c","8ff1190c-b69c-4f09-b7fd-572fab185bc6","ef170598-fcb1-4b2c-ab3a-bbbe2648585e","24336dd7-adcf-4a2d-82dc-20794c8ed0f4","9e2266a9-c522-44a1-b06a-3829fb553613","f32ffa2e-6521-4045-87a0-807694616e08","c6b6129e-f607-44a9-96a1-e178c837c102","09f90bdb-2314-4c1d-9c09-6c1361308abf","640586cd-e39f-4e38-853a-57b27dc4d9cb","f8dcaae3-ff71-4d3e-9fdd-7edb6c32eaeb","bb35bcde-9850-4e34-98a0-1b857488f850","4b1f61cf-ce6a-4fc9-9807-178432090c53","4503c08e-5803-4b56-b195-73b78fbabe72","f482f43d-f885-4e3e-b7f6-ddbec4a9abb2","4503c08e-5803-4b56-b195-73b78fbabe72","09f90bdb-2314-4c1d-9c09-6c1361308abf","640586cd-e39f-4e38-853a-57b27dc4d9cb","4687d1fb-6bb0-4baf-a2c1-aba7c64b8c6c","8ff1190c-b69c-4f09-b7fd-572fab185bc6","64c2b9b7-9c18-42bd-9af7-211650d99285","69cf14ec-d9d5-4994-9726-95fa37576d31","f416d14e-f136-483e-acdd-87c7712e31b9","c0581f3a-6289-4b56-8073-5bbe4392db0a","b2bc6df7-1a41-4c68-98ef-23f5082d3ebd","15c2dc52-86e2-4bd0-9b35-ad616d5b975f","6edb7c9d-896f-46c3-a5d2-4af801ab8f99","4a77167c-2500-484c-a414-bdcc3acd257c","60974cda-f6f8-4811-b3c0-c58b51e1e913","4503c08e-5803-4b56-b195-73b78fbabe72","9b3fbd29-53e6-470b-a843-adb880a61753","f482f43d-f885-4e3e-b7f6-ddbec4a9abb2","537dfc2b-69c3-4c56-bbd9-049e2638b99a","c9d9cf0e-6cb2-478a-b4e9-3c2e52afbd51","fd1640fd-57f0-4e4c-9e4b-15bbae272e75","15c2dc52-86e2-4bd0-9b35-ad616d5b975f","edcf3684-3438-4b28-a22f-c8cd74cbb9b4","edcf3684-3438-4b28-a22f-c8cd74cbb9b4","15c2dc52-86e2-4bd0-9b35-ad616d5b975f","15c2dc52-86e2-4bd0-9b35-ad616d5b975f","5fb6ae4f-ef69-4b9c-9b15-6feb55d4a783","d54df6b9-b007-4503-a12d-a0b027327c57","08bd03eb-595c-453b-885b-8f8caacc3d06","ebf2824b-68f1-410e-a478-e428a46c7a16","36a7c6e0-f964-4738-a268-6bc4b20cf751","56498541-b058-464c-b73c-d879521518d0","f3cbbc7d-4655-4e68-91ab-a083d2771729","160650bd-fa58-494c-8f76-3b05076970b9","29e9d6d5-0271-47f9-9f60-44c2976e2a8e","d437468e-f018-4234-9aa7-813dad7c9918","2f44b4d4-7b3e-44cd-b7e6-7a49ce7c9202","8b920b04-bfa6-4fe5-af32-102c161da7fa","661c63e4-1530-484f-b1e7-7111ea8d503a","30331ffc-d823-4729-bbe6-1aa5c53c0b57")
and last_modified_by = "system" and last_modified_date &lt; business_last_modified_date</t>
  </si>
  <si>
    <t>[OMC][GAMI][PS2][Prod] Hỗ trợ release CR 12/4</t>
  </si>
  <si>
    <t>2025-04-12T13:49:25.244+0700</t>
  </si>
  <si>
    <t>2025-04-12T13:49:31.151+0700</t>
  </si>
  <si>
    <t>Hỗ trợ migration release  CR 12/4 Host:  172.31.4.75 DB: promo_rule_engine UPDATE `rule_templates` SET `payload`='{
    "event": "VOUCHER_DISTRIBUTE",
    "payload": {
        "tickets": [
            {
                "code": "509839cf81ac4db795a36168cb142c3f",
                "expired_time": 1706167719
            }
        ],
        "user_id": "1009772608",
        "order_no": "TCBW7pxWuLfDOTgwIgRhU",
        "quantity": 1,
        "sale_code": "509839cf81ac4db795a36168cb142c3f",
        "issuer_code": "THEALLEY",
        "order_amount": 0,
        "claim_channel": "OneU",
        "distribute_ref": "f7470aa9ce25487cbdb5db1cb16101c1",
        "promotion_code": "THEALLEY",
        "promotion_type": "THEALLEY",
        "distribute_time": "18-01-2024 15:48:39",
        "distribute_type": "CLAIMED",
        "member_attributes": {
            "cst_pbt": "200000",
            "cst_toi": 80000,
            "biz_line": "RETAIL",
            "card_ind": "a",
            "card_pan": "1234567890123456",
            "cst_cost": 1234.92,
            "cst_blk_lv": "1",
            "cst_gender": "N",
            "prd_status": "A",
            "card_status": "0",
            "frst_ctc_dt": 1688169600,
            "product_lv1": "[10400000000000000 1234567891]",
            "product_lv2": "[10407000000000000 f]",
            "product_lv3": "[10407013000000000 d]",
            "product_lv4": "[10407013045000000 v]",
            "product_lv5": "[10407013045000000 1]",
            "product_lv6": "[10407013045000001 4]",
            "cst_ast_clss": "0",
            "employee_ind": "Y",
            "product_code": "[10407013047002000 10408015048034000]",
            "cst_residence": "zzz",
            "cst_rm_branch": "c",
            "cst_wtch_list": "Y",
            "last_txn_date": 1709002365,
            "cst_mobile_ind": "Y",
            "cst_occupation": "f",
            "cst_prd_active": "Y",
            "cst_sub_branch": "c",
            "card_identifier": "a",
            "cst_ekyc_status": "Y",
            "cst_home_branch": "a",
            "cst_nationality": "VN",
            "cst_prd_holding": "Y",
            "prd_branch_code": "[VN0010378 a]",
            "cst_bank_segment": "AFF",
            "cst_ekyc_channel": "eKYC01",
            "cst_family_group": "viper123",
            "cst_merchant_ind": "c",
            "cst_noti_channel": "NC_01",
            "cst_target_group": "1",
            "cst_tier_program": "TP_001",
            "cst_last_login_date": 1646092800,
            "target_segment_code": "GAMI_TARGET_SEGMENT_CODE",
            "cst_first_login_date": 1643760000,
            "cst_family_member_type": "",
            "update_status_latest_date": 1701749606
        },
        "distribute_channel": "OneU",
        "promotion_campaign": "AutoAPI_PRO_ENEL_0001",
        "distribute_request_id": 16729,
        "distribute_request_code": "rtL8VE1R7i6AppOUIzmgV"
    },
    "event_id": "4de15390-53e5-4e8f-8fd2-1f410d18d957",
    "timestamp": 1705567720,
    "program_code": "TCBC",
    "business_code": "TCB"
}' WHERE id=2; UPDATE `rule_templates` SET `payload`='{
    "event": "VOUCHER_REDEEM",
    "payload": {
        "mid": "GAMITEST",
        "tid": "",
        "ticket": [
            {
                "voucher_code": "TAHO25101",
                "serial_number": "1494_3vD092aOb63q6cly4S35"
            }
        ],
        "user_id": "PCID01122300778",
        "redeemed_time": "06-03-2024 10:14:22",
        "redeem_channel": "TCB",
        "member_attributes": {
            "cst_pbt": "200000",
            "cst_toi": 80000,
            "biz_line": "RETAIL",
            "card_ind": "a",
            "card_pan": "1234567890123456",
            "cst_cost": 1234.92,
            "cst_blk_lv": "1",
            "cst_gender": "N",
            "prd_status": "A",
            "card_status": "0",
            "frst_ctc_dt": 1688169600,
            "product_lv1": "[10400000000000000 1234567891]",
            "product_lv2": "[10407000000000000 f]",
            "product_lv3": "[10407013000000000 d]",
            "product_lv4": "[10407013045000000 v]",
            "product_lv5": "[10407013045000000 1]",
            "product_lv6": "[10407013045000001 4]",
            "cst_ast_clss": "0",
            "employee_ind": "Y",
            "product_code": "[10407013047002000 10408015048034000]",
            "cst_residence": "zzz",
            "cst_rm_branch": "c",
            "cst_wtch_list": "Y",
            "last_txn_date": 1709002365,
            "cst_mobile_ind": "Y",
            "cst_occupation": "f",
            "cst_prd_active": "Y",
            "cst_sub_branch": "c",
            "card_identifier": "a",
            "cst_ekyc_status": "Y",
            "cst_home_branch": "a",
            "cst_nationality": "VN",
            "cst_prd_holding": "Y",
            "prd_branch_code": "[VN0010378 a]",
            "cst_bank_segment": "AFF",
            "cst_ekyc_channel": "eKYC01",
            "cst_family_group": "viper123",
            "cst_merchant_ind": "c",
            "cst_noti_channel": "NC_01",
            "cst_target_group": "1",
            "cst_tier_program": "TP_001",
            "cst_last_login_date": 1646092800,
            "target_segment_code": "GAMI_TARGET_SEGMENT_CODE",
            "cst_first_login_date": 1643760000,
            "cst_family_member_type": "",
            "update_status_latest_date": 1701749606
        }
    },
    "user_id": "PCID01122300778",
    "event_id": "gApKO3khJfoUGXFb1i2M8",
    "timestamp": 1709694862,
    "event_type": "VOUCHER_REDEEM",
    "program_code": "TCBC",
    "business_code": "TCB"
}' WHERE id=3; Host:  172.31.4.75 DB: promo_gamezone INSERT INTO `condition_templates_v2` (`id`, `code`, `type`, `name`, `description`, `template`, `fact`, `created_at`, `updated_at`, `deleted_at`, `status`) VALUES
(38, 'tp34', 'CAMPAIGN', 'The number of rewards earned is between the specified minimum and maximum values by block.', 'The number of rewards earned is between the specified minimum and maximum values by block.', '{\"Function\": {\"RedeemRewardByBlockSize\": {\"Params\": [{\"Name\": \"size\", \"Type\": \"int64\"}, {\"Name\": \"min\", \"Type\": \"int64\"}, {\"Name\": \"max\", \"Type\": \"int64\"}, {\"Name\": \"reward\", \"Type\": \"[]int64\"}], \"Return\": {\"Name\": \"\", \"Type\": \"bool\"}, \"Variadic\": true, \"Description\": \"Evaluates reward redemption conditions based on block size in a campaign. The number of rewards earned is between the specified minimum and maximum values.\"}}}', 'Fact', '2025-03-20 04:51:50', '2025-03-20 04:51:50', NULL, 'ACTIVE');</t>
  </si>
  <si>
    <t>[OMC][Link Account] [Prod] thực hiện query update 1 record trong table "linkages" ở dự án Link Account với user_id 20035940</t>
  </si>
  <si>
    <t>2025-04-12T11:15:01.900+0700</t>
  </si>
  <si>
    <t>2025-04-12T11:45:15.635+0700</t>
  </si>
  <si>
    <t>Dear team DBA, Theo thread trao đổi:  https://chat.google.com/room/AAAAbcTWvJQ/SlM_IOzP4H4/SlM_IOzP4H4?cls=10   Hiện user bị gãy luồng, nên team cần thực hiện update record để đảm bảo luồng của user UID 20035940 phản ánh không link account TCB được. Khi nhập mã OTP thì hệ thống báo lỗi như ảnh. Nhờ anh/chị check giúp bên em ạ.
KH này đã thực hiện thay đổi số ĐT từ số cu 0365200496 =&gt; số mới  0792571579 Nhờ team thực hiện query: Instance ID:  https://console.cloud.google.com/sql/instances/postgres-01/overview?authuser=1&amp;project=vinid-service-platform-prod Database name:  sp_postgres_link_account Câu lệnh SQL: UPDATE linkages SET active = false
WHERE user_id = 20035940</t>
  </si>
  <si>
    <t>[OMC][GAMI][PS2][Prod] Hỗ trợ xuất báo cáo data of campaign "Sticky scheme"</t>
  </si>
  <si>
    <t>2025-04-12T11:01:53.501+0700</t>
  </si>
  <si>
    <t>2025-04-12T13:48:56.350+0700</t>
  </si>
  <si>
    <t>Hỗ trợ xuất báo cáo data of campaign "Sticky scheme" cho TCB thực hiện đi comm khách hàng Host:  172.31.4.75 DB: promo_quest Query SELECT * FROM `campaign_progress` WHERE campaign_id = 29;  </t>
  </si>
  <si>
    <t>2025-04-11T22:31:30.168+0700</t>
  </si>
  <si>
    <t>2025-04-11T22:31:45.314+0700</t>
  </si>
  <si>
    <t>Hi anh Dũng. Nhờ anh chạy giúp em script này hôm golive  23h00   ngày 11/04/2025  ạ. Thông tin database: jdbc:mysql://tidb.int.onemount.com:4000/vinpay_vinpay_prod_saas_ps2_general_ledger Script trong file đính kèm ạ</t>
  </si>
  <si>
    <t>[OMC][NRs][PROD] Đồng bộ lại dữ liệu stores</t>
  </si>
  <si>
    <t>2025-04-11T18:34:24.798+0700</t>
  </si>
  <si>
    <t>2025-04-11T18:37:48.677+0700</t>
  </si>
  <si>
    <t>Hi team. Do cần đồng bộ lại thông tin stores trong voucher nên cần chạy các câu lệnh sau, nhờ mọi người hỗ trợ giúp em ạ Câu lệnh này ko ảnh hưởng đến người dùng, có thể ngay khi được approve ạ. Link CR:  https://vinid-team.atlassian.net/browse/SH-64341 project: vincart-prod instance: main ip: 172.31.1.41 Join 2 database  vincart_mm_product  và  vincart_mm_merchant INSERT INTO vincart_mm_product.voucher_acquirer (voucher_code, Acquirer)
VALUES ('VD_VC_1744277269036', 'DOOPS25099q3l'),
       ('VD_VC_1744277270614', 'DOOPS25099q3l'),
       ('VD_VC_1744272097010', 'MOTBATTRA'),
       ('VD_VC_1744272095920', 'MOTBATTRA')
;
DELETE
FROM vincart_mm_product.entity_attributes_values
WHERE name = 'voucher_accepted_stores'
  and entity_id in (SELECT id
                    FROM vincart_mm_product.variants
                    WHERE code in ('VD_VC_1744277269036', 'VD_VC_1744277270614', 'VD_VC_1744272097010', 'VD_VC_1744272095920'));
insert into vincart_mm_product.entity_attributes_values (attribute_id, `value`, name, entity_id, type)
select attribute_id,
       JSON_ARRAYAGG(value) as `value`,
       name,
       entity_id,
       type
from (select (select id from vincart_mm_product.attributes x where x.name = 'voucher_accepted_stores') as attribute_id,
             JSON_OBJECT('province',
                         JSON_OBJECT('code', ifnull(s.city_code, ''), 'name',
                                     ifnull(s.city_name, '')),
                         'store_id', ifnull(s.id, ''),
                         'merchant_code', ifnull(a.Acquirer, ''),
                         'store_code', ifnull(s.`code`, ''),
                         'store_name', ifnull(s.`name`, ''),
                         'address',
                         JSON_OBJECT('province_code', ifnull(s.city_code, ''), 'district_code',
                                     ifnull(s.district_code, ''), 'ward_code',
                                     ifnull(s.ward_code, ''), 'address',
                                     ifnull(s.address, '')),
                         'location',
                         JSON_OBJECT('lat', ifnull(s.latitude, '0'), 'lon',
                                     ifnull(s.longitude, '0')),
                         'phone_number', ifnull(s.phone_number, ''),
                         'store_served_area', JSON_OBJECT(
                                 'served_area', JSON_ARRAY(
                             JSON_OBJECT(
                                     'supported_province_code', JSON_ARRAY(ifnull(s.city_code, '')),
                                     'supported_district_code',
                                     JSON_ARRAY(ifnull(s.district_code, '')),
                                     'supported_ward_code', JSON_ARRAY(ifnull(s.ward_code, ''))
                             )))
             )                                                                      as `value`,
             'voucher_accepted_stores'                                              as name,
             v.id                                                                   as entity_id,
             'VARIANT'                                                              as type
      from vincart_mm_product.voucher_acquirer a
               inner join vincart_mm_product.variants v on v.code = a.voucher_code
               inner join vincart_mm_merchant.merchants m on a.Acquirer = m.code
               INNER join vincart_mm_merchant.stores s on m.id = s.merchant_id and s.status = 'active'
      where a.voucher_code in ('VD_VC_1744277269036', 'VD_VC_1744277270614', 'VD_VC_1744272097010', 'VD_VC_1744272095920')) t
group by entity_id, attribute_id, name, type;</t>
  </si>
  <si>
    <t>[OMD][Merchant][TCB][PROD] Bổ sung dữ liệu bảng `tpay_branch` và `tpay_permission`</t>
  </si>
  <si>
    <t>2025-04-11T15:53:04.555+0700</t>
  </si>
  <si>
    <t>2025-04-11T15:59:44.567+0700</t>
  </si>
  <si>
    <t>Dear team,   Nhờ team chạy giúp câu lệnh insert bên dưới ạ Thông tin database https://console.cloud.google.com/sql/instances/merchant-tcb/overview?inv=1&amp;invt=AbsndA&amp;project=vinid-merchant-prod DB_MYSQL_HOST=172.31.4.108
DB_MYSQL_DATABASE=merchant_service_tcb Câu lệnh Thêm mới dữ liệu  tpay_branch INSERT INTO `tpay_branch` (`name`, `code`, `address`) VALUES
	('Team TCBPay', 'PAY', '6 Quang Trung, Hoàn Kiếm, Hai Bà Trưng, HN'),
	('Team ROC', 'ROC', '119 Trần Duy Hưng, Trung Hòa, Cầu Giấy, HN'); Chỉnh sửa tên/ thêm mới  tpay_permission,   UPDATE `tpay_permission` SET `name`='Xem danh sách nhà bán hàng sử dụng soundbox theo phân công' WHERE `code` = 'view:soundbox_merchant';
UPDATE `tpay_permission` SET `name`='Tạo yêu cầu đăng ký dịch vụ Soundbox theo chi nhánh' WHERE `code` = 'create:soundbox_merchant';
UPDATE `tpay_permission` SET `name`='Duyệt yêu cầu đăng ký dịch vụ Soundbox theo chi nhánh' WHERE `code` = 'approve:soundbox_merchant';
UPDATE `tpay_permission` SET `name`='Xem yêu cầu dịch vụ Soundbox tự tạo' WHERE `code` = 'view:request_soundbox';
UPDATE `tpay_permission` SET `name`='Tạo yêu cầu đổi máy hỏng tại chỗ theo chi nhánh' WHERE `code` = 'create:update_soundbox_device';
UPDATE `tpay_permission` SET `name`='Duyệt yêu cầu đổi máy hỏng tại chỗ theo chi nhánh' WHERE `code` = 'approve:update_soundbox_device';
UPDATE `tpay_permission` SET `name`='Bổ sung hồ sơ theo chi nhánh' WHERE `code` = 'create:update_soundbox_document';
UPDATE `tpay_permission` SET `name`='Tạo yêu cầu đổi bảo hành thiết bị theo chi nhánh' WHERE `code` = 'create:exchange_soundbox_device';
UPDATE `tpay_permission` SET `name`='Duyệt yêu cầu đổi bảo hành thiết bị theo chi nhánh' WHERE `code`='approve:exchange_soundbox_device';
UPDATE `tpay_permission` SET `name`='Tạo yêu cầu hủy dịch vụ theo chi nhánh' WHERE `code`='create:request_cancel_soundbox';
UPDATE `tpay_permission` SET `name`='Duyệt yêu cầu hủy dịch vụ theo chi nhánh' WHERE `code`='approve:request_cancel_soundbox';
UPDATE `tpay_permission` SET `name`='Tạo yêu cầu cập nhật thông tin nhà bán hàng theo chi nhánh' WHERE `code`='create:update_soundbox_merchant';
UPDATE `tpay_permission` SET `name`='Duyệt yêu cầu cập nhật thông tin nhà bán hàng theo chi nhánh' WHERE `code`='approve:update_soundbox_merchant';
UPDATE `tpay_permission` SET `name`='Xem danh sách thiết bị theo phân công' WHERE `code`='view:soundbox_device';
UPDATE `tpay_permission` SET `name`='Phân công thiết bị theo chi nhánh' WHERE `code`='assign:soundbox_device';
UPDATE `tpay_permission` SET `name`='Nhập và chỉnh sửa dữ liệu thiết bị' WHERE `code`='create:soundbox_device';
INSERT INTO `tpay_permission` (`module`, `code`, `name`, `description`) VALUES 
('Soundbox', 'view:soundbox_device_batch', 'Xem danh sách lô thiết bị tự tạo', 'Người dùng có quyền xem danh sách các lô thiết bị được tải lên hệ thống theo phân quyền');</t>
  </si>
  <si>
    <t>[OMC][Kafka][NON-PROD] Hỗ trợ tạo kafka topic cho bảng ở các DB topup_uat</t>
  </si>
  <si>
    <t>2025-04-11T15:28:57.655+0700</t>
  </si>
  <si>
    <t>2025-04-14T17:29:31.890+0700</t>
  </si>
  <si>
    <t>Dear anh Linh, Phục vụ xây dựng luồng đối soát với TCB nhờ anh tạo kafka topic cho những bảng sau ạ Database IP Tables topup_uat 172.31.0.16:3306 topup_uat.order_topup_item
topup_uat.order_transaction
topup_uat.orders
topup_uat.topup_items
topup_uat.topup_product
topup_uat.topup_providers
topup_uat.topup_services Em cảm ơn ạ</t>
  </si>
  <si>
    <t>[OMC][PS2][Loyalty][PROD] [LP MFT] - Insert master data</t>
  </si>
  <si>
    <t>2025-04-11T15:04:56.936+0700</t>
  </si>
  <si>
    <t>2025-04-11T15:28:33.792+0700</t>
  </si>
  <si>
    <t>Hi team, nhờ team chạy script này trên môi trường PROD của DB Loyalty Oracle giúp team Loyalty ạ. IP: 10.255.23.119 Service name: oneloyaltydb Port: 1521 Schema app: OLOYALTY Chạy trong giờ hành chính Link CR:  https://vinid-team.atlassian.net/browse/SH-64324</t>
  </si>
  <si>
    <t>[PROD][OMC][NRs] Chạy insert image in campaign</t>
  </si>
  <si>
    <t>2025-04-11T14:49:01.738+0700</t>
  </si>
  <si>
    <t>2025-04-11T14:49:19.482+0700</t>
  </si>
  <si>
    <t>Dear anh Dũng, Nhờ anh hỗ trợ team chạy câu lệnh SQL với các thông tin dưới đây Project: vincart-prod
IP: 172.31.4.9
Database: ecom_promotion SQL:  INSERT INTO `campaign_images` (`campaign_code`, `path`, `position`) VALUES ('4z7mDygwq', 'https://cdn-vincart.vinid.net/flashsale/Flash%20Sale%201104.png', '1')</t>
  </si>
  <si>
    <t>Kéo dữ liệu về ODS cho dự án warehousing sau khi mở thêm kho 8115</t>
  </si>
  <si>
    <t>2025-04-11T12:54:08.194+0700</t>
  </si>
  <si>
    <t>2025-04-11T12:54:27.244+0700</t>
  </si>
  <si>
    <t>Description Hỗ trợ PO/BA trong việc xây dựng các báo cáo vận hành trên superset, cần thời gian thực Tạo các alert về mặt sai lệch trong dữ liệu hoặc các alert liên quan đến dữ liệu vận hành Thông tin database nguồn như sau WMS Database instance Project vinid-b2b-platform-prod IP 172.31.4.59 Sheet  omd_wms_*  schema omd_wms_8115 List database và table cần sync về ODS Table name TTL (Day) flat_appointment_master 180 flat_appointment_service 180 flat_incident_report 180 flat_staging_assignment 180 order_hdr 180 order_item 180 prod_batch_detail master_data prod_master master_data prod_uom master_data product_category master_data replenishment_header 180 replenishment_inventory_item 180 replenishment_item 180 report_order_header 180 report_order_item 180 report_warehouse_order_header 180 report_warehouse_order_item 180 report_warehouse_stock_item master_data report_wave_header 180 time_slot master_data warehouse_zone master_data wave_order_header 180 wave_order_item 180 whse_location master_data whse_order_hdr 180 whse_order_item 180 whse_stock_detail master_data wms_data_snapshot 180 wms_lookup master_data wms_party master_data</t>
  </si>
  <si>
    <t>[Budget] Update CI code cho 1 số budget</t>
  </si>
  <si>
    <t>2025-04-11T12:50:56.872+0700</t>
  </si>
  <si>
    <t>2025-04-11T12:51:11.552+0700</t>
  </si>
  <si>
    <t>Update CI code cho 1 số budgets bị lỗi api không list được CI Gcp project: vinid-merchant-prod Link:  https://console.cloud.google.com/sql/instances/main-read-replica-internal-1/overview?project=vinid-merchant-prod IP: 172.31.1.44 Database Name: budget_control Query: 
UPDATE budgets
SET ci_code = 'OP03100'
WHERE code IN (
               'Indomie_bangbien_cafeduongtau',
               'Liby_15PTthuongdonhang_Q12025',
               'NST_HangLiby_SocBrother_012025',
               'NST_REVENEWLiby_SocBrother_012025'
    );
UPDATE budgets
SET ci_code = 'OP03030'
WHERE code IN (
               'NST_PRBranding_MES_2025',
               'NST_PRBranding_2025',
               'NST_DigitalMKT_2025'
    );
UPDATE budgets
SET ci_code = 'OP03080'
WHERE code = 'NST_Transformation_2025';
UPDATE budgets
SET ci_code = 'OP07030'
WHERE code = 'Budget_CS_Sorryvoucher_2025';
UPDATE budgets
SET ci_code = 'OP07060'
WHERE code = 'Giaiton_NST_2025';</t>
  </si>
  <si>
    <t>[ODS][TCB Sales App] Kéo dữ liệu TCB Sales App về ODS</t>
  </si>
  <si>
    <t>2025-04-11T12:47:17.736+0700</t>
  </si>
  <si>
    <t>2025-04-11T12:47:33.811+0700</t>
  </si>
  <si>
    <t>Dự án Techcombank Sales App có nhu cầu sử dụng Superset để build các báo cáo, cần kéo một số dữ liệu như sau về ODS để thuận tiện cho việc truy cập. Thông tin như sau Dữ liệu nguồn Project: omd-pos-prod IP: 172.31.3.63 Schema: omd_saleapp_tcb_prod ODS đích:  omd_pos_prod_main_pos_integration_omd_saleapp_tcb_prod Phân quyền truy cập ODS Schema cần được truy cập bởi Dremio với user  @Nguyễn Đức Khôi  hoặc tạo group tương ứng Superset External:  omd_superset_external_01 Superset Internal:  omd_superset_internal_01 Danh sách tables Table name TTL (days) Action 180 ActionFile 180 Answer 180 Area Master data AreaItem Master data C2LItem Master data Customer Master data Question Master data QuestionChoice Master data QuestionPage Master data Route 180 RouteStore 180 Sale Master data SaleAreaRel Master data StoreMetaConfig Master data StoreMetaData Master data Survey 180 SurveyAudit 180 SurveyTemplate Master data Task</t>
  </si>
  <si>
    <t>Cập nhật Aftersale DB S144</t>
  </si>
  <si>
    <t>2025-04-11T12:27:49.353+0700</t>
  </si>
  <si>
    <t>2025-04-11T12:28:02.530+0700</t>
  </si>
  <si>
    <t>Hi các anh , Team promotion OMD nhờ các anh hỗ trợ chạy script megration phục vụ cho S144. CREATE INDEX idx_mission_kpi_tracking_mission_tracking_id ON MissionKPITracking (missionTracking_id);
CREATE INDEX idx_mission_kpi_id ON Mission (kpi_id); Thông tin database: GCP Project Instance DB name Production : vinid-b2b-platform-prod main (mysql 8.0 - 172.31.4.59) omd_aftersale_campaign Thanks!</t>
  </si>
  <si>
    <t>[OMD CDP][Prod] Execute sql migration script for golive Sprint 8</t>
  </si>
  <si>
    <t>2025-04-11T12:24:19.026+0700</t>
  </si>
  <si>
    <t>2025-04-11T12:24:31.404+0700</t>
  </si>
  <si>
    <t>Nhờ team process execute sql script trong file đính kèm để init data cho CDP với nhé ạ Due date: 14h30 ngày 22/01/2025 Server: OMD TiDB at  omd-tidb.int.onemount.com:4000 Database:  omd_cdp_data_from_ingest Script: see in attachments 1. omd-cdp-bff-api-v0.3.0.sql Database:  omd_cdp_orchestration Script: see in attachments 2. omd-cdp-segment-workers-v0.4.0.sql</t>
  </si>
  <si>
    <t>[B2B-OFS][PROD] Create index table demand_order</t>
  </si>
  <si>
    <t>2025-04-11T12:21:04.223+0700</t>
  </si>
  <si>
    <t>2025-04-11T12:21:19.155+0700</t>
  </si>
  <si>
    <t>Hi anh Dương, Hiện tại team OFS đang có một số câu query chậm do chưa đánh index. Nhờ a đánh index giúp em với thông tin như sau ạ: Order Fulfillment  Thời gian: 23h ngày 22/01/2025 IP: 172.31.1.143 Database: b2b_ofs Query: LTER TABLE b2b_ofs.demand_order
    ADD INDEX idx_demand_order_sap_delivery_order (sap_delivery_order), ALGORITHM=INPLACE, LOCK=NONE;   Em cảm ơn!</t>
  </si>
  <si>
    <t>[Salestools][Prod] Update địa chỉ GT dư thừa</t>
  </si>
  <si>
    <t>2025-04-11T12:17:28.252+0700</t>
  </si>
  <si>
    <t>2025-04-11T12:17:44.781+0700</t>
  </si>
  <si>
    <t>Như trong ticket  https://b2b.vinshop.vn/camunda/task-detail/c405f2c1-d2f1-11ef-a468-6a192fa30065   Team cần update thông tin GT bị dư thừa với lệnh SQL sau: SQL IP:  172_31_4_7 update "salestools_172_31_4_7"."sales_tools"."stores_addresses" set deleted_at=NOW() WHERE id  = '143413';
 Nhờ team DBA support, Tks</t>
  </si>
  <si>
    <t>[OMD CDP] Migrate bổ sung data Caresoft Smartdialer</t>
  </si>
  <si>
    <t>2025-04-11T12:13:36.777+0700</t>
  </si>
  <si>
    <t>2025-04-11T12:13:55.305+0700</t>
  </si>
  <si>
    <t>Dear team DBA, Nhờ team process execute sql script dưới đây để bổ sung các cột cho bảng dữ liệu ingest Caresoft Smartdialer (context:  https://chat.google.com/room/AAAALuw2C08/6um0dTAOWgA/6um0dTAOWgA?cls=10 ) trên OMD CDP với các thông tin sau: Due date: 24/01/2025 Host:  omd-tidb.int.onemount.com:4000 Database:  omd_cdp_data_from_ingest Script: omd-cdp.caresoft_smart_dialer.sql</t>
  </si>
  <si>
    <t>[OMD CDP] Chạy compact các bảng dữ liệu CDP</t>
  </si>
  <si>
    <t>2025-04-11T12:10:21.504+0700</t>
  </si>
  <si>
    <t>2025-04-11T12:10:43.895+0700</t>
  </si>
  <si>
    <t>Dear team DBA, Nhờ team process chạy  compact  cho các bảng dữ liệu của CDP để xóa dữ liệu đã bị deleted/old data version để cải thiện hiệu năng hệ thống và giảm storage size ạ Due date: 24/01/2025 Host:  omd-tidb.int.onemount.com:4000 Database:  omd_cdp_data_from_dp Table: DP_CUSTOMER_GT
DP_PRODUCT
DP_PROMOTION_TRANSACTION
DP_STAT_TRANSACTION_DAILY Database:  omd_cdp_data_from_ingest Table: GT_PROFILE
PRODUCT
caresoft_call
caresoft_customer
caresoft_smart_dialer
caresoft_ticket
engagement_event Database:  omd_cdp_orchestration Table: segment_user</t>
  </si>
  <si>
    <t>2025-04-11T12:05:57.050+0700</t>
  </si>
  <si>
    <t>2025-04-11T12:06:48.071+0700</t>
  </si>
  <si>
    <t>Gcp project: vinid-merchant-prod link:  https://console.cloud.google.com/sql/instances/main-read-replica-internal-1/overview?project=vinid-merchant-prod IP: 172.31.1.44 db name: merchant_service Câu lệnh: update merchant set address_id = 378035 where id = 153234;
update address set store_id = 0 where id in (378049, 378036);
update geo set store_id = 0 where id in (2654226, 2654240);</t>
  </si>
  <si>
    <t>[OneHS - Agent] Chạy lệnh UPDATE trên MySQL Production</t>
  </si>
  <si>
    <t>2025-04-11T09:59:22.455+0700</t>
  </si>
  <si>
    <t>2025-04-11T09:59:50.456+0700</t>
  </si>
  <si>
    <t>Nhờ team chạy giúp em câu query ở MySQL Production như sau ạ: URL:  mysql://omre-onehs-mysql-main.int.onemount.com:3306/partner_gateway Query: UPDATE `mappings` AS m SET m.src = "79304001" WHERE m.partner_code = "VINID_PAY" AND m.key = "bank_info" AND m.dest = "DongA Bank"
INSERT INTO mappings
(created_by, created_date, last_modified_by, last_modified_date, partner_code, `key`, type, `desc`, src, dest)
VALUES ('system', '2025-04-11 16:00:00.000000000', 'system', '2025-04-11 16:00:00.000000000',
       'VINID_PAY', 'bank_info', 'String', 'Ngân hàng Chính sách Xã hội Việt Nam', '01207001', 'VBSP'),
       ('system', '2025-04-11 16:00:00.000000000', 'system', '2025-04-11 16:00:00.000000000',
       'VINID_PAY', 'bank_info', 'String', 'Ngân hàng Phát triển Việt Nam', '01208001', 'VDBank'),
       ('system', '2025-04-11 16:00:00.000000000', 'system', '2025-04-11 16:00:00.000000000',
       'VINID_PAY', 'bank_info', 'String', 'Ngân hàng TNHH MTV Standard Chartered Việt Nam', '01604001', 'SCBVL'),
       ('system', '2025-04-11 16:00:00.000000000', 'system', '2025-04-11 16:00:00.000000000',
       'VINID_PAY', 'bank_info', 'String', 'Ngân hàng TNHH MTV Đại Dương', '30319001', 'OceanBank'),
       ('system', '2025-04-11 16:00:00.000000000', 'system', '2025-04-11 16:00:00.000000000',
       'VINID_PAY', 'bank_info', 'String', 'Ngân hàng TMCP Phương Đông', '79333001', 'OCB'),
       ('system', '2025-04-11 16:00:00.000000000', 'system', '2025-04-11 16:00:00.000000000',
       'VINID_PAY', 'bank_info', 'String', 'Ngân hàng TNHH MTV Hong Leong Việt Nam', '79603001', 'HLBVN'),
       ('system', '2025-04-11 16:00:00.000000000', 'system', '2025-04-11 16:00:00.000000000',
       'VINID_PAY', 'bank_info', 'String', 'Ngân hàng TNHH MTV United Overseas Bank Việt Nam', '79665001', 'UOB')</t>
  </si>
  <si>
    <t>[OMC][NRs][PROD] Đồng bộ lại dữ liệu bị thiếu</t>
  </si>
  <si>
    <t>2025-04-10T22:09:40.993+0700</t>
  </si>
  <si>
    <t>2025-04-10T22:09:52.631+0700</t>
  </si>
  <si>
    <t>Hi team. Do cần đồng bộ lại thông tin store và logo của merchant trong voucher nên cần chạy các câu lệnh sau, nhờ mọi người hỗ trợ giúp em ạ Câu lệnh này ko ảnh hưởng đến người dùng, có thể ngay khi được approve ạ. Link CR:  https://vinid-team.atlassian.net/browse/SH-64341 project: vincart-prod instance: main ip: 172.31.1.41 Join 2 database  vincart_mm_product  và  vincart_mm_merchant insert into vincart_mm_product.entity_attributes_values (attribute_id, `value`, name, entity_id, type)
select attribute_id,
       JSON_ARRAYAGG(value) as `value`,
       name,
       entity_id,
       type
from (select (select id from vincart_mm_product.attributes x where x.name = 'voucher_accepted_stores') as attribute_id,
             JSON_OBJECT('province',
                         JSON_OBJECT('code', ifnull(s.city_code, ''), 'name',
                                     ifnull(s.city_name, '')),
                         'store_id', ifnull(s.id, ''),
                         'merchant_code', ifnull(m.code, ''),
                         'store_code', ifnull(s.`code`, ''),
                         'store_name', ifnull(s.`name`, ''),
                         'address',
                         JSON_OBJECT('province_code', ifnull(s.city_code, ''), 'district_code',
                                     ifnull(s.district_code, ''), 'ward_code',
                                     ifnull(s.ward_code, ''), 'address',
                                     ifnull(s.address, '')),
                         'location',
                         JSON_OBJECT('lat', ifnull(s.latitude, '0'), 'lon',
                                     ifnull(s.longitude, '0')),
                         'phone_number', ifnull(s.phone_number, ''),
                         'store_served_area', JSON_OBJECT(
                                 'served_area', JSON_ARRAY(
                             JSON_OBJECT(
                                     'supported_province_code', JSON_ARRAY(ifnull(s.city_code, '')),
                                     'supported_district_code',
                                     JSON_ARRAY(ifnull(s.district_code, '')),
                                     'supported_ward_code', JSON_ARRAY(ifnull(s.ward_code, ''))
                             )))
             )                                                                      as `value`,
             'voucher_accepted_stores'                                              as name,
             v.id                                                                   as entity_id,
             'VARIANT'                                                              as type
      from  vincart_mm_product.variants v
               inner join vincart_mm_merchant.merchants m on m.id = 361845
               INNER join vincart_mm_merchant.stores s on m.id = m.id
      where v.code in ('VD_VC_1744277269036', 'VD_VC_1744277270614')) t
group by entity_id, attribute_id, name, type;
update vincart_mm_product.entity_attributes_values a
    JOIN vincart_mm_merchant.merchants m ON m.code = 'DOOPS25100PHl'
set value = JSON_SET(a.value, '$[0].logo_url', m.logo_url)
WHERE a.name = 'voucher_accepted_merchants' and a.entity_id = 1009931;</t>
  </si>
  <si>
    <t>[OMC][NRs][PROD] Tạo mới data do vận hành config thiếu</t>
  </si>
  <si>
    <t>2025-04-10T19:25:25.971+0700</t>
  </si>
  <si>
    <t>2025-04-10T19:37:21.321+0700</t>
  </si>
  <si>
    <t>Hi team. Do vận hành config thiếu data trong campaign, nhưng trong thời gian campagin diễn ra thì ko thể thay đổi được nữa. Nhờ mọi người chạy giúp em các câu lệnh sau để bổ sung config ạ, chạy ngay khi được approve Link CR:  https://vinid-team.atlassian.net/browse/SH-64341 project: vincart-prod instance: ecom-medium-mysql ip: 172.31.4.9 DB:  ecom_promotion INSERT INTO campaign_rule(campaign_id, rule_id, rule_values) VALUES (1404, 9, '{"USER_ATTRIBUTE_RULE":{"name":"Quy tắc","configs":[{"value":"NONTIER","datatype":"STRING","operator":"==","attribute":"CST_LOYALTY_TIER"},{"value":"INS","datatype":"STRING","operator":"==","attribute":"CST_LOYALTY_TIER"}]}}') project: vincart-prod instance: ecom-medium-mysql ip: 172.31.4.9 DB:  ecom_rule_engine INSERT INTO rule_configs(key, code, channel, rule_type, end_at, config) VALUES ('nE0prpYXp_TCBM_CAMPAIGN', 'nE0prpYXp', 'TCBM', 'CAMPAIGN', '2025-04-11 12:59:29', '[{"field_name":"CST_LOYALTY_TIER","datatype":"STRING","operator":"==","value":"NONTIER"},{"field_name":"CST_LOYALTY_TIER","datatype":"STRING","operator":"==","value":"INS"}]')</t>
  </si>
  <si>
    <t>2025-04-10T15:27:10.678+0700</t>
  </si>
  <si>
    <t>2025-04-10T15:27:27.469+0700</t>
  </si>
  <si>
    <t>Nhờ team lấy giúp e kết quả của câu lệnh SELECT ở MySQL Production như sau ạ: URL:  mysql://omre-onehs-mysql-main.int.onemount.com:3306/partner_gateway Query: SELECT * FROM `mappings` as m WHERE m.partner_code="VINID_PAY" AND m.key="bank_info"</t>
  </si>
  <si>
    <t>2025-04-10T14:41:29.823+0700</t>
  </si>
  <si>
    <t>2025-04-10T14:41:41.405+0700</t>
  </si>
  <si>
    <t>Nhờ team lấy giúp e kết quả của câu lệnh SELECT ở MySQL Production như sau ạ: URL:  mysql://omre-onehs-mysql-main.int.onemount.com:3306/partner_gateway Query:  SELECT * FROM `mappings` WHERE src="1317001"</t>
  </si>
  <si>
    <t>[OMC][GAMI][PS2][Prod] Hỗ trợ xuất báo cáo data of campaign "Bay cùng Techcombank và AIA"</t>
  </si>
  <si>
    <t>2025-04-10T14:34:33.772+0700</t>
  </si>
  <si>
    <t>2025-04-10T14:35:17.732+0700</t>
  </si>
  <si>
    <t>Hỗ trợ xuất báo cáo data of campaign "Bay cùng Techcombank và AIA" Host:  172.31.4.75 DB: promo_mysterybox Query SELECT * FROM `user_turns` WHERE campaign_id = 28;</t>
  </si>
  <si>
    <t>[OMRE][NONPROD]Tạo postgre database cho n8n trên nonprod</t>
  </si>
  <si>
    <t>2025-04-09T18:12:19.317+0700</t>
  </si>
  <si>
    <t>2025-04-10T15:27:42.889+0700</t>
  </si>
  <si>
    <t xml:space="preserve">Nhờ team DBA tạo giúp em postgre database: instance:  https://console.cloud.google.com/sql/instances/main-postgres-02/databases?invt=AbuSTg&amp;project=vinid-app-common-dev user/database: onehs_n8n_dev user/database: onehs_n8n_qc user/database: onehs_n8n_uat Ticket liên quan:  https://vinid-team.atlassian.net/browse/SRE-13648 SAD:   </t>
  </si>
  <si>
    <t>[OMD CDP][NON PROD]V/v sync tables to Tiflash Nodes thuộc môi trường QC</t>
  </si>
  <si>
    <t>2025-04-09T15:01:32.954+0700</t>
  </si>
  <si>
    <t>2025-04-09T15:02:07.684+0700</t>
  </si>
  <si>
    <t>ALTER TABLE omd_cdp_data_from_dp_qc.DP_CARESOFT_ANALYTICS_RESULT SET TIFLASH REPLICA 2; ALTER TABLE omd_cdp_data_from_dp_qc.DP_PROMOTION_TRANSACTION SET TIFLASH REPLICA 2; ALTER TABLE omd_cdp_data_from_dp_qc.DP_RATING SET TIFLASH REPLICA 2; ALTER TABLE omd_cdp_data_from_dp_qc.DP_SALESFORCE_CS_CALL SET TIFLASH REPLICA 2; ALTER TABLE omd_cdp_data_from_dp_qc.DP_SA_ENGAGEMENT SET TIFLASH REPLICA 2; ALTER TABLE omd_cdp_data_from_ingest_qc.caresoft_smart_dialer SET TIFLASH REPLICA 2; ALTER TABLE omd_cdp_data_from_ingest_qc.label SET TIFLASH REPLICA 2; ALTER TABLE omd_cdp_data_from_ingest_qc.PRODUCT SET TIFLASH REPLICA 2; ALTER TABLE omd_cdp_data_from_ingest_qc.EVENT_RAW SET TIFLASH REPLICA 2; ALTER TABLE omd_cdp_data_from_ingest_qc.caresoft_customer SET TIFLASH REPLICA 2; ALTER TABLE omd_cdp_data_from_ingest_qc.label_customer SET TIFLASH REPLICA 2; ALTER TABLE omd_cdp_data_from_ingest_qc.shedlock SET TIFLASH REPLICA 2; ALTER TABLE omd_cdp_data_from_ingest_qc.caresoft_agent SET TIFLASH REPLICA 2; ALTER TABLE omd_cdp_data_from_ingest_qc.caresoft_custom_field SET TIFLASH REPLICA 2; ALTER TABLE omd_cdp_data_from_ingest_qc.label_build_log_customer SET TIFLASH REPLICA 2; ALTER TABLE omd_cdp_data_from_ingest_qc.caresoft_customer_tmp SET TIFLASH REPLICA 2; ALTER TABLE omd_cdp_data_from_ingest_qc.vinshop_engagement SET TIFLASH REPLICA 2; ALTER TABLE omd_cdp_data_from_ingest_qc.caresoft_ticket SET TIFLASH REPLICA 2; ALTER TABLE omd_cdp_data_from_ingest_qc.caresoft_service SET TIFLASH REPLICA 2; ALTER TABLE omd_cdp_data_from_ingest_qc.engagement_event SET TIFLASH REPLICA 2; ALTER TABLE omd_cdp_data_from_ingest_qc.label_category SET TIFLASH REPLICA 2; ALTER TABLE omd_cdp_data_from_ingest_qc.caresoft_ticket_comment SET TIFLASH REPLICA 2; ALTER TABLE omd_cdp_data_from_ingest_qc.table_tmp SET TIFLASH REPLICA 2; ALTER TABLE omd_cdp_data_from_ingest_qc.mtp_tracking_events_context_omd SET TIFLASH REPLICA 2; ALTER TABLE omd_cdp_data_from_ingest_qc.caresoft_smartdialer_campaign SET TIFLASH REPLICA 2; ALTER TABLE omd_cdp_data_from_ingest_qc.engagement_event_bak SET TIFLASH REPLICA 2; ALTER TABLE omd_cdp_data_from_ingest_qc.EVENT_LOG SET TIFLASH REPLICA 2; ALTER TABLE omd_cdp_data_from_ingest_qc.mtp_tracking_events_omd SET TIFLASH REPLICA 2; ALTER TABLE omd_cdp_data_from_ingest_qc.caresoft_message SET TIFLASH REPLICA 2; ALTER TABLE omd_cdp_data_from_ingest_qc.vinshop_session SET TIFLASH REPLICA 2; ALTER TABLE omd_cdp_data_from_ingest_qc.caresoft_campaign SET TIFLASH REPLICA 2; ALTER TABLE omd_cdp_data_from_ingest_qc.caresoft_call SET TIFLASH REPLICA 2; ALTER TABLE omd_cdp_data_from_ingest_qc.caresoft_chat SET TIFLASH REPLICA 2; ALTER TABLE omd_cdp_data_from_mtp_qc.mtp_tracking_events_omd_bk SET TIFLASH REPLICA 2; ALTER TABLE omd_cdp_data_from_mtp_qc.mtp_tracking_events_context_omre SET TIFLASH REPLICA 2; ALTER TABLE omd_cdp_data_from_mtp_qc.mtp_tracking_events_omc_migrate SET TIFLASH REPLICA 2; ALTER TABLE omd_cdp_data_from_mtp_qc.mtp_tracking_events_context_omc_migrate SET TIFLASH REPLICA 2; ALTER TABLE omd_cdp_data_from_mtp_qc.mtp_tracking_events_omc SET TIFLASH REPLICA 2; ALTER TABLE omd_cdp_data_from_mtp_qc.mtp_tracking_events_context_omc SET TIFLASH REPLICA 2; ALTER TABLE omd_cdp_data_from_mtp_qc.mtp_tracking_events_omd SET TIFLASH REPLICA 2; ALTER TABLE omd_cdp_data_from_mtp_qc.mtp_tracking_events_context_omd SET TIFLASH REPLICA 2; ALTER TABLE omd_cdp_data_from_mtp_qc.mtp_tracking_events_omre SET TIFLASH REPLICA 2; ALTER TABLE omd_cdp_orchestration_qc.label_rule_tag SET TIFLASH REPLICA 2; ALTER TABLE omd_cdp_orchestration_qc.job_transform_definition SET TIFLASH REPLICA 2; ALTER TABLE omd_cdp_orchestration_qc.label_rule SET TIFLASH REPLICA 2; ALTER TABLE omd_cdp_orchestration_qc.job_build_log SET TIFLASH REPLICA 2; ALTER TABLE omd_cdp_orchestration_qc.sys_config SET TIFLASH REPLICA 2; ALTER TABLE omd_cdp_orchestration_qc.hibernate_sequence SET TIFLASH REPLICA 2; ALTER TABLE omd_cdp_orchestration_qc.job_definition SET TIFLASH REPLICA 2; ALTER TABLE omd_cdp_orchestration_qc.tag SET TIFLASH REPLICA 2;</t>
  </si>
  <si>
    <t>[OMC][NRs][PROD]Chạy seeding vé event seat map cho event Xương Rồng Nở Hoa</t>
  </si>
  <si>
    <t>2025-04-09T13:56:23.922+0700</t>
  </si>
  <si>
    <t>2025-04-09T13:56:38.528+0700</t>
  </si>
  <si>
    <t>Dear anh Dũng, Nhờ các anh hỗ trợ team thực hiện script SQL để seeding vé cho khách sự kiện Xương Rồng Nở Hoa   seeding vé cho khách: IP:  172.31.1.3 DB: vinticket SQL script file: 20250409_seeding_ticket.sql   Seeding vào túi đồ IP: 172.31.1.102 DB: user_inventory_service SQL script file: 20250409_seeding_user_inventory.sql</t>
  </si>
  <si>
    <t>[OM][TCB Sales App][PROD] Cập nhật dữ liệu sau khi user upgrade lên version app 1.1.0</t>
  </si>
  <si>
    <t>2025-04-09T12:30:56.692+0700</t>
  </si>
  <si>
    <t>2025-04-09T14:29:39.093+0700</t>
  </si>
  <si>
    <t>Do nhu cầu về nghiệp vụ, một số dữ liệu sẽ cần cập nhật để đảm bảo tính đúng đắn dữ liệu sau khi hệ thống được nâng cấp lên version mới. Thông tin database Project: omd-pos-prod Instance:  main-pos-integration IP: 172.31.3.63 DB: omd_saleapp_tcb_prod Các query cần thực hiện -- Set default value cho các action
update Action a SET a.forceComplete = false WHERE a.forceComplete IS NULL;
-- Set default task status
update Task t set t.status = 'NEW' where t.status is null;
-- kiểm tra các lần ghé thăm đã checkout, action nào chưa hoàn thành thì set status = COMPLETED và forceComplete = true
update
	Action a1
join Action a2 on
	a1.task_id = a2.task_id
set
	a1.status = 'COMPLETED',
	a1.forceComplete = true
where
	a2.status = 'COMPLETED'
	and a2.type = 'CHECKOUT'
	and a1.status = 'NEW'
	and a1.`type` &lt;&gt; 'CHECKOUT';
-- update task status	
update Task t set t.status = 'NEW' where t.status is null;
update Task t join Action a on a.task_id = t.id set t.status = 'DONE' where a.type ='CHECKOUT' and a.status ='COMPLETED' and t.status  &lt;&gt; 'DONE';
-- update route store = completed khi route store k trong danh sach co task status &lt;&gt; DONE
update
	RouteStore r
left join 
	(
	select
		rs.id as id
	from
		RouteStore rs
	join Task t on
		t.route_id = rs.route_id
		and t.store_id = rs.store_id
	where
		t.status &lt;&gt; 'DONE') as t on
	t.id = r.id
	set
	r.status = 'COMPLETED'
where
	t.id is null
	and r.status = 'EXECUTING';
-- set route = completed k thuoc ds co route store status &lt;&gt; COMPLETED
update
	Route originRoute
left join (
	select
		r.id as id
	from
		Route r
	join RouteStore rs on
		rs.route_id = r.id
	where
		rs.status &lt;&gt; 'COMPLETED'
) as tmp ON
	tmp.id = originRoute.id
	set
	originRoute.status = 'COMPLETED'
where
	tmp.id is null
	and originRoute.status = 'EXECUTING';
-- Action set forceComplete thì Survey cũng bị set forceComplete theo
update Survey s join Action a on s.action_id = a.id set s.forceComplete = 1 where a.forceComplete  = 1;</t>
  </si>
  <si>
    <t>[OMC][NRs][PROD]Chạy script test setup event seat map</t>
  </si>
  <si>
    <t>2025-04-09T10:35:30.325+0700</t>
  </si>
  <si>
    <t>2025-04-09T10:36:13.547+0700</t>
  </si>
  <si>
    <t>Dear anh Dũng, anh Linh, Nhờ các anh hỗ trợ team thực hiện script SQL để test luồng seeding vé cho khách:     seeding vé cho khách: IP:  172.31.1.3 DB: vinticket SQL script: START TRANSACTION;
UPDATE orders SET state = 'SUCCESS', seats = 'C29' WHERE code = '21JFHN2L';
INSERT INTO e_tickets (ticket_type_id, attendee_id, code, bought_at, status, created_at, updated_at, seat_code, is_downloaded, channel)
VALUES
	(5014, 693630, 'YNSY3XY4Z2DUV3RL', '2025-04-08 07:48:23', 'PURCHASED', NOW(), NOW(), 'C29', 0, 'VINID');
UPDATE order_lines SET state = 'SUCCESS', ticket_type_id = 5014, e_ticket_id = LAST_INSERT_ID() WHERE order_id IN (select id from orders where code = '21JFHN2L');
UPDATE seats SET status = 'SOLD' WHERE ticket_type_id = 5014 and code = 'C29';
COMMIT;   Seeding vào túi đồ IP: 172.31.1.102 DB: user_inventory_service SQL script: INSERT INTO inventory_item (created_at, updated_at, user_id, category_id, title, description, image_url, deep_link, status, tag, cta_title, expired_at)
VALUES
	(NOW(), NOW(), 6315212, 2, '[TEST] ĐÊM NHẠC XƯƠNG RỒNG NỞ HOA 3', '', 'https://cdn.vinid.net/ticketing/event/1743058981_LogoXR.png', 'one://mnminiapp.com?url=https://ticketing-webapp.web.app/ticket/ticket-view/998', 'SẮP DIỄN RA', '', 'Đã kết thúc', 1745766000);</t>
  </si>
  <si>
    <t>2025-04-09T10:12:34.828+0700</t>
  </si>
  <si>
    <t>2025-04-09T10:34:50.352+0700</t>
  </si>
  <si>
    <t>Dear anh Dũng, anh Linh, Nhờ các anh hỗ trợ team thực hiện script SQL để test luồng seeding vé cho khách:   seeding vé cho khách: IP:  172.31.1.3 DB: vinticket SQL script: UPDATE orders SET state = 'SUCCESS', seats = 'C31,C32' WHERE code = 'MMSE9TPQ';
INSERT INTO e_tickets (ticket_type_id, attendee_id, code, bought_at, status, created_at, updated_at, seat_code, is_downloaded, channel)
VALUES
	(5014, 693630, '6IV7N2FN8AP29215', '2025-04-08 08:06:31', 'PURCHASED', NOW(), NOW(), 'C31', 0, 'VINID');
UPDATE order_lines SET state = 'SUCCESS', ticket_type_id = 5014, e_ticket_id = LAST_INSERT_ID() WHERE order_id IN (select id from orders where code = 'MMSE9TPQ')
AND id = 1566087;
UPDATE seats SET status = 'SOLD' WHERE ticket_type_id = 5014 and code = 'C31';
INSERT INTO e_tickets (ticket_type_id, attendee_id, code, bought_at, status, created_at, updated_at, seat_code, is_downloaded, channel)
VALUES
	(5014, 693630, '7XKWCVA1XI6KYT1J', '2025-04-08 08:06:31', 'PURCHASED', NOW(), NOW(), 'C32', 0, 'VINID');
UPDATE order_lines SET state = 'SUCCESS', ticket_type_id = 5014, e_ticket_id = LAST_INSERT_ID() WHERE order_id IN (select id from orders where code = 'MMSE9TPQ')
AND id = 1566088;
UPDATE seats SET status = 'SOLD' WHERE ticket_type_id = 5014 and code = 'C32';   Seeding vào túi đồ IP: 172.31.1.102 DB: user_inventory_service SQL script: INSERT INTO inventory_item (created_at, updated_at, user_id, category_id, title, description, image_url, deep_link, status, tag, cta_title, expired_at)
VALUES
	(NOW(), NOW(), 6315212, 2, '[TEST] ĐÊM NHẠC XƯƠNG RỒNG NỞ HOA 3', '', 'https://cdn.vinid.net/ticketing/event/1743058981_LogoXR.png', 'one://mnminiapp.com?url=https://ticketing-webapp.web.app/ticket/ticket-view/998', 'SẮP DIỄN RA', '', 'Đã kết thúc', 1745766000);
INSERT INTO inventory_item (created_at, updated_at, user_id, category_id, title, description, image_url, deep_link, status, tag, cta_title, expired_at)
VALUES
	(NOW(), NOW(), 6315212, 2, '[TEST] ĐÊM NHẠC XƯƠNG RỒNG NỞ HOA 3', '', 'https://cdn.vinid.net/ticketing/event/1743058981_LogoXR.png', 'one://mnminiapp.com?url=https://ticketing-webapp.web.app/ticket/ticket-view/998', 'SẮP DIỄN RA', '', 'Đã kết thúc', 1745766000);</t>
  </si>
  <si>
    <t>[PROD] [Voucher Distribution] Cập nhật thông tin database</t>
  </si>
  <si>
    <t>2025-04-08T17:54:32.832+0700</t>
  </si>
  <si>
    <t>2025-04-08T18:03:10.865+0700</t>
  </si>
  <si>
    <t>LoyaltyMFT, Voucher_Distribution</t>
  </si>
  <si>
    <t>Hi team, Theo yêu cầu từ phía đội vận hành, cần cập nhật lại thông tin stock voucher ở hệ thống OneVoucher, nhờ team hỗ trợ với ạ. Thông tin database  - GCP Project   : vinid-loyalty-prod
- Instance Name : onevoucher        
- Instance IP   : 172.31.4.126      
- Database : 
   + onevc_vsm_prod
   + onevc_vwm_prod Script : file đính kèm Thanks</t>
  </si>
  <si>
    <t>[VinID Pay][TPAY] [PROD] Script onboard merchant PHARMACITY</t>
  </si>
  <si>
    <t>2025-04-08T14:30:31.460+0700</t>
  </si>
  <si>
    <t>2025-04-08T15:16:46.886+0700</t>
  </si>
  <si>
    <t>Hi anh Nhờ anh chạy các script để cấu hình merchant PHARMACITY TPAY ạ. Thông tin database saas_tpay: mysql://pay-tidb.int.onemount.com:4000/saas_tpay INSERT INTO PARTNER (client_id, name, public_key, enable, merchant_code)
VALUES ('tizWIRKWvEnIGfflMvwpHwkkiNIbWndl', 'PHARMACITY', '-----BEGIN PUBLIC KEY-----
MIIBIjANBgkqhkiG9w0BAQEFAAOCAQ8AMIIBCgKCAQEAug+4PZh+dHQzpnMeyQ+N
zaHCTgo/5EC8qhUlGe3Tt0EMW7OOqNIDi2MLiRtcIEBDPSjxn94uFdNJKRVsB1/y
4P/tg/R4wR+YscXXxAR0Bn8n2g4Q+bJQiXpog8WWw+DmLMOSI7gFN5Nm9LbHb/Dm
L92W2vqP0S2u9C5k2z/cTftTi7+OcxZpGox4jNLLdH+c9aS52CmZ5HgTsoh0vJMZ
Jxc0+Ej6GqFgZN/aq0lMwn7YEiEpUkUG12VuMvfb2d6otoCE9jI+32ElC3AoDAP6
UPZwpnDVqf8VwAG7+eWhRcIbmjbwOlGy9NxpwamOekBw/sgJgtUeaAy8G+ZAPrmL
MwIDAQAB
-----END PUBLIC KEY-----', 1, 'PHARMACITY');</t>
  </si>
  <si>
    <t>[OMC][NRs][PROD]Hỗ trợ seeding vé test</t>
  </si>
  <si>
    <t>2025-04-08T11:27:08.455+0700</t>
  </si>
  <si>
    <t>2025-04-08T11:28:14.680+0700</t>
  </si>
  <si>
    <t>Dear anh Dũng, anh Linh, Nhờ các anh hỗ trợ team thực hiện script SQL để test luồng seeding vé cho khách: seeding vé cho khách: IP:  172.31.1.3 DB: vinticket SQL script: #seeder e_ticket 
#ticket type id: 5014
#User: 419800, attendee: 192
#User: 1249490, attendee: 
START TRANSACTION;
INSERT INTO e_tickets (ticket_type_id, attendee_id, `code`, bought_at, `status`, created_at, updated_at, seat_code, is_downloaded, channel)
VALUES 
(5014, 192, 'AVQRVRKSE6UPI1J6', '2025-04-06 16:27:08', 'PURCHASED', NOW(), NOW(), 'B27', 0, 'VINID'),
(5014, 138553, 'YSKZDPMPQ1PDD7G6', '2025-04-06 16:27:08', 'PURCHASED', NOW(), NOW(), 'B28', 0, 'VINID')
;
# ghe B27, B28
UPDATE seats SET `status` = 'SOLD' WHERE id = 124280 and `status` = 'FREE';
UPDATE seats SET `status` = 'SOLD' WHERE id = 124281 and `status` = 'FREE';
COMMIT; Seeding vào túi đồ IP: 172.31.1.102 DB: user_inventory_service SQL script:  #seeder vào túi đồ:
INSERT INTO inventory_item (created_at, updated_at, user_id, category_id, title, description, image_url, deep_link, `status`, `tag`, cta_title, expired_at)
VALUES
(NOW(), NOW(), 419800, 2, '[TEST] ĐÊM NHẠC XƯƠNG RỒNG NỞ HOA', '', 'https://cdn.vinid.net/ticketing/event/1743058981_LogoXR.png', 'one://mnminiapp.com?url=https://ticketing-webapp/ticket/ticket-view/998', 'SẮP DIỄN RA', '', 'Đã kết thúc', 1745766000),
(NOW(), NOW(), 1249490, 2, '[TEST] ĐÊM NHẠC XƯƠNG RỒNG NỞ HOA', '', 'https://cdn.vinid.net/ticketing/event/1743058981_LogoXR.png', 'one://mnminiapp.com?url=https://ticketing-webapp/ticket/ticket-view/998', 'SẮP DIỄN RA', '', 'Đã kết thúc', 1745766000)
;</t>
  </si>
  <si>
    <t>[OMC][NRs][PROD]Update lại trạng thái vị trí ghế</t>
  </si>
  <si>
    <t>2025-04-08T11:27:00.640+0700</t>
  </si>
  <si>
    <t>2025-04-08T11:27:41.948+0700</t>
  </si>
  <si>
    <t>Nhờ anh Linh, anh Dũng hỗ trợ update giúp câu SQL này của DB ticket: UPDATE seats SET  status  = 'SOLD' WHERE id = 123138;</t>
  </si>
  <si>
    <t>[OMRE][OneHS-Agent][PROD] Chạy lệnh UPDATE trên MySQL Production</t>
  </si>
  <si>
    <t>2025-04-08T11:14:58.270+0700</t>
  </si>
  <si>
    <t>2025-04-08T11:17:01.751+0700</t>
  </si>
  <si>
    <t>Nhờ team chạy giúp em lệnh UPDATE trên MYSQL Production như sau: URL:  mysql://omre-onehs-mysql-main.int.onemount.com:3306/crm_order Query:  UPDATE
    `order_supporting_documents`
SET
    signed_schedule_date = NULL
WHERE
    order_id IN(
    SELECT
        id
    FROM
        orders
    WHERE
        order_code IN(
            "O21032025TUNMF",
            "O21032025TJAZT",
            "O20032025VNGXA",
            "O20032025RP4QB",
            "O200320254I5NQ",
            "O21032025EXATP",
            "O21032025JUVNP",
            "O19032025JRR9B",
            "O21032025OENIS",
            "O180320255F8ZE",
            "O18032025TFUYC",
            "O18032025FDAYA",
            "O18032025HFWJO",
            "O18032025UTSHI",
            "O17032025UV2ZH",
            "O1403202569LHB",
            "O15032025APOKU",
            "O13032025W7IAH",
            "O13032025426KW",
            "O13032025FMEKL",
            "O14032025OEF4I",
            "O12032025SENF1",
            "O12032025JF25J",
            "O11032025JDHSO",
            "O11032025SWAN1",
            "O110320258ZFVA",
            "O100320255QP2P",
            "O10032025WELJB",
            "O10032025KTVGF",
            "O10032025XNA7B",
            "O10032025JGTKL",
            "O10032025GUXWK",
            "O09032025HCMNG",
            "O07032025MSEIG",
            "O07032025K1CNO",
            "O07032025SWQUJ",
            "O07032025M8PV4",
            "O07032025FTLZP",
            "O080320258AV3W",
            "O08032025BU5UD",
            "O08032025CI83C",
            "O06032025TQK5P",
            "O10032025PFDGM",
            "O07032025I2IV3",
            "O28022025B7AJZ",
            "O28022025UL5WO",
            "O28022025X01GO",
            "O27022025DB5LO",
            "O28022025PMASR",
            "O04032025QZFVU",
            "O25022025BKAE9",
            "O26022025ZZATV",
            "O26022025LYMD4",
            "O28022025PYNOW",
            "O25022025S6YJK",
            "O22022025TINSF",
            "O22022025EIHFV",
            "O24022025GFCT7",
            "O19022025C9QMH",
            "O20022025YTVDL",
            "O180220253W0FU",
            "O19022025XGIUH",
            "O130220252AMR2",
            "O13022025QWHMO",
            "O120220250XVAC",
            "O11022025CFXUU",
            "O09022025RZBSA",
            "O06022025LVSUM",
            "O050220252R007",
            "O06022025UBO0C",
            "O25012025S5W6N",
            "O230120254CNJ0",
            "O220120251MODZ",
            "O220120252QMBP",
            "O24012025MINUE",
            "O24012025KB1HG",
            "O22012025CIDBH",
            "O05022025GRPXS",
            "O17012025XGSMT",
            "O15012025WWJXZ",
            "O15012025SUY9J",
            "O140120252CDED",
            "O13012025JXE30",
            "O150120251OCSI",
            "O10012025JVYW2",
            "O08012025CADCU",
            "O07012025NV4NC",
            "O01012025FRZIH",
            "O311220240DXFN",
            "O31122024HQUKV",
            "O26122024K320U",
            "O26122024ZRJRD",
            "O23122024M9QFG",
            "O211220243XGUC",
            "O20122024MEHYK",
            "O20122024ZXF1N",
            "O20122024S3JCI",
            "O2012202493OJ7",
            "O20122024E3WLH",
            "O21122024YDYWE",
            "O21122024HJK9D",
            "O19122024TCS4Y",
            "O17122024OUCEL",
            "O13122024A8VL1",
            "O13122024LZK2U",
            "O16122024DIMMM",
            "O111220246DG2F",
            "O11122024PM04G",
            "O11122024JYUDM",
            "O11122024YD7M9",
            "O121220245VB29",
            "O10122024I8M3G",
            "O11122024LZS8P",
            "O09122024MEKYS",
            "O07122024EJIMI",
            "O05122024KGMBT",
            "O05122024QCKU4",
            "O05122024PRWEM",
            "O041220241ZO34",
            "O05122024BSKWS",
            "O03122024BBVVB",
            "O04122024FAZCB",
            "O051220247QNBG",
            "O1612202454SEB",
            "O02122024W6YLJ",
            "O031220248CGGZ",
            "O03122024IZZFL",
            "O14122024I6TDF",
            "O21122024MTD3M",
            "O21122024ZFK8S",
            "O03122024QDNEN",
            "O06122024T6WTI",
            "O291120245DA7D",
            "O291120242OQ7T",
            "O02122024MVU9B",
            "O23122024T0ARJ",
            "O28112024RHI39",
            "O281120244U1FZ",
            "O28112024A7AFG",
            "O271120246V61K",
            "O25112024OSEYH",
            "O25112024DMFAV",
            "O301120240YB2E",
            "O22112024U9MZ9",
            "O21112024U56VC",
            "O21112024N8MA4",
            "O22112024ZPGVE",
            "O22112024EVWFW",
            "O23112024PBLWF",
            "O251120241DPQQ",
            "O201120244FRCB",
            "O20112024PZHDC",
            "O1911202465QKP",
            "O191120248THEA",
            "O21112024GUNZK",
            "O18112024NDC9O",
            "O18112024XUIOT",
            "O26112024ZL5RY",
            "O13022025IWY9D",
            "O16112024V9YCB",
            "O15112024NRJA9",
            "O151120248UEON",
            "O16112024FC5UM",
            "O17112024COQEL",
            "O181120240RO95",
            "O19112024UYWYA",
            "O14112024YPFEP",
            "O14112024CJQ2D",
            "O14112024GLUWP",
            "O14112024SSJFN",
            "O15112024RINUY",
            "O21112024KSS6D",
            "O1311202493CEX",
            "O13112024CYW9U",
            "O13112024E8L5L",
            "O13112024QUNFZ",
            "O141120249DZHO",
            "O14112024B9WFF",
            "O12112024YPTSK",
            "O12112024ERX70",
            "O12112024XZOGJ",
            "O11112024OJTNH",
            "O11112024Q7GLJ",
            "O11112024KM0ZS",
            "O11112024KAZZK",
            "O11112024W3YJE",
            "O12112024PRJXZ",
            "O12112024TMTNS",
            "O10112024LKZVB",
            "O09112024E8WFR",
            "O09112024VEOZ9",
            "O09112024AEDJL",
            "O09112024EH6QG",
            "O09112024OQWGT",
            "O09112024JVNUX",
            "O091120248OXUN",
            "O10112024JZLNI",
            "O10112024UQMDB",
            "O10112024HNEYK",
            "O081120241LYMN",
            "O08112024HTCIO",
            "O08112024IVTTZ",
            "O08112024EBIJG",
            "O08112024FS9TF",
            "O08112024QGWQP",
            "O08112024P4VKM",
            "O08112024KR7BM",
            "O08112024LCRVB",
            "O08112024AWWQJ",
            "O08112024WPGI8",
            "O08112024SYFS0",
            "O08112024Y6BXR",
            "O08112024JSMHO",
            "O081120247YMHT",
            "O08112024K7YWK",
            "O08112024FFCC1",
            "O08112024TJJON",
            "O101120242OIQ5",
            "O111120244LJPL",
            "O21122024VXRFL",
            "O07112024WIXD4",
            "O07112024N3BBW",
            "O071120246GBXU",
            "O07112024AXRZE",
            "O07112024WRTRV",
            "O07112024TDJEE",
            "O07112024Z62YS",
            "O07112024D3OZY",
            "O07112024JGDEA",
            "O07112024IRMDB",
            "O07112024HROSJ",
            "O08112024TRCAM",
            "O08112024OHWVI",
            "O08112024P8ZH7",
            "O08112024SD7WB",
            "O081120244UEV8",
            "O08112024F8D6U",
            "O12112024510J1",
            "O26112024VTYNW",
            "O06112024QPE4R",
            "O05112024NMQES",
            "O01112024KPN20",
            "O01112024BUVRT",
            "O31102024LXIXH",
            "O31102024ZDPIY",
            "O31102024D0E1R",
            "O31102024GDPS1",
            "O01112024VKH3H",
            "O30102024AB3FR",
            "O30102024GZO48",
            "O30102024TVQWU",
            "O30102024UMGWV",
            "O291020243JFMG",
            "O291020241RJON",
            "O29102024AS78F",
            "O29102024UZGK0",
            "O29102024KQ5AC",
            "O29102024MRVGU",
            "O05112024WLFGR",
            "O06112024MYQMR",
            "O27102024EXSQH",
            "O271020246FGZD",
            "O28102024VZJVM",
            "O28102024SQCTM",
            "O26102024AR1NW",
            "O26102024BEJEA",
            "O05112024IFAN3",
            "O251020242LQCU",
            "O25102024QFXR8",
            "O25102024IQNSW",
            "O26102024C00NM",
            "O26102024V4XEY",
            "O27102024YIZ9L",
            "O27102024QPLRU",
            "O24102024IMVLR",
            "O24102024VMCHU",
            "O24102024KSBOI",
            "O24102024TJ1B4",
            "O24102024JBFPR",
            "O24102024VT1WX",
            "O24102024WSZJM",
            "O241020247UKIH",
            "O24102024OLKUP",
            "O24102024YULYO",
            "O24102024YJEQX",
            "O24102024MDTNU",
            "O24102024OHVMA",
            "O24102024YBDGR",
            "O24102024BSNGE",
            "O24102024CTCL6",
            "O241020242Y6IX",
            "O25102024X6PBA",
            "O25102024NOBSN",
            "O25102024ZX4JW",
            "O26102024V5VK3",
            "O31102024XJH1X",
            "O221120248647A",
            "O23102024RUN1V",
            "O23102024G0TJD",
            "O23102024HOEEO",
            "O231020245NWBO",
            "O24102024ODAXQ",
            "O25102024IBZA0",
            "O22102024DZMCI",
            "O22102024TDNIQ",
            "O22102024WIZBF",
            "O22102024YITD2",
            "O22102024CCDVO",
            "O22102024MGXBU",
            "O22102024GL6GK",
            "O2210202411SJY",
            "O22102024MKXK4",
            "O22102024LOL6T",
            "O22102024RJ5SV",
            "O23102024EEYOE",
            "O231020241HVQU",
            "O23102024G0EL0",
            "O24102024YTLQF",
            "O241020247JN9W",
            "O291020245LBKQ",
            "O21102024KN41J",
            "O21102024FXPLB",
            "O21102024RSXYU",
            "O211020242KNMM",
            "O21102024A1IA1",
            "O21102024V823N",
            "O21102024XRJVZ",
            "O211020243IPV5",
            "O211020243NEKF",
            "O21102024AHFFM",
            "O211020244XMHH",
            "O21102024ISL7C",
            "O21102024UOGUL",
            "O21102024MAZX3",
            "O2110202445KRJ",
            "O21102024WVGXO",
            "O21102024IQHHL",
            "O21102024O9WUP",
            "O211020246JNCA",
            "O21102024ZZWWU",
            "O221020249JKYR",
            "O22102024EGRDZ",
            "O22102024ILBIF",
            "O22102024BU63J",
            "O22102024YYDHQ",
            "O22102024KI3R4",
            "O23102024F9JWS",
            "O23102024Y9RJ5",
            "O24102024JCBMW",
            "O13022025ZNMFZ"
        )
) AND category_type = "CONTRACT"</t>
  </si>
  <si>
    <t>[OMC][MTP] Clear dữ liệu sau khi migrate xong</t>
  </si>
  <si>
    <t>2025-04-08T09:37:20.338+0700</t>
  </si>
  <si>
    <t>2025-04-08T09:38:05.180+0700</t>
  </si>
  <si>
    <t>Dear anh  @Nguyễn Văn Dũng  , nhờ anh clear giúp em dữ liệu trên ODS, MySQL và OMC_TiDB theo CR sau:   Best regards Dinh Quang Nguyen</t>
  </si>
  <si>
    <t>2025-04-08T00:07:28.224+0700</t>
  </si>
  <si>
    <t>2025-04-08T00:07:42.360+0700</t>
  </si>
  <si>
    <t>Dear anh Dũng, anh Linh, Nhờ các anh hỗ trợ team thực hiện script SQL để test luồng seeding vé cho khách:     seeding vé cho khách: IP:  172.31.1.3 DB: vinticket SQL script: START TRANSACTION;
#order 2ZP9BDIM, user: 6315212, attendee: 693630, ghe C29
UPDATE orders SET `state` = 'SUCCESS', seats = 'C29' WHERE `code` = '2ZP9BDIM';
INSERT INTO e_tickets (ticket_type_id, attendee_id, `code`, bought_at, `status`, created_at, updated_at, seat_code, is_downloaded, channel)
VALUES 
(5014, 693630, 'HHW737EN4ASJG3AQ', '2025-04-06 16:27:08', 'PURCHASED', NOW(), NOW(), 'C29', 0, 'VINID')
;
UPDATE order_lines SET `state` = 'SUCCESS', ticket_type_id = LAST_INSERT_ID() 
WHERE order_id IN (select id from orders where code = '2ZP9BDIM');
UPDATE seats SET `status` = 'SOLD' WHERE ticket_type_id = 5014 and `code` = 'C29';
#order SX1VTDFM, user: 1249490, attendee: 138553, ghe C30
UPDATE orders SET `state` = 'SUCCESS', seats = 'C30' WHERE `code` = 'SX1VTDFM';
INSERT INTO e_tickets (ticket_type_id, attendee_id, `code`, bought_at, `status`, created_at, updated_at, seat_code, is_downloaded, channel)
VALUES 
(5014, 138553, 'WMBIV5EWEBXG58GX', '2025-04-06 16:27:08', 'PURCHASED', NOW(), NOW(), 'C30', 0, 'VINID')
;
UPDATE order_lines SET `state` = 'SUCCESS', ticket_type_id = LAST_INSERT_ID() 
WHERE order_id IN (select id from orders where code = 'SX1VTDFM');
UPDATE seats SET `status` = 'SOLD' WHERE ticket_type_id = 5014 and `code` = 'C30';
COMMIT;   Seeding vào túi đồ IP: 172.31.1.102 DB: user_inventory_service SQL script: INSERT INTO inventory_item (created_at, updated_at, user_id, category_id, title, description, image_url, deep_link, `status`, `tag`, cta_title, expired_at)
VALUES
(NOW(), NOW(), 6315212, 2, '[TEST] ĐÊM NHẠC XƯƠNG RỒNG NỞ HOA 3', '', 'https://cdn.vinid.net/ticketing/event/1743058981_LogoXR.png', 'one://mnminiapp.com?url=https://ticketing-webapp.web.app/ticket/ticket-view/998', 'SẮP DIỄN RA', '', 'Đã kết thúc', 1745766000),
(NOW(), NOW(), 1249490, 2, '[TEST] ĐÊM NHẠC XƯƠNG RỒNG NỞ HOA 3', '', 'https://cdn.vinid.net/ticketing/event/1743058981_LogoXR.png', 'one://mnminiapp.com?url=https://ticketing-webapp.web.app/ticket/ticket-view/998', 'SẮP DIỄN RA', '', 'Đã kết thúc', 1745766000)
;</t>
  </si>
  <si>
    <t>[OMC][NRs][PROD] Giảm resouce redis trên prod</t>
  </si>
  <si>
    <t>2025-04-07T23:57:40.417+0700</t>
  </si>
  <si>
    <t>2025-04-08T00:02:39.326+0700</t>
  </si>
  <si>
    <t>Dear anh Dũng, Thời gian thực hiện  23h ngày 07/04/2025 Nhờ anh hỗ trợ team thực hiện giảm resource memorystore redis vì nhu cầu sử dụng thấp ạ. Thông tin dưới đây ạ:  ecom-dynamic-content Project: vincart-prod
IP: 172.31.0.156
Giảm Memory từ 4GB xuống 1GB</t>
  </si>
  <si>
    <t>2025-04-07T22:14:26.283+0700</t>
  </si>
  <si>
    <t>2025-04-07T22:15:32.282+0700</t>
  </si>
  <si>
    <t>Dear anh Dũng, anh Linh, Nhờ các anh hỗ trợ team thực hiện script SQL để test luồng seeding vé cho khách: seeding vé cho khách: IP:  172.31.1.3 DB: vinticket SQL script: # update order status
# update order line status
START TRANSACTION;
UPDATE orders SET `state` = 'SUCCESS' WHERE `code` = '3PA7AH6D';
UPDATE order_lines SET `state` = 'SUCCESS' WHERE (select id from orders where code = '3PA7AH6D');
UPDATE orders SET `state` = 'SUCCESS' WHERE `code` = 'JTMN8HFE';
UPDATE order_lines SET `state` = 'SUCCESS' WHERE (select id from orders where code = 'JTMN8HFE');
#seeder e_ticket 
#ticket type id: 5014
#User: 419800, attendee: 192
#User: 1249490, attendee: 138553
INSERT INTO e_tickets (ticket_type_id, attendee_id, `code`, bought_at, `status`, created_at, updated_at, seat_code, is_downloaded, channel)
VALUES 
(5014, 192, 'HU8XL13ULVPHTWY7', '2025-04-06 16:27:08', 'PURCHASED', NOW(), NOW(), 'B29', 0, 'VINID'),
(5014, 138553, 'JVQ9LQNMTQZH2QPT', '2025-04-06 16:27:08', 'PURCHASED', NOW(), NOW(), 'B30', 0, 'VINID')
;
# ghe B29, B30
UPDATE seats SET `status` = 'SOLD' WHERE id = 124282 and `status` = 'FREE';
UPDATE seats SET `status` = 'SOLD' WHERE id = 124284 and `status` = 'FREE';
COMMIT; Seeding vào túi đồ IP: 172.31.1.102 DB: user_inventory_service SQL script: #seeder vào túi đồ:
INSERT INTO inventory_item (created_at, updated_at, user_id, category_id, title, description, image_url, deep_link, `status`, `tag`, cta_title, expired_at)
VALUES
(NOW(), NOW(), 419800, 2, '[TEST] ĐÊM NHẠC XƯƠNG RỒNG NỞ HOA', '', 'https://cdn.vinid.net/ticketing/event/1743058981_LogoXR.png', 'one://mnminiapp.com?url=https://ticketing-webapp/ticket/ticket-view/998', 'SẮP DIỄN RA', '', 'Đã kết thúc', 1745766000),
(NOW(), NOW(), 1249490, 2, '[TEST] ĐÊM NHẠC XƯƠNG RỒNG NỞ HOA', '', 'https://cdn.vinid.net/ticketing/event/1743058981_LogoXR.png', 'one://mnminiapp.com?url=https://ticketing-webapp/ticket/ticket-view/998', 'SẮP DIỄN RA', '', 'Đã kết thúc', 1745766000)
;</t>
  </si>
  <si>
    <t>[OMC][PS2][Loyalty][PROD] - Thực hiện archive dữ liệu history cho DB Loyalty - Tháng 4/2025</t>
  </si>
  <si>
    <t>2025-04-07T15:00:38.868+0700</t>
  </si>
  <si>
    <t>2025-04-07T15:01:27.195+0700</t>
  </si>
  <si>
    <t xml:space="preserve">Team DBA cần thực hiện archive dữ liệu lịch sử của 1 số bảng lớn trong DB LOYALTY, để tối ưu dung lượng lưu trữ data , tránh để data lưu trữ quá lớn trong DB dẫn tới chi phí phần cứng tăng và giảm hiệu suất IO khi truy xuất data lớn. Quy định về thời gian lưu trữ data (dự án đã confirm với TCB qua email): Live data tier: không TTL expired bất kể dữ liệu nào Backup tier: Thực hiện backup full 2 lần/tuần và incremental các ngày còn lại Archiving tier:  Dữ liệu Archive được thực hiện 6 tháng/lần và store với retention là 365 days Kế hoạch thực hiện archive dữ liệu history của DB Loyalty , thực hiện trong tháng 3 năm 2025 Các bảng cần lưu trữ data và thực hiện xóa data history:   Tables Partition column Life time Note KAFKA_AUDIT_TRAIL_PRODUCT_INFO CREATED_AT 1 month   KAFKA_AUDIT_TRAIL_CARD_INFO CREATED_AT 1 month   KAFKA_AUDIT_TRAIL_CUSTOMER_PROFILE CREATED_AT 1 month   KAFKA_AUDIT_TRAIL_EARN_TRANSACTION CREATED_AT 1 month   KAFKA_AUDIT_TRAIL_EARN_EVENT CREATED_AT 1 month   TIER_HISTORY CREATED_AT 6 month   POINT_TRANSACTION_ACCOUNT_BALANCE CREATED_AT 6 month Bắt đầu thực hiện từ tháng 1/2025 PAY_WITH_POINT_TRANSACTION_HISTORY TRANSACTION_TIME Giữ nguyên các partition,chỉ DELETE xóa data theo điều kiện where là:  status = 'F'  and transaction_time đủ full  1 tháng  gần nhất Ví dụ, hiện tại tháng 4/2025, thì sẽ thực hiện DELETE Xóa data có: status = 'F' and transaction_time &lt; to_date('01/03/2025','dd/MM/yyyy') TRANSACTION_HISTORY_ATTRIBUTE CREATED_AT 6 month Tháng hiện tại là tháng n, Giữ lại data đầy đủ của 3 tháng gần nhất (tháng thứ n-1,n-2,n-3 sau tháng hiện tại) trên DB chính PROD, các data tháng thứ n-4,n-5,n-6 sau tháng n hiện tại thì chuyển sang db COLD.) Ví dụ, hiện tại là tháng 4/2025, thì data giữ lại ở db chính PROD là tháng 3/2025, 2/2025, 1/2025. Các tháng 12/2024, 11/2024, 10/2024 sẽ khai thác trên db COLD. TRANSACTION_HISTORY TRANSACTION_TIME 6 month Chuyển data history sang db COLD (hiện tại tháng 4/2025, db COLD đang có data của tháng 9/2024 trở về trước) POINT_TRANSACTION TRANSACTION_TIME 6 month Chuyển data history sang db COLD (hiện tại tháng 4/2025, db COLD đang có data của tháng 9/2024 trở về trước) COUNTER_TRANSACTION_HISTORY CREATED_AT 6 month Chuyển data history sang db COLD (hiện tại tháng 4/2025, db COLD đang có data của tháng 9/2024 trở về trước)   Phương án làm archive data cho các bảng này: export các partition vi phạm thời gian lưu trữ data life time ONLINE Lưu trữ các partition đã export lên GCS (thời gian lưu trữ trên GCS là 1 năm). Các dữ liệu nào cần khai thác trên COLD, thì sẽ import sang db COLD. Drop các partition đã export + archived trên DB PROD Chạy lại gather statistic cho bảng vừa drop partition (có thể để DB auto chạy cũng được) Link CR:   </t>
  </si>
  <si>
    <t>[OMC][NRs][Vinticket][PROD] Nâng cấp cấu hình database vinticket phục vụ bán vé 6/4/2025</t>
  </si>
  <si>
    <t>2025-04-07T14:50:47.117+0700</t>
  </si>
  <si>
    <t>2025-04-07T14:52:33.446+0700</t>
  </si>
  <si>
    <t>Dear anh Linh, Để phục vụ bán vé cho sự kiện bán vé Xương Rồng Nở Hoa, nhờ các anh hỗ trợ nâng cấu hình DB Vinticket: từ 4 CPU, 8 GB ram → 16CPU, 32 GB ram Em cảm ơn</t>
  </si>
  <si>
    <t>[VinID Pay] [SOUNDBOX][PROD] Tác động database - golive soundbox</t>
  </si>
  <si>
    <t>2025-04-06T00:46:40.010+0700</t>
  </si>
  <si>
    <t>2025-04-07T00:33:52.930+0700</t>
  </si>
  <si>
    <t>Các anh giúp em chạy script với thông tin như bên dưới nhé ạ Thông tin database  saas_tpay: jdbc:mysql://pay-tidb.int.onemount.com:4000/saas_tpay ALTER TABLE TCB_DEVICE ADD COLUMN is_online tinyint(1);
ALTER TABLE SOUNDBOX_DEVICE_MAPPING
ADD COLUMN rental_expiration_at timestamp,
ADD COLUMN handover_at timestamp;
create table TCB_BATCH_MANAGEMENT
(
    id              bigint auto_increment
        primary key,
    status          varchar(255)                        null,
    batch_id        varchar(255)                        not null,
    started_at      timestamp                           null,
    finished_at     timestamp                           null,
    total_records   bigint    default 0                 null,
    success_records bigint    default 0                 null,
    file_type       varchar(255)                        null,
    file_input      text                                null,
    file_result     text                                null,
    created_at      timestamp default CURRENT_TIMESTAMP null,
    created_by      varchar(30)                         null,
    updated_at      timestamp default CURRENT_TIMESTAMP null,
    updated_by      varchar(30)                         null,
    constraint batch_id
        unique (batch_id)
) ENGINE=InnoDB DEFAULT CHARSET=utf8mb4 COLLATE=utf8mb4_unicode_ci AUTO_ID_CACHE=1;
create table SOUNDBOX_NOTIFICATION
(
    id                   bigint auto_increment
        primary key,
    message_id           varchar(255)                        not null,
    transaction_id       varchar(255)                        null,
    message_data         json                                null,
    vendor_code          varchar(500)                        null,
    device_model         varchar(100)                        null,
    device_serial_number varchar(100)                        null,
    status               varchar(32)                         null,
    created_at           timestamp default CURRENT_TIMESTAMP null,
    created_by           varchar(30)                         null,
    updated_at           timestamp default CURRENT_TIMESTAMP null,
    updated_by           varchar(30)                         null
) ENGINE=InnoDB DEFAULT CHARSET=utf8mb4 COLLATE=utf8mb4_unicode_ci AUTO_ID_CACHE=1;
create index SOUNDBOX_NOTIFICATION_DEVICE_MODEL_INDEX
    on SOUNDBOX_NOTIFICATION (device_model);
create index SOUNDBOX_NOTIFICATION_DEVICE_SERIAL_NUMBER_INDEX
    on SOUNDBOX_NOTIFICATION (device_serial_number);
create index SOUNDBOX_NOTIFICATION_VENDOR_CODE_INDEX
    on SOUNDBOX_NOTIFICATION (vendor_code);
insert into TCB_DEVICE_MODEL ( VENDOR_CODE, DEVICE_MODEL, DEVICE_PROVIDER_CODE, DEVICE_INFO, CREATED_AT, UPDATED_AT)
values ( 'MF', '38', 'Morefun', null,CURRENT_TIMESTAMP, CURRENT_TIMESTAMP),
        ( 'RLINK', 'Y66A', 'SDLINK', null ,CURRENT_TIMESTAMP, CURRENT_TIMESTAMP);</t>
  </si>
  <si>
    <t>2025-04-06T00:29:41.273+0700</t>
  </si>
  <si>
    <t>2025-04-07T14:48:38.729+0700</t>
  </si>
  <si>
    <t>Nhờ team chạy script này trên PROD env của DB loyalty oracle giúp team Loyalty ạ. IP: 10.255.23.119 Service name: oneloyaltydb Port: 1521 schema app: OLOYALTY Chạy vào  24h ngày 06/04/2025 Link CR:  https://vinid-team.atlassian.net/browse/SH-63983</t>
  </si>
  <si>
    <t>[OMC][PS2][Gami][PROD] Hỗ trợ migration thêm bảng cho CR ngày 4/4/2025</t>
  </si>
  <si>
    <t>2025-04-05T10:30:06.623+0700</t>
  </si>
  <si>
    <t>2025-04-05T10:43:53.157+0700</t>
  </si>
  <si>
    <t>Hỗ trợ migration thêm bảng cho CR ngày 4/4/2025 Host:  172.31.4.75 DB: promo_gamezone CREATE TABLE `storages` (
  `id` bigint NOT NULL,
  `campaign_code` varchar(100) NOT NULL,
  `user_id` bigint NOT NULL,
  `payload` json NOT NULL,
  `created_at` timestamp NULL DEFAULT CURRENT_TIMESTAMP,
  `updated_at` timestamp NULL DEFAULT CURRENT_TIMESTAMP,
  `tenant_id` bigint NOT NULL
) ENGINE=InnoDB DEFAULT CHARSET=utf8mb3; ALTER TABLE `storages`
  ADD PRIMARY KEY (`id`),
  ADD UNIQUE KEY `storage_unq` (`campaign_code`,`user_id`,`tenant_id`),
  ADD KEY `storage_index` (`campaign_code`,`user_id`,`tenant_id`); ALTER TABLE `storages`
  MODIFY `id` bigint NOT NULL AUTO_INCREMENT, AUTO_INCREMENT=170;</t>
  </si>
  <si>
    <t>[VinID Pay][BO][PROD] Sửa cấu hình bút toán YO sang SAP</t>
  </si>
  <si>
    <t>2025-04-04T16:28:53.580+0700</t>
  </si>
  <si>
    <t>2025-04-04T16:45:43.895+0700</t>
  </si>
  <si>
    <t>Hi anh. Nhờ anh chạy giúp em script này ạ. UPDATE TRANS_BUSINESS SET  TRANSACT_NAME = 'Chi phí khuyến mãi', NAME2 = 'Chi phí khuyến mãi', CATEGORY = 'REV003', UPDATE_DATETIME = CURRENT_TIMESTAMP WHERE ID = 706;
UPDATE TRANS_BUSINESS SET  TRANSACT_NAME = 'Phải thu NCC', NAME2 = 'Phải thu NCC', UPDATE_DATETIME = CURRENT_TIMESTAMP WHERE ID = 707;
UPDATE ACCT_MAP_COA SET ID ='VN0010099.P841.REV003...', UPDATE_DATETIME = CURRENT_TIMESTAMP WHERE ID = 'VN0010099.P841.REC005...'; Thông tin database:  172.31.1.133:3306/bo</t>
  </si>
  <si>
    <t>[2025/04][OMD TMS][Prod] Maintenance Plan - Databases - Purge dữ liệu</t>
  </si>
  <si>
    <t>2025-04-04T14:43:27.360+0700</t>
  </si>
  <si>
    <t>2025-04-05T23:38:10.440+0700</t>
  </si>
  <si>
    <t>DBA  drop partitions  của các các bảng sau: Các bảng: T1_XML_EVENT_LOG T1_JSON_EVENT_LOG T1_EVENT_NOTIFICATION T1_EVENT_NOTIFICATION_HISTORY Drop các partitions trong khung thời gian: tháng 06/2024 đến 09/2024 (retain 6 months) Thống kê size data and LOB: SEGMENT_NAME					Table Size (GiB) T1_JSON_EVENT_LOG				7.270996094 T1_XML_EVENT_LOG				0.932861328 T1_EVENT_NOTIFICATION			5.759033203 T1_EVENT_NOTIFICATION_HISTORY	20.65429688   SQL&gt; select count :yellow_star:  from BYTM_PROD.T1_XML_EVENT_LOG; COUNT :yellow_star: 4,070,467 SQL&gt; SQL&gt; select count :yellow_star:  from BYTM_PROD.T1_JSON_EVENT_LOG; COUNT :yellow_star: 4,070,464 SQL&gt; SQL&gt; select count :yellow_star:  from BYTM_PROD.T1_EVENT_NOTIFICATION; COUNT :yellow_star: 4,070,468 SQL&gt; SQL&gt; select count :yellow_star:  from BYTM_PROD.T1_EVENT_NOTIFICATION_HISTORY; COUNT :yellow_star: 23,518,165 – data cần DELETE (tháng 06 năm 2024) select count( ) from BYTM_PROD.T1_EVENT_NOTIFICATION where EVENT_TIME &lt; TO_DATE('01-JUL-24','DD-MON-YY') and EVENT_TIME &gt;= TO_DATE('01-JUN-24','DD-MON-YY');-- 389,232 SELECT count( ) FROM BYTM_PROD.T1_EVENT_NOTIFICATION PARTITION (SYS_P17409); – 389,232 – data cần DELETE (tháng 07 năm 2024) select count( ) from BYTM_PROD.T1_EVENT_NOTIFICATION where EVENT_TIME &lt; TO_DATE('01-AUG-24','DD-MON-YY') and EVENT_TIME &gt;= TO_DATE('01-JUL-24','DD-MON-YY');-- 394.000 SELECT count( ) FROM BYTM_PROD.T1_EVENT_NOTIFICATION PARTITION (SYS_P18034); – 394.000 – data cần DELETE (tháng 08 năm 2024) select count( ) from BYTM_PROD.T1_EVENT_NOTIFICATION where EVENT_TIME &lt; TO_DATE('01-SEP-24','DD-MON-YY') and EVENT_TIME &gt;= TO_DATE('01-AUG-24','DD-MON-YY');-- 452,758 SELECT count( ) FROM BYTM_PROD.T1_EVENT_NOTIFICATION PARTITION (SYS_P18641); – 452,758 – data cần DELETE (tháng 09 năm 2024) select count( ) from BYTM_PROD.T1_EVENT_NOTIFICATION where EVENT_TIME &lt; TO_DATE('01-OCT-24','DD-MON-YY') and EVENT_TIME &gt;= TO_DATE('01-SEP-24','DD-MON-YY');-- 381,491 SELECT count( ) FROM BYTM_PROD.T1_EVENT_NOTIFICATION PARTITION (SYS_P19291); – 381,491 – data cần DELETE (tháng 06 năm 2024) select count( ) from BYTM_PROD.T1_EVENT_NOTIFICATION_HISTORY where EVENT_TIME &lt; TO_DATE('01-JUL-24','DD-MON-YY') and EVENT_TIME &gt;= TO_DATE('01-JUN-24','DD-MON-YY');-- 2,270,247 SELECT count( ) FROM BYTM_PROD.T1_EVENT_NOTIFICATION_HISTORY PARTITION (SYS_P17414); – 2,270,247 – data cần DELETE (tháng 07 năm 2024) select count( ) from BYTM_PROD.T1_EVENT_NOTIFICATION_HISTORY where EVENT_TIME &lt; TO_DATE('01-AUG-24','DD-MON-YY') and EVENT_TIME &gt;= TO_DATE('01-JUL-24','DD-MON-YY');-- 2,293,422 SELECT count( ) FROM BYTM_PROD.T1_EVENT_NOTIFICATION_HISTORY PARTITION (SYS_P18041); – 2,293,422 – data cần DELETE (tháng 08 năm 2024) select count( ) from BYTM_PROD.T1_EVENT_NOTIFICATION_HISTORY where EVENT_TIME &lt; TO_DATE('01-SEP-24','DD-MON-YY') and EVENT_TIME &gt;= TO_DATE('01-AUG-24','DD-MON-YY');-- 2,626,068 SELECT count( ) FROM BYTM_PROD.T1_EVENT_NOTIFICATION_HISTORY PARTITION (SYS_P18646); – 2,626,068 – data cần DELETE (tháng 09 năm 2024) select count( ) from BYTM_PROD.T1_EVENT_NOTIFICATION_HISTORY where EVENT_TIME &lt; TO_DATE('01-OCT-24','DD-MON-YY') and EVENT_TIME &gt;= TO_DATE('01-SEP-24','DD-MON-YY');-- 2,201,996 SELECT count( ) FROM BYTM_PROD.T1_EVENT_NOTIFICATION_HISTORY PARTITION (SYS_P19298); – 2,201,996 – data cần DELETE (tháng 06 năm 2024) select count( ) from BYTM_PROD.T1_JSON_EVENT_LOG where EVENT_TIME &lt; TO_DATE('01-JUL-24','DD-MON-YY') and EVENT_TIME &gt;= TO_DATE('01-JUN-24','DD-MON-YY');-- 389,232 SELECT count( ) FROM BYTM_PROD.T1_JSON_EVENT_LOG PARTITION (SYS_P17419); – 389,232 – data cần DELETE (tháng 07 năm 2024) select count( ) from BYTM_PROD.T1_JSON_EVENT_LOG where EVENT_TIME &lt; TO_DATE('01-AUG-24','DD-MON-YY') and EVENT_TIME &gt;= TO_DATE('01-JUL-24','DD-MON-YY');-- 394.000 SELECT count( ) FROM BYTM_PROD.T1_JSON_EVENT_LOG PARTITION (SYS_P18046); – 394.000 – data cần DELETE (tháng 08 năm 2024) select count( ) from BYTM_PROD.T1_JSON_EVENT_LOG where EVENT_TIME &lt; TO_DATE('01-SEP-24','DD-MON-YY') and EVENT_TIME &gt;= TO_DATE('01-AUG-24','DD-MON-YY');-- 452,758 SELECT count( ) FROM BYTM_PROD.T1_JSON_EVENT_LOG PARTITION (SYS_P18651); – 452,758 – data cần DELETE (tháng 09 năm 2024) select count( ) from BYTM_PROD.T1_JSON_EVENT_LOG where EVENT_TIME &lt; TO_DATE('01-OCT-24','DD-MON-YY') and EVENT_TIME &gt;= TO_DATE('01-SEP-24','DD-MON-YY');-- 381,491 SELECT count( ) FROM BYTM_PROD.T1_JSON_EVENT_LOG PARTITION (SYS_P19303); – 381,491 – data cần DELETE (tháng 06 năm 2024) select count( ) from BYTM_PROD.T1_XML_EVENT_LOG where EVENT_TIME &lt; TO_DATE('01-JUL-24','DD-MON-YY') and EVENT_TIME &gt;= TO_DATE('01-JUN-24','DD-MON-YY');-- 389,231 SELECT count( ) FROM BYTM_PROD.T1_XML_EVENT_LOG PARTITION (SYS_P17406); – 389,231 – data cần DELETE (tháng 07 năm 2024) select count( ) from BYTM_PROD.T1_XML_EVENT_LOG where EVENT_TIME &lt; TO_DATE('01-AUG-24','DD-MON-YY') and EVENT_TIME &gt;= TO_DATE('01-JUL-24','DD-MON-YY');-- 394,005 SELECT count( ) FROM BYTM_PROD.T1_XML_EVENT_LOG PARTITION (SYS_P18033); – 394,005 – data cần DELETE (tháng 08 năm 2024) select count( ) from BYTM_PROD.T1_XML_EVENT_LOG where EVENT_TIME &lt; TO_DATE('01-SEP-24','DD-MON-YY') and EVENT_TIME &gt;= TO_DATE('01-AUG-24','DD-MON-YY');-- 452,757 SELECT count( ) FROM BYTM_PROD.T1_XML_EVENT_LOG PARTITION (SYS_P18686); – 452,757 – data cần DELETE (tháng 09 năm 2024) select count( ) from BYTM_PROD.T1_XML_EVENT_LOG where EVENT_TIME &lt; TO_DATE('01-OCT-24','DD-MON-YY') and EVENT_TIME &gt;= TO_DATE('01-SEP-24','DD-MON-YY');-- 381,487 SELECT count( ) FROM BYTM_PROD.T1_XML_EVENT_LOG PARTITION (SYS_P19290); – 381,487 ALTER TABLE BYTM_PROD.T1_EVENT_NOTIFICATION DROP PARTITION SYS_P17409 update indexes;
ALTER TABLE BYTM_PROD.T1_EVENT_NOTIFICATION DROP PARTITION SYS_P18034 update indexes;
ALTER TABLE BYTM_PROD.T1_EVENT_NOTIFICATION DROP PARTITION SYS_P18641 update indexes;
ALTER TABLE BYTM_PROD.T1_EVENT_NOTIFICATION DROP PARTITION SYS_P19291 update indexes;
ALTER TABLE BYTM_PROD.T1_EVENT_NOTIFICATION_HISTORY DROP PARTITION SYS_P17414 update indexes;
ALTER TABLE BYTM_PROD.T1_EVENT_NOTIFICATION_HISTORY DROP PARTITION SYS_P18041 update indexes;
ALTER TABLE BYTM_PROD.T1_EVENT_NOTIFICATION_HISTORY DROP PARTITION SYS_P18646 update indexes;
ALTER TABLE BYTM_PROD.T1_EVENT_NOTIFICATION_HISTORY DROP PARTITION SYS_P19298 update indexes;
ALTER TABLE BYTM_PROD.T1_JSON_EVENT_LOG DROP PARTITION SYS_P17419 update indexes;
ALTER TABLE BYTM_PROD.T1_JSON_EVENT_LOG DROP PARTITION SYS_P18046 update indexes;
ALTER TABLE BYTM_PROD.T1_JSON_EVENT_LOG DROP PARTITION SYS_P18651 update indexes;
ALTER TABLE BYTM_PROD.T1_JSON_EVENT_LOG DROP PARTITION SYS_P19303 update indexes;
ALTER TABLE BYTM_PROD.T1_XML_EVENT_LOG DROP PARTITION SYS_P17406 update indexes;
ALTER TABLE BYTM_PROD.T1_XML_EVENT_LOG DROP PARTITION SYS_P18033 update indexes;
ALTER TABLE BYTM_PROD.T1_XML_EVENT_LOG DROP PARTITION SYS_P18686 update indexes;
ALTER TABLE BYTM_PROD.T1_XML_EVENT_LOG DROP PARTITION SYS_P19290 update indexes;
commit;
/*
ALTER TABLE BYTM_PROD.T1_EVENT_NOTIFICATION TRUNCATE PARTITION SYS_P17409 update indexes online;
ALTER TABLE BYTM_PROD.T1_EVENT_NOTIFICATION TRUNCATE PARTITION SYS_P18034 update indexes online;
ALTER TABLE BYTM_PROD.T1_EVENT_NOTIFICATION TRUNCATE PARTITION SYS_P18641 update indexes online;
ALTER TABLE BYTM_PROD.T1_EVENT_NOTIFICATION TRUNCATE PARTITION SYS_P19291 update indexes online;
ALTER TABLE BYTM_PROD.T1_EVENT_NOTIFICATION_HISTORY TRUNCATE PARTITION SYS_P17414 update indexes online;
ALTER TABLE BYTM_PROD.T1_EVENT_NOTIFICATION_HISTORY TRUNCATE PARTITION SYS_P18041 update indexes online;
ALTER TABLE BYTM_PROD.T1_EVENT_NOTIFICATION_HISTORY TRUNCATE PARTITION SYS_P18646 update indexes online;
ALTER TABLE BYTM_PROD.T1_EVENT_NOTIFICATION_HISTORY TRUNCATE PARTITION SYS_P19298 update indexes online;
ALTER TABLE BYTM_PROD.T1_JSON_EVENT_LOG TRUNCATE PARTITION SYS_P17419 update indexes online;
ALTER TABLE BYTM_PROD.T1_JSON_EVENT_LOG TRUNCATE PARTITION SYS_P18046 update indexes online;
ALTER TABLE BYTM_PROD.T1_JSON_EVENT_LOG TRUNCATE PARTITION SYS_P18651 update indexes online;
ALTER TABLE BYTM_PROD.T1_JSON_EVENT_LOG TRUNCATE PARTITION SYS_P19303 update indexes online;
ALTER TABLE BYTM_PROD.T1_XML_EVENT_LOG TRUNCATE PARTITION SYS_P17406 update indexes online;
ALTER TABLE BYTM_PROD.T1_XML_EVENT_LOG TRUNCATE PARTITION SYS_P18033 update indexes online;
ALTER TABLE BYTM_PROD.T1_XML_EVENT_LOG TRUNCATE PARTITION SYS_P18686 update indexes online;
ALTER TABLE BYTM_PROD.T1_XML_EVENT_LOG TRUNCATE PARTITION SYS_P19290 update indexes online;
*/</t>
  </si>
  <si>
    <t>[Merchant-TCB] Cập nhật dữ liệu bảng tpay_request_merchant</t>
  </si>
  <si>
    <t>2025-04-04T09:52:36.096+0700</t>
  </si>
  <si>
    <t>2025-04-04T10:08:03.947+0700</t>
  </si>
  <si>
    <t>Dear team,   Nhờ team chạy giúp câu lệnh update bên dưới ạ Thông tin database https://console.cloud.google.com/sql/instances/merchant-tcb/overview?inv=1&amp;invt=AbsndA&amp;project=vinid-merchant-prod DB_MYSQL_HOST=172.31.4.108
DB_MYSQL_DATABASE=merchant_service_tcb Câu lệnh UPDATE
	tpay_request_merchant
SET
	status = 'REJECTED',
	updated_at = NOW()
WHERE
	code IN('YCBY735B', 'YCPPSSHN');</t>
  </si>
  <si>
    <t>[PROD][MTP][CAMPAIGN] Thêm mới bảng cho database mtp_campaign_magement</t>
  </si>
  <si>
    <t>2025-04-04T09:38:12.554+0700</t>
  </si>
  <si>
    <t>2025-04-04T14:35:24.488+0700</t>
  </si>
  <si>
    <t>Campaign</t>
  </si>
  <si>
    <t>Dear anh  @Nguyễn Văn Dũng  , Tối nay, team MTP có thực hiện golive service In App Message, cần thêm mới một số bảng và thêm cột/thay đổi cột, nhờ anh chạy script dưới đây để thực hiện migrate.  Thời gian thực hiện: 21h ngày 03.04.2025 script  1. CREATE NEW table + index CREATE TABLE IF NOT EXISTS mtp_campaign_campaign_rule_event (
  campaign_rule_id BIGINT NOT NULL, 
  event_name VARCHAR(255) NOT NULL, 
  version INTEGER, 
  query JSONB, 
  PRIMARY KEY (campaign_rule_id, event_name)
);
CREATE TABLE IF NOT EXISTS mtp_campaign_event_config (
  id BIGINT GENERATED BY DEFAULT AS IDENTITY PRIMARY KEY, 
  data_source_id BIGINT NOT NULL, 
  topic VARCHAR(255) NOT NULL, 
  active BOOLEAN DEFAULT TRUE
);
CREATE TABLE IF NOT EXISTS mtp_campaign_event_management (
  id BIGINT GENERATED BY DEFAULT AS IDENTITY PRIMARY KEY, 
  event_name VARCHAR(50) NOT NULL, 
  display_name VARCHAR(255), 
  description TEXT, 
  status VARCHAR(50) NOT NULL, 
  created_by BIGINT, 
  created_at TIMESTAMP WITH TIME ZONE DEFAULT CURRENT_TIMESTAMP, 
  updated_by BIGINT, 
  updated_at TIMESTAMP WITH TIME ZONE DEFAULT CURRENT_TIMESTAMP, 
  data_source_id BIGINT NOT NULL, 
  apply_all_channel BOOLEAN, 
  version INTEGER, 
  CONSTRAINT event_management_unique UNIQUE (event_name, data_source_id)
);
-- Create indexes separately
CREATE INDEX IF NOT EXISTS event_management_field_name_index ON mtp_campaign_event_management (event_name);
CREATE TABLE IF NOT EXISTS mtp_campaign_event_channel (
  event_management_id BIGINT NOT NULL, 
  channel VARCHAR(50) NOT NULL, 
  PRIMARY KEY (event_management_id, channel), 
  CONSTRAINT event_channel_event_management_id_fk FOREIGN KEY (event_management_id) REFERENCES mtp_campaign_event_management (id) ON DELETE RESTRICT ON UPDATE RESTRICT
);
CREATE TABLE IF NOT EXISTS mtp_campaign_event_schema (
  id BIGINT GENERATED BY DEFAULT AS IDENTITY PRIMARY KEY, 
  event_config_id BIGINT NOT NULL, 
  data_source_id BIGINT NOT NULL, 
  active BOOLEAN NOT NULL DEFAULT TRUE, 
  version INTEGER, 
  subject VARCHAR(255) NOT NULL, 
  schema_type VARCHAR(255) NOT NULL, 
  event_references TEXT, 
  event_schema TEXT
);
CREATE TABLE IF NOT EXISTS mtp_campaign_event_param (
  id BIGINT GENERATED BY DEFAULT AS IDENTITY PRIMARY KEY, 
  field_name VARCHAR(255) NOT NULL, 
  data_type VARCHAR(255) NOT NULL, 
  mode VARCHAR(10), 
  attribute_name VARCHAR(255), 
  description TEXT, 
  data_source_id BIGINT, 
  type VARCHAR(10), 
  visibility SMALLINT, 
  parent_id BIGINT, 
  event_name VARCHAR(255) NOT NULL
);
CREATE INDEX IF NOT EXISTS mtp_campaign_event_param_field_name_event_name_data_source_id_index ON mtp_campaign_event_param (
  field_name, event_name, data_source_id
); ALTER EXIST TABLE ALTER TABLE mtp_campaign_campaign_audit
RENAME COLUMN campaign_id TO object_id;
ALTER TABLE mtp_campaign_campaign_audit
ADD COLUMN object_type VARCHAR DEFAULT 'CAMPAIGN'; ALTER TABLE mtp_campaign_campaign ADD COLUMN iam_representation JSONB;
ALTER TABLE mtp_campaign_campaign ADD COLUMN campaign_priority JSONB;</t>
  </si>
  <si>
    <t>2025-04-03T22:38:21.469+0700</t>
  </si>
  <si>
    <t>2025-04-03T22:40:54.845+0700</t>
  </si>
  <si>
    <t>Hi team. Nhờ mọi người chạy giúp em câu lệnh sau vào vào lúc  22h ngày 3/4/2025  để đồng bộ lại dữ liệu bị lệch trong bảng  orders  và  fulfillments  ạ Link CR:  https://vinid-team.atlassian.net/browse/SH-63984 project: vincart-prod instance: main ip: 172.31.1.41 DB:  vincart_mm_order UPDATE orders o JOIN order_payments p on o.id = p.order_id 
JOIN fulfillments f on o.id = f.order_id
set o.upoint_value = p.amount, o.upoint_amount = p.amount , f.upoint_amount = p.amount, f.upoint_value = p.amount
WHERE p.payment_method_code = 'UPOINT' and o.merchant_id = 284049;</t>
  </si>
  <si>
    <t>[OMRE][Agent] Bật cấu hình force update 1.49.4</t>
  </si>
  <si>
    <t>2025-04-03T22:33:33.165+0700</t>
  </si>
  <si>
    <t>2025-04-03T22:34:25.069+0700</t>
  </si>
  <si>
    <t>Nhờ DBA chạy giúp em câu lệnh này để cập nhật version force update cho Agent app nhé ! Thời gian: 23:00 03/04/2025 INSERT INTO mobile_application_versions (version, force_update_condition, force_update_message, warning_update_condition, warning_update_message, create_by, update_by, create_time, update_time, is_supporting, application) VALUES ('1.49.4', 'true', 'all users must update to 1.49.4', 'false', '', NULL, NULL, CURRENT_TIMESTAMP, CURRENT_TIMESTAMP, '1', 'ProAgentApp') Thông tin DB : HOST = " 172.31.4.83 " PORT = 3306 DATABASE = "agent-platform"</t>
  </si>
  <si>
    <t>[OMC][CRM][MTP][MONGO] Thêm giá trị vào bảng config của content.</t>
  </si>
  <si>
    <t>2025-04-03T20:41:18.885+0700</t>
  </si>
  <si>
    <t>2025-04-03T20:41:42.344+0700</t>
  </si>
  <si>
    <t>Dear anh  @Nguyễn Văn Dũng  , Tối ngày 03.04.2025 team, MTP có thực hiện golive, trong đó cần thêm giá trị config vào collection  config_map . Nhờ anh thực hiện script dưới đây để update giá trị giúp team ạ. Thông tin database(MONGODB):  IP: omc-mtp-martech.8j11t.mongodb.net
Database: martech-content-prod //script
db.getCollection("config_map").updateOne(
    { "key": "CHANNEL", "value.code": "INAPP" },
    { $push: { "value.$.layout_type": { "code": "FULLSCREEN", "name": "Fullscreen", "icon": "layout_type_fullscreen" } } }
)
db.getCollection("config_map").updateOne(
    { "key": "CHANNEL", "value.code": "INAPP" },
    { $push: { "value.$.layout_type": { "code": "TOAST", "name": "Toast", "icon": "layout_type_toast" } } }
) Thời gian thực hiện: 20h30 ngày 03.04.2025</t>
  </si>
  <si>
    <t>[OMC][MTP][PROD] Tạo bảng mới trên omc_tidb</t>
  </si>
  <si>
    <t>2025-04-03T19:30:56.550+0700</t>
  </si>
  <si>
    <t>2025-04-03T19:31:20.296+0700</t>
  </si>
  <si>
    <t>MTP, OMC</t>
  </si>
  <si>
    <t>Dear team,  Team em có nhu cầu tạo một bảng mới, nhờ team thực hiện chạy script sau trước 21h ngày 3/4/2025. Thông tin release:    Thông tin DB:  READ_TIDB_DATABASE: omc_mtp_martech_activation
READ_TIDB_URI: 'omc-mtp-tidb.int.onemount.com:4000' Script: CREATE TABLE `omc_mtp_martech_activation`.`mtp_tracking_in_app_messages` (
  `id` varchar(36) COLLATE utf8mb4_unicode_ci NOT NULL DEFAULT (uuid()),
  `message_id` varchar(50) COLLATE utf8mb4_unicode_ci DEFAULT NULL,
  `app_id` varchar(50) COLLATE utf8mb4_unicode_ci DEFAULT NULL,
  `user_id` varchar(50) COLLATE utf8mb4_unicode_ci DEFAULT NULL,
  `content_vi_id` varchar(50) COLLATE utf8mb4_unicode_ci DEFAULT NULL,
  `content_en_id` varchar(50) COLLATE utf8mb4_unicode_ci DEFAULT NULL,
  `realtime_request` json DEFAULT NULL,
  `realtime_response` json DEFAULT NULL,
  `trigger_timestamp` timestamp NOT NULL,
  `deliver_timestamp` timestamp NOT NULL,
  `success` tinyint(1) DEFAULT '0',
  `campaign_id` varchar(50) COLLATE utf8mb4_unicode_ci DEFAULT NULL,
  `bu` bigint DEFAULT NULL,
  `data_source_id` bigint DEFAULT NULL,
  `master_code` varchar(50) COLLATE utf8mb4_unicode_ci DEFAULT NULL,
  `client_id` int DEFAULT NULL,
  `created_at` timestamp DEFAULT CURRENT_TIMESTAMP,
  `updated_at` timestamp DEFAULT CURRENT_TIMESTAMP ON UPDATE CURRENT_TIMESTAMP,
  `created_date` date GENERATED ALWAYS AS (date(`created_at`)) STORED NOT NULL,
  PRIMARY KEY (`id`,`created_date`) /*T![clustered_index] CLUSTERED */,
  KEY `mtp_tracking_in_app_messages_app_id_campaign_id_success_index` (`app_id`,`campaign_id`,`success`),
  KEY `mtp_tracking_in_app_messages_app_id_user_id_message_id_index` (`app_id`,`user_id`,`message_id`),
  KEY `mtp_tracking_in_app_messages_datapoint_index` (`created_at`,`app_id`,`campaign_id`,`success`),
  KEY `mtp_tracking_in_app_messages_created_at_client_id_index` (`created_at`,`client_id`),
  KEY `mtp_tracking_in_app_messages_content_vi_id_content_en_id_index` (`content_vi_id`,`content_en_id`),
  KEY `mtp_tracking_in_app_messages_message_id_index` (`message_id`)
) ENGINE=InnoDB DEFAULT CHARSET=utf8mb4 COLLATE=utf8mb4_unicode_ci
PARTITION BY RANGE COLUMNS(`created_date`)
(PARTITION `p2025_03` VALUES LESS THAN ('2025-04-01'),
 PARTITION `p2025_04` VALUES LESS THAN ('2025-05-01'),
 PARTITION `p2025_05` VALUES LESS THAN ('2025-06-01'),
 PARTITION `p2025_06` VALUES LESS THAN ('2025-07-01'),
 PARTITION `p2025_07` VALUES LESS THAN ('2025-08-01'),
 PARTITION `p2025_08` VALUES LESS THAN ('2025-09-01'),
 PARTITION `p2025_09` VALUES LESS THAN ('2025-10-01'),
 PARTITION `p2025_10` VALUES LESS THAN ('2025-11-01'),
 PARTITION `p2025_11` VALUES LESS THAN ('2025-12-01'),
 PARTITION `p2025_12` VALUES LESS THAN ('2026-01-01'))</t>
  </si>
  <si>
    <t>[TPAY][NON-PROD] Tạo tài khoản SFTP cho merchant CIRCLEK lấy file báo cáo đối soát</t>
  </si>
  <si>
    <t>2025-04-03T17:57:56.108+0700</t>
  </si>
  <si>
    <t>2025-04-03T17:58:42.033+0700</t>
  </si>
  <si>
    <t>Dự án Tpay cần cấp tài khoản và 1 thư mục con trong thư mục trong thư mục tpay dành cho đối tác CIRCLEK để đọc file từ sFTP server. Thông tin sFTP server cần kết nối đến: Non-prod:  35.229.130.107:2022 Nhờ team support tạo server và cấp account cho dự án. Em tên thư mục và folder ạ. Account: circlek Folder: circlek</t>
  </si>
  <si>
    <t>[TCB][ECom][PROD] Thêm cấu hình nhận file báo cáo đối soát và cập nhật cer TCB</t>
  </si>
  <si>
    <t>2025-04-03T17:56:43.737+0700</t>
  </si>
  <si>
    <t>2025-04-03T17:57:27.065+0700</t>
  </si>
  <si>
    <t>Dear các anh team DBA, Team dự án đang cần cập nhật database PROD các việc sau: 1: Bổ sung config cho merchant pilot nhận báo cáo đối soát QR 2: Cập nhật file public cer của TCB Nhờ các anh chạy script với thông tin bên dưới giúp ạ Thông tin db:  pay-tidb.int.onemount.com:4000/saas_tpay</t>
  </si>
  <si>
    <t>2025-04-03T17:12:45.583+0700</t>
  </si>
  <si>
    <t>2025-04-03T17:12:53.409+0700</t>
  </si>
  <si>
    <t>Hi team. Nhờ mọi người chạy giúp em câu lệnh sau vào vào lúc  22h ngày 3/4/2025  để phục vụ golive luồng B2B2B MerchantApp ạ project: vincart-prod instance: main ip: 172.31.1.41 DB:  vincart_mm_order ALTER TABLE imported_order_files
    ADD COLUMN file_type varchar(50) null ;
ALTER TABLE order_metas
    ADD COLUMN merchant_payment_status varchar(50) default 'UNPAID';
ALTER TABLE order_metas
    ADD COLUMN tax_amount decimal(18, 3) default 0;
ALTER TABLE refunds MODIFY COLUMN original_reference varchar(255) null</t>
  </si>
  <si>
    <t>[OMC][PS2][OneVoucher][PROD] - Hỗ trợ update database</t>
  </si>
  <si>
    <t>2025-04-03T16:35:59.669+0700</t>
  </si>
  <si>
    <t>2025-04-03T16:36:40.457+0700</t>
  </si>
  <si>
    <t>Team dự án cần update database theo câu lệnh sau, nhờ team DBA support: IP:  172.31.4.126 onevc_onejob_prod update onevc_onejob_prod.job_connection jc set jc.base_path = 'http://onevc-worker/onevc/onevc-worker' where jc.id=20;</t>
  </si>
  <si>
    <t>[OM][TCB Sales App][PROD] Cập nhật database for release 05/04/2025</t>
  </si>
  <si>
    <t>2025-04-03T16:26:39.837+0700</t>
  </si>
  <si>
    <t>2025-04-03T17:42:17.162+0700</t>
  </si>
  <si>
    <t>Hi DBA team, Dự án TCB Sales app kế hoạch release sprint 9 vào 05/04/2025, sẽ cần một số data schema change và database update như sau. Database Schema change Thời gian thực hiện: Có thể thực hiện trước 21:00 ngày 05/04/2025. Thêm mới cột không ảnh hưởng đến hệ thống đang chạy Table ảnh hưởng Action Task Script ALTER TABLE `Action`
ADD COLUMN `forceComplete` bit(1) NULL DEFAULT b'0';
ALTER TABLE `Task`
ADD COLUMN `status` varchar(255) NULL DEFAULT 'NEW'; Thông tin database Project: omd-pos-prod Instance:  main-pos-integration IP: 172.31.3.63 DB: omd_saleapp_tcb_prod</t>
  </si>
  <si>
    <t>[OMRE][AP][PROD] Thực thi câu lệnh SQL cập nhật thông tin last_modified_by cho hàng</t>
  </si>
  <si>
    <t>2025-04-03T16:17:20.987+0700</t>
  </si>
  <si>
    <t>2025-04-03T16:17:43.655+0700</t>
  </si>
  <si>
    <t>update INVENTORY_PROPERTIES SET last_modified_by = 'system' WHERE id in ('56498541-b058-464c-b73c-d879521518d0', 'f3cbbc7d-4655-4e68-91ab-a083d2771729', '160650bd-fa58-494c-8f76-3b05076970b9', '29e9d6d5-0271-47f9-9f60-44c2976e2a8e', 'd437468e-f018-4234-9aa7-813dad7c9918', '2f44b4d4-7b3e-44cd-b7e6-7a49ce7c9202', '8b920b04-bfa6-4fe5-af32-102c161da7fa', '661c63e4-1530-484f-b1e7-7111ea8d503a', '30331ffc-d823-4729-bbe6-1aa5c53c0b57')</t>
  </si>
  <si>
    <t>[VINPAY][PROD] Script update charge code March fee</t>
  </si>
  <si>
    <t>2025-04-03T15:31:13.391+0700</t>
  </si>
  <si>
    <t>2025-04-03T15:32:32.166+0700</t>
  </si>
  <si>
    <t>Hi anh. Nhờ anh chạy giúp em script này khi được approval nhé ạ. Thông tin database saas_tpay: mysql://pay-tidb.int.onemount.com:4000/saas_tpay Em gửi script ạ.  AUTO_SETTLEMENT update AUTO_SETTLEMENT set charge_code = 'DN15727'
                       where fee_period_from = '2025-03-01 00:00:00'
                       and fee_period_to = '2025-03-31 23:59:59'
                       and status = 'FAIL'
                       and merchant_code NOT IN ('VINIDPAY');</t>
  </si>
  <si>
    <t>[OMRE][HD][nonPROD] Xin cấp account mới connect DB AVM UAT phục vụ việc migrate</t>
  </si>
  <si>
    <t>2025-04-03T12:51:42.388+0700</t>
  </si>
  <si>
    <t>2025-04-03T17:05:39.043+0700</t>
  </si>
  <si>
    <t>Để phục vụ việc thực hiện task kéo thông tin về Kho giá trên UAT, nhờ team cấp giúp em account mới để connect vào DB AVM trên môi trường UAT. Server: vep-mysql-master.int.vinid.dev DB: onehs_avm_uat Username: onehs_pricingstore_uat Task thực hiện: https://vinid-team.atlassian.net/browse/OPR-15908 https://vinid-team.atlassian.net/browse/OPR-15912 Em cảm ơn ạ</t>
  </si>
  <si>
    <t xml:space="preserve">[omd][taskbox][prod] Xin grant thên quyền ALTER TABLE </t>
  </si>
  <si>
    <t>2025-04-03T11:09:40.420+0700</t>
  </si>
  <si>
    <t>2025-04-03T11:10:38.166+0700</t>
  </si>
  <si>
    <t>Hi anh Dương nhờ anh grant thêm quyền ALTER TABLE cho account omd_taskbox trên db omd_taskbox instance main project onemg-intergration-platform-prd ( https://console.cloud.google.com/sql/instances/main/overview?invt=AbtsJw&amp;project=onemg-integration-platform-prd ) phục vụ luồng job migration của service omd-taskbox ạ Em cảm ơn nhé!</t>
  </si>
  <si>
    <t>[OMD][b2b-platform][PROD] Update database b2b_user_prod</t>
  </si>
  <si>
    <t>2025-04-02T23:36:24.007+0700</t>
  </si>
  <si>
    <t>2025-04-02T23:41:11.547+0700</t>
  </si>
  <si>
    <t>Nhờ team DBA  chạy upgrade database camunda vào lúc 23h thứ 4 ngày 02/04/2025 Project: vinid-b2b-platform-prod Database: MySQL Database ip: 172.31.4.113 database name prod: b2b_user_prod Query: UPDATE CustomerUniqueGroup SET active = 0 WHERE DTYPE = 'CustomerPromotionGroup'     AND sourceType = 'MTP'     AND active &lt;&gt; 0</t>
  </si>
  <si>
    <t>Title: [OMD][b2b-platform][PROD] Update database omd_taskbox</t>
  </si>
  <si>
    <t>2025-04-02T23:23:09.030+0700</t>
  </si>
  <si>
    <t>2025-04-02T23:28:23.728+0700</t>
  </si>
  <si>
    <t>Nhờ team DBA  chạy upgrade database  vào lúc 23h thứ 4 ngày 02/04/2025 Project: onemg-integration-platform-prd Database: MySQL Instance name/ip: main / 172.31.1.118 database name prod: omd_taskbox Query: INSERT INTO ItemSequence (id, currValue, increment, name) VALUES (1, 1, 1, 'TaskCenterSeq');</t>
  </si>
  <si>
    <t>2025-04-02T23:18:40.871+0700</t>
  </si>
  <si>
    <t>2025-04-02T23:21:56.104+0700</t>
  </si>
  <si>
    <t>Dear anh Dương, Anh chạy giúp em sql script trong file ạ. Mục đích là để insert thông tin về authentication của  CDP  , dữ liệu được dùng để validate token khi client call vào ESB  Thông tb db : schema: b2b_esb project: onemg-integration-platform-prd instance: main Master IP: 172.31.1.118 Thời gian cập nhật  19/03/2025 22:00:00 Thanks anh ạ!!!!</t>
  </si>
  <si>
    <t>[OMD CDP][Prod] Execute sql migration script for golive Sprint 12</t>
  </si>
  <si>
    <t>2025-04-02T22:13:48.795+0700</t>
  </si>
  <si>
    <t>2025-04-02T23:16:49.410+0700</t>
  </si>
  <si>
    <t>Nhờ team process execute sql script trong file đính kèm để init data cho CDP với nhé ạ Due date: 22h ngày 02/04/2025 Server: OMD TiDB at  omd-tidb.int.onemount.com:4000 Database: omd_cdp_data_from_ingest omd_cdp_data_from_mtp omd_cdp_data_from_dp omd_cdp_orchestration Scripts: omd-cdp-transform-worker-v0.1.0.sql omd-cdp-ingest-worker-v0.5.0.sql</t>
  </si>
  <si>
    <t>[TMS][Prod] Execute sql migration script for Golive TMS Sprint 45 (02/04/2025)</t>
  </si>
  <si>
    <t>2025-04-02T21:50:21.690+0700</t>
  </si>
  <si>
    <t>2025-04-02T22:12:34.226+0700</t>
  </si>
  <si>
    <t>Nhờ team thực hiện migration sql cho các database sau ạ Thực hiện trước 22h ngày 02/04/2025 Database  bytm_prod  (Oracle instance on GCE oracle-primary (Private IP: 10.255.24.170) (see attachments) (theo thứ tự) tms-data-proxy-v1.12.0.sql tms-data-proxy-v1.12.0.trigger.sql Database  omd_tms_planning_prod  (SQL instance tms-mysql-01 (Private IP: 172.31.4.129)  https://console.cloud.google.com/sql/instances/tms-mysql-01/overview?project=onedc-tms-prod ) (see attachments) tms-tariff-engine-v1.8.0.sql scdf-stream-tms-data-migrate-v1.21.0.sql</t>
  </si>
  <si>
    <t>[B2B-OFS] Change database release S148(02/04/2025)</t>
  </si>
  <si>
    <t>2025-04-02T21:37:41.134+0700</t>
  </si>
  <si>
    <t>2025-04-02T21:49:40.269+0700</t>
  </si>
  <si>
    <t>Hi a Dương, Hiện tại team OFS mong muốn team DBA hỗ trợ chạy script thay đổi database cho release S148 trên prod. Nhờ team update database giúp em a. I. Thời gian: 22h ngày 02/04/2025 II. Thông tin database IP: 172.31.1.143 Database: b2b_ofs III. Query: ALTER TABLE b2b_ofs.shipping_location ADD COLUMN business_type VARCHAR(100) NULL;
ALTER TABLE b2b_ofs.shipping_location ADD COLUMN sales_rep VARCHAR(500) NULL;
ALTER TABLE b2b_ofs.shipping_location ADD COLUMN customer_group VARCHAR(500) NULL;</t>
  </si>
  <si>
    <t>2025-04-02T21:31:21.630+0700</t>
  </si>
  <si>
    <t>2025-04-02T21:36:58.751+0700</t>
  </si>
  <si>
    <t>Dear anh Dương, Anh chạy giúp em sql script trong file ạ. Mục đích là để insert thông tin về authentication của  TASKBOX  , dữ liệu được dùng để validate token khi client call vào ESB  Thông tb db : schema: b2b_esb project: onemg-integration-platform-prd instance: main Master IP: 172.31.1.118 Thời gian cập nhật  19/03/2025 22:00:00 Thanks anh ạ!!!!</t>
  </si>
  <si>
    <t>[OMC][MTP][Prod] Cập nhật dữ liệu template</t>
  </si>
  <si>
    <t>2025-04-02T15:31:24.406+0700</t>
  </si>
  <si>
    <t>2025-04-02T15:31:45.156+0700</t>
  </si>
  <si>
    <t>Team em đang có nhu cầu cập nhật một trường dữ liệu của 1 record trên DB  notification-hubs-template-prod  tại  omc-mtp-martech.8j11t.mongodb.net   Nhờ team DBA chạy giúp em script sau ạ. db.getSiblingDB("notification-hubs-template-prod").getCollection("template").
updateOne({code: "vmm_order_finalize_notification"}, {"$set": {createdBy: new NumberLong("8")}})</t>
  </si>
  <si>
    <t>Backup DB onehs_user_profile về dưới DC</t>
  </si>
  <si>
    <t>2025-04-02T14:48:12.205+0700</t>
  </si>
  <si>
    <t>2025-04-08T12:05:19.240+0700</t>
  </si>
  <si>
    <t>Do nhu cầu cần thực hiện backup thêm DB onehs_user_profile từ Cloud về dưới DC (theo flow backup 7 DB chứa dữ liệu PSII,  chi tiết )  Kính nhờ các anh team DBA hỗ trợ dump data để team kéo về DC như thông tin bên dưới giúp ạ. Thông tin DB: DB name: onehs_user_profile Hosts:  1housing.8j11t.gcp.mongodb.net:27017 1housing-shard-00-01.8j11t.gcp.mongodb.net:27017 1housing-shard-00-00.8j11t.gcp.mongodb.net:27017 1housing-shard-00-02.8j11t.gcp.mongodb.net:27017 Nơi lưu trữ: dưới DC</t>
  </si>
  <si>
    <t>[OMC][GAMI][PS2][Prod] Hỗ trợ xuất báo cáo data of campaign "Hành trình vượt trội cùng Techcombank"</t>
  </si>
  <si>
    <t>2025-04-02T14:34:59.017+0700</t>
  </si>
  <si>
    <t>2025-04-02T14:45:36.255+0700</t>
  </si>
  <si>
    <t>Hỗ trợ xuất báo cáo data of campaign "Hành trình vượt trội cùng Techcombank" cho TCB thực hiện đi comm khách hàng Host:  172.31.4.75 DB: promo_quest Query SELECT * FROM `campaign_progress` WHERE campaign_id = 27;</t>
  </si>
  <si>
    <t>[Non-PROD] [OMRE] Xin cấp account connect DB AVM UAT</t>
  </si>
  <si>
    <t>2025-04-02T14:11:33.258+0700</t>
  </si>
  <si>
    <t>2025-04-02T18:03:19.636+0700</t>
  </si>
  <si>
    <t>Để phục vụ việc thực hiện task kéo thông tin về Kho giá trên UAT, nhờ team cấp giúp em account để connect vào DB AVM trên môi trường UAT. Task thực hiện:  https://vinid-team.atlassian.net/browse/OPR-15908 https://vinid-team.atlassian.net/browse/OPR-15912</t>
  </si>
  <si>
    <t>[OM][DP][Kafka][PROD] Tạo kafka topic cho bảng onehs_hd_residential_house.SEGMENT_GEOMETRY</t>
  </si>
  <si>
    <t>2025-04-02T12:18:26.570+0700</t>
  </si>
  <si>
    <t>2025-04-02T14:33:20.333+0700</t>
  </si>
  <si>
    <t>Dear team DBA và anh Duân. Ở ticket  https://vinid-team.atlassian.net/browse/DWHV2-11160  em đang có nhu cầu kéo bảng onehs_hd_residential_house.SEGMENT_GEOMETRY PROD lên dremio. Em cần tạo topic cho bảng còn thiếu. Thông tin DB và bảng như sau: Môi trường: PROD. Host: 172.31.4.83 Port: 3306 Database: onehs_hd_residential_house Table: + onehs_hd_residential_house.SEGMENT_GEOMETRY Thanks and regards!</t>
  </si>
  <si>
    <t>2025-04-02T12:05:01.397+0700</t>
  </si>
  <si>
    <t>2025-04-02T12:25:27.101+0700</t>
  </si>
  <si>
    <t>Dear Linh, Em tạo giúp anh topic cho db này để anh kéo về đẩy dữ liệu cho TCB nhé: Host: 172.31.4.75 DB:  promo_gamezone Table:  users</t>
  </si>
  <si>
    <t>Import thay đổi một phần dữ liệu 2 bảng PROPERTY_TCB_INFOS</t>
  </si>
  <si>
    <t>2025-04-02T10:02:22.344+0700</t>
  </si>
  <si>
    <t>2025-04-02T10:02:59.742+0700</t>
  </si>
  <si>
    <t>Hi anh chị. OMRE đang cần cập nhật điều kiện nhận TCB nhận BĐS thế chấp mới, để hiển thị trên kết quả phiếu tư vấn.  Đối tượng áp dụng: Tài sản cao tầng/thấp tầng, thông tin chi tiết tòa.  Hiện tại trên phiếu tư vấn giá xuất ra, theo template hiển thị theo bộ điều kiện TCB nhận BĐS cũ, cần update bộ điều kiện mới. Nên team dự án nhờ DBA hỗ trợ import bảng bộ điều kiện TCB nhận BĐS ạ. CR:    Hiện tại thì đã update gần hết. Nhưng vẫn còn 1 số bản ghi cần update lại ạ. Thông tin: url: jdbc:mysql://omre-onehs-mysql-main.int.onemount.com:3306/onehs_housing_dictionary?useUnicode=true&amp;characterEncoding=utf8&amp;useSSL=false&amp;useLegacyDatetimeCode=false
db: onehs_housing_dictionary
table: PROPERTY_TCB_INFOS script: UPDATE PROPERTY_TCB_INFOS
SET rbg_conclusion = '1. BĐS thuộc VTN1
2. BĐS thuộc Dự án ĐTXD Khu đô thị/Dự án ĐTXD nhà ở có liên kết với Techcombank
3. BĐS đủ điều kiện nhận theo Quyết định số 105/2025/QĐ2-TCB ngày 18/03/2025 (Không bao gồm tiêu chí I.B.2.1, I.B.4.2.3 không đánh giá)'
WHERE rbg_conclusion = '1.BĐS thuộc VTN1
2.BĐS thuộc Dự án ĐTXD Khu đô thị/Dự án ĐTXD nhà ở có liên kết với Techcombank
3.BĐS đủ điều kiện nhận theo Quyết định số 148/2024/QĐ2-TCB ngày 12/06/2024 (Không bao gồm tiêu chí I.B.2.1, I.B.4.2.3 không đánh giá)';
UPDATE PROPERTY_TCB_INFOS
SET rbg_conclusion = '1. BĐS thuộc VTN2
2. BĐS thuộc Dự án ĐTXD Khu đô thị/Dự án ĐTXD nhà ở có liên kết với Techcombank
3. BĐS đủ điều kiện nhận theo Quyết định số 105/2025/QĐ2-TCB ngày 18/03/2025 (Không bao gồm tiêu chí I.B.2.1, I.B.4.2.3 không đánh giá)'
WHERE rbg_conclusion = '1.BĐS thuộc VTN2
2.BĐS thuộc Dự án ĐTXD Khu đô thị/Dự án ĐTXD nhà ở có liên kết với Techcombank
3.BĐS đủ điều kiện nhận theo Quyết định số 148/2024/QĐ2-TCB ngày 12/06/2024 (Không bao gồm tiêu chí I.B.2.1, I.B.4.2.3 không đánh giá)'; Sau khi import nhờ team support em export dữ liệu bảng  PROPERTY_TCB_INFOS  để em verify ạ:  SELECT * FROM PROPERTY_TCB_INFOS WHERE rbg_conclusion IS NOT NULL Em cảm ơn ạ.</t>
  </si>
  <si>
    <t>[VINPAY] [PROD] Script golive ngày 01/04/2025</t>
  </si>
  <si>
    <t>2025-04-01T22:42:54.684+0700</t>
  </si>
  <si>
    <t>2025-04-01T22:43:12.152+0700</t>
  </si>
  <si>
    <t>Hi anh. Nhờ anh chạy giúp em script này hôm golive  23h00   ngày 01/04/2025   ạ. Thông tin database:  jdbc:mysql://tidb.int.onemount.com:4000/vinpay_vinpay_prod_saas_ps2_general_ledger Script: UPDATE general_ledger_data_list SET data_name = 0.5
WHERE service = 'general_ledger' AND data_key = 'settlement_rate' AND data_value IN ('TPOINT', 'TPOINT_POOL');</t>
  </si>
  <si>
    <t>[OMD CDP][Prod] Tạo mới bảng DP_CARESOFT_ANALYTICS_RESULT và thêm cột cho bảng DP_CUSTOMER_GT</t>
  </si>
  <si>
    <t>2025-04-01T17:56:06.218+0700</t>
  </si>
  <si>
    <t>2025-04-01T23:10:09.063+0700</t>
  </si>
  <si>
    <t>Để phục vụ việc phát triển OMD CDP trên môi trường prod (theo ticket  https://vinid-team.atlassian.net/browse/B2B1D-55809  và  https://vinid-team.atlassian.net/browse/B2B1D-55014 ), nhờ team hỗ trợ tạo giúp em trên TiDb  omd-tidb.int.onemount.com:4000 : Database: omd_cdp_data_from_dp Review script và tạo bảng dữ liệu  omd_cdp_data_from_dp.DP_CARESOFT_ANALYTICS_RESULT : Dự kiến insert trong lần đầu chạy: ~11.7K bản ghi Script: create table if not exists omd_cdp_data_from_dp.DP_CARESOFT_ANALYTICS_RESULT (
    `id` bigint not null,
    `caresoft_ticket_id` varchar(20),
    `h_score` int,
    `s_score` int,
    `b_score` int,
    `c_score` int,
    `minus_score` int,
    `plus_score` int,
    `total_score` int,
    `os_status` varchar(20),
    `os_created_at` timestamp,
    `os_modified_at` timestamp,
    `data_sync_ts` timestamp,
    `created_date_partition` date,
    primary key (`id`, `created_date_partition`)
)
PARTITION BY RANGE COLUMNS(`created_date_partition`)
INTERVAL (1 MONTH) FIRST PARTITION LESS THAN ('2025-01-01') LAST PARTITION LESS THAN ('2027-01-01'); Review script và thêm cột cho bảng  omd_cdp_data_from_dp.DP_CUSTOMER_GT : Dự kiến insert &amp; update ~350k bản ghi Script: ALTER TABLE omd_cdp_data_from_dp.DP_CUSTOMER_GT ADD customer_subchannel varchar(70);
ALTER TABLE omd_cdp_data_from_dp.DP_CUSTOMER_GT ADD mp_customer_subchannel varchar(70); Em cảm ơn team ạ! cc anh  @Former user  , anh  @Bùi Văn Lực</t>
  </si>
  <si>
    <t>[OMRE][PROD]Export dữ liệu điều kiện nhận TCB nhận BĐS thế chấp tài sản sao tầng và thấp tầng</t>
  </si>
  <si>
    <t>2025-04-01T16:44:48.236+0700</t>
  </si>
  <si>
    <t>2025-04-01T17:11:59.187+0700</t>
  </si>
  <si>
    <t>Dear team. Hiện tại Sao Mộc đang cần export dữ liệu điều kiện nhận TCB nhận BĐS thế chấp tài sản sao tầng và thấp tầng để tra soát. Team hỗ trợ export ra file giúp em với ạ. Thông tin: url: jdbc:mysql://omre-onehs-mysql-main.int.onemount.com:3306/onehs_housing_dictionary?useUnicode=true&amp;characterEncoding=utf8&amp;useSSL=false&amp;useLegacyDatetimeCode=false
db: onehs_housing_dictionary
table: PROPERTY_TCB_INFOS
Scrip:
 - Tài sản thấp tầng: SELECT * FROM PROPERTY_TCB_INFOS WHERE rbg_conclusion IS NOT NULL E cảm ơn ạ.</t>
  </si>
  <si>
    <t>[OMRE][HD][PROD] Import thay đổi toàn bộ dữ liệu 2 bảng PROPERTY_TCB_INFOS</t>
  </si>
  <si>
    <t>2025-04-01T16:32:54.883+0700</t>
  </si>
  <si>
    <t>2025-04-01T16:41:32.236+0700</t>
  </si>
  <si>
    <t>Hi anh chị. OMRE đang cần cập nhật điều kiện nhận TCB nhận BĐS thế chấp mới, để hiển thị trên kết quả phiếu tư vấn.  Đối tượng áp dụng: Tài sản cao tầng/thấp tầng, thông tin chi tiết tòa.  Hiện tại trên phiếu tư vấn giá xuất ra, theo template hiển thị theo bộ điều kiện TCB nhận BĐS cũ, cần update bộ điều kiện mới. Nên team dự án nhờ DBA hỗ trợ import bảng bộ điều kiện TCB nhận BĐS ạ. Thông tin: url: jdbc:mysql://omre-onehs-mysql-main.int.onemount.com:3306/onehs_housing_dictionary?useUnicode=true&amp;characterEncoding=utf8&amp;useSSL=false&amp;useLegacyDatetimeCode=false
db: onehs_housing_dictionary
table: PROPERTY_TCB_INFOS   script được gửi kèm ở dưới ạ. Em cảm ơn ạ.</t>
  </si>
  <si>
    <t>[OMRE][HD][PROD]Import thay đổi toàn bộ dữ liệu 2 bảng PROPERTY_TCB_INFOS và BLOCK_MORTGAGE_INFOS</t>
  </si>
  <si>
    <t>2025-04-01T15:29:09.760+0700</t>
  </si>
  <si>
    <t>2025-04-01T15:29:24.723+0700</t>
  </si>
  <si>
    <t>Hi anh chị. OMRE đang cần cập nhật điều kiện nhận TCB nhận BĐS thế chấp mới, để hiển thị trên kết quả phiếu tư vấn.  Đối tượng áp dụng: Tài sản cao tầng/thấp tầng, thông tin chi tiết tòa.  Hiện tại trên phiếu tư vấn giá xuất ra, theo template hiển thị theo bộ điều kiện TCB nhận BĐS cũ, cần update bộ điều kiện mới. Nên team dự án nhờ DBA hỗ trợ import bảng bộ điều kiện TCB nhận BĐS ạ. Thông tin: url: jdbc:mysql://omre-onehs-mysql-main.int.onemount.com:3306/onehs_housing_dictionary?useUnicode=true&amp;characterEncoding=utf8&amp;useSSL=false&amp;useLegacyDatetimeCode=false
db: onehs_housing_dictionary
table: PROPERTY_TCB_INFOS, BLOCK_MORTGAGE_INFOS   script được gửi kèm ở dưới ạ. Em cảm ơn ạ.</t>
  </si>
  <si>
    <t>[VinID Pay][VINPAY][PROD]Script golive smartpos ngày 31/03/2025</t>
  </si>
  <si>
    <t>2025-04-01T15:23:55.499+0700</t>
  </si>
  <si>
    <t>2025-04-01T15:27:36.453+0700</t>
  </si>
  <si>
    <t>Hi anh. Nhờ anh chạy giúp em script này hôm golive  ngày 31/03/2025 (sau khi bật bảo trì)  nha ạ. Thông tin database saas_tpay: mysql://pay-tidb.int.onemount.com:4000/saas_tpay Em gửi script ạ SYSTEM_CONFIGURATION INSERT INTO SYSTEM_CONFIGURATION (SYSTEM_PARAM_CODE, SYSTEM_PARAM_NAME, SYSTEM_PARAM_VALUE, IS_ACTIVE, IS_ENCRYPTED,
                                  CREATED_BY, UPDATED_BY, UPDATED_DATE, CREATED_DATE)
VALUES ('CHECK_SEND_EMAIL_MERCHANT_SMARTPOS', 'CHECK_SEND_EMAIL_MERCHANT_SMARTPOS', '1',
        1, null, null, null, DEFAULT, DEFAULT);</t>
  </si>
  <si>
    <t>2025-04-01T12:14:42.008+0700</t>
  </si>
  <si>
    <t>2025-04-01T12:15:02.024+0700</t>
  </si>
  <si>
    <t>[VinID Pay][MQTT][PROD] tạo Bảng để phục vụ login user mqtt</t>
  </si>
  <si>
    <t>2025-04-01T11:36:14.120+0700</t>
  </si>
  <si>
    <t>2025-04-01T11:36:57.946+0700</t>
  </si>
  <si>
    <t>Anh chạy giúp e script tạo bảng cho môi trường prod phục vụ lưu user cho mqtt server ạ Tên schema:  vinpay_soundbox_mqtt_user IP:  pay-tidb.int.onemount.com:4000 CR:    create table mqtt_acl
(
    id         int unsigned auto_increment
        primary key,
    ipaddress  varchar(60)  default ''              not null,
    username   varchar(255) default ''              not null,
    clientid   varchar(255) default ''              not null,
    action     enum ('publish', 'subscribe', 'all') not null,
    permission enum ('allow', 'deny')               not null,
    topic      varchar(255) default ''              not null
)ENGINE=InnoDB DEFAULT CHARSET=utf8mb4 COLLATE=utf8mb4_unicode_ci AUTO_INCREMENT=1;
create table mqtt_user
(
    id            int unsigned auto_increment
        primary key,
    username      varchar(100)         null,
    password_hash varchar(100)         null,
    salt          varchar(35)          null,
    is_superuser  tinyint(1) default 0 null,
    created       datetime             null,
    constraint mqtt_username
        unique (username)
)ENGINE=InnoDB DEFAULT CHARSET=utf8mb4 COLLATE=utf8mb4_unicode_ci AUTO_INCREMENT=1;</t>
  </si>
  <si>
    <t>[OMC][PS2][Loyalty][PROD] Thực hiện archive dữ liệu lịch sử giao dịch Loyalty core (HOT) - 31Mar24</t>
  </si>
  <si>
    <t>2025-03-31T18:46:33.833+0700</t>
  </si>
  <si>
    <t>2025-04-01T11:34:36.739+0700</t>
  </si>
  <si>
    <t>Team DBA thực hiện theo nội dung của CR:    Các bước thực hiện: 1. Bảng TRANSACTION_HISTORY_ATTRIBUTE Data cần giữ lại: Trên DB PROD (HOT), Giữ lại data đầy đủ của 3 tháng gần nhất. (tháng 3/25, 2/25, 1/25) Trên DB COLD, Giữ lại data đầy đủ của các tháng (tháng 12/24, 11/24, 10/24) Task thực hiện: Trên DB PROD (HOT): Backup data partition tháng 12/24 của bảng TRANSACTION_HISTORY_ATTRIBUTE, sau đó đẩy lên bucket GCS để lưu trữ. Trên DB COLD: Xóa bỏ data  partition tháng 9/24 của bảng TRANSACTION_HISTORY_ATTRIBUTE Trên DB COLD: import data partition tháng 12/24 sang instance COLD Trên DB PROD (HOT) và COLD: Kiểm tra data tháng 12/24 trên COLD và HOT (Count partition, check bản ghi min(id) max(id)... ) Data partition tháng 12/24 của2 bên HOT COLD đã trùng khớp =&gt; Trên DB PROD (HOT): tiến hành DROP data partition tháng 12/24 . 2. Bảng COUNTER_TRANSACTION_HISTORY Giữ lại data đầy đủ của 6 tháng gần nhất. (tháng n-1, n-2, n-3, n-4, n-5, n-6) Data cần giữ lại: Trên DB PROD (HOT): Giữ lại data đầy đủ của 6 tháng gần nhất. (tháng 3/25, 2/25, 1/25, 12/24, 11/24, 10/24) Trên DB COLD:  data của tháng 9/2024 trở về trước Task thực hiện: Trên DB PROD (HOT): Backup toàn bộ các data partition của tháng 9/2024 trở về trước của bảng COUNTER_TRANSACTION_HISTORY, sau đó đẩy lên bucket GCS để lưu trữ. Trên DB COLD: Đã tồn tại đầy đủ data partition của tháng 9/24 trở về trước, của bảng COUNTER_TRANSACTION_HISTORY Trên DB PROD (HOT): tiến hành DROP các data partition của tháng 9/2024 trở về trước của bảng COUNTER_TRANSACTION_HISTORY Trên DB PROD (HOT): Kiểm tra lại data của bảng COUNTER_TRANSACTION_HISTORY (Count partition, check bản ghi min(id) max(id)... ) Trên DB PROD (HOT): rebuild index + rebuild PK, gather statistic table để tối ưu performance và tối ưu dung lượng. 3. Bảng POINT_TRANSACTION Giữ lại data đầy đủ của 6 tháng gần nhất. (tháng n-1, n-2, n-3, n-4, n-5, n-6) Data cần giữ lại: Trên DB PROD (HOT): Giữ lại data đầy đủ của 6 tháng gần nhất. (tháng 3/25, 2/25, 1/25, 12/24, 11/24, 10/24) Trên DB COLD:  data của tháng 9/2024 trở về trước Task thực hiện: Trên DB PROD (HOT): Backup toàn bộ các data partition của tháng 9/2024 trở về trước của bảng POINT_TRANSACTION, sau đó đẩy lên bucket GCS để lưu trữ. Trên DB COLD: Đã tồn tại đầy đủ data partition của tháng 9/24 trở về trước, của bảng POINT_TRANSACTION Trên DB PROD (HOT): tiến hành DROP các data partition của tháng 9/2024 trở về trước của bảng POINT_TRANSACTION Trên DB PROD (HOT): Kiểm tra lại data của bảng POINT_TRANSACTION (Count partition, check bản ghi min(id) max(id)... ) Trên DB PROD (HOT): rebuild index + rebuild PK, gather statistic table để tối ưu performance và tối ưu dung lượng. 4. Bảng TRANSACTION_HISTORY Giữ lại data đầy đủ của 6 tháng gần nhất. (tháng n-1, n-2, n-3, n-4, n-5, n-6) Data cần giữ lại: Trên DB PROD (HOT): Giữ lại data đầy đủ của 6 tháng gần nhất. (tháng 3/25, 2/25, 1/25, 12/24, 11/24, 10/24) Trên DB COLD:  data của tháng 9/2024 trở về trước Task thực hiện: Trên DB PROD (HOT): Backup toàn bộ các data partition của tháng 9/2024 trở về trước của bảng TRANSACTION_HISTORY, sau đó đẩy lên bucket GCS để lưu trữ. Trên DB COLD: Đã tồn tại đầy đủ data partition của tháng 9/24 trở về trước, của bảng TRANSACTION_HISTORY Trên DB PROD (HOT): tiến hành DROP các data partition của tháng 9/2024 trở về trước của bảng TRANSACTION_HISTORY Trên DB PROD (HOT): Kiểm tra lại data của bảng TRANSACTION_HISTORY (Count partition, check bản ghi min(id) max(id)... ) Trên DB PROD (HOT): rebuild index + rebuild PK, gather statistic table để tối ưu performance và tối ưu dung lượng. Thời gian thực hiện:  23h30 ngày 31Mar24 đến 2h ngày 01Apr24</t>
  </si>
  <si>
    <t>[Non-PROD] Hỗ trợ tạo user và schema database cho môi trường staging dự án thuộc TCB</t>
  </si>
  <si>
    <t>2025-03-31T18:08:08.588+0700</t>
  </si>
  <si>
    <t>2025-03-31T18:08:29.351+0700</t>
  </si>
  <si>
    <t>Nhờ team DBA Hỗ trợ tạo database cho service mới giúp team ạ: Thông tin database URL:  jdbc:mysql://tidb.int.onemount.dev:4000 Thông tin schema Tạo schemas:  saas_staging Tạo users tương ứng với schemas: Username:  saas_staging Permission: SELECT + UPDATE + DELETE tất cả table trong schema Cấu trúc các bảng và index + patition  nhờ các anh copy toàn bộ các bảng, index, patition từ schema  saas_tpay  url  jdbc:mysql://tidb.int.onemount.com:4000 Mục đích: tạo môi trường staging trước khi deployment lên PROD Em cảm ơn ạ</t>
  </si>
  <si>
    <t>[OM][DIFY][NONPROD]Tạo database cho dify trên nonnprod</t>
  </si>
  <si>
    <t>2025-03-31T17:31:58.262+0700</t>
  </si>
  <si>
    <t>2025-04-01T10:17:42.393+0700</t>
  </si>
  <si>
    <t xml:space="preserve">Nhờ team DBA tạo giúp em database cho dify trên môi trường nonprod: Instance: main-postgres-02 Instance link:  https://console.cloud.google.com/sql/instances/main-postgres-02/overview?inv=1&amp;invt=AbqDnw&amp;project=vinid-app-common-dev User: om_dify_qc Database: om_dify_plugin_qc Pass: (DBA gen giúp) User: om_dify_uat Database: om_dify_plugin_uat Pass: (DBA gen giúp) cc anh  @Vũ Văn Lĩnh  </t>
  </si>
  <si>
    <t>[OMC][PS2][Loyalty][PROD] Review merge request deploy PRD env</t>
  </si>
  <si>
    <t>2025-03-31T17:17:18.339+0700</t>
  </si>
  <si>
    <t>2025-04-02T14:47:20.392+0700</t>
  </si>
  <si>
    <t>em gửi team MR migration, nhờ team review giúp em nhé ạ  https://gitlab.id.vin/1loyalty/oneloyalty-migration/-/merge_requests/75 8</t>
  </si>
  <si>
    <t>[VinPAY][OSC] [PROD] Xin hỗ trợ tạo dữ liệu master data cho database osc</t>
  </si>
  <si>
    <t>2025-03-31T16:28:34.977+0700</t>
  </si>
  <si>
    <t>2025-03-31T16:28:53.132+0700</t>
  </si>
  <si>
    <t>Hi các anh DBA, Hiện tại team em cần update dữ liệu master data, nhờ các anh chạy giúp em câu lệnh sau với ạ. INSERT INTO MERCHANT_AUTHEN_CONFIG (merchant_id, client_id, enable) VALUES ('GOLDENGATE', 'UKZgYPxzLzxGyycndUQGsBXlhhzoLhmW', 1);
INSERT INTO MERCHANT_KEY_CONFIG (merchant_id, key_id, name, public_key, enable) VALUES ('GOLDENGATE', 'da63b47d-f1ed-409c-bcee-a6c44a597371', 'GOLDENGATE_VOUCHER', 'LS0tLS1CRUdJTiBQVUJMSUMgS0VZLS0tLS0KTUlJQklqQU5CZ2txaGtpRzl3MEJBUUVGQUFPQ0FROEFNSUlCQ2dLQ0FRRUE2TDNZakxkdU1hMVplckVxL095Qwp2UlBpbjlQQ2d4ZFhQc1o0ZUR1YzJVdTZZRU1reGxNdWc4L01qcGk1MzRXRVNvb3praXE5Y1BpR3N2Q3dpc1NECjdyS25ROU9jRDdwb3hnekJCZll4dXEvWDJUWDBxQ1FydWQzWmkzVE55NFpBSWhsZTByVWhMeWJFbEFZRGtQZFAKNkNLdmdHelpUcnZFbzF2SGZySGJGNGpYTUJMSmVMemtmVFVnajJXY2MwcGtLZVM5WU1XZXptbVJ3YUE5bUhyNwpFTDFwMHBDQW1STFA2Wm45dkQrV2NTenR0QXdKVlljMGZqTXN5Vm1mNGF5WXhvTlNhZmo3bmpCMDhHcG1QbWhuCmtzaEZRUFZHUytZOURBeXpTVFhIalpqS1dadjRyN1JrNi9RZ1o5VjdXNWZGRzhlK1RUdVZjbzJPaFpqbi9PdzgKYVFJREFRQUIKLS0tLS1FTkQgUFVCTElDIEtFWS0tLS0tCg==', 1); Thông tin DB : Tên schema:  osc IP:  pay-tidb.int.onemount.com:4000 Thanks các anh,</t>
  </si>
  <si>
    <t>2025-03-31T15:33:37.169+0700</t>
  </si>
  <si>
    <t>2025-03-31T15:41:07.789+0700</t>
  </si>
  <si>
    <t>Dear team. Hiện tại Sao Mộc đang cần export dữ liệu điều kiện nhận TCB nhận BĐS thế chấp tài sản sao tầng và thấp tầng để tra soát. Team hỗ trợ export ra file giúp em với ạ. Thông tin: url: jdbc:mysql://omre-onehs-mysql-main.int.onemount.com:3306/onehs_housing_dictionary?useUnicode=true&amp;characterEncoding=utf8&amp;useSSL=false&amp;useLegacyDatetimeCode=false
db: onehs_housing_dictionary
table: PROPERTY_TCB_INFOS, BLOCK_MORTGAGE_INFOS
Scrip:
 - Tài sản thấp tầng: SELECT * FROM PROPERTY_TCB_INFOS WHERE rbg_conclusion IS NOT NULL
 - Tài sản cao tầng: SELECT * FROM `BLOCK_MORTGAGE_INFOS` WHERE rbg_conclusion IS NOT NULL E cảm ơn ạ.</t>
  </si>
  <si>
    <t>[VinID Pay][MQTT][PROD] tạo Database để phục vụ login user mqtt</t>
  </si>
  <si>
    <t>2025-03-31T15:17:22.168+0700</t>
  </si>
  <si>
    <t>2025-03-31T15:18:06.679+0700</t>
  </si>
  <si>
    <t>Anh tạo giúp em database cho môi trường prod phục vụ lưu user cho mqtt server ạ Tên schema:  vinpay_soundbox_mqtt_user IP:  pay-tidb.int.onemount.com:4000 Nhờ anh tạo giúp em user với quyền write / read với ạ. Tên user :  vinpay_soundbox_mqtt_user</t>
  </si>
  <si>
    <t>2025-03-31T14:59:32.154+0700</t>
  </si>
  <si>
    <t>2025-03-31T14:59:42.808+0700</t>
  </si>
  <si>
    <t>Hi anh chị. OMRE đang cần cập nhật điều kiện nhận TCB nhận BĐS thế chấp mới, để hiển thị trên kết quả phiếu tư vấn.  Đối tượng áp dụng: Tài sản cao tầng/thấp tầng, thông tin chi tiết tòa.  Hiện tại trên phiếu tư vấn giá xuất ra, theo template hiển thị theo bộ điều kiện TCB nhận BĐS cũ, cần update bộ điều kiện mới. Nên team dự án nhờ DBA hỗ trợ import bảng bộ điều kiện TCB nhận BĐS ạ. Thông tin: url: jdbc:mysql://omre-onehs-mysql-main.int.onemount.com:3306/onehs_housing_dictionary?useUnicode=true&amp;characterEncoding=utf8&amp;useSSL=false&amp;useLegacyDatetimeCode=false
db: onehs_housing_dictionary
table: PROPERTY_TCB_INFOS, BLOCK_MORTGAGE_INFOS script được gửi kèm ở dưới ạ. Em cảm ơn ạ.</t>
  </si>
  <si>
    <t>2025-03-31T12:10:34.012+0700</t>
  </si>
  <si>
    <t>2025-03-31T23:11:04.128+0700</t>
  </si>
  <si>
    <t>Dear team DBA, Nhờ team thực hiện các bước sau để thực hiện cập nhật master data cho Loyalty core môi trường Production. B1: Tạo table  CREATE TABLE OLOYALTY.PS2_CST_TARGET_GROUP_310325_01
(
    "ID"                NUMBER(10, 0) GENERATED BY DEFAULT ON NULL AS IDENTITY,
    "LOYALTY_CODE"      VARCHAR2(256) NULL,
    PRIMARY KEY (ID)
); B2: Tạo table CREATE TABLE OLOYALTY.PS2_CST_TARGET_GROUP_310325_02
(
    "ID"                NUMBER(10, 0) GENERATED BY DEFAULT ON NULL AS IDENTITY,
    "LOYALTY_CODE"      VARCHAR2(256) NULL,
    PRIMARY KEY (ID)
); B3: Tạo table CREATE TABLE OLOYALTY.PS2_CST_TARGET_GROUP_310325_03
(
    "ID"                NUMBER(10, 0) GENERATED BY DEFAULT ON NULL AS IDENTITY,
    "LOYALTY_CODE"      VARCHAR2(256) NULL,
    PRIMARY KEY (ID)
); B4: Insert data từ files PS2_CST_TARGET_GROUP_310325_batch_01.sql PS2_CST_TARGET_GROUP_310325_batch_01_02.sql PS2_CST_TARGET_GROUP_310325_batch_01_03.sql PS2_CST_TARGET_GROUP_310325_batch_01_04.sql File đính kèm B5: Insert data từ file PS2_CST_TARGET_GROUP_310325_batch_02.sql File đính kèm B5: Insert data từ file PS2_CST_TARGET_GROUP_310325_batch_03.sql File đính kèm B6: Insert Member Attribute INSERT INTO OLOYALTY.MEMBER_ATTRIBUTE
(PROGRAM_ID, MEMBER_ID, PROGRAM_ATTRIBUTE_ID, VALUE, STATUS)
SELECT m.PROGRAM_ID AS ,m.id AS MEMBER_ID,423 AS PROGRAM_ATTRIBUTE_ID,'DEBITUSAGE_PV01' AS VALUE,'A' AS STATUS
FROM OLOYALTY.MEMBER m JOIN OLOYALTY.PS2_CST_TARGET_GROUP_310325_01 b ON m.PARTNER_CUSTOMER_ID = b.LOYALTY_CODE 
WHERE 1 = 1
AND m.PROGRAM_ID = 426
; Noted: Kỳ vọng có: 1048575 dòng được insert B7: Insert Member Attribute INSERT INTO OLOYALTY.MEMBER_ATTRIBUTE
(PROGRAM_ID, MEMBER_ID, PROGRAM_ATTRIBUTE_ID, VALUE, STATUS)
SELECT m.PROGRAM_ID AS ,m.id AS MEMBER_ID,423 AS PROGRAM_ATTRIBUTE_ID,'DEBITUSAGE_PV02' AS VALUE,'A' AS STATUS
FROM OLOYALTY.MEMBER m JOIN OLOYALTY.PS2_CST_TARGET_GROUP_310325_02 b ON m.PARTNER_CUSTOMER_ID = b.LOYALTY_CODE 
WHERE 1 = 1
AND m.PROGRAM_ID = 426
; Noted: Kỳ vọng có: 77842 dòng được insert B8: Insert Member Attribute INSERT INTO OLOYALTY.MEMBER_ATTRIBUTE
(PROGRAM_ID, MEMBER_ID, PROGRAM_ATTRIBUTE_ID, VALUE, STATUS)
SELECT m.PROGRAM_ID AS ,m.id AS MEMBER_ID,423 AS PROGRAM_ATTRIBUTE_ID,'DEBITUSAGE_PV03' AS VALUE,'A' AS STATUS
FROM OLOYALTY.MEMBER m JOIN OLOYALTY.PS2_CST_TARGET_GROUP_310325_03 b ON m.PARTNER_CUSTOMER_ID = b.LOYALTY_CODE 
WHERE 1 = 1
AND m.PROGRAM_ID = 426
; Noted: Kỳ vọng có: 15660 dòng được insert B9: Kiểm tra kết quả</t>
  </si>
  <si>
    <t>[VINPAY] [PROD] Script golive ngày 30/03/2025</t>
  </si>
  <si>
    <t>2025-03-30T02:26:28.696+0700</t>
  </si>
  <si>
    <t>2025-03-30T02:27:32.744+0700</t>
  </si>
  <si>
    <t>Hi anh. Nhờ anh chạy giúp em script này hôm golive  0h00   ngày 30/03/2025 (sau khi bật bảo trì)  nha ạ. Thông tin database saas_tpay: mysql://pay-tidb.int.onemount.com:4000/saas_tpay</t>
  </si>
  <si>
    <t>2025-03-29T21:35:35.758+0700</t>
  </si>
  <si>
    <t>2025-03-29T21:35:49.802+0700</t>
  </si>
  <si>
    <t>Nhờ team lấy giúp em kết quả câu lệnh SELECT trên MySQL Production như sau: Database:  mysql://omre-onehs-mysql-main.int.onemount.com:3306/onehs_e_contract Query:  SELECT * FROM `contracts` WHERE type="CONTRACT" AND entity_type="LEAD" AND sub_type="BROKERAGE_PLATFORM_CONTRACT" AND status != "CANCELLED"</t>
  </si>
  <si>
    <t>[OMD CDP][NonProd] Cấp quyền tạo index trên database omd_cdp_data_from_mtp cho user omd_cdp_tuning_performance</t>
  </si>
  <si>
    <t>2025-03-29T12:26:38.000+0700</t>
  </si>
  <si>
    <t>2025-03-29T12:29:54.876+0700</t>
  </si>
  <si>
    <t>Nhờ team thực hiện cấp quyền tạo index trên database omd_cdp_data_from_mtp_qc cho user omd_cdp_tuning_performance trên database tidb OMD trên non-prod</t>
  </si>
  <si>
    <t>[OMC][CRM][PROD] Thay đổi capacity hệ thống project vinid-crm-salesforce-prod</t>
  </si>
  <si>
    <t>2025-03-29T09:57:58.803+0700</t>
  </si>
  <si>
    <t>2025-03-31T09:17:38.351+0700</t>
  </si>
  <si>
    <t>DBA team sẽ giảm cấu hình Memorystore redis: Project: vinid-crm-salesforce-prod Instance:  mtp-martech-tcb Resource: 4GB Memory giảm về 2GB Memory</t>
  </si>
  <si>
    <t>[OMC][BASE PLATFORM][PROD] Thay đổi capacity hệ thống project omc-base-platform-prod</t>
  </si>
  <si>
    <t>2025-03-29T09:57:36.418+0700</t>
  </si>
  <si>
    <t>2025-03-31T09:17:19.703+0700</t>
  </si>
  <si>
    <t>DBA team sẽ giảm cấu hình cloudsql database postgresql backup của hệ thống Base Platform: Project: omc-base-platform-prod  Instance:  postgre-14 Resource: 8vCPU 16GB Memory giảm về 4vCPU 16GB Memory Flag:  cloudsql.enable_pgaudit=on pgaudit.log=on log_statement=all</t>
  </si>
  <si>
    <t>[VinID Pay][PROD] Thay đổi capacity hệ thống project vinpay-prod</t>
  </si>
  <si>
    <t>2025-03-29T09:57:08.499+0700</t>
  </si>
  <si>
    <t>2025-03-31T09:17:31.888+0700</t>
  </si>
  <si>
    <t>DBA team sẽ giảm cấu hình cloudsql database mysql backup của hệ thống tpay: Project: vinpay-prod  Instance:  vinpay-tidb-replica Resource: 8vCPU 32GB Memory giảm về 4vCPU 16GB Memory Flag: cloudsql_mysql_audit=on</t>
  </si>
  <si>
    <t>[OM][PROD] Thay đổi capacity hệ thống project onemg-general-prod</t>
  </si>
  <si>
    <t>2025-03-29T09:56:28.767+0700</t>
  </si>
  <si>
    <t>2025-03-31T09:17:25.874+0700</t>
  </si>
  <si>
    <t>DBA team sẽ giảm cấu hình cloudsql database mysql hệ thống Auth om: Project: onemg-general-prod Instance:  auth-om Resource: 8vCPU 32GB Memory giảm về 4vCPU 16GB Memory Flag: cloudsql_mysql_audit=on</t>
  </si>
  <si>
    <t>[PROD] Thực thi câu lệnh SQL cập nhật thông tin về giá cho hàng</t>
  </si>
  <si>
    <t>2025-03-28T17:26:20.951+0700</t>
  </si>
  <si>
    <t>2025-03-28T17:26:30.908+0700</t>
  </si>
  <si>
    <t>UPDATE INVENTORY_PROPERTIES SET reference_selling_price_net_commission = 1690000000 WHERE INVENTORY_PROPERTIES.inventory_code = 'INV.STJ4HJ'; UPDATE INVENTORY_PROPERTIES SET reference_selling_price_net_commission = 3204000000 WHERE INVENTORY_PROPERTIES.inventory_code = 'INV.NOSPM7'; UPDATE INVENTORY_PROPERTIES SET reference_selling_price_net_commission = 1840000000 WHERE INVENTORY_PROPERTIES.inventory_code = 'INV.0T3VCA'; UPDATE INVENTORY_PROPERTIES SET reference_selling_price_net_commission = 2172000000 WHERE INVENTORY_PROPERTIES.inventory_code = 'INV.KWDNIZ'; UPDATE INVENTORY_PROPERTIES SET reference_selling_price_net_commission = 3028000000 WHERE INVENTORY_PROPERTIES.inventory_code = 'INV.H8JZIV';</t>
  </si>
  <si>
    <t>2025-03-28T16:09:00.801+0700</t>
  </si>
  <si>
    <t>2025-03-28T16:14:54.639+0700</t>
  </si>
  <si>
    <t>Loyalty, OMC, PS2</t>
  </si>
  <si>
    <t>Thực hiện insert data Production cho database loyalty core theo yều từ TCB, mục đích Hỗ trợ triển khai chương trình "Hành trình vượt trội cùng Techcombank" Mail yêu cầu từ TCB (ảnh đính kèm). Nhờ team chạy script này trên PROD env của DB loyalty oracle giúp team Loyalty ạ. IP: 10.255.23.119 Service name: oneloyaltydb Port: 1521 schema app: OLOYALTY Link CR:  https://vinid-team.atlassian.net/jira/servicedesk/projects/SH/queues/issue/SH-63942</t>
  </si>
  <si>
    <t>[GAMI][PS2][Prod] Hỗ trợ xuất báo cáo để monitor campaign đang chạy</t>
  </si>
  <si>
    <t>2025-03-28T15:21:02.055+0700</t>
  </si>
  <si>
    <t>2025-03-28T15:21:21.048+0700</t>
  </si>
  <si>
    <t>Hỗ trợ xuất báo cáo để monitor campaign đang chạy Query SELECT * FROM INFORMATION_SCHEMA.PARTITIONS 
WHERE TABLE_SCHEMA = 'promo_rule_engine' 
  AND TABLE_NAME = 'data_reconciliation';</t>
  </si>
  <si>
    <t>[ECOM] [PROD] Cập nhập thông tin CYBS MID của merchant NCCHUKTV</t>
  </si>
  <si>
    <t>2025-03-28T14:15:59.705+0700</t>
  </si>
  <si>
    <t>2025-03-29T09:55:47.904+0700</t>
  </si>
  <si>
    <t>Hi anh. Nhờ anh chạy giúp em script này ạ. UPDATE ECOM_MERCHANT_CYBER
SET cyber_merchant_id = 'onemountgroup02'
WHERE merchant_code = 'NCCHUKTV'; Thông tin database saas_tpay:  mysql://pay-tidb.int.onemount.com:4000/saas_tpay</t>
  </si>
  <si>
    <t>[OMD][WMS][Prod] Revoke Permission DROP tables of database tenant vào ngày 25/08/2024.</t>
  </si>
  <si>
    <t>2025-03-28T11:43:32.889+0700</t>
  </si>
  <si>
    <t>2025-03-28T11:43:50.186+0700</t>
  </si>
  <si>
    <t>[OMD][WMS][Prod] Revoke Permission DROP tables of database tenant vào ngày 25/08/2024. WMS Project  vinid-b2b-platform-prod DB Instance main-mysql-8  (IP: 172.31.4.59) DB name và username omd_wms_pdc(username omd_wms_pdc) Bổ sung thêm quyền ALTER và DROP để thực hiện run database initialization thông qua liquibase (với quyền DROP chỉ cần cấp đến ngày 25/8/2024) User  omd_wms_core_read_only  có quyền read only trên all tables của database  omd_wms_pdc WES Project  vinid-b2b-platform-prod DB Instance main-mysql-5.7  (IP: 172.31.1.143 ) DB name và username wes_pdc (username wes_pdc) Bổ sung thêm quyền ALTER và DROP để thực hiện run database initialization thông qua liquibase (với quyền DROP chỉ cần cấp đến ngày 25/8/2024) User  read_wes  có quyền read only trên all tables của database  wes_pdc</t>
  </si>
  <si>
    <t>[OMRE] [PROD] Hỗ trợ thực hiện chạy lệnh SQL Update</t>
  </si>
  <si>
    <t>2025-03-27T21:13:18.436+0700</t>
  </si>
  <si>
    <t>2025-03-28T09:23:19.692+0700</t>
  </si>
  <si>
    <t>Hi team, bên em cần xử lý 1 vấn đề trên prod do nghiệp vụ, cần thực hiện 1 lệnh SQL, nhờ team hỗ trợ giúp em với ạ  Database:  omre-onehs-mysql-main.int.onemount.com Table:  common_workflow Thời gian thực hiện: 21h00 ngày 27/3 phục vụ release plan    Mục đích: Hệ thống em có lưu access token trong database, do thay đổi scope token nên cần thay token/refresh token mới trong database để hệ thống Prod có thể hoạt động. Do token có thời gian expire, nên chúng em sẽ lấy token vào thời điểm golive hệ thống (thời gian thực hiện bên trên), nhờ team thực hiện lệnh chạy giúp em ạ</t>
  </si>
  <si>
    <t>[VINPAY] [PROD] [PGW] Script update giao dịch cổng</t>
  </si>
  <si>
    <t>2025-03-27T18:27:11.648+0700</t>
  </si>
  <si>
    <t>2025-03-27T18:27:32.512+0700</t>
  </si>
  <si>
    <t>Hi anh Nhờ anh chạy giúp em sciprt bên dưới để update giao dịch cổng ạ update PGTBD_TRANSACTION
    set transaction_status_id  = 10,
        updated_date = current_timestamp
where payment_transaction_id in ('pg-0ft3iqHEdxgVdgcJECORfk','pg-1uUiNnPxnKsVc6rbnp9wgb','pg-2CEsl8OdJNFXBxrI56x5gV','pg-7AciE606XFz7UwNqMfrZiu','pg-8PgFLO5SsJaWtnAiBGp1KI','pg-8yyr3B8BQanFl8lx5g4d9S','pg-8ZIHsk7LAuNxhngOdLFBgG','pg-b7NICYfge5PmQ3vUwjm8eA','pg-BJUNlUB0cer4tazvPBFRgt','pg-bvxxIUb6Sm083CNxFONWaK','pg-c3U7c9WT2lI9wZPb8qQ0MP','pg-cuhqe5AwVsb0EjONbc84VI','pg-G9U4DUM6EJ2x6CYVDkIBUl','pg-JVCRUmaXUtfL8wGdEyo09q','pg-LNsVpwTlV3wjz8XqQE9kjf','pg-McLBOz0clRTWh9vxij9r9I','pg-Q3BuNPHOrtqLxkM4rdZ8E8','pg-Qy3c08bJbBmuFvOu0PRY03','pg-UemZ4TY2ZJn2A6v8Km5oVO','pg-uVXptQllQV35VxnCQtJIjN','pg-VHJsiChZDwLwv9j18MzhYI','pg-w6sVHge1Gsg6Na7HvmW9ZN','pg-wZdXiUiz9CNqEGL0skveh4','pg-zyXEmh4K98qJLuCPJnkPY3') Em gửi thông tin DB ạ 172.31.1.148:3306/pay_payment_gateway</t>
  </si>
  <si>
    <t>[Merchant-TCB] Cập nhật dữ liệu đơn vị hành chính</t>
  </si>
  <si>
    <t>2025-03-27T16:32:29.416+0700</t>
  </si>
  <si>
    <t>2025-03-28T11:39:02.979+0700</t>
  </si>
  <si>
    <t>Dear team,   Do OPS đang yêu cầu nhập đủ thông tin tỉnh/ huyện/ xã. Nhưng có  5 huyện đảo  không có đơn vị hành chính cấp xã. Nên không đi tiếp được. Nhờ team cập nhật thông tin xã (fake) theo script đính kèm để OPS có thể hoạt động nhé ạ. Thông tin database https://console.cloud.google.com/sql/instances/merchant-tcb/overview?inv=1&amp;invt=AbsndA&amp;project=vinid-merchant-prod DB_MYSQL_HOST=172.31.4.108
DB_MYSQL_DATABASE=merchant_service_tcb Câu lệnh UPDATE tcb_address_master SET ward_code='31318', ward_name = 'X. Bạch Long Vĩ' WHERE province_code = '31' AND district_code='318';
UPDATE tcb_address_master SET ward_code='45471', ward_name = 'X. Cồn Cỏ' WHERE province_code = '45' AND district_code='471';
UPDATE tcb_address_master SET ward_code='48498', ward_name = 'X. Hoàng Sa' WHERE province_code = '48' AND district_code='498';
UPDATE tcb_address_master SET ward_code='51536', ward_name = 'X. Lý Sơn' WHERE province_code = '51' AND district_code='536';
UPDATE tcb_address_master SET ward_code='77755', ward_name = 'X. Côn Đảo' WHERE province_code = '77' AND district_code='755';</t>
  </si>
  <si>
    <t>[OM][DP][Kafka][PROD] V/v tạo topic bảng mới db  promo_quest</t>
  </si>
  <si>
    <t>2025-03-27T15:01:03.069+0700</t>
  </si>
  <si>
    <t>2025-03-28T10:03:41.268+0700</t>
  </si>
  <si>
    <t>Dear Linh, Em tạo giúp anh topic cho db này để anh kéo về đẩy dữ liệu cho TCB nhé: Host: 172.31.4.75 DB: promo_quest Table:  campaign_progress ,  campaign_values ,  rule_logs</t>
  </si>
  <si>
    <t>[OM][DP][Kafka][PROD] V/v tạo topic bảng mới db  promo_rule_engine</t>
  </si>
  <si>
    <t>2025-03-27T15:00:54.767+0700</t>
  </si>
  <si>
    <t>2025-03-28T10:02:41.398+0700</t>
  </si>
  <si>
    <t>Dear Linh, Em tạo giúp anh topic cho db này để anh kéo về đẩy dữ liệu cho TCB nhé: Host:  172.31.4.75 DB: promo_rule_engine Table: rule_logs, rules</t>
  </si>
  <si>
    <t>2025-03-27T14:12:24.495+0700</t>
  </si>
  <si>
    <t>2025-03-27T14:51:05.289+0700</t>
  </si>
  <si>
    <t>[OMC][PS2][OneVoucher][PROD]Hỗ trợ update thông tin sale_price tại SO - Voucher distribution</t>
  </si>
  <si>
    <t>2025-03-27T10:54:16.072+0700</t>
  </si>
  <si>
    <t>2025-03-28T10:50:41.843+0700</t>
  </si>
  <si>
    <t>Dear anh  @Phạm Tuấn Linh   và  @Trần Mạnh Đức  support, Do 1 số ticket phát sinh đang bị sai thông tin giá bán (nguyên nhân do list voucher này đều là Cash voucher và có giá bán cho đối tác khác 0 .  Tuy nhiên, những voucher này ban đầu chỉ xuất kho cho OMC nên đang ghi nhận giá bán = 0. Sau đó, có mở thêm bán cho TCB nhưng giá bán này chưa được update nên SO item của những voucher bán cho TCB này cũng đang ghi nhận giá bán = 0) Giờ em cần update lại giá bán cho những SO item này, theo như danh sách đính kèm, nhờ mn support ạ. Em cảm ơn!</t>
  </si>
  <si>
    <t>[OMC][MTP][Prod] Grants quyền cho user dremio</t>
  </si>
  <si>
    <t>2025-03-27T09:37:00.816+0700</t>
  </si>
  <si>
    <t>2025-03-27T09:39:05.887+0700</t>
  </si>
  <si>
    <t>Dear anh  @Nguyễn Văn Dũng  , nhờ anh grants giúp em quyền cho user  sa.dremio.om.mtp-local  read path {{"tidb_omc"."omc_mtp_martech_activation"}}để verify dữ liệu sau khi sync từ ods. Best regards Dinh Quang Nguyen</t>
  </si>
  <si>
    <t>[SalesTools][Prod] Migrate inactive tuyến ngưng hoạt động</t>
  </si>
  <si>
    <t>2025-03-26T18:04:34.324+0700</t>
  </si>
  <si>
    <t>2025-03-26T18:07:25.148+0700</t>
  </si>
  <si>
    <t>Salestools cần cập nhật thông tin một số tuyến không còn hoạt động  Thông tin database để chạy file sql Instance:  https://console.cloud.google.com/sql/instances/main/overview?inv=1&amp;invt=AbqqDA&amp;project=vinid-integration-prod Database:  sales_tools</t>
  </si>
  <si>
    <t>2025-03-26T14:46:15.765+0700</t>
  </si>
  <si>
    <t>2025-03-26T14:48:24.867+0700</t>
  </si>
  <si>
    <t xml:space="preserve">Thực hiện insert data Production cho database loyalty core theo yều từ TCB, mục đích Hỗ trợ triển khai chương trình "Hành trình vượt trội cùng Techcombank" B1: Tạo bảng tạm để insert danh sách khách hàng CREATE TABLE OLOYALTY.PS2_CST_TARGET_GROUP_260325_01
(
    "ID"                NUMBER(10, 0) GENERATED BY DEFAULT ON NULL AS IDENTITY,
    "LOYALTY_CODE"      VARCHAR2(256) NULL,
    PRIMARY KEY (ID)
); B2: Insert khách hàng vào bảng  PS2_CST_TARGET_GROUP_260325_01   (4 file đính kèm) B3: Insert Member Attribute INSERT INTO OLOYALTY.MEMBER_ATTRIBUTE
(PROGRAM_ID, MEMBER_ID, PROGRAM_ATTRIBUTE_ID, VALUE, STATUS)
SELECT m.PROGRAM_ID AS ,m.id AS MEMBER_ID,423 AS PROGRAM_ATTRIBUTE_ID,'MTB_CHALLENGE_T3' AS VALUE,'A' AS STATUS
FROM OLOYALTY.MEMBER m JOIN OLOYALTY.PS2_CST_TARGET_GROUP_260325_01 b ON m.PARTNER_CUSTOMER_ID = b.LOYALTY_CODE 
WHERE 1 = 1
AND m.PROGRAM_ID = 426
;   Thời gian bắt đầu thực hiện 25/03/2025 10:00 PM Thời gian kết thúc 25/03/2025 11:00 PM Link CR:   </t>
  </si>
  <si>
    <t>2025-03-26T10:39:52.843+0700</t>
  </si>
  <si>
    <t>2025-03-26T10:59:54.332+0700</t>
  </si>
  <si>
    <t>Nhờ team chạy script này trên PROD env của DB loyalty oracle giúp team Loyalty ạ. IP: 10.255.23.119 Service name: oneloyaltydb Port: 1521 schema app: OLOYALTY Có thể chạy trong giờ hành chính.</t>
  </si>
  <si>
    <t>[OMC][MTP][PROD] Hỗ trợ tạo schema mới và tạo account truy cập.</t>
  </si>
  <si>
    <t>2025-03-26T10:17:30.163+0700</t>
  </si>
  <si>
    <t>2025-03-26T10:17:56.214+0700</t>
  </si>
  <si>
    <t>Dear a  @Nguyễn Văn Dũng  , Nhờ anh tạo schema , account mới trên  omc-mtp-tidb.int.onemount.com:4000 schema name : omc_mtp_martech_activation username : omc_mtp_martech_activation Thanks a!</t>
  </si>
  <si>
    <t>[VinID Pay][MQTT][NONPROD] tạo Database để phục vụ login user mqtt</t>
  </si>
  <si>
    <t>2025-03-25T16:59:24.282+0700</t>
  </si>
  <si>
    <t>2025-03-25T17:00:28.570+0700</t>
  </si>
  <si>
    <t>Anh tạo giúp em database cho môi trường non_prod  Tên schema: mqtt_user IP:  tidb.int.onemount.dev:4000 ============ Nhờ anh tạo giúp em user với quyền write / read với ạ. Tên user :  mqtt_user</t>
  </si>
  <si>
    <t>[OM][DP][Kafka][PROD] tạo topic bảng mới</t>
  </si>
  <si>
    <t>2025-03-25T14:24:15.249+0700</t>
  </si>
  <si>
    <t>2025-03-25T17:28:25.408+0700</t>
  </si>
  <si>
    <t>DP, Data_Platform</t>
  </si>
  <si>
    <t>Dear Linh, Em tạo giúp anh topic cho bảng trên loyalty để anh kéo về cho vận hành sử dụng với nhé: oloyalty.scheme_limit</t>
  </si>
  <si>
    <t>[Prod] Kéo dữ liệu về ODS cho dự án OMD CDP</t>
  </si>
  <si>
    <t>2025-03-25T10:18:44.547+0700</t>
  </si>
  <si>
    <t>2025-03-26T15:14:29.546+0700</t>
  </si>
  <si>
    <t>Nhờ team DBA hỗ trợ kéo  một số bảng ở cash-flow lên ODS, cụ thể: Thông tin database nguồn như sau Database instance nguồn: TiDB CDP Address omd-tidb.int.onemount.com Phân quyền:  omd_superset_internal_01 List table: Database Table Time TTL Master Data Transaction omd_cdp_orchestration segment_user   x   omd_cdp_data_from_ingest label_customer    x  </t>
  </si>
  <si>
    <t>[OMC][GAMI][PS2][PROD] Tạo bảng, add index cho release ngày 23/3/2025</t>
  </si>
  <si>
    <t>2025-03-24T22:19:43.897+0700</t>
  </si>
  <si>
    <t>2025-03-25T09:38:51.992+0700</t>
  </si>
  <si>
    <t>[PS2] Tạo bảng, add index cho release ngày 23/3/2025 DB: promo_gamezone Query: ALTER TABLE rule_logs ADD transaction_time timestamp; create index created_at
    on rule_logs (created_at); create index user_id
    on rule_logs (user_id, rule_id);</t>
  </si>
  <si>
    <t>2025-03-24T21:05:21.302+0700</t>
  </si>
  <si>
    <t>2025-03-24T21:05:46.433+0700</t>
  </si>
  <si>
    <t>Hiện tại anh em dev đang không set TTL vào các key của Redis, làm dung lượng đang phình to lên mức 4.2/5GB Nhờ anh em devops thực hiện xóa toàn bộ data trên Redis giúp team Hiện tại không có campaign gami nào đang chạy trên Production và Redis chỉ là data phụ để tăng tốc độ xử lý, không có data thì sẽ thực hiện truy vấn vào DB Thông tin Redis:  https://console.cloud.google.com/memorystore/redis/locations/asia-east1/instances/promotion-main/details/overview?inv=1&amp;invt=Abs46Q&amp;project=vinid-loyalty-prod Anh  @Đỗ Viết Sơn  approve giúp em ticket</t>
  </si>
  <si>
    <t xml:space="preserve">[OMC][PS2][Loyalty][PROD] Thực hiện đánh index </t>
  </si>
  <si>
    <t>2025-03-24T17:07:51.314+0700</t>
  </si>
  <si>
    <t>2025-03-25T00:45:36.392+0700</t>
  </si>
  <si>
    <t>Nhờ team chạy script này trên PROD env của DB loyalty oracle giúp team Loyalty ạ. IP: 10.255.23.119 Service name: oneloyaltydb Port: 1521 schema app: OLOYALTY Đánh giá độ ảnh hưởng tới DB để lựa chọn thời gian thực thi. ALTER TABLE MEMBER_ATTRIBUTE MODIFY VALUE VARCHAR2(1000);
ALTER INDEX MEMBER_ATTRIBUTE_VALUE_IDX rebuild ONLINE parallel 24;
ALTER INDEX MEMBER_ATTRIBUTE_MEMBER_ID_IDX rebuild ONLINE parallel 24; DB khuyến nghị thay đổi lệnh: -- DROP INDEX column VALUE
DROP INDEX MEMBER_ATTRIBUTE_VALUE_IDX;
-- MODIFY column VALUE
ALTER TABLE MEMBER_ATTRIBUTE MODIFY VALUE VARCHAR2(1000);
-- Recreate index
CREATE INDEX "OLOYALTY"."MEMBER_ATTRIBUTE_VALUE_IDX" ON "OLOYALTY"."MEMBER_ATTRIBUTE" ("PROGRAM_ATTRIBUTE_ID", "VALUE")  ONLINE parallel 24;
 Thời gian thực hiện:  24h 24Mar25</t>
  </si>
  <si>
    <t>[Loyalty][OMC][UAT]V/v Kiểm thử Backup and Restore DB on MSSQL Server trên project oneid-loyalty-core-prod instance oe-ms-sql 10.255.23.242</t>
  </si>
  <si>
    <t>2025-03-24T17:04:57.658+0700</t>
  </si>
  <si>
    <t>2025-03-28T12:07:00.995+0700</t>
  </si>
  <si>
    <t>Thực hiện kiểm thử Backup và Restore database MSSQL server trên project oneid-loyalty-core-prod instance oe-ms-sql 10.255.23.242 Môi trường UAT: Server:  https://console.cloud.google.com/compute/instancesDetail/zones/asia-east1-b/instances/oe-ms-sql-restore-test?hl=en&amp;inv=1&amp;invt=Abs2lw&amp;project=oneid-loyalty-core-prod Source backup GCS:  https://console.cloud.google.com/storage/browser/oneid-data-backup-prod-int/mssql/oe-ms-sql/Backup?pageState=("StorageObjectListTable" 😞 "f":"%255B%255D"))&amp;inv=1&amp;invt=Abs2mw&amp;project=vinid-app-common-prod Thực hiện: Step 1: SRE: Restore Server UAT từ snapshot Step 2: DBA Check server và phần mềm MSSQL server Step 3: Copy DB backup files mới nhất  trên GCS vào ổ đĩa trên Server UAT Step 4: DBA thực hiện restore database từ backup files (Backup FULL + Transaction logs) mới nhất đã copy từ files step 3 Step 5: DBA Check database status and data sau khi đã recovery thành công ở step 4. Step 6: DBA + SRE + DEV kiểm tra status ứng dụng sau khi DEV đã chuyển connection sang database server vừa recovery. Step 7: Thống kê RTO/ RPO</t>
  </si>
  <si>
    <t>[OM][DP][Kafka][PROD] Hỗ trợ tạo kafka topic cho bảng ở db onevc_vsm_prod</t>
  </si>
  <si>
    <t>2025-03-24T16:33:44.379+0700</t>
  </si>
  <si>
    <t>2025-03-24T17:07:26.098+0700</t>
  </si>
  <si>
    <t>Dear anh Linh, Phục vụ đẩy dữ liệu reconcile cho TCB, nhờ anh tạo kafka topic cho bảng sau: IP:  172.31.4.126:3306 DB:  onevc_vsm_prod Bảng:  ticket_user_group Em cảm ơn ạ.</t>
  </si>
  <si>
    <t>[OM][DP][Kafka][PROD] Tạo topic CDC kafka</t>
  </si>
  <si>
    <t>2025-03-24T16:33:02.052+0700</t>
  </si>
  <si>
    <t>2025-03-24T17:03:53.791+0700</t>
  </si>
  <si>
    <t>Dear các anh, Để phục vụ nhu cầu khai thác thông tin onboard hàng, nhờ các anh tạo giúp em thêm các topic dưới đây ạ. Thông tin DB Mysql PROD: IP: 172.31.4.83 Database:  onehs_housing_dictionary Table:  APPROVAL_REQUESTS2 Nhờ TO  @Former user   approve giúp ticket này.</t>
  </si>
  <si>
    <t>[OMC][PS2][OneVoucher][PROD] Xin cấp tài khoản quyền read truy cập db</t>
  </si>
  <si>
    <t>2025-03-24T16:08:32.483+0700</t>
  </si>
  <si>
    <t>2025-03-24T16:18:57.237+0700</t>
  </si>
  <si>
    <t>Hi team,  Do nhu cầu  chủ động check thông tin db trên prod  để hỗ trợ các bên liên quan trong quá trình phát triển, nhờ team  Cấp tài khoản  có quyền read  với acc thachnn3@onemount.com  (TO dự án One Voucher và Voucher Distribution) Thông tin database Voucher Distribution GCP project : vinid-loyalty-prod Instance name : voucher-distribution Instance IP : 172.31.4.82 Database name : b2b_voucher_distribution One Voucher GCP project : vinid-loyalty-prod Instance name : onevoucher Instance IP : 172.31.4.126 Database name :  onevc_onejob_prod onevc_vsm_prod onevc_vwm_prod onevc_viw_prod Thanks team.</t>
  </si>
  <si>
    <t>2025-03-24T16:04:37.040+0700</t>
  </si>
  <si>
    <t>2025-03-24T16:19:08.406+0700</t>
  </si>
  <si>
    <t>Hi các anh DBA, Hiện tại em cần update data trên prod bảng tcb_device, nhờ các anh review và approve giúp em, Thông tin database  saas_tpay: jdbc:mysql://pay-tidb.int.onemount.com:4000/saas_tpay UPDATE TCB_DEVICE t SET t.device_edition = 'DEVICE_ASSIGN_QR', t.device_hub_code ='INT', t.device_hub ='Internal Usage' WHERE t.device_serial_number = 'SDLTCBY66A1223240374';
UPDATE TCB_DEVICE t SET t.device_edition = 'DEVICE_ASSIGN_QR', t.device_hub_code ='INT', t.device_hub ='Internal Usage' WHERE t.device_serial_number = 'SDLTCBY66A1223241520';
INSERT INTO SOUNDBOX_DEVICE_MAPPING (DEVICE_ID,SERVICE,VENDOR_CODE,OM_VA_ACCOUNT,STATUS) VALUES ('SB_SDLink_Y66A_SDLTCBY66A1223240374','SOUNDBOX','RLINK','M22629629562266','ACTIVE');
INSERT INTO SOUNDBOX_DEVICE_MAPPING (DEVICE_ID,SERVICE,VENDOR_CODE,OM_VA_ACCOUNT,STATUS) VALUES ('SB_SDLink_Y66A_SDLTCBY66A1223241520','SOUNDBOX','RLINK','M22625283994687','ACTIVE'); Thanks kiuuu các anh,</t>
  </si>
  <si>
    <t>[ESB][Prod] Xin tài khoản truy cập ODS</t>
  </si>
  <si>
    <t>2025-03-24T14:49:12.021+0700</t>
  </si>
  <si>
    <t>2025-03-24T14:59:56.380+0700</t>
  </si>
  <si>
    <t>Hi a Dũng. Hiện tại để team ESB đang có nhu cầu query data từ ODS của schema  Nhờ anh tạo giúp em tài khoản để có thể kết nối được: user: omd_esb schema: omd_vinid_b2b_platform_prod_main_integration_b2b_ofs Quyền: READ Thông tin tài khoản nhờ a gửi email cho  thieu.le@onemount.com  và  quangph@onemount.com</t>
  </si>
  <si>
    <t>[OMD][vinid-b2b-platform-prod][PROD] Migrate redis k8s lên memstore</t>
  </si>
  <si>
    <t>2025-03-24T13:51:52.287+0700</t>
  </si>
  <si>
    <t>2025-03-24T15:17:54.486+0700</t>
  </si>
  <si>
    <t>Hiện tại vinid-b2b-platform-prod đang có 1 database redis k8s main redis-new Cần migrate instance này lên memstore để đảm bảo stable @Nguyễn Đức Anh  ntt nhé em</t>
  </si>
  <si>
    <t>[OMRE][onehs-prod][PROD] Migrate redis k8s lên memstore</t>
  </si>
  <si>
    <t>2025-03-24T13:49:41.753+0700</t>
  </si>
  <si>
    <t>2025-03-24T17:10:44.169+0700</t>
  </si>
  <si>
    <t>Hiện tại onehs-prod đang có 1 database redis k8s main my-oneuptime-redis Cần migrate instance này lên memstore để đảm bảo stable @Nguyễn Đức Anh  ntt nhé em</t>
  </si>
  <si>
    <t>[OMRE][NonProd] Export data schema lead_master_context_uat trên nonprod</t>
  </si>
  <si>
    <t>2025-03-24T12:37:59.253+0700</t>
  </si>
  <si>
    <t>2025-03-24T16:08:36.249+0700</t>
  </si>
  <si>
    <t>Để phục vụ dựng cụm service onehousing-lead trên môi trường e2e, nhờ anh  @Phạm Tuấn Linh  export giúp em data của schema  lead_master_context_uat  từ vm Mongo trên môi trường nonprod DB URL:  mongos-ilb.int.onemount.dev:27017</t>
  </si>
  <si>
    <t>[OMD][onedc-tms-prod][PROD] Migrate redis k8s lên memstore</t>
  </si>
  <si>
    <t>2025-03-24T11:13:19.364+0700</t>
  </si>
  <si>
    <t>2025-04-02T09:41:12.491+0700</t>
  </si>
  <si>
    <t>Hiện tại onedc-tms-prod đang có 1 database redis k8s main redis Cần migrate instance này lên memstore để đảm bảo stable @Former user   @Nguyễn Thành Tâm   ntt nhé em</t>
  </si>
  <si>
    <t>[OMC][vinid-incubator-prod][PROD] Migrate redis k8s lên memstore</t>
  </si>
  <si>
    <t>2025-03-24T11:11:34.448+0700</t>
  </si>
  <si>
    <t>2025-05-29T00:09:59.243+0700</t>
  </si>
  <si>
    <t>Hiện tại vinid-incubator-prod đang có 1 database redis k8s  dùng cho BO main redis Cần migrate instance này lên memstore để đảm bảo stable @Trần Văn An      ntt nhé em</t>
  </si>
  <si>
    <t>2025-03-24T11:10:15.948+0700</t>
  </si>
  <si>
    <t>2025-05-29T00:09:51.275+0700</t>
  </si>
  <si>
    <t>Hiện tại vinid-incubator-prod đang có 2 database redis k8s  main vbuilder-redis main redis-website Cần migrate instance này lên memstore để đảm bảo stable @Nguyễn Trọng Quý     ntt nhé em</t>
  </si>
  <si>
    <t>[OMC][vinid-service-platform][PROD] Migrate redis k8s lên memstore</t>
  </si>
  <si>
    <t>2025-03-24T10:55:51.356+0700</t>
  </si>
  <si>
    <t>2025-04-09T15:07:24.750+0700</t>
  </si>
  <si>
    <t>Hiện tại vinid-service-platform đang có 2 database redis k8s  main-1 redis-common main-1 redis-otp Cần migrate instance này lên memstore để đảm bảo stable @Nguyễn Trọng Quý     ntt nhé em</t>
  </si>
  <si>
    <t>2025-03-24T10:53:47.817+0700</t>
  </si>
  <si>
    <t>2025-04-28T09:30:15.793+0700</t>
  </si>
  <si>
    <t>[OMC][vinid-crm-salesforce-prod][PROD] Migrate redis VM và k8s lên memstore</t>
  </si>
  <si>
    <t>2025-03-24T10:42:29.382+0700</t>
  </si>
  <si>
    <t>2025-04-14T10:47:47.793+0700</t>
  </si>
  <si>
    <t>Hiện tại vinid-crm-salesforce-prod đang có 2 database redis nằm trên VM  redis-master-1 ,  redis-slave-1 và 1 database redis k8s main Helm App redis-prod Cần migrate instance này lên memstore để đảm bảo stable @Nguyễn Đình Quang    ntt nhé em</t>
  </si>
  <si>
    <t>[VINPAY] [PROD] support tcb PAT, onboard lại thiết bị gán với mid tid mới</t>
  </si>
  <si>
    <t>2025-03-24T10:22:36.780+0700</t>
  </si>
  <si>
    <t>2025-03-24T10:22:56.083+0700</t>
  </si>
  <si>
    <t>hi Anh  @Nguyễn Văn Dũng  , anh giúp e chạy script dưới để support tcb PAT gán lại thiết bị ạ. Thông tin database saas_tpay: mysql://pay-tidb.int.onemount.com:4000/saas_tpay DELETE FROM TCB_DEVICE WHERE device_serial_number = 'V1E0371993';
DELETE FROM SMARTPOS_DEVICE_MAPPING WHERE device_serial_number = 'V1E0371993';
DELETE FROM SMARTPOS_DEVICE_MAPPING_HISTORY WHERE device_serial_number = 'V1E0371993';</t>
  </si>
  <si>
    <t>[AuthOM] Update data DB auth_om</t>
  </si>
  <si>
    <t>2025-03-24T10:21:43.071+0700</t>
  </si>
  <si>
    <t>2025-03-24T10:22:19.937+0700</t>
  </si>
  <si>
    <t>Nhờ a chạy hộ e script dưới để cho qc test feature mới ạ Thông tin DB: project: onemg-general-prod instance: auth-om Master IP: 172.31.4.103 DB: auth_om Update User SET password_expired_at = CURRENT_TIMESTAMP
WHERE tenant_id = 'tpay-merchant-prod' AND username IN ('tamsp' ,'yenpt1801');
Update User SET password_expired_at = CURRENT_TIMESTAMP
WHERE tenant_id = 'tpay-merchant-prod' AND username ='anhvtqsp';</t>
  </si>
  <si>
    <t>[OMD][vinid-b2b-platform-prod][PROD] Migrate redis VM lên memstore</t>
  </si>
  <si>
    <t>2025-03-24T10:16:53.194+0700</t>
  </si>
  <si>
    <t>2025-04-08T15:31:28.418+0700</t>
  </si>
  <si>
    <t>Hiện tại vinid-b2b-platform-prod đang có 3 database redis nằm trên VM  b2b-graphql-redis-prod-02 ,  b2b-redis-prod-01 ,  b2b-redis-prod-02 Cần migrate instance này lên memstore để đảm bảo stable @Phạm Hồng Quang   ntt nhé em</t>
  </si>
  <si>
    <t>[OMC][vinticket-prod][PROD] Migrate redis VM lên memstore</t>
  </si>
  <si>
    <t>2025-03-24T10:10:22.424+0700</t>
  </si>
  <si>
    <t>2025-05-09T10:01:49.978+0700</t>
  </si>
  <si>
    <t>Hiện tại vinticket-prod đang có 2 database redis nằm trên VM  redis-master-1 , redis-slave-1 Cần migrate instance này lên memstore để đảm bảo stable @Lê Hồng Hiệp    ntt nhé em</t>
  </si>
  <si>
    <t>[OMC][vincart-prod][PROD] Migrate redis VM lên memstore</t>
  </si>
  <si>
    <t>2025-03-24T10:06:20.885+0700</t>
  </si>
  <si>
    <t>2025-03-31T14:32:48.357+0700</t>
  </si>
  <si>
    <t>Hiện tại vincart-prod đang có 2 database redis nằm trên VM  redis-vinmart-01 ,  redis-vinmart-02 Cần migrate instance này lên memstore để đảm bảo stable @Lê Hồng Hiệp    ntt nhé em https://chat.google.com/room/AAAAGf8d1Rs/-dTGWErhEX4/-dTGWErhEX4?cls=10</t>
  </si>
  <si>
    <t>[OMC][oneid-loyalty-core-prod][PROD] Migrate redis VM lên memstore</t>
  </si>
  <si>
    <t>2025-03-24T09:55:45.120+0700</t>
  </si>
  <si>
    <t>2025-04-30T19:24:43.202+0700</t>
  </si>
  <si>
    <t>Hiện tại oneid-loyalty-core-prod đang có 1 database redis nằm trên VM  oe-redis Cần migrate instance này lên memstore để đảm bảo stable @Former user   ntt nhé em</t>
  </si>
  <si>
    <t>[OM][vinid-app-monitor-prod][PROD] Migrate redis VM lên memstore</t>
  </si>
  <si>
    <t>2025-03-24T09:54:19.018+0700</t>
  </si>
  <si>
    <t>2025-03-31T15:05:59.839+0700</t>
  </si>
  <si>
    <t>Hiện tại vinid-app-monitor-prod đang có 2 database redis nằm trên VM  redis-monitor ,  redis-thanos Cần migrate instance này lên memstore để đảm bảo stable @Đinh Văn Việt  ntt nhé em</t>
  </si>
  <si>
    <t>[OM][DP][PROD] Migrate redis VM lên memstore</t>
  </si>
  <si>
    <t>2025-03-24T09:48:41.337+0700</t>
  </si>
  <si>
    <t>2025-03-31T14:24:05.891+0700</t>
  </si>
  <si>
    <t>Hiện tại onemg-dp-prod đang có 1 database redis nằm trên VM  redis Cần migrate instance này lên memstore để đảm bảo stable</t>
  </si>
  <si>
    <t>[VINPAY] [PROD] Script golive smartpos ngày 22/03/2025</t>
  </si>
  <si>
    <t>2025-03-23T12:17:16.314+0700</t>
  </si>
  <si>
    <t>2025-03-24T12:49:47.369+0700</t>
  </si>
  <si>
    <t>Hi anh. Nhờ anh chạy giúp em script này hôm golive  ngày 22/03/2025 (sau khi bật bảo trì)  nha ạ. Thông tin database saas_tpay: mysql://pay-tidb.int.onemount.com:4000/saas_tpay Em gửi script ạ  1.   SMARTPOS_MERCHANT_CONTRACT create table SMARTPOS_MERCHANT_CONTRACT
(
    id            bigint auto_increment
        primary key,
    merchant_code varchar(100)                        not null,
    contract_no   varchar(100)                        null,
    status        varchar(100)                        null,
    created_at    timestamp default CURRENT_TIMESTAMP null,
    created_by    varchar(100)                        null,
    updated_at    timestamp default CURRENT_TIMESTAMP null,
    updated_by    varchar(100)                        null,
    constraint SOFTPOS_MERCHANT_CONTRACT_UNIQUE
        unique (merchant_code)
) AUTO_ID_CACHE=1; 2.   SMARTPOS_MERCHANT_TRANSACTION_TYPE create table SMARTPOS_MERCHANT_TRANSACTION_TYPE
(
    id               bigint auto_increment
        primary key,
    merchant_code    varchar(64)                         null,
    service_code     varchar(64)                         null,
    transaction_type varchar(128)                        null,
    is_active        int       default 1                 null,
    created_at       timestamp default CURRENT_TIMESTAMP null,
    updated_at       timestamp default CURRENT_TIMESTAMP null
) AUTO_ID_CACHE 1;
create index merchant_code_service_code_index
    on SMARTPOS_MERCHANT_TRANSACTION_TYPE (merchant_code, service_code); 3.   UNIFIED_TERMINAL alter table UNIFIED_TERMINAL add merchant_code varchar(128) null after id;
alter table UNIFIED_TERMINAL add partner_id varchar(64) null after terminal_mcc;
alter table UNIFIED_TERMINAL add reason_reject varchar(500) null comment 'LÝ DO TỪ CHỐI';
alter table UNIFIED_TERMINAL add callback_time timestamp null comment 'THỜI GIAN CALLBACK'; 4.   UNIFIED_STORE alter table UNIFIED_STORE add recipient_phone_number varchar(32) null after store_name;
alter table UNIFIED_STORE add recipient_full_name varchar(256) null after recipient_phone_number;
alter table UNIFIED_STORE add recipient_address varchar(512) null after recipient_full_name;
alter table UNIFIED_STORE add address varchar(512) null after recipient_address;
alter table UNIFIED_STORE add partner_id varchar(64) null after store_industry; 5.   UNIFIED_MERCHANT_SERVICE alter table UNIFIED_MERCHANT_SERVICE add om_merchant_id varchar(64) null after tcb_merchant_id;
alter table UNIFIED_MERCHANT_SERVICE add reconcile_date_type varchar(32) null after contract_no;
alter table UNIFIED_MERCHANT_SERVICE add branch_code varchar(64) null after reconcile_date_type; 6.   SYSTEM_CONFIGURATION INSERT INTO SYSTEM_CONFIGURATION (SYSTEM_PARAM_CODE, SYSTEM_PARAM_NAME, SYSTEM_PARAM_VALUE, IS_ACTIVE, IS_ENCRYPTED, CREATED_BY, UPDATED_BY, UPDATED_DATE, CREATED_DATE) VALUES ('EMAIL_TEMPLATE_SMARTPOS_LINKED_INIT', 'Template Đề nghị phê duyệt yêu cầu gán thiết bị SmartPOS.', 'd-5f3689f5efb04dd3b7e1ad7bb16e25b9', 1, null, null, null, null, CURRENT_TIMESTAMP);
INSERT INTO SYSTEM_CONFIGURATION (SYSTEM_PARAM_CODE, SYSTEM_PARAM_NAME, SYSTEM_PARAM_VALUE, IS_ACTIVE, IS_ENCRYPTED, CREATED_BY, UPDATED_BY, UPDATED_DATE, CREATED_DATE) VALUES ('EMAIL_TEMPLATE_SMARTPOS_LINKED_REJECT', 'Template Yêu cầu gán thiết bị SmartPOS bị từ chố', 'd-89b84e9c9eb74a378728334fc539916e', 1, null, null, null, null, CURRENT_TIMESTAMP);
INSERT INTO SYSTEM_CONFIGURATION (SYSTEM_PARAM_CODE, SYSTEM_PARAM_NAME, SYSTEM_PARAM_VALUE, IS_ACTIVE, IS_ENCRYPTED, CREATED_BY, UPDATED_BY, UPDATED_DATE, CREATED_DATE) VALUES ('EMAIL_TEMPLATE_SMARTPOS_LINKED_APPROVE', 'Template Yêu cầu gán thiết bị SmartPOS được phê duyệt', 'd-823340825cdb4106865271c35ea8dc90', 1, null, null, null, null, CURRENT_TIMESTAMP);
INSERT INTO SYSTEM_CONFIGURATION (SYSTEM_PARAM_CODE, SYSTEM_PARAM_NAME, SYSTEM_PARAM_VALUE, IS_ACTIVE, IS_ENCRYPTED, CREATED_BY, UPDATED_BY, UPDATED_DATE, CREATED_DATE) VALUES ('EMAIL_DEEPLINK_SMARTPOS_LINKED', 'EMAIL_DEEPLINK_SMARTPOS_LINKED', 'https://tcb-payment.ops.onemount.com/device-smartpos/device?page_size=10&amp;tab=request&amp;page_index=0&amp;object_id=', 1, null, null, null, null, CURRENT_TIMESTAMP);
INSERT INTO SYSTEM_CONFIGURATION (SYSTEM_PARAM_CODE, SYSTEM_PARAM_NAME, SYSTEM_PARAM_VALUE, IS_ACTIVE, IS_ENCRYPTED, CREATED_BY, UPDATED_BY, UPDATED_DATE, CREATED_DATE) VALUES ('SMARTPOS_DEVICE_CHECKER_PERMISSION', 'SMARTPOS_DEVICE_CHECKER_PERMISSION', 'approve:smartpos_device_mapping', 1, null, null, null, null, CURRENT_TIMESTAMP);
INSERT INTO SYSTEM_CONFIGURATION (SYSTEM_PARAM_CODE, SYSTEM_PARAM_NAME, SYSTEM_PARAM_VALUE, IS_ACTIVE, IS_ENCRYPTED, CREATED_BY, UPDATED_BY, UPDATED_DATE, CREATED_DATE) VALUES ('EMAIL_TEMPLATE_SMARTPOS_LINKED_APPROVE_MERCHANT', 'EMAIL_TEMPLATE_SMARTPOS_LINKED_APPROVE_FOR_MERCHANT', 'd-78a44c2a54d546bab2748048f583c30e', 1, null, null, null, null, CURRENT_TIMESTAMP);</t>
  </si>
  <si>
    <t>[VINPAY] [PROD] Script golive ngày 22/03/2025</t>
  </si>
  <si>
    <t>2025-03-23T12:16:55.059+0700</t>
  </si>
  <si>
    <t>2025-03-23T12:18:17.727+0700</t>
  </si>
  <si>
    <t>Hi anh. Nhờ anh chạy giúp em script này hôm golive  ngày 22/03/2025 (sau khi bật bảo trì)  nha ạ. Thông tin database saas_tpay: mysql://pay-tidb.int.onemount.com:4000/saas_tpay Em gửi script ạ INSERT INTO LIMIT_CONFIG (limit_config_id, level, merchant_code, payment_method, min_amount, max_amount, created_by, updated_by, updated_date, created_date, is_active)
VALUES (7, 'GLOBAL', null, 'SMARTPOS_QR', 2000.00, 499999999.00, '', null, CURRENT_TIMESTAMP, CURRENT_TIMESTAMP, 1);
alter table CARD_PAYMENT_TRANSACTION_DETAIL
  add provider_error_code varchar(255) null;
alter table CARD_PAYMENT_TRANSACTION_DETAIL
  add provider_error_message text null;
alter table TRANSACTION_DETAIL
  add provider_error_code varchar(255) null; -- bảng 63tr cần thực hiện trên mysql backup trước
alter table TRANSACTION_DETAIL
  add provider_error_message text null; -- bảng 63tr cần thực hiện trên mysql backup trước
alter table CARD_PAYMENT_TRANSACTION_DETAIL
  add column transaction_operation varchar(255) null;
alter table CARD_PAYMENT_TRANSACTION_DETAIL
  add column token_ref varchar(255) null; 
create table TOKENIZATION
(
  id               varchar(50)                         not null primary key,
  updated_date     timestamp default CURRENT_TIMESTAMP null on update CURRENT_TIMESTAMP,
  created_date     timestamp default CURRENT_TIMESTAMP not null,
  created_by       varchar(255)                        null,
  updated_by       varchar(255)                        null,
  status           varchar(50)                        null,
  card_number      varchar(255)                        null,
  merchant_code    varchar(255)                        null,
  provider         varchar(50)                        null,
  token            varchar(255)                        null,
  card_name        varchar(255)                        null,
  card_issue_date  varchar(255)                        null,
  card_expire_date varchar(255)                        null,
  card_type        varchar(100)                        null, -- DOMESTIC
  card_country     varchar(255)                        null,
  card_issuer_name varchar(255)                        null,
  card_label varchar(255) null,
  card_brand varchar(255) null,
  transaction_id varchar(50) null,
  mcc                     varchar(255)                          null,
  provider_transaction_id varchar(255)                          null,
  instrument_identifier_id varchar(255) null
);
create index token_idx
  on TOKENIZATION (transaction_id, provider, status);
CREATE TABLE `REFUND_JOB_SEMI_AUTO_CONFIG` (
 `ID` bigint unsigned NOT NULL AUTO_INCREMENT,
 `SERVICE_TYPE` text NOT NULL,
 `TRANSACTION_TYPE` text NOT NULL,
 `TRANSACTION_STATUS` text NOT NULL,
 `REFUND_DATE_INTERVAL` int NOT NULL,
 `IS_ACTIVE` tinyint(1) NOT NULL,
 `CREATED_AT` timestamp DEFAULT CURRENT_TIMESTAMP,
 `UPDATED_AT` timestamp DEFAULT CURRENT_TIMESTAMP,
 PRIMARY KEY (`ID`) ,
 UNIQUE KEY `ID` (`ID`)
) ENGINE=InnoDB DEFAULT CHARSET=utf8mb4 COLLATE=utf8mb4_unicode_ci AUTO_INCREMENT=120002;
CREATE TABLE `TCB_REFUND_SEMI_AUTO_JOB_HISTORY_LOG` (
 `ID` varchar(100) NOT NULL,
 `TRANSACTION_DATE` datetime DEFAULT NULL,
 `STATE` varchar(100) DEFAULT NULL,
 `STATUS` varchar(50) DEFAULT NULL,
 `FILE_NAME` varchar(100) DEFAULT NULL,
 `ERROR_MSG` varchar(255) DEFAULT NULL,
 `ERROR_SYS_LOG` text DEFAULT NULL,
 `CREATE_AT` datetime DEFAULT NULL,
 `TRACE_ID` varchar(100) DEFAULT NULL,
 PRIMARY KEY (`ID`)
) ENGINE=InnoDB DEFAULT CHARSET=utf8mb4 COLLATE=utf8mb4_unicode_ci;
INSERT INTO REFUND_JOB_SEMI_AUTO_CONFIG
(ID, SERVICE_TYPE, TRANSACTION_TYPE, TRANSACTION_STATUS, REFUND_DATE_INTERVAL, IS_ACTIVE, CREATED_AT, UPDATED_AT)
VALUES(30006, '["ECOM_INTERNATIONAL_CARD","ECOM_DOMESTIC_CARD"]', '["REFUND"]', '["SUCCESS"]', 0, 1, '2025-02-18 16:54:14', '2025-02-18 16:54:14');
INSERT INTO FEE_SERVICE (service_code, service_name) VALUES ('SMARTPOS','SMARTPOS');
INSERT INTO FEE_CONFIG (service_code, fee_code,fee_display_name,split_type,status) VALUES ('SMARTPOS','FEE_QR','Phí giao dịch QR','Onus','1');
INSERT INTO FEE_CONFIG (service_code, fee_code,fee_display_name,split_type,status) VALUES ('SMARTPOS','FEE_MAINTENANCE','Phí sử dụng máy POS','All','1');
INSERT INTO FEE_CONFIG (service_code, fee_code,fee_display_name,split_type,status) VALUES ('SMARTPOS','FEE_DOMESTIC','Phí thẻ nội địa','Onus','1');
INSERT INTO FEE_CONFIG (service_code, fee_code,fee_display_name,split_type,status) VALUES ('SMARTPOS','FEE_INTERNATIONAL','Phí thẻ quốc tế','Onus','1');
INSERT INTO FEE_CONFIG (service_code, fee_code,fee_display_name,split_type,status) VALUES ('SMARTPOS','FEE_INTERNATIONAL_NN_VISA','Phí thẻ nước ngoài - VISA','All','1');
INSERT INTO FEE_CONFIG (service_code, fee_code,fee_display_name,split_type,status) VALUES ('SMARTPOS','FEE_INTERNATIONAL_NN_MASTER','Phí thẻ nước ngoài - MASTER','All','1');
INSERT INTO FEE_CONFIG (service_code, fee_code,fee_display_name,split_type,status) VALUES ('SMARTPOS','FEE_INTERNATIONAL_NN_JCB','Phí thẻ nước ngoài - JCB','All','1');
INSERT INTO SYSTEM_CONFIGURATION (SYSTEM_PARAM_CODE, SYSTEM_PARAM_NAME,SYSTEM_PARAM_VALUE,IS_ACTIVE) VALUES ('FEE_GROUP_SMARTPOS_1','Siêu thị/Giáo dục/ Đồ ăn nhanh','SMARTPOS_1','1');
INSERT INTO SYSTEM_CONFIGURATION (SYSTEM_PARAM_CODE, SYSTEM_PARAM_NAME,SYSTEM_PARAM_VALUE,IS_ACTIVE) VALUES ('FEE_GROUP_SMARTPOS_2','Điện tử đồ gia dụng','SMARTPOS_2','1');
INSERT INTO SYSTEM_CONFIGURATION (SYSTEM_PARAM_CODE, SYSTEM_PARAM_NAME,SYSTEM_PARAM_VALUE,IS_ACTIVE) VALUES ('FEE_GROUP_SMARTPOS_3','Lĩnh vực kinh doanh khác','SMARTPOS_3','1');
UPDATE SYSTEM_CONFIGURATION s SET s.SYSTEM_PARAM_VALUE = '{"group_1":"NON_SMB_G1","group_2":"NON_SMB_G2","group_3":"NON_SMB_G3","group_4":"SMARTPOS_1","group_5":"SMARTPOS_2","group_6":"SMARTPOS_3"}' WHERE s.SYSTEM_PARAM_CODE  = 'SELF_ONBOARD_GROUP_CODE_NON_SMB_GROUP_MAPPING';
UPDATE SYSTEM_CONFIGURATION s SET s.SYSTEM_PARAM_VALUE = 'ROC:TCBM,COC:TCBB,SMARTPAY:SMARTPOS,OMSMARTPOS:SMARTPOS,OMSOFTPOS:SOFTPOS,PANCAKE:PANCAKE,SAPO:SAPO,ONEMOUNT:TPAY,CUKCUK:CUKCUK,OMEPL:TPAY,OME:TPAY,OMEWCM:TPAY,TCBECOM:ECOM,null:TCBPOS' WHERE s.SYSTEM_PARAM_CODE = 'SYNC_DATA_PARTNER_CONFIG';
UPDATE SYSTEM_CONFIGURATION s SET s.SYSTEM_PARAM_VALUE = 'ROC:ROC,COC:COC,SMARTPAY:SMARTPAY,OMSMARTPOS:OMSMARTPOS,OMSOFTPOS:OMSOFTPOS,PANCAKE:PANCAKE,SAPO:SAPO,ONEMOUNT:ONEMOUNT,CUKCUK:CUKCUK,OMEPL:OMEPL,OME:OME,OMEWCM:OMEWCM,TCBPOS:TCBPOS,TCBECOM:TCBECOM' WHERE s.SYSTEM_PARAM_CODE = 'SYNC_DATA_CHANNEL_CARD_CONFIG';
UPDATE SYSTEM_CONFIGURATION s SET s.SYSTEM_PARAM_VALUE = 'ROC:ROC,COC:COC,SMARTPAY:SMARTPAY,OMSMARTPOS:OMSMARTPOS,OMSOFTPOS:OMSOFTPOS,PANCAKE:PANCAKE,SAPO:SAPO,ONEMOUNT:ONEMOUNT,CUKCUK:CUKCUK,OMEPL:OMEPL,OME:OME,OMEWCM:OMEWCM,TCBPOS:TCBPOS,TCBECOM:TCBECOM' WHERE s.SYSTEM_PARAM_CODE = 'SYNC_DATA_CHANNEL_QR_CONFIG';
-- ECOM QR
create index UNIFIED_MERCHANT_SERVICE_merchant_code_service_code_index
   on UNIFIED_MERCHANT_SERVICE (merchant_code, service_code);
alter table CARD_PAYMENT_TRANSACTION_DETAIL
   add `account_number` varchar(50) null;
   create index IMPORT_merchant_code_source_created_at_index_2
   on IMPORT (merchant_code, source, created_at desc);
   alter table CARD_PAYMENT_TRANSACTION_DETAIL
   add receiver_card_issuer_name varchar(100) null;
   alter table CARD_PAYMENT_TRANSACTION_DETAIL
   add receiver_card_number varchar(100) null;
   alter table CARD_PAYMENT_TRANSACTION_DETAIL
   add receiver_card_name varchar(100) null;
   alter table EXPORT_BATCH
   modify request_detail longtext null;
create table PROVIDER_SERVICE_CONFIG
(
   id           bigint auto_increment
       primary key,
   provider     varchar(100) null,
   service      varchar(100) null,
   status       varchar(50)  null,
   service_code varchar(50)  null
);
INSERT INTO PROVIDER_SERVICE_CONFIG (provider, service, status, service_code)
VALUES ('NAPAS', 'DIRECT_PAY', 'ACTIVE', 'ECOM_DOMESTIC_CARD');
INSERT INTO PROVIDER_SERVICE_CONFIG (provider, service, status, service_code)
VALUES ('NAPAS', 'REFUND', 'ACTIVE', 'ECOM_DOMESTIC_CARD');
INSERT INTO PROVIDER_SERVICE_CONFIG (provider, service, status, service_code)
VALUES ('CYBERSOURCE', 'DIRECT_PAY', 'ACTIVE', 'ECOM_INTERNATIONAL_CARD');
INSERT INTO PROVIDER_SERVICE_CONFIG (provider, service, status, service_code)
VALUES ('CYBERSOURCE', 'VOID', 'ACTIVE', 'ECOM_INTERNATIONAL_CARD');
INSERT INTO PROVIDER_SERVICE_CONFIG (provider, service, status, service_code)
VALUES ('TCB_DIRECT', 'QR247', 'ACTIVE', 'TQR');
INSERT INTO PROVIDER_SERVICE_CONFIG (provider, service, status, service_code)
VALUES ('TCB_DIRECT', 'REFUND', 'ACTIVE', 'TQR');
INSERT INTO PROVIDER_SERVICE_CONFIG (provider, service, status, service_code)
VALUES ('CYBERSOURCE', 'REFUND', 'ACTIVE', 'ECOM_INTERNATIONAL_CARD');
INSERT INTO PROVIDER_SERVICE_CONFIG (provider, service, status, service_code)
VALUES ('NAPAS', 'TOKENIZATION', 'ACTIVE', 'ECOM_DOMESTIC_CARD');
INSERT INTO PROVIDER_SERVICE_CONFIG (provider, service, status, service_code)
VALUES ('CYBERSOURCE', 'TOKENIZATION', 'ACTIVE', 'ECOM_INTERNATIONAL_CARD');
alter table CARD_PAYMENT_TRANSACTION_DETAIL
   add maker_checker_id varchar(50) null;
alter table IMPORT_REFUND
   add transaction_master_id varchar(128) null after ft_id;
INSERT INTO SYSTEM_CONFIGURATION (SYSTEM_PARAM_CODE, SYSTEM_PARAM_NAME, SYSTEM_PARAM_VALUE,
                                                          IS_ACTIVE, IS_ENCRYPTED, CREATED_BY, UPDATED_BY,
                                                          UPDATED_DATE, CREATED_DATE)
VALUES ('VOID_AND_REFUND_FILE_EXAMPLE', 'VOID_AND_REFUND_FILE_EXAMPLE', 'template_void_and_refund_v2.xlsx', 1,
       null, 'TheNam', null, null, '2025-02-18 00:00:00');
UPDATE SYSTEM_CONFIGURATION t SET t.SYSTEM_PARAM_VALUE = 'TPAY,ECOM' WHERE t.SYSTEM_PARAM_CODE = 'PAYMENT_TRANSACTION_CHANNEL';
INSERT INTO SYSTEM_CONFIGURATION (SYSTEM_PARAM_CODE, SYSTEM_PARAM_NAME, SYSTEM_PARAM_VALUE,
                                                          IS_ACTIVE, IS_ENCRYPTED, CREATED_BY, UPDATED_BY,
                                                          UPDATED_DATE, CREATED_DATE)
VALUES ('ECOM_MAX_DAY_REFUND', 'ECOM_MAX_DAY_REFUND', '-60', 1,
       null, 'TheNam', null, null, '2025-01-14 00:00:00');
INSERT INTO SYSTEM_CONFIGURATION (SYSTEM_PARAM_CODE, SYSTEM_PARAM_NAME, SYSTEM_PARAM_VALUE,
                                                          IS_ACTIVE, IS_ENCRYPTED, CREATED_BY, UPDATED_BY,
                                                          UPDATED_DATE, CREATED_DATE)
VALUES ('ECOM_TEMPLATE_ID_MAIL_QR_RECEIPT_VI', 'ECOM_TEMPLATE_ID_MAIL_QR_RECEIPT_VI', '6784c2a47783fc2f24fa8959', 1,
       null, 'TheNam', null, null, '2025-01-14 00:00:00');
INSERT INTO SYSTEM_CONFIGURATION (SYSTEM_PARAM_CODE, SYSTEM_PARAM_NAME, SYSTEM_PARAM_VALUE,
                                                          IS_ACTIVE, IS_ENCRYPTED, CREATED_BY, UPDATED_BY,
                                                          UPDATED_DATE, CREATED_DATE)
VALUES ('ECOM_TEMPLATE_ID_MAIL_QR_RECEIPT_EN', 'ECOM_TEMPLATE_ID_MAIL_QR_RECEIPT_EN', '6784c1a3c1413378d41ef4ed', 1,
       null, 'TheNam', null, null, '2025-01-14 00:00:00');
INSERT INTO SYSTEM_CONFIGURATION (SYSTEM_PARAM_CODE, SYSTEM_PARAM_NAME, SYSTEM_PARAM_VALUE,
                                                          IS_ACTIVE, IS_ENCRYPTED, CREATED_BY, UPDATED_BY,
                                                          UPDATED_DATE, CREATED_DATE)
VALUES ('ECOM_MIN_AMOUNT_TRANSACTION_QR247', 'ECOM_MIN_AMOUNT_TRANSACTION_QR247', '2000', 1,
       null, 'TheNam', null, null, '2025-01-09 00:00:00');
INSERT INTO SYSTEM_CONFIGURATION (SYSTEM_PARAM_CODE, SYSTEM_PARAM_NAME, SYSTEM_PARAM_VALUE,
                                                          IS_ACTIVE, IS_ENCRYPTED, CREATED_BY, UPDATED_BY,
                                                          UPDATED_DATE, CREATED_DATE)
VALUES ('ECOM_MAX_AMOUNT_TRANSACTION_QR247', 'ECOM_MAX_AMOUNT_TRANSACTION_QR247', '499999999', 1,
       null, 'TheNam', null, null, '2025-01-09 00:00:00');
-- Sync data txn tcb pgw / [Unified MC Portal] Bổ sung thêm thông tin giao dịch trên Portal (apply cho all dịch vụ)
alter table CARD_PAYMENT_TRANSACTION_DETAIL
   add tax decimal(38, 2) null;
alter table CARD_PAYMENT_TRANSACTION_DETAIL
   add fee decimal(38, 2) null;
alter table CARD_PAYMENT_TRANSACTION_DETAIL
   add suspect varchar(50) null;
alter table TCB_MERCHANT_TRANSACTION_CARD
   add tax decimal(38, 2) null;
alter table TCB_MERCHANT_TRANSACTION_CARD
   add fee decimal(38, 2) null;
alter table TCB_MERCHANT_TRANSACTION_CARD
   add data_source varchar(50) null;
alter table TCB_MERCHANT_TRANSACTION_CARD
   add tcb_transaction_id_pgw varchar(100) null;
UPDATE SYSTEM_CONFIGURATION t
SET t.SYSTEM_PARAM_VALUE = 'ROC:TCBM,COC:TCBB,SMARTPAY:SMARTPOS,OMSOFTPOS:SOFTPOS,PANCAKE:PANCAKE,SAPO:SAPO,ONEMOUNT:TPAY,CUKCUK:CUKCUK,OMEPL:TPAY,OME:TPAY,OMEWCM:TPAY,TCBECOM:ECOM,null:TCBPOS'
WHERE t.SYSTEM_PARAM_CODE = 'SYNC_DATA_PARTNER_CONFIG';</t>
  </si>
  <si>
    <t>[PS2] Tạo bảng, add index cho release ngày 22/3/2025</t>
  </si>
  <si>
    <t>2025-03-22T22:03:07.917+0700</t>
  </si>
  <si>
    <t>2025-03-22T22:03:22.969+0700</t>
  </si>
  <si>
    <t>Tạo bảng, add index cho release ngày 22/3/2025 DB: promo_rule_engine Query:  ALTER TABLE data_reconciliation
ADD INDEX source_loyalty_cus_id_idx (source ASC, loyalty_cus_id ASC); DB: promo_gamezone Query:  create table storages
(
    id            bigint auto_increment primary key,
    campaign_code varchar(100)                        not null,
    user_id       bigint                              not null,
    payload       json                                not null,
    created_at    timestamp default CURRENT_TIMESTAMP null,
    updated_at    timestamp default CURRENT_TIMESTAMP null,
    tenant_id     bigint                              not null,
    constraint storage_unq unique (campaign_code, user_id, tenant_id)
);
create index storage_index
    on storages (campaign_code, user_id, tenant_id);</t>
  </si>
  <si>
    <t>[Merchant][TCB] Bổ sung dữ liệu bảng `tpay_branch`</t>
  </si>
  <si>
    <t>2025-03-22T09:46:08.144+0700</t>
  </si>
  <si>
    <t>2025-03-22T09:46:37.139+0700</t>
  </si>
  <si>
    <t>Dear team,   Nhờ team chạy giúp câu lệnh insert bên dưới ạ Thông tin database https://console.cloud.google.com/sql/instances/merchant-tcb/overview?inv=1&amp;invt=AbsndA&amp;project=vinid-merchant-prod DB_MYSQL_HOST=172.31.4.108
DB_MYSQL_DATABASE=merchant_service_tcb Câu lệnh   INSERT INTO `tpay_branch` (`name`, `code`, `address`)
VALUES ('Internal Usage', 'INT', 'Số 6 Quang Trung, P. Trần Hưng Đạo, Q.Hoàn Kiếm, Hà Nội');</t>
  </si>
  <si>
    <t>[OMC][NRs][PROD] Insert attributes</t>
  </si>
  <si>
    <t>2025-03-22T08:29:53.332+0700</t>
  </si>
  <si>
    <t>2025-03-22T08:31:37.748+0700</t>
  </si>
  <si>
    <t>Hi team. Do cần bổ sung thêm attribute để phục vụ luồng đồng bộ voucher cho group banking nên nhờ mọi người chạy câu lệnh sau giúp em ạ. Câu lệnh này ko ảnh hưởng đến người dùng, có thể chạy ngay khi được approve. project: vincart-prod instance: main ip: 172.31.1.41 DB:  vincart_mm_product INSERT INTO attributes(name, status) VALUES ('voucher_audience', 'ACTIVE'), ('audience_group_type', 'ACTIVE');</t>
  </si>
  <si>
    <t>[OMC][PS2][OneVoucher][PROD] -  Team Loyalty Voucher - Thêm index cho database onevc_vsm_prod</t>
  </si>
  <si>
    <t>2025-03-21T23:05:27.271+0700</t>
  </si>
  <si>
    <t>2025-03-21T23:42:01.975+0700</t>
  </si>
  <si>
    <t>Team cần thêm index trong database sau,  nhờ team DBA support: IP:  172.31.4.126 DB:  onevc_vsm_prod ALTER TABLE onevc_vsm_prod.ticket ADD INDEX idx_ticket_user_id (user_id), ALGORITHM=INPLACE, LOCK=NONE;</t>
  </si>
  <si>
    <t>2025-03-21T16:45:41.310+0700</t>
  </si>
  <si>
    <t>2025-03-21T16:46:59.396+0700</t>
  </si>
  <si>
    <t>[OM][VHUD-IT247][PROD] Xin quyền update dữ liệu bảng SYSTEM_CONFIGURATION - ops_pay_service</t>
  </si>
  <si>
    <t>2025-03-21T16:12:29.582+0700</t>
  </si>
  <si>
    <t>2025-03-21T16:22:39.962+0700</t>
  </si>
  <si>
    <t>Dear các anh team DBA, Do nhu cầu hỗ trợ bật tắt bảo trì VA luồng H2H nên IT247 xin quyền được update bảng SYSTEM_CONFIGURATION Thông tin DB:   project: vinpay-prod Instance: low-performance Master IP: 172.31.1.149 Slave IP: 172.31.1.179 DB: ops_pay_service Danh sách user: nhatntt@onemount.com hoapd1@onemount.com thanhdv19@ onemount.com dungnt96@ onemount.com huong.le3@ onemount.com tung.hoang2@ onemount.com kien.nguyen12@ onemount.com hoang.phan@ onemount.com cuong.nguyen8@ onemount.com Em cảm ơn !</t>
  </si>
  <si>
    <t>[OMD CDP] Cập nhật lại thông tin config của job transform data</t>
  </si>
  <si>
    <t>2025-03-21T16:07:29.044+0700</t>
  </si>
  <si>
    <t>2025-03-21T16:45:37.938+0700</t>
  </si>
  <si>
    <t>Dear team DBA, Nhờ team process execute sql script dưới đây để cập nhật lại config của job transform data để team xử lý issue liên quan đến việc database bị cao tải khi migrate dữ liệu (context:  https://chat.google.com/room/AAAA_N8FVBA/ErmkfVPYIRg/ErmkfVPYIRg?cls=10 ) Due date: 21/03/2025 Host:  omd-tidb.int.onemount.com:4000 Database:  omd_cdp_data_orchestration Script: (see attachments) hotfix.omd-cdp-transform-worker-v0.0.3.sql</t>
  </si>
  <si>
    <t>2025-03-21T15:35:02.737+0700</t>
  </si>
  <si>
    <t>2025-03-21T16:07:38.392+0700</t>
  </si>
  <si>
    <t>[OMRE][OneHS_HD][nonPROD] Phân quyền insert cho db onehs_hd_residential_house_uat</t>
  </si>
  <si>
    <t>2025-03-21T12:12:19.773+0700</t>
  </si>
  <si>
    <t>2025-03-21T12:12:46.145+0700</t>
  </si>
  <si>
    <t>Hiện tại ở ticket:  https://vinid-team.atlassian.net/browse/DWHV2-10892 . Em có nhu cầu đẩy data vào database non prod. Vậy nên mong team hỗ trợ phần quyền insert cho account: Host: 172.31.0.16 User: dataplatform_ingestion Database: onehs_hd_residential_house_uat</t>
  </si>
  <si>
    <t>[OPS][PROD] tạo config bảo trì luồng va service.</t>
  </si>
  <si>
    <t>2025-03-21T09:14:02.474+0700</t>
  </si>
  <si>
    <t>2025-03-24T12:50:09.814+0700</t>
  </si>
  <si>
    <t>e gửi thông tin db ạ: có thể thực hiện sau khi được approve project: vinpay-prod Instance: low-performance Master IP: 172.31.1.149 Slave IP: 172.31.1.179 DB: ops_pay_service INSERT INTO SYSTEM_CONFIGURATION (SYSTEM_PARAM_CODE, SYSTEM_PARAM_NAME, SYSTEM_PARAM_VALUE,
                                  IS_ACTIVE, IS_ENCRYPTED, CREATED_DATE)
VALUES ('VA_MAINTENANCE_WHITELIST', 'VA_MAINTENANCE_WHITELIST', 'M22625297557899', 1, 0,
        CURRENT_TIMESTAMP);
INSERT INTO SYSTEM_CONFIGURATION (SYSTEM_PARAM_CODE, SYSTEM_PARAM_NAME, SYSTEM_PARAM_VALUE, IS_ACTIVE, IS_ENCRYPTED,
                                  CREATED_DATE)
VALUES ('VA_MAINTENANCE', 'VA_MAINTENANCE', '1', 1, 0, CURRENT_TIMESTAMP);
UPDATE VIRTUAL_ACCOUNT t SET t.IS_ACTIVE = 1 where VIRTUAL_ACCOUNT_NUMBER = 'M22629286588693';</t>
  </si>
  <si>
    <t>[OMRE] Cập nhật thông tin giá IBUY</t>
  </si>
  <si>
    <t>2025-03-21T09:13:09.100+0700</t>
  </si>
  <si>
    <t>2025-03-21T09:13:33.222+0700</t>
  </si>
  <si>
    <t>Dear team,  Do thay đổi về nguồn giá đẩy vào cho ibuy nhờ team thực hiện update giá IBUY trên prod với các bước sau:  Bỏ các nguồn giá tạm thời AVM:  Database onehs_avm: delete from price_latest where price_source = "AVM”; Cập nhật addon điều chỉnh của nguồn giá về 1: Database onehs_user_usecase: update onehs_user_usecase.inventory_pre_approved_high_rise set add_on = 1; Thanks team,</t>
  </si>
  <si>
    <t>2025-03-21T09:12:33.381+0700</t>
  </si>
  <si>
    <t>2025-03-21T09:12:46.096+0700</t>
  </si>
  <si>
    <t>Release</t>
  </si>
  <si>
    <t>Nhờ DBA chạy giúp em câu lệnh này để cập nhật version force update cho Agent app nhé ! Thời gian: 23:59 20/3/2025 INSERT INTO mobile_application_versions (version, force_update_condition, force_update_message, warning_update_condition, warning_update_message, create_by, update_by, create_time, update_time, is_supporting, application) VALUES ('1.49.3', 'true', 'all users must update to 1.49.3', 'false', '', NULL, NULL, CURRENT_TIMESTAMP, CURRENT_TIMESTAMP, '1', 'ProAgentApp') Thông tin DB : HOST = " 172.31.4.83 " PORT = 3306 DATABASE = "agent-platform"</t>
  </si>
  <si>
    <t>[OMC][MTP][PROD] Hỗ trợ migrate dữ liệu</t>
  </si>
  <si>
    <t>2025-03-21T01:42:12.678+0700</t>
  </si>
  <si>
    <t>2025-03-21T01:42:26.153+0700</t>
  </si>
  <si>
    <t>Dear a  @Nguyễn Văn Dũng  team em cần thực hiện migrate dữ liệu tracking từ ODS về các source sau :  DB  omc-mtp-tidb.int.onemount.com  / omc_mtp_tracking_events DB  omc-mtp-tidb.int.onemount.com  / omre_mtp_tracking_events Link data :    Note : Dự kiến team chạy khoảng 22h ngày 20/03. Thanks</t>
  </si>
  <si>
    <t>[OMC][MTP][PROD] Hỗ trợ kéo dữ liệu prod</t>
  </si>
  <si>
    <t>2025-03-20T18:09:01.445+0700</t>
  </si>
  <si>
    <t>2025-03-20T18:09:15.815+0700</t>
  </si>
  <si>
    <t>Dear a  @Nguyễn Văn Dũng  ,  Nhờ a thực hiện export dữ liệu từ DB:   omd-tidb.int.onemount.com Script :  select message_id, date_time, created_at
from omd_cdp_data_from_mtp.mtp_tracking_events_omd
where date_time &gt;= '2025-03-06'
  and date_time &lt; '2025-03-08'
  and created_at &gt;= '2025-03-06 23:00:00'
  and created_at &lt; '2025-03-08 00:00:00'
;
select message_id, date_time, created_at
from omd_cdp_data_from_mtp.mtp_tracking_events_omd
where date_time &gt;= '2025-03-08'
  and date_time &lt; '2025-03-11'
  and created_at &gt;= '2025-03-08 00:00:00'
  and created_at &lt; '2025-03-11 00:00:00'
;
select message_id, date_time, created_at
from omd_cdp_data_from_mtp.mtp_tracking_events_omd
where date_time &gt;= '2025-03-11'
  and date_time &lt; '2025-03-14'
  and created_at &gt;= '2025-03-11 00:00:00'
  and created_at &lt; '2025-03-13 22:00:00'
; Và thực hiện insert vào  bảng mới trên ODS có cấu trúc như sau CREATE TABLE mtp_tracking_events_omd_bk
(
    message_id     VARCHAR(50)                        NOT NULL,
    created_at     DATETIME                           NOT NULL,
    date_time      DATE                               NOT NULL,
    INDEX idx_mid (message_id)
) Thanks a.</t>
  </si>
  <si>
    <t>[OMC][PS2][OneVoucher][PROD]  Tạo thêm index theo code cho bảng store</t>
  </si>
  <si>
    <t>2025-03-20T16:35:14.217+0700</t>
  </si>
  <si>
    <t>2025-03-20T16:39:11.559+0700</t>
  </si>
  <si>
    <t>Hiện tại table store chưa có đánh index theo code nên nhờ team DBA add thêm index cho bảng này giúp ạ. Thông tin chi tiết: Thông tin database IP:  172.31.4.126 Database: onevc_vwm_prod Câu lệnh tạo: CREATE INDEX idx_code ON store (code);</t>
  </si>
  <si>
    <t>[OMC][PS2][OneVoucher][PROD] Cập nhật thông tin tỉnh thành của cửa hàng</t>
  </si>
  <si>
    <t>2025-03-20T15:57:21.722+0700</t>
  </si>
  <si>
    <t>2025-03-20T16:42:15.737+0700</t>
  </si>
  <si>
    <t>Theo yêu cầu từ ticket     thì bên em cần hỗ trợ chạy script migrate data để cập nhật lại thông tin mã tĩnh thành và địa chỉ cửa hàng theo thông tin mới. Nhờ team DBA support team chạy lệnh migrate này vào ngày  20/03/2025  với ạ! Thông tin chi tiết: Thông tin database IP:  172.31.4.126 Database: onevc_vwm_prod   Các bước migrate Tạo table tạm để lưu dữ liệu cần migrate CREATE TABLE `sheet_stores_update` (
`store_code` varchar(255) COLLATE utf8mb4_unicode_ci DEFAULT NULL,
`merchant_code` varchar(255) COLLATE utf8mb4_unicode_ci DEFAULT NULL,
`province_code` varchar(255) COLLATE utf8mb4_unicode_ci DEFAULT NULL,
`province_name` varchar(255) COLLATE utf8mb4_unicode_ci DEFAULT NULL,
`district_code` varchar(255) COLLATE utf8mb4_unicode_ci DEFAULT NULL,
`district_name` varchar(255) COLLATE utf8mb4_unicode_ci DEFAULT NULL,
`ward_code` varchar(255) COLLATE utf8mb4_unicode_ci DEFAULT NULL,
`ward_name` varchar(255) COLLATE utf8mb4_unicode_ci DEFAULT NULL,
`street` varchar(255) COLLATE utf8mb4_unicode_ci DEFAULT NULL
) ENGINE = InnoDB DEFAULT CHARSET = utf8mb4 COLLATE = utf8mb4_unicode_ci;   Tạo index cho table tạm CREATE INDEX idx_stu_store_code__merchant_code ON sheet_stores_update (store_code,merchant_code);   Đổ dữ liệu cần migrate vào bảng tạm  sheet_stores_update  bằng file  sheet_stores_update.sql   hoặc  store_migrate.csv  trong file đính kèm.   Thực hiện update data bằng câu lệnh UPDATE
	store s
JOIN sheet_stores_update t ON
	s.code = t.store_code
JOIN chain c ON
	s.chain_id = c.id
JOIN corporation corp ON
	c.corporation_id = corp.id
SET
	s.province_code = t.province_code,
	s.district_code = t.district_code,
	s.ward_code = t.ward_code,
	s.address = CONCAT_WS(", ", t.street, t.ward_name, t.district_name, t.province_name)
WHERE
	(t.merchant_code = c.code
		OR t.merchant_code = corp.code)
	AND t.store_code = s.code;   Xóa table tạm  sheet_stores_update  bằng lệnh DROP TABLE IF EXISTS sheet_stores_update;</t>
  </si>
  <si>
    <t>2025-03-20T15:47:01.305+0700</t>
  </si>
  <si>
    <t>2025-03-21T10:45:55.786+0700</t>
  </si>
  <si>
    <t>em gửi team MR migration, nhờ team review giúp em nhé ạ  https://gitlab.id.vin/1loyalty/oneloyalty-migration/-/merge_requests/753</t>
  </si>
  <si>
    <t>[OMC][NRs][PROD] Update voucher_accepted_merchants</t>
  </si>
  <si>
    <t>2025-03-20T15:46:18.236+0700</t>
  </si>
  <si>
    <t>2025-03-21T10:45:32.557+0700</t>
  </si>
  <si>
    <t>Hi team. Do cần migrate lại dữ liệu để phục vụ hiển thị merchant trên 2 kênh ONEU &amp; TCB nên nhờ mọi người hỗ trợ chạy  câu lệnh sau giúp em ạ.  Thởi gian thực hiện dự kiến  23h 20/03/2025 project: vincart-prod instance: main ip: 172.31.1.41 start transaction;
UPDATE entity_attributes_values eav1
JOIN entity_attributes_values eav2 
    ON eav1.entity_id = eav2.entity_id
LEFT JOIN entity_attributes_values eav3 
    ON eav1.entity_id = eav3.entity_id 
    AND eav3.name = 'voucher_accepted_merchants' 
    AND eav3.channel_code = trim(SUBSTRING_INDEX(eav2.value, ',', -1))
SET eav1.channel_code = trim(SUBSTRING_INDEX(eav2.value, ',', -1))
WHERE eav1.name = 'voucher_accepted_merchants' 
    AND eav1.channel_code IS NULL
    AND eav2.name = 'channel'
    AND eav3.entity_id IS NULL;
INSERT INTO entity_attributes_values(attribute_id, value, name, entity_id, type, display_order, channel_code) 
SELECT eav1.attribute_id, eav1.value, eav1.name, eav1.entity_id, eav1.type, eav1.display_order, trim(SUBSTRING_INDEX(eav2.value, ',', 1)) as channel_code FROM entity_attributes_values eav1
JOIN entity_attributes_values eav2 
    ON eav1.entity_id = eav2.entity_id
LEFT JOIN entity_attributes_values eav3 
    ON eav1.entity_id = eav3.entity_id 
    AND eav3.name = 'voucher_accepted_merchants' 
    AND eav3.channel_code = trim(SUBSTRING_INDEX(eav2.value, ',', 1))
WHERE eav1.name = 'voucher_accepted_merchants' 
    AND eav2.name = 'channel'
    AND eav3.entity_id IS NULL;
commit;</t>
  </si>
  <si>
    <t>2025-03-20T10:40:33.631+0700</t>
  </si>
  <si>
    <t>2025-03-20T16:49:57.434+0700</t>
  </si>
  <si>
    <t>Dear các anh, Để phục vụ nhu cầu khai thác thông tin agent theo  Ticket , nhờ các anh tạo giúp em thêm các topic dưới đây với ạ. Thông tin DB Mysql PROD: IP: 172.31.4.83 Database: agent-platform Table: agent_documents</t>
  </si>
  <si>
    <t>[OMD][CDP][PROD]V/v nâng cấp tài nguyên MEM cho các TiKV Clusters cụm TiDB OMD CDP thuộc project vinid-b2b-platform-prod</t>
  </si>
  <si>
    <t>2025-03-19T23:02:51.554+0700</t>
  </si>
  <si>
    <t>2025-03-20T20:54:46.425+0700</t>
  </si>
  <si>
    <t xml:space="preserve">Dear sếp  @Former user ,  @Nguyễn Văn Duy   , Hiện cụm TiKV clusters đang alert usaged 90% Mem của các nodes trong cluster và cần nâng tài nguyên để đảm bảo tính ổn định hệ thống. Project Cluster Node IP Currently Resource Upgrade Resource Note vinid-b2b-platform-prod omd-cdp-tikv-1 10.255.24.253 CPU: 4 vCPUs MEM: 20 RAM CPU: 4 vCPUs MEM: 28 RAM   vinid-b2b-platform-prod omd-cdp-tikv-2 10.255.24.254 CPU: 4 vCPUs MEM: 20 RAM CPU: 4 vCPUs MEM: 28 RAM   vinid-b2b-platform-prod omd-cdp-tikv-3 10.255.24.252 CPU: 4 vCPUs MEM: 20 RAM CPU: 4 vCPUs MEM: 28 RAM   GCP recommendation: CR Planning: </t>
  </si>
  <si>
    <t>2025-03-19T23:00:33.617+0700</t>
  </si>
  <si>
    <t>2025-03-19T23:11:07.036+0700</t>
  </si>
  <si>
    <t>Nhờ team DBA  chạy upgrade database camunda vào lúc  23h thứ 4 ngày 19/03/2025 Database ip:   172.31.3.10:5432 database name prod:  camunda_bpm_prod Query drop table bpm_proc_form_config ; 
drop table bpm_proc_owner_config;
drop table bpm_proc_task_config CASCADE;
drop table bpm_proc_config CASCADE; 
drop table bpm_task_label;</t>
  </si>
  <si>
    <t>[TMS][Prod] Execute sql migration script for Golive TMS Sprint 44 (19/03/2025)</t>
  </si>
  <si>
    <t>2025-03-19T22:06:36.644+0700</t>
  </si>
  <si>
    <t>2025-03-19T22:13:53.685+0700</t>
  </si>
  <si>
    <t>Nhờ team thực hiện migration sql cho các database sau ạ Thực hiện trước 22h ngày 19/03/2025 Database  omd_tms_planning_prod  (SQL instance tms-mysql-01 (Private IP: 172.31.4.129)  https://console.cloud.google.com/sql/instances/tms-mysql-01/overview?project=onedc-tms-prod ) (see attachments) tms-tariff-engine-v1.7.0.ddl.sql tms-approval-engine-v1.14.0.ddl.sql</t>
  </si>
  <si>
    <t>[OMD CDP][Prod] Execute sql migration script for golive Sprint 11</t>
  </si>
  <si>
    <t>2025-03-19T21:51:30.748+0700</t>
  </si>
  <si>
    <t>2025-03-19T22:36:02.206+0700</t>
  </si>
  <si>
    <t>Nhờ team process execute sql script trong file đính kèm để init data cho CDP với nhé ạ Due date: 22h ngày 19/03/2025 Server: OMD TiDB at  omd-tidb.int.onemount.com:4000 Database:  omd_cdp_orchestration Script: see in attachments 1. omd-cdp-transform-worker-v0.0.1.meta.ddl+dml.sql Database:  omd_cdp_data_from_ingest Script: see in attachments 2. omd-cdp-transform-workers-v0.0.1.ingest.ddl.sql</t>
  </si>
  <si>
    <t>2025-03-19T21:36:51.583+0700</t>
  </si>
  <si>
    <t>2025-03-19T21:42:56.489+0700</t>
  </si>
  <si>
    <t>[OMC][PS2][Loyalty][nonPROD] Tối ưu ổ cứng VM oracle loadtest 10.255.134.191</t>
  </si>
  <si>
    <t>2025-03-19T15:36:06.470+0700</t>
  </si>
  <si>
    <t>2025-03-20T15:36:47.640+0700</t>
  </si>
  <si>
    <t xml:space="preserve">Hiện tại môi trường loadtest không chạy ở mức tải cao như trước nữa, nên team sẽ thu hồi lại 1 disk 1TB (trước đây dùng để lưu archivelog và backup). Chuyển đổi lưu trữ archivelog và backup vào chung 1 ổ cứng /u01  [root@oracle-loadtest ~]# df -h
Filesystem      Size  Used Avail Use% Mounted on
/dev/sdc1       1.0T  644G  380G  63% /u01
/dev/sdb1       1.0T  136G  889G  14% /backup
[root@oracle-loadtest ~]# lsblk -o name,size,fstype,label,model,serial,mountpoint
NAME    SIZE FSTYPE LABEL MODEL            SERIAL            MOUNTPOINT
sda      30G              PersistentDisk   persistent-disk-0 
├─sda1  200M vfat                                            /boot/efi
└─sda2 29.8G xfs    root                                     /
sdb       1T              PersistentDisk   persistent-disk-4 
└─sdb1 1024G xfs                                             
sdc       1T              PersistentDisk   oracle-loadtest-5 
└─sdc1 1024G xfs                                             /u01 Thực hiện thu hồi disk để tiết kiệm chi phí: sdb       1T              PersistentDisk   persistent-disk-4  └─sdb1 1024G xfs                   </t>
  </si>
  <si>
    <t xml:space="preserve">[OMC][NRs][PROD] Chạy câu lệnh SQL </t>
  </si>
  <si>
    <t>2025-03-19T15:22:33.056+0700</t>
  </si>
  <si>
    <t>2025-03-21T10:44:23.612+0700</t>
  </si>
  <si>
    <t>Dear anh Linh, Nhờ anh chạy các câu lệnh sql dưới đây giúp team do cần update dữ liệu để golive ạ Project: vincart-prod
IP: 172.31.1.41
Database: vincart_mm_order
SQL: Chạy câu lệnh
Thời gian chạy: 23h 20/03/2025</t>
  </si>
  <si>
    <t>[OMC][NRs][PROD]  Chạy script SQL migration</t>
  </si>
  <si>
    <t>2025-03-19T15:21:13.162+0700</t>
  </si>
  <si>
    <t>2025-03-19T15:27:52.454+0700</t>
  </si>
  <si>
    <t>Dear a/e DBA team, Nhờ anh support chạy script  cập nhật master category cho voucher  Thời gian chạy:  15h 19/3/225 Thông tin database MYSQL: IP: 172.31.1.41
DatabaseName: vincart-mm-product Script :  trong attachemnt</t>
  </si>
  <si>
    <t>[OMC][MTP][Non-prod] Tạo schema cho Activation Center</t>
  </si>
  <si>
    <t>2025-03-19T14:16:57.822+0700</t>
  </si>
  <si>
    <t>2025-03-19T14:17:52.681+0700</t>
  </si>
  <si>
    <t>Dear anh  @Nguyễn Văn Dũng  , nhờ anh tạo giúp em schema sau  DB:  tidb.int.onemount.dev:4000 Schema:  omc_mtp_martech_activation Phân quyền cho user  mtp_tracking_events ,  quangnd Best regards Dinh Quang Nguyen</t>
  </si>
  <si>
    <t>[OMD CDP][NonProd] Partition table engagement_event</t>
  </si>
  <si>
    <t>2025-03-19T13:49:15.052+0700</t>
  </si>
  <si>
    <t>2025-03-19T13:49:52.476+0700</t>
  </si>
  <si>
    <t>Nhờ team support đánh partition table engagement_event trên DB tidb non-prod Database:  tidb.int.onemount.dev Schema: omd_cdp_data_from_ingest_dev omd_cdp_data_from_ingest_qc omd_cdp_data_from_ingest_uat Table: engagement_event Partition theo field: event_date, yearly</t>
  </si>
  <si>
    <t>[Salestools][NonProd] Tạo account và schema cho team</t>
  </si>
  <si>
    <t>2025-03-19T10:37:06.281+0700</t>
  </si>
  <si>
    <t>2025-03-19T14:07:08.272+0700</t>
  </si>
  <si>
    <t>Như trao đổi trong thread  https://chat.google.com/room/AAAAjStTs2o/cdpgXNf-PjU/cdpgXNf-PjU?cls=10 Team cần tạo account &amp; schema trên NonProd với thông tin như sau: Tạo mới database &amp; user:  omd_salestools_core Grant thêm quyền cho database của CDP:  omd_cdp_orchestration_qc   CC  @Former user  approve giúp anh nhé.</t>
  </si>
  <si>
    <t>[OMC][MTP][PROD] Xoá dữ liệu sau khi tách bảng tracking</t>
  </si>
  <si>
    <t>2025-03-19T09:41:19.245+0700</t>
  </si>
  <si>
    <t>2025-03-19T09:41:34.474+0700</t>
  </si>
  <si>
    <t>Dear anh  @Nguyễn Văn Dũng  , sau khi tách dữ liệu các ES, team không còn cần lưu trữ dữ liệu trước khi tách nữa. Do vậy nhờ anh xoá giúp em bảng sau: DB:  omc-mtp-tidb.int.onemount.com:4000 Scripts: DROP TABLE omc_mtp_tracking_events.mtp_tracking_events Best regards Dinh Quang Nguyen</t>
  </si>
  <si>
    <t>2025-03-19T09:41:04.375+0700</t>
  </si>
  <si>
    <t>2025-03-19T10:26:45.660+0700</t>
  </si>
  <si>
    <t>[OMC][PS2][OneVoucher][PROD] Hỗ trợ update thông tin voucher ở VD và OneVC</t>
  </si>
  <si>
    <t>2025-03-19T09:22:13.217+0700</t>
  </si>
  <si>
    <t>2025-03-19T10:39:08.697+0700</t>
  </si>
  <si>
    <t>Dear anh Linh và  @Trần Mạnh Đức  support, Em cần chỉnh sửa thông tin biz_owner và provider ở VD và OneVC của list voucher, do có sự thay đổi về luồng ghi nhận và hạch toán theo HĐ ký mới của TCB về voucher mua đứt của OMC và nhập kho nên cần update lại các thông tin này ạ. Thông tin cần update như sau: Voucher code VD Warehouse code Biz owner Provider CV_GIFTSHOPEEFOOD20K_231224 VD_WH_1734941459895 TCB VINID CV_GIFTSHOPEEFOOD20K_301224 VD_WH_1735554569716 TCB VINID CV_GIFTXANHSM10K_301224 VD_WH_1735554571584 TCB VINID CV_GIFTXANHSM10K_210225 VD_WH_1740112632279 TCB VINID CV_GIFTSHOPEE20K_231224 VD_WH_1734941458377 TCB VINID Em cảm ơn ạ</t>
  </si>
  <si>
    <t>[OMC][PROD][Auth][Memorystore] Update Memstore Redis tương ứng</t>
  </si>
  <si>
    <t>2025-03-19T00:54:21.176+0700</t>
  </si>
  <si>
    <t>2025-03-19T01:02:05.350+0700</t>
  </si>
  <si>
    <t>authentication</t>
  </si>
  <si>
    <t>Dear team, Team CP liên quan đến việc tối ưu chi phí nên team cần update memstore redis ở luồng caching data cho luồng Authen trên app OneU. Thông tin cụ thể: GCP project:  vinid-service-platform-prod Storage : 5 GB (standard) Service tier:  Standard, không replicas Redis Version: 6.x Instance ID: auth https://console.cloud.google.com/memorystore/redis/locations/asia-east1/instances/auth/details/overview?authuser=1&amp;hl=en&amp;inv=1&amp;invt=Abroxw&amp;project=vinid-service-platform-prod Thời gian thực hiện:  0h ngày 19/3/2025 cùng thời điểm maintain TCB DB</t>
  </si>
  <si>
    <t>[OMC][PROD][SQL] Update cấu hình DB instance tương ứng</t>
  </si>
  <si>
    <t>2025-03-19T00:54:09.871+0700</t>
  </si>
  <si>
    <t>2025-03-19T01:00:03.065+0700</t>
  </si>
  <si>
    <t>User-Profile</t>
  </si>
  <si>
    <t>Dear team, liên quan đến việc tối ưu chi phí nên team CP cần update cấu hình DB instance cho luồng Authen trên app OneU. Thông tin cụ thể: GCP project:  vinid-service-platform-prod vCPUs: 4 Memory: 16 GB https://console.cloud.google.com/sql/instances/main/overview?authuser=1&amp;hl=en&amp;inv=1&amp;invt=Abroxw&amp;project=vinid-service-platform-prod Thời gian thực hiện:  0h ngày 19/3/2025 cùng thời điểm maintain TCB DB</t>
  </si>
  <si>
    <t>2025-03-19T00:54:02.239+0700</t>
  </si>
  <si>
    <t>2025-03-19T00:59:46.870+0700</t>
  </si>
  <si>
    <t>mobile-next</t>
  </si>
  <si>
    <t>Dear team, liên quan đến việc tối ưu chi phí nên team CP cần update cấu hình DB instance cho luồng mobile_next. Thông tin cụ thể: GCP project:  omc-base-platform-prod vCPUs: 4 Memory: 8 GB https://console.cloud.google.com/sql/instances/postgre-14/overview?authuser=1&amp;inv=1&amp;invt=Abro8g&amp;project=omc-base-platform-prod Thời gian thực hiện:  0h ngày 19/3/2025 cùng thời điểm maintain TCB DB</t>
  </si>
  <si>
    <t>[OMC][PROD][ThirdPartySDK][Memorystore] Update Memstore Redis tương ứng</t>
  </si>
  <si>
    <t>2025-03-19T00:53:16.407+0700</t>
  </si>
  <si>
    <t>2025-03-19T01:02:09.039+0700</t>
  </si>
  <si>
    <t>Dear team, liên quan đến việc tối ưu chi phí nên team CP cần update memstore redis ở luồng caching data cho luồng TCB Gami. Thông tin cụ thể: GCP project:  omc-base-platform-prod Storage : 1 GB (standard) Service tier:  Standard, không replicas Redis Version: 7.x Instance ID:  third-party-sdk https://console.cloud.google.com/memorystore/redis/locations/asia-east1/instances/third-party-sdk/details/overview?authuser=1&amp;hl=en&amp;inv=1&amp;invt=AbrpPQ&amp;project=omc-base-platform-prod DNS convention cho CloudSQL và Memstore  Sau khi tạo xong thì update vào config của các service third-party-sdk với repo tương ứng: https://gitlab.id.vin/gitops/deployments/production/base-platform/-/tree/master/authentication-sdk/third-party-sdk/third-party-sdk-internal?ref_type=heads https://gitlab.id.vin/gitops/deployments/production/base-platform/-/tree/master/authentication-sdk/third-party-sdk/third-party-sdk-service?ref_type=heads Thời gian thực hiện:  0h ngày 19/3/2025 cùng thời điểm maintain TCB DB</t>
  </si>
  <si>
    <t>2025-03-19T00:49:52.682+0700</t>
  </si>
  <si>
    <t>2025-03-19T00:52:13.457+0700</t>
  </si>
  <si>
    <t>Dear team, liên quan đến việc tối ưu chi phí nên team CP cần update cấu hình database instance cho luồng link-acc ở dự án TCB PS2. Thông tin cụ thể: GCP project:  vinid-service-platform-prod vCPUs: 2 Memory: 8 GB https://console.cloud.google.com/sql/instances/postgres-01/overview?authuser=1&amp;hl=en&amp;inv=1&amp;invt=AbrpBg&amp;project=vinid-service-platform-prod Thời gian thực hiện:  0h ngày 19/3/2025 cùng thời điểm maintain TCB DB</t>
  </si>
  <si>
    <t>[VINIDPAY][PS2][GL] Thêm column table</t>
  </si>
  <si>
    <t>2025-03-19T00:36:09.317+0700</t>
  </si>
  <si>
    <t>2025-03-19T00:36:42.788+0700</t>
  </si>
  <si>
    <t>Hi các anh DBA, 23h ngày 01/03/2025 team em có release sprint, cần tạo thêm col cho bảng, nhờ các anh chạy giup em với ạ. Thông tin db :  jdbc:mysql://tidb.int.onemount.com:4000/vinpay_vinpay_prod_saas_ps2_general_ledger ALTER TABLE gl_burning_voucher_cost_detail ADD received_value DECIMAL(20, 4) NULL;
ALTER TABLE gl_burning_voucher_cost_summary ADD received_value DECIMAL(20, 4) NULL; Thanks các anh,</t>
  </si>
  <si>
    <t>2025-03-18T18:30:48.688+0700</t>
  </si>
  <si>
    <t>2025-03-18T18:32:20.015+0700</t>
  </si>
  <si>
    <t>Dear anh Linh, Nhờ anh chạy các câu lệnh sql dưới đây giúp team do cần update dữ liệu ạ Project: vincart-prod
IP: 172.31.4.9
Database: ecom_configuration
SQL: Chạy câu lệnh
Thời gian chạy: 17h30</t>
  </si>
  <si>
    <t>[VINIDPAY] Cấp tài khoản truy cập db</t>
  </si>
  <si>
    <t>2025-03-18T17:25:11.710+0700</t>
  </si>
  <si>
    <t>2025-03-18T17:28:39.128+0700</t>
  </si>
  <si>
    <t>Do nhu cầu  chủ động check thông tin db trên prod  nên team mong muốn support Cung cấp tài khoản  có quyền read  với các acc ngoc.nguyen25@onemount.com   dung.le5@onemount.com Cụm thông tin database  Ops pay Fscore project: vinpay-prod instance: low-performance Master IP: 172.31.1.149 Slave IP: 172.31.1.179 DB: ops_pay_service domain:  om-fs-core-prod--fs-core-prod.cloudsql.int:3306 schema: fs_core_prod Thông tin tài khoản sẽ gửi đến mail các acc tương ứng</t>
  </si>
  <si>
    <t>[OMRE][HD][PROD] Chạy miration DB</t>
  </si>
  <si>
    <t>2025-03-18T16:44:26.340+0700</t>
  </si>
  <si>
    <t>2025-03-19T22:50:00.381+0700</t>
  </si>
  <si>
    <t>Nằm trong kế hoạch golive HD/IVM ngày 18/03/2025, nhờ team chạy giúp em câu script sau: Dự kiến thời gian chạy: 21h ngày 18/03/2025 Thông tin Database Server: 172.31.4.146
DB: onehs_hd_residential_house_import
User: onehs_hd_residential_house_import Câu lệnh script: alter table RAW_DATA_RESIDENTIAL_PROPERTY
    modify property_planning_infos json not null comment 'Thông tin quy hoạch'; Em cảm ơn ạ</t>
  </si>
  <si>
    <t>[OMC][PS2][OneVoucher][PROD] Hỗ trợ update giá nhập của voucher</t>
  </si>
  <si>
    <t>2025-03-18T16:16:27.755+0700</t>
  </si>
  <si>
    <t>2025-03-18T17:13:05.130+0700</t>
  </si>
  <si>
    <t>Dear anh  @Phạm Tuấn Linh   và  @Trần Mạnh Đức  support, Hiện tại em cần update lại giá nhập cho ticket sau (nguyên nhân là có sự thay đổi giá bán cho đối tác) Thông tin ticket:  ticket_code: 6a85fc208c434109a94ca35403237197 purchased_price: 98,800 Em cảm ơn!</t>
  </si>
  <si>
    <t>[OMC][PS2][Loyalty][PROD] Tối ưu cấu hình các instance DB trên project vinid-loyalty-prod</t>
  </si>
  <si>
    <t>2025-03-18T16:12:35.416+0700</t>
  </si>
  <si>
    <t>2025-03-19T00:50:35.734+0700</t>
  </si>
  <si>
    <t>Sau khi kết thúc các sự kiện liên quan đến voucher, gami cung cấp cho TCB. Các instance DB thuộc project vinid-loyalty-prod cần thực hiện giảm cấu hình để tối ưu chi phí hạ tầng. Chi tiết mô tả trong Change Request:    Thời gian thực hiện:  23h59 ngày 18/3-&gt; 0h30 19/3, có downtime DB khi thực hiện. Team IT247 đã thực hiện gửi thông tin thời gian downtime sang team TCB qua email rồi. Chi tiết gcp project IP of DB Giảm cấu hình instance DB mysql: từ 12 CPUs 24 GB RAM, giảm về 6 CPUs 16 GB RAM vinid-loyalty-prod 172.31.4.75 Giảm cấu hình instance DB PostgreSQL: từ 6 CPUs 8 GB RAM , giảm về 2 CPUs 6 GB RAM vinid-loyalty-prod 172.31.3.19 Giảm cấu hình instance DB PostgreSQL: từ 8 CPUs 16 GB RAM , giảm về 4 CPUs 8 GB RAM omc-base-platform-prod 172.31.3.40 Giảm cấu hình instance DB mysql: từ 8 CPUs 32GB RAM , giảm về 4 CPUs 16 GB RAM vinid-loyalty-prod 172.31.4.126 Giảm cấu hình instance DB mysql: từ 4 CPUs 16GB RAM , giảm về 2 CPUs 8 GB RAM vinid-loyalty-prod 172.31.4.82 Giảm cấu hình instance DB mysql: từ 8 CPUs 32 GB RAM , giảm về 4 CPUs 16 GB RAM vinid-service-platform-prod 172.31.1.12 Giảm cấu hình instance DB PostgreSQL: từ 4 CPUs 16 GB RAM , giảm về 2 CPUs 8 GB RAM vinid-service-platform-prod 172.31.7.11</t>
  </si>
  <si>
    <t>[OMC][PS2][Loyalty][PROD] Tối ưu tham số innodb_buffer_pool_size trên instance oneloyalty 172.31.7.6</t>
  </si>
  <si>
    <t>2025-03-18T16:03:02.167+0700</t>
  </si>
  <si>
    <t>2025-03-19T00:34:42.965+0700</t>
  </si>
  <si>
    <t>OMC, PS2</t>
  </si>
  <si>
    <t>Tối ưu tham số innodb_buffer_pool_size trên instance oneloyalty, để giảm lượng RAM sử dụng (hiện tại mức RAM sử dụng đang trên 90%). project: vinid-loyalty-prod instance: oneloyalty Master IP: 172.31.7.6 https://console.cloud.google.com/sql/instances/oneloyalty/overview?project=vinid-loyalty-prod Chỉ số RAM đang sử dụng trên 90% và kéo dài nhiều ngày. Tham số innodb_buffer_pool_size ( 4294967296 ) đang để ở tỉ lệ cao so với mức 8GB RAM của instance (instance này đang có 1300 connection vào DB, nên cần số RAM sẵn sàng cao hơn). Vì vậy, DBA đề xuất giảm tham số innodb_buffer_pool_size , để instance không bị chiếm dụng bộ nhớ RAM ở mức cao. innodb_buffer_pool_size : 3794967296 Thay đổi này không gây downtime, cũng không ảnh hưởng đến service đang chạy. Thời gian thực hiện:  24h 18Mar25</t>
  </si>
  <si>
    <t>[OMC][PS2][Loyalty][PROD] Create index cho mongoDB Atlas OMC-Loyalty-PS2</t>
  </si>
  <si>
    <t>2025-03-18T15:47:07.135+0700</t>
  </si>
  <si>
    <t>2025-03-19T00:39:05.613+0700</t>
  </si>
  <si>
    <t>Tạo index trên collection:  omc_loyalty_mc.audit_log_tcb Theo khuyến nghị của mongoDB Atlas Thời gian thực hiện:  0h10 ngày 19Mar25</t>
  </si>
  <si>
    <t>[OUTSYSTEM][Prod] Hỗ trợ phân quyền user dataplatform_ingestion truy cập schema outsystems_PROD_HR</t>
  </si>
  <si>
    <t>2025-03-18T14:57:50.426+0700</t>
  </si>
  <si>
    <t>2025-03-18T17:29:19.303+0700</t>
  </si>
  <si>
    <t>Dear team DBA, Nhờ ae hỗ trợ phân quyền select trên 2 bảng của schema outsystems_PROD. Thông tin như sau: Môi trường production: IP: 172.31.1.45 Schema: outsystems_PROD Bảng: dbo.OSUSR_hwv_caresoft_analytics_result Em cám ơn team ạ!</t>
  </si>
  <si>
    <t>[OMD CDP][Prod] Tạo mới bảng DP_SA_ENGAGEMENT và thêm cột cho bảng DP_CUSTOMER_GT</t>
  </si>
  <si>
    <t>2025-03-18T14:40:38.256+0700</t>
  </si>
  <si>
    <t>2025-03-18T22:17:27.707+0700</t>
  </si>
  <si>
    <t>Để phục vụ việc phát triển OMD CDP trên môi trường prod (theo ticket  https://vinid-team.atlassian.net/browse/B2B1D-54826 ), nhờ team hỗ trợ tạo giúp em trên TiDb  omd-tidb.int.onemount.com:4000 : Database: omd_cdp_data_from_dp Review script và tạo bảng dữ liệu  omd_cdp_data_from_dp.DP_SA_ENGAGEMENT : Dự kiến insert trong lần đầu chạy: ~5.1M bản ghi Script: CREATE TABLE omd_cdp_data_from_dp.DP_SA_ENGAGEMENT (
  `sa_engage_id` varchar(32) NOT NULL,
  `row_created_at` timestamp,
  `checkin_time` timestamp,
  `checkout_time` timestamp,
  `engage_date` timestamp,
  `sa_pk` bigint,
  `sa_name` varchar(90), 
  `sa_phone` varchar(20),
  `sa_email` varchar(90),
  `gt_code` varchar(30),
  `order_code` varchar(20),
  `rank_checkin` int,
  `rank_checkout` int,
  `duration_m` double,
  `data_sync_ts` timestamp,
  `engage_date_partition` date,
  PRIMARY KEY (`sa_engage_id`, `engage_date_partition`)
)
PARTITION BY RANGE COLUMNS(`engage_date_partition`)
INTERVAL (1 MONTH) FIRST PARTITION LESS THAN ('2022-01-01') LAST PARTITION LESS THAN ('2027-12-01') Review script và thêm cột cho bảng  omd_cdp_data_from_dp.DP_CUSTOMER_GT : Dự kiến insert &amp; update ~350k bản ghi Script: ALTER TABLE omd_cdp_data_from_dp.DP_CUSTOMER_GT ADD sa_rep BIGINT;
ALTER TABLE omd_cdp_data_from_dp.DP_CUSTOMER_GT ADD sa_acquire BIGINT;
ALTER TABLE omd_cdp_data_from_dp.DP_CUSTOMER_GT ADD sa_tele BIGINT;
ALTER TABLE omd_cdp_data_from_dp.DP_CUSTOMER_GT ADD sa_hrc BIGINT;
ALTER TABLE omd_cdp_data_from_dp.DP_CUSTOMER_GT ADD sa_ka1 BIGINT;
ALTER TABLE omd_cdp_data_from_dp.DP_CUSTOMER_GT ADD gt_1st_status varchar(40); Em cảm ơn team ạ! cc anh  @Former user  , anh  @Bùi Văn Lực</t>
  </si>
  <si>
    <t>2025-03-18T11:20:27.022+0700</t>
  </si>
  <si>
    <t>2025-03-18T11:22:58.337+0700</t>
  </si>
  <si>
    <t>Dear team, Nhờ team chạy cho em script sau với ạ:  ip:  172.31.1.12 db:  account_profile_service update user_profile
set cipher_email = (select encrypt_data_aes_cbc_mode_fn('qc_test'))
WHERE user_id = 800096525; Nhờ anh  @Trần Minh Hoàng  approve giúp em ticket này với ạ. Release note:    Thread:  https://chat.google.com/room/AAAASU2QlYU/UatrjS6OC_8/UatrjS6OC_8?cls=10</t>
  </si>
  <si>
    <t>Kéo dữ liệu bảng Combo lên ODS</t>
  </si>
  <si>
    <t>2025-03-18T10:42:42.117+0700</t>
  </si>
  <si>
    <t>2025-03-18T11:14:53.968+0700</t>
  </si>
  <si>
    <t>Bối cảnh NPP Thuận Phong sử dụng DMS Interim đang có nhu cầu xem chi tiết danh sách các sản phẩm trong combo. Qua đó lọc để biết được 1 sản phẩm bất kì thuộc combo nào, và qua đó điều chỉnh giá tất cả combo theo giá sản phẩm. Do đó PO dự tính cung cấp 1 view báo cáo cho NPP để lọc và theo dõi thông tin Mong muốn Kéo dữ liệu dưới đây về hệ thống ODS và phân quyền trên Dremio cho các tài khoản sau dremio.omd.product-team@onemount.com hoang.dau@onemount.com thien.hoang1@onemount.com phuonghd1@onemount.com khoi.nguyen3@onemount.com Bổ sung thêm table cho schema sau Schema: omd_vinid_b2b_platform_prod_main_omd_wms_core Table: combo_detail combo_master</t>
  </si>
  <si>
    <t>[OMD][ODS][PROD]Truy vần check data</t>
  </si>
  <si>
    <t>2025-03-17T16:48:07.811+0700</t>
  </si>
  <si>
    <t>2025-03-17T16:49:31.673+0700</t>
  </si>
  <si>
    <t>anh ơi bên e đang có cái bug trên prod, e đang nghi do thiếu data nhưng lại k có quyền vào check, nhờ a check hộ giúp em với ạ DB_ODS_HOST: " tidb.int.onemount.com " DB_ODS_PORT: "4000" DB_ODS_DATABASE: "omd_salestools_dp" SELECT   *   FROM   rtb_daily_sa_tele_engagement_zone_hist_utd   WHERE   from_date &lt;= '2025-03-17 00:00:00.000'   AND   merchant_code   IN   ('MCL0ERLWO2UX1', 'MCL0HNTDSAIAN');</t>
  </si>
  <si>
    <t>[omd][taskbox][prod] Xin cấp DB mongo cho taskbox</t>
  </si>
  <si>
    <t>2025-03-17T14:06:18.800+0700</t>
  </si>
  <si>
    <t>2025-03-17T14:25:43.200+0700</t>
  </si>
  <si>
    <t xml:space="preserve">Hi anh Linh Dự án omd taskbox chuẩn bị lên prod nhờ anh cấp giúp em DB mongo cho dự án này trên môi trường production anh nhé Config sharding set default giúp em ạ! Môi trường production (ILB: 10.255.32.55):  omd_taskbox SAD:  ticket non-prod:    Em cảm ơn anh nhé! cc  @Nguyễn Đức Anh  </t>
  </si>
  <si>
    <t>[OM][DP][Kafka][NON-PROD] Tạo kafka topic cho bảng onehs_hd_residential_house_uat.PROPERTY_PLANNING_INFORMATION</t>
  </si>
  <si>
    <t>2025-03-17T14:06:06.426+0700</t>
  </si>
  <si>
    <t>2025-03-17T17:28:00.407+0700</t>
  </si>
  <si>
    <t>Dear team DBA và anh Duân. Ở ticket  https://vinid-team.atlassian.net/browse/DWHV2-10892  em đang có nhu cầu kéo bảng ở database onehs_hd_residential_house_uat non prod lên dremio. Em cần tạo topic cho bảng còn thiếu. Thông tin DB và bảng như sau: Môi trường: Non PROD. Host: 172.31.0.16 Port: 3306 Database: onehs_hd_residential_house_uat Table: + onehs_hd_residential_house_uat.PROPERTY_PLANNING_INFORMATION Thanks and regards!</t>
  </si>
  <si>
    <t>[OMC][MiniApp][PROD] Thực hiện insert/ update thêm 1 record trong table "user" ở database microapp - chi.do1</t>
  </si>
  <si>
    <t>2025-03-17T14:05:46.182+0700</t>
  </si>
  <si>
    <t>2025-03-17T14:16:22.530+0700</t>
  </si>
  <si>
    <t>Description Nhờ team DBA thực hiện update/insert 1 record cho tài khoản  chi.do1@onemount.com  theo script sau: Nếu tồn tại bản ghi theo email  chi.do1@onemount.com  thì update giúp em theo scrip sau: UPDATE `user` SET `role_id`=1 WHERE user_id=1046 Nếu chưa tồn tại thì insert giúp em theo scrip sau: INSERT INTO `microapp`.`user` (`user_id`, `email`, `role_id`, `created_at`, `updated_at`) VALUES ('1046', 'chi.do1@onemount.com', '1', '2025-01-01 00:00:01', '2025-17-03 10:00:00');   IP: 172.31.1.12 Project: vinid-service-platform-prod Database: microapp Mục đích: Thêm quyền admin cho tài khoản  chi.do1@onemount.com  dùng trên trang vận hành OPS Mini App Nhờ a thực hiện luôn giúp team ạ. Thanks a.</t>
  </si>
  <si>
    <t>[VINPAY][PROD][TPAY] Script cấu hình merchant VHM</t>
  </si>
  <si>
    <t>2025-03-17T12:50:38.133+0700</t>
  </si>
  <si>
    <t>2025-03-17T12:54:54.779+0700</t>
  </si>
  <si>
    <t>Nhờ anh chạy các script để cấu hình merchant YOLA TPAY ạ. Thông tin database saas_tpay: mysql://pay-tidb.int.onemount.com:4000/saas_tpay Em gửi script ạ INSERT INTO PARTNER (client_id, name, public_key, enable, merchant_code) VALUES ('xTnUKwEFnlaZhyMSkTtLbznmeyyTwRpX', 'VHM', '-----BEGIN PUBLIC KEY-----
MIIBIjANBgkqhkiG9w0BAQEFAAOCAQ8AMIIBCgKCAQEA3+r1GDsiYlxwhfqayvPu
4w9tVVVsRAzSKELmHbUPdqKIPZmwb8phub6nvykxlzdyOFvKJr4rOpNAgZa2C38p
yf/4AnfmDjb6afYnrOytqlVJiZ0a/0woPsvM5KdWb3cnHVywMYAcMOwwTvYT8UHU
y839u0xydNIqcZnFqud9l7iQxErHxarrlLSUIqmyyv3kCoNWCzur/kzZ7KMpOC55
y9x+uXJnpZ2voMuBd3GS4UKrxvk9W2R9hEGNsIuIGiV5YHK3j4SCmK/uK0zp2fkB
Za52Ftc1876nN0RPUHDxswClzPySZdnSfS+B9kxnsqNzCZKcM+cv+LwxKghJPRlD
FQIDAQAB
-----END PUBLIC KEY-----', 1, 'VINGROUP01');
INSERT INTO PARTNER (client_id, name, public_key, enable, merchant_code) VALUES ('xTnUKwEFnlaZhyMSkTtLbznmeyyTwRpX', 'VHM', '-----BEGIN PUBLIC KEY-----
MIIBIjANBgkqhkiG9w0BAQEFAAOCAQ8AMIIBCgKCAQEA3+r1GDsiYlxwhfqayvPu
4w9tVVVsRAzSKELmHbUPdqKIPZmwb8phub6nvykxlzdyOFvKJr4rOpNAgZa2C38p
yf/4AnfmDjb6afYnrOytqlVJiZ0a/0woPsvM5KdWb3cnHVywMYAcMOwwTvYT8UHU
y839u0xydNIqcZnFqud9l7iQxErHxarrlLSUIqmyyv3kCoNWCzur/kzZ7KMpOC55
y9x+uXJnpZ2voMuBd3GS4UKrxvk9W2R9hEGNsIuIGiV5YHK3j4SCmK/uK0zp2fkB
Za52Ftc1876nN0RPUHDxswClzPySZdnSfS+B9kxnsqNzCZKcM+cv+LwxKghJPRlD
FQIDAQAB
-----END PUBLIC KEY-----', 1, 'VINGROUP02');</t>
  </si>
  <si>
    <t>[omd][taskbox][prod] Xin cấp DB cho dự án taskbox môi trường prod</t>
  </si>
  <si>
    <t>2025-03-15T11:04:59.420+0700</t>
  </si>
  <si>
    <t>2025-03-15T11:56:51.455+0700</t>
  </si>
  <si>
    <t xml:space="preserve">Hi anh Dương Để chuẩn bị golive dự án omd taskbox nhờ anh cấp giúp em DB cho dự án này trên production nhé ạ project gcp: onemg-integration-platform-prd instance: main (172.31.1.118) DB name: omd_taskbox SAD:    reffer ticket Non-prod:    Em cảm ơn anh ạ! cc  @Nguyễn Đức Anh  </t>
  </si>
  <si>
    <t>2025-03-15T09:51:25.505+0700</t>
  </si>
  <si>
    <t>2025-03-17T17:56:07.388+0700</t>
  </si>
  <si>
    <t>Nhờ team DBA hỗ trợ kéo  một số bảng ở cash-flow lên ODS, cụ thể: Thông tin database nguồn như sau Database instance nguồn: TiDB CDP Address omd-tidb.int.onemount.com Phân quyền:  omd_superset_internal_01 List table: Database Table Time TTL Master Data Transaction omd_cdp_orchestration segment   x omd_cdp_orchestration job_definition   x   omd_cdp_orchestration label_rule   x   omd_cdp_orchestration impex_log  180d x   x omd_cdp_orchestration job_build_log 180d     x omd_cdp_data_from_ingest label  x omd_cdp_data_from_ingest label_category   x</t>
  </si>
  <si>
    <t>2025-03-15T07:54:44.907+0700</t>
  </si>
  <si>
    <t>2025-03-15T07:54:56.147+0700</t>
  </si>
  <si>
    <t>Hi các anh DBA, Hiện tại em cần update data trên prod bảng tcb_device, nhờ các anh review và approve giúp em, Thông tin database  saas_tpay: jdbc:mysql://pay-tidb.int.onemount.com:4000/saas_tpay #Bảng TCB_DEVICE
UPDATE TCB_DEVICE t SET t.device_status='DEVICE_IMPORTED',t.device_edition='DEVICE_ASSIGN_QR',t.device_notify='NORMAL' WHERE t.device_id= 'SB_RLINK_MD716A_SDLMD716A0622240049';
UPDATE TCB_DEVICE t SET t.device_status='DEVICE_IMPORTED',t.device_edition='DEVICE_ASSIGN_QR',t.device_notify='NORMAL' WHERE t.device_id= 'SB_RLINK_MD716A_TCBDV1101202402';
UPDATE TCB_DEVICE t SET t.device_status='DEVICE_IMPORTED',t.device_edition='DEVICE_EMPTY',t.device_notify='NORMAL' WHERE t.device_id= 'SB_RLINK_MD716A_TCBDV1101202401';
#Bảng SOUNDBOX_DEVICE_SALES
DELETE FROM SOUNDBOX_DEVICE_SALES WHERE DEVICE_ID = 'SB_RLINK_MD716A_SDLMD716A0622240049';
DELETE FROM SOUNDBOX_DEVICE_SALES WHERE DEVICE_ID = 'SB_RLINK_MD716A_TCBDV1101202402';
DELETE FROM SOUNDBOX_DEVICE_SALES WHERE DEVICE_ID = 'SB_RLINK_MD716A_TCBDV1101202401';
#Bảng SOUNDBOX_DEVICE_MAPPING
UPDATE SOUNDBOX_DEVICE_MAPPING t SET t.MERCHANT_CODE=null,t.MC_VA_ACCOUNT=null,t.FILE_ID=null,t.STATUS='ACTIVE' WHERE t.ID= '2039';
UPDATE SOUNDBOX_DEVICE_MAPPING t SET t.MERCHANT_CODE=null,t.MC_VA_ACCOUNT=null,t.FILE_ID=null,t.STATUS='ACTIVE' WHERE t.ID= '2020';
DELETE FROM SOUNDBOX_DEVICE_MAPPING WHERE device_id= 'SB_RLINK_MD716A_TCBDV1101202401';
#Bảng SOUNDBOX_VA
UPDATE SOUNDBOX_VA t SET t.VIRTUAL_ACCOUNT_NAME='CTCP VINIDPAY',t.IS_ACTIVE=false WHERE t.VIRTUAL_ACCOUNT_NUMBER= 'M22625297557899';
UPDATE SOUNDBOX_VA t SET t.VIRTUAL_ACCOUNT_NAME='CTCP VINIDPAY',t.IS_ACTIVE=false WHERE t.VIRTUAL_ACCOUNT_NUMBER= 'M22629286588693'; thông tin db ops: project: vinpay-prod Instance: low-performance Master IP: 172.31.1.149 Slave IP: 172.31.1.179 DB: ops_pay_service #DB: ops_pay_service
UPDATE VIRTUAL_ACCOUNT v SET v.ACCOUNT_NAME='CTCP VINIDPAY',v.IS_ACTIVE=false WHERE v.VIRTUAL_ACCOUNT_NUMBER= 'M22625297557899';
UPDATE VIRTUAL_ACCOUNT v SET v.ACCOUNT_NAME='CTCP VINIDPAY',v.IS_ACTIVE=false WHERE v.VIRTUAL_ACCOUNT_NUMBER= 'M22629286588693'; Thanks kiuuu các anh,</t>
  </si>
  <si>
    <t>[VinID Pay][TPAY][PROD] Create Memstore Redis và tạo CloudDNS tương ứng, giảm cấu hình redis project vinpay-prod</t>
  </si>
  <si>
    <t>2025-03-15T07:49:21.641+0700</t>
  </si>
  <si>
    <t>2025-03-15T07:49:39.935+0700</t>
  </si>
  <si>
    <t xml:space="preserve">DBA team cần giảm cấu hình cho các instance redis memstore của project vinpay-prod: Project: vinpay-prod  Instance:  vinpay-main Resource: 5GB Memory giảm về 1GB Memory do sử dụng cho các services nội bộ và hiện size hiện tại sử dụng là 500MB Project: vinpay-prod  Instance:  tcb-saas-main Resouce: 5GB Memory + 1 read replica giảm về 2GB Memory + 0 read replica do sử dụng cho các service của TCB và size hiện tại là 500MB Plan:   </t>
  </si>
  <si>
    <t>[OMD CDP] [Production] Hỗ trợ phân quyền service_user</t>
  </si>
  <si>
    <t>2025-03-14T16:51:29.084+0700</t>
  </si>
  <si>
    <t>2025-03-14T17:02:03.988+0700</t>
  </si>
  <si>
    <t xml:space="preserve">Hi team DBA, Lý do: thêm nghiệp vụ mới cần quyền ghi cho các services vào db orchestration và db ingest Nhờ team hỗ trợ phân quyền các service_user (đã tạo trước đó) vào database prod theo như chi tiết dưới: Môi trường PROD User Database Quyền omd_cdp_ingest_api omd_cdp_data_from_ingest omd_cdp_orchestration read + write read + write omd_cdp_ingest_workers omd_cdp_data_from_ingest omd_cdp_orchestration read + write read + write omd_cdp_transform_workers omd_cdp_data_from_ingest omd_cdp_orchestration read + write read + write omd_cdp_segment_workers omd_cdp_data_from_ingest omd_cdp_orchestration read + write read + write SAD:   </t>
  </si>
  <si>
    <t>[OMC][NRs][PROD] Update merchant_name trong voucher_accepted_merchants</t>
  </si>
  <si>
    <t>2025-03-14T16:49:52.176+0700</t>
  </si>
  <si>
    <t>2025-03-14T16:51:44.757+0700</t>
  </si>
  <si>
    <t>Hi team. Do vận hành có nhu cầu cập nhật tên của merchant trong voucher nhưng trên portal chưa hỗ trợ sửa tên merchant, do đó cần chạy câu lệnh sau để update lại tên của merchant ạ  Câu lệnh này ko ảnh hưởng đến người dùng, có thể ngay khi được approve ạ. project: vincart-prod instance: main ip: 172.31.1.41 Join 2 bảng  entity_attributes_values  trong  vincart_mm_product  và bảng  merchants  trong  vincart_mm_merchant update vincart_mm_product.entity_attributes_values a
    JOIN vincart_mm_merchant.merchants m ON
        REPLACE(JSON_EXTRACT(a.value, '$[0].merchant_code'), '"', '') = m.code
set value = JSON_SET(a.value, '$[0].merchant_name', m.name)
WHERE a.name = 'voucher_accepted_merchants' and m.code in ('MCSALESFORCE02732949', 'LOTTEWORLDVN')</t>
  </si>
  <si>
    <t>[OMD CDP] [Non-Prod] Hỗ trợ phân quyền service_user</t>
  </si>
  <si>
    <t>2025-03-14T16:34:11.088+0700</t>
  </si>
  <si>
    <t>2025-03-14T16:49:46.591+0700</t>
  </si>
  <si>
    <t xml:space="preserve">Hi team DBA, Lý do: thêm nghiệp vụ mới cần quyền ghi cho các services vào db orchestration và db ingest Nhờ team hỗ trợ phân quyền các service_user (đã tạo trước đó) vào database non-prod theo như chi tiết dưới: Môi trường DEV User Database Quyền omd_cdp_ingest_api_dev omd_cdp_data_from_ingest_dev omd_cdp_orchestration_dev read + write read + write omd_cdp_ingest_workers_dev omd_cdp_data_from_ingest_dev omd_cdp_orchestration_dev read + write read + write omd_cdp_transform_workers_dev omd_cdp_data_from_ingest_dev omd_cdp_orchestration_dev read + write read + write omd_cdp_segment_workers_dev omd_cdp_data_from_ingest_dev omd_cdp_orchestration_dev read + write read + write Môi trường QC User Database Quyền omd_cdp_ingest_api_qc omd_cdp_data_from_ingest_qc omd_cdp_orchestration_qc read + write read + write omd_cdp_ingest_workers_qc omd_cdp_data_from_ingest_qc omd_cdp_orchestration_qc read + write read + write omd_cdp_transform_workers_qc omd_cdp_data_from_ingest_qc omd_cdp_orchestration_qc read + write read + write omd_cdp_segment_workers_qc omd_cdp_data_from_ingest_qc omd_cdp_orchestration_qc read + write read + write Môi trường UAT User Database Quyền omd_cdp_ingest_api_uat omd_cdp_data_from_ingest_uat omd_cdp_orchestration_uat read + write read + write omd_cdp_ingest_workers_uat omd_cdp_data_from_ingest_uat omd_cdp_orchestration_uat read + write read + write omd_cdp_transform_workers_uat omd_cdp_data_from_ingest_uat omd_cdp_orchestration_uat read + write read + write omd_cdp_segment_workers_uat omd_cdp_data_from_ingest_uat omd_cdp_orchestration_uat read + write read + write SAD:   </t>
  </si>
  <si>
    <t>[OMC][Link Account] [Prod] thực hiện query update 1 record trong table "linkages" ở dự án Link Account với user_id 20190786</t>
  </si>
  <si>
    <t>2025-03-14T15:10:03.041+0700</t>
  </si>
  <si>
    <t>2025-03-14T15:13:05.982+0700</t>
  </si>
  <si>
    <t>Dear team DBA, Theo thread trao đổi:  https://chat.google.com/room/AAAAbcTWvJQ/UaHTRiZaxtY/UaHTRiZaxtY?cls=10   Hiện user bị gãy luồng, nên team cần thực hiện update record để đảm bảo luồng của user UID 20190786 trước đây có sđt cũ 0984992779 thực hiện request link account và lỗi.
 Sau đó đổi sđt sang 0976585787 và thực hiện liên kết nên hệ thống báo lỗi uid đã tồn tại bản ghi LA Nhờ team thực hiện query: Instance ID:  https://console.cloud.google.com/sql/instances/postgres-01/overview?authuser=1&amp;project=vinid-service-platform-prod Database name:  sp_postgres_link_account Câu lệnh SQL: UPDATE linkages SET active = false
WHERE user_id = 20190786</t>
  </si>
  <si>
    <t>[VinID Pay][BO][Prod] Hỗ trợ update field trong DB của Backoffice để chạy hạch toán</t>
  </si>
  <si>
    <t>2025-03-14T11:05:47.630+0700</t>
  </si>
  <si>
    <t>2025-03-14T11:06:16.687+0700</t>
  </si>
  <si>
    <t>Dear team, Hiện tại Backoffice đã ready data và cấu hình sinh bút toán luồng hạch toán đơn hàng tiêu điểm UO/UT. Nhờ các anh update giúp em thông tin dưới đây để chạy hạch trên prod ạ: Tên DB Tên bảng Câu query data 172.31.1.133:3306/bo TRANS_MAP_BUSINESS UPDATE TRANS_MAP_BUSINESS  SET POSTING_FLAG = 1  WHERE ID IN ('907', ‘908’, ‘909’, ‘910’); Em cảm ơn ạ</t>
  </si>
  <si>
    <t>[OMC][NRs][PROD] Create index</t>
  </si>
  <si>
    <t>2025-03-14T10:40:16.526+0700</t>
  </si>
  <si>
    <t>2025-03-14T10:41:22.896+0700</t>
  </si>
  <si>
    <t>Dear a/e DBA team, Nhờ anh em support chạy script tạo index cho bảng transaction_lines Thông tin DB MySQL sau: Thời gian chạy:  22h 13/03/2024  hoặc chạy thời gian khác để tránh ảnh hưởng  ít tới service đang chạy do lock table. DatabaseName: ecom_transaction
IP: 172.31.4.9 ALTER TABLE ecom_transaction.transaction_lines ADD INDEX transaction_lines_updated_at_idx (updated_at), ALGORITHM=INPLACE, LOCK=NONE; Thanks</t>
  </si>
  <si>
    <t>[OMRE][Kafka][NON-PROD] Tạo kafka topic cho bảng ở db onehs_hd_residential_house_uat</t>
  </si>
  <si>
    <t>2025-03-14T10:35:47.792+0700</t>
  </si>
  <si>
    <t>2025-03-14T10:38:26.106+0700</t>
  </si>
  <si>
    <t>Dear team DBA và anh Duân. Ở ticket  https://vinid-team.atlassian.net/browse/DWHV2-10892  em đang có nhu cầu kéo bảng ở database onehs_hd_residential_house_uat non prod lên dremio. Em cần tạo topic cho 2 bảng còn thiếu. Thông tin DB và bảng như sau: Môi trường: Non PROD. Host: 172.31.0.16 Port: 3306 Database: onehs_hd_residential_house_uat Table: + onehs_hd_residential_house_uat. property_land_group + onehs_hd_residential_house_uat. property_geometry Thanks and regards!</t>
  </si>
  <si>
    <t>[OMD][PROD][Merchant] Cập nhật dữ liệu đơn vị hành chính</t>
  </si>
  <si>
    <t>2025-03-14T09:50:49.044+0700</t>
  </si>
  <si>
    <t>2025-03-14T10:16:58.621+0700</t>
  </si>
  <si>
    <t>Dear team,   Phần cập nhật DVHC vẫn còn một vài record chưa đúng với master data, nhờ team hỗ trợ ạ Thông tin database https://console.cloud.google.com/sql/instances/main/overview?inv=1&amp;invt=Abqw_w&amp;project=vinid-merchant-prod DB_MYSQL_HOST=172.31.1.44
DB_MYSQL_DATABASE=merchant_service Câu lệnh Em đính kèm 2 file bên dưới ạ</t>
  </si>
  <si>
    <t>2025-03-14T09:48:48.902+0700</t>
  </si>
  <si>
    <t>2025-03-14T10:17:27.403+0700</t>
  </si>
  <si>
    <t>[OMD][PROD]Kéo bảng Virtual account lên ODS</t>
  </si>
  <si>
    <t>2025-03-14T09:44:44.361+0700</t>
  </si>
  <si>
    <t>2025-03-14T10:42:33.657+0700</t>
  </si>
  <si>
    <t>Kéo bảng Virtual account của OMS lên trên ODS xong anh  @Trần Trương Dương  phân quyền luôn giúp em cho user diem.tran vào 2 bảng sau trên ODS: bảng virtual account đang request kéo lên Thông tin bảng cần kéo lên ODS VirtualAccount Thông tin database Prod IP: 172.31.4.113 Database: b2b_oms_prod Project: vinid-b2b-platform-pr</t>
  </si>
  <si>
    <t>2025-03-14T09:41:49.667+0700</t>
  </si>
  <si>
    <t>2025-03-14T10:42:43.326+0700</t>
  </si>
  <si>
    <t>[VINPAY][SOUNDBOX] Tác động database - golive soundbox</t>
  </si>
  <si>
    <t>2025-03-14T09:15:06.493+0700</t>
  </si>
  <si>
    <t>2025-03-14T09:15:27.605+0700</t>
  </si>
  <si>
    <t>Hi team, Các anh giúp em chạy script với thông tin như bên dưới nhé ạ Thông tin database  saas_tpay: jdbc:mysql://pay-tidb.int.onemount.com:4000/saas_tpay Script em để trong file đính kèm ạ Thực hiện:  23:59 13-03-2025 , khi team thông báo DB: SAAS_TPAY
UPDATE TCB_DEVICE t SET t.device_status='ASSIGNED',t.device_edition='DEVICE_ASSIGN_QR',t.device_notify='NORMAL' WHERE t.device_id= 'SB_RLINK_MD716A_SDLMD716A0622240049';
INSERT INTO SOUNDBOX_DEVICE_MAPPING (DEVICE_ID,SERVICE,VENDOR_CODE,OM_VA_ACCOUNT,STATUS) VALUES ('SB_RLINK_MD716A_SDLMD716A0622240049','SOUNDBOX','RLINK','M22625297557899','ACTIVE');
UPDATE SOUNDBOX_VA t SET t.VIRTUAL_ACCOUNT_NAME='CTCP VINIDPAY',t.IS_ACTIVE=false WHERE t.VIRTUAL_ACCOUNT_NUMBER= 'M22625297557899';
DB: OPS_PAY
UPDATE VIRTUAL_ACCOUNT v SET v.ACCOUNT_NAME='CTCP VINIDPAY',v.IS_ACTIVE=false WHERE v.VIRTUAL_ACCOUNT_NUMBER= 'M22625297557899';</t>
  </si>
  <si>
    <t xml:space="preserve">[OMC][MTP][PROD] Hỗ trợ golive </t>
  </si>
  <si>
    <t>2025-03-13T20:58:15.112+0700</t>
  </si>
  <si>
    <t>2025-03-14T09:15:59.415+0700</t>
  </si>
  <si>
    <t>Dear a  @Nguyễn Văn Dũng  ,  Nhờ a tối nay ngày 13/3 khoảng 21h , team em thực hiện golive nhờ a trực cùng để support team ạ. Thanks.</t>
  </si>
  <si>
    <t xml:space="preserve">[OMD][OMS][PROD] phân quyền dremio ODS </t>
  </si>
  <si>
    <t>2025-03-13T20:52:24.660+0700</t>
  </si>
  <si>
    <t>2025-03-13T20:52:45.100+0700</t>
  </si>
  <si>
    <t xml:space="preserve">Anh  @Nguyễn Văn Dũng  phân quyền luôn giúp em cho user diem.tran vào bảng sau trên ODS:  Bảng salesorder của OMS dưới ODS   tidb_ods"."omd_vinid_b2b_platform_prod_b2b_commerce_b2b_oms_prod".SaleOrder  </t>
  </si>
  <si>
    <t>[OMC][Address Book][Prod] Update data đơn vị hành chính trên môi trường Production</t>
  </si>
  <si>
    <t>2025-03-13T16:25:43.007+0700</t>
  </si>
  <si>
    <t>2025-03-14T10:38:55.302+0700</t>
  </si>
  <si>
    <t>OMC, customer_platform</t>
  </si>
  <si>
    <t>Dear team DBA, liên quan đến việc update đơn vị hành chính theo file mapping mới nhất, nhờ team hỗ trợ chạy migrate sql command đính kèm phía dưới để update dữ liệu đơn vị hành chính trên database Address Book môi trường prod vào thời điểm  khoảng 22h00 ngày 13/03/2025 DB Info: DB_DATABASE: address_book 
DB_HOST: retails-vmm-mysql-master.int.vinid.net Chạy câu SQL Query command: UPDATE delivery_address SET district_name='Thành phố Phú Mỹ' where ward_id='26725';
UPDATE delivery_address SET district_name='Thành phố Phú Mỹ' where ward_id='26719';
UPDATE delivery_address SET district_name='Thành phố Phú Mỹ' where ward_id='26704';
UPDATE delivery_address SET district_name='Thành phố Phú Mỹ' where ward_id='26713';
UPDATE delivery_address SET district_name='Thành phố Phú Mỹ' where ward_id='26716';
UPDATE delivery_address SET district_name='Thành phố Phú Mỹ' where ward_id='26728';
UPDATE delivery_address SET district_name='Thành phố Phú Mỹ' where ward_id='26722';
UPDATE delivery_address SET ward_name='Phường Tân Hải', district_name='Thành phố Phú Mỹ' where ward_id='26710';
UPDATE delivery_address SET ward_name='Phường Tân Hòa', district_name='Thành phố Phú Mỹ' where ward_id='26707';
UPDATE delivery_address SET district_name='Thành phố Phú Mỹ' where ward_id='26731';
UPDATE delivery_address SET ward_name='Phường Mộc Sơn', district_name='Thị xã Mộc Châu' where ward_id='03979';
UPDATE delivery_address SET ward_name='Phường Thảo Nguyên', district_name='Thị xã Mộc Châu' where ward_id='03982';
UPDATE delivery_address SET district_name='Thị xã Mộc Châu' where ward_id='04012';
UPDATE delivery_address SET district_name='Thị xã Mộc Châu' where ward_id='04024';
UPDATE delivery_address SET district_name='Thị xã Mộc Châu' where ward_id='03985';
UPDATE delivery_address SET ward_name='Phường Đông Sang', district_name='Thị xã Mộc Châu' where ward_id='04030';
UPDATE delivery_address SET ward_name='Xã Chiềng Chung', district_name='Thị xã Mộc Châu' where ward_id='04015';
UPDATE delivery_address SET district_name='Thị xã Mộc Châu' where ward_id='04045';
UPDATE delivery_address SET ward_name='Phường Mường Sang', district_name='Thị xã Mộc Châu' where ward_id='04027';
UPDATE delivery_address SET ward_name='Xã Đoàn Kết', district_name='Thị xã Mộc Châu' where ward_id='04000';
UPDATE delivery_address SET ward_name='Phường Vân Sơn', district_name='Thị xã Mộc Châu' where ward_id='04033';
UPDATE delivery_address SET ward_name='Xã Tân Yên', district_name='Thị xã Mộc Châu' where ward_id='03997';
UPDATE delivery_address SET ward_name='Thị trấn Quang Huy' where ward_id='03910';
UPDATE delivery_address SET ward_name='Thị trấn Mường Giàng' where ward_id='03703';
UPDATE delivery_address SET ward_name='Xã Phổng Ly' where ward_id='03748';
UPDATE delivery_address SET ward_name='Xã Sặp Vạt' where ward_id='04066';
UPDATE delivery_address SET ward_name='Thị trấn Yên Châu' where ward_id='04075';
UPDATE delivery_address SET ward_id='27373' where ward_id='27379';
UPDATE delivery_address SET ward_id='27367' where ward_id='27361';
UPDATE delivery_address SET ward_id='27232' where ward_id='27223';
UPDATE delivery_address SET ward_id='27226' where ward_id='27217';
UPDATE delivery_address SET ward_id='26929' where ward_id='26935';
UPDATE delivery_address SET ward_id='26953' where ward_id='26959';
UPDATE delivery_address SET ward_id='27076' where ward_id='27067';
UPDATE delivery_address SET ward_id='04000', ward_name='Xã Đoàn Kết' where ward_id='03991';
UPDATE delivery_address SET ward_id='04000', ward_name='Xã Đoàn Kết' where ward_id='04003';
UPDATE delivery_address SET ward_id='03997', ward_name='Xã Tân Yên' where ward_id='03988';
UPDATE delivery_address SET ward_id='03910', ward_name='Thị trấn Quang Huy' where ward_id='03898';
UPDATE delivery_address SET ward_id='03910', ward_name='Thị trấn Quang Huy' where ward_id='03913';
UPDATE delivery_address SET ward_id='03748', ward_name='Xã Phổng Ly' where ward_id='03751';
UPDATE delivery_address SET ward_id='04075', ward_name='Thị trấn Yên Châu' where ward_id='04060'; Nếu cần thêm thông tin gì, nhờ team comment giúp.</t>
  </si>
  <si>
    <t>[OMC][User Profile][Prod] Update data đơn vị hành chính trên môi trường Production</t>
  </si>
  <si>
    <t>2025-03-13T15:18:19.024+0700</t>
  </si>
  <si>
    <t>2025-03-14T10:39:36.050+0700</t>
  </si>
  <si>
    <t>Dear team DBA, liên quan đến việc update đơn vị hành chính theo file mapping mới nhất, nhờ team hỗ trợ chạy file sql  đính kèm phía dưới để update dữ liệu đơn vị hành chính trên database User Profile môi trường prod vào thời điểm  khoảng 22h ngày 13/03/2025 thông tin DB: IP DB: 172.31.1.12:3306
Schema: account_profile_service Backup bảng  user_address  trước khi thực hiện. Chạy SQL Query command: # Begin update DVHC 20250207
UPDATE user_address
SET old_commune = commune
WHERE user_address.commune != '';
UPDATE user_address set commune= '27373' where commune = '27379';
UPDATE user_address set commune= '27367' where commune = '27361';
UPDATE user_address set commune= '27232' where commune = '27223';
UPDATE user_address set commune= '27226' where commune = '27217';
UPDATE user_address set commune= '26929' where commune = '26935';
UPDATE user_address set commune= '26953' where commune = '26959';
UPDATE user_address set commune= '27076' where commune = '27067';
UPDATE user_address set commune= '04000' where commune = '03991';
UPDATE user_address set commune= '04000' where commune = '04003';
UPDATE user_address set commune= '03997' where commune = '03988';
UPDATE user_address set commune= '03910' where commune = '03898';
UPDATE user_address set commune= '03910' where commune = '03913';
UPDATE user_address set commune= '03748' where commune = '03751';
UPDATE user_address set commune= '04075' where commune = '04060';
# end</t>
  </si>
  <si>
    <t>[OM][DP][Kafka][PROD] Tạo kafka topic cho các bảng của WMS phục vụ dự án MES</t>
  </si>
  <si>
    <t>2025-03-13T15:18:08.248+0700</t>
  </si>
  <si>
    <t>2025-03-19T10:24:04.155+0700</t>
  </si>
  <si>
    <t>Dear team DBA, Sắp tới OMD có nhu cầu xây dựng báo cáo NPP Subdis MES, nhờ anh Linh và team giúp em tạo kafka topic cho bảng theo thông tin dưới đây ạ. PROD: Project: vinid-b2b-platform-prod IP host: 172.31.4.59:3306 (mysql) Tables:  appointment_service_status
appointment_service_type
appointment_status
appointment_type
whse_location
prod_master
stock_status
prod_uom
appointment_master
appointment_service
order_hdr
order_item
whse_stock_detail
prod_batch_detail
report_order_header
report_order_item
report_warehouse_order_header
report_warehouse_order_item
report_warehouse_stock_item
report_wave_header
wave_order_header
wave_order_item
whse_order_hdr
whse_order_item Schema: omd_wms_mes_2d_001
omd_wms_mes_2d_002
omd_wms_mes_2d_003
omd_wms_mes_2d_004
omd_wms_mes_2d_005
omd_wms_mes_2d_006
omd_wms_mes_2d_007
omd_wms_mes_2d_008
omd_wms_mes_2d_009
omd_wms_mes_2d_010
omd_wms_mes_2d_011
omd_wms_mes_2d_012
omd_wms_mes_2d_013
omd_wms_mes_2d_014
omd_wms_mes_2d_015
omd_wms_mes_2d_016
omd_wms_mes_2d_017
omd_wms_mes_2d_018
omd_wms_mes_2d_019
omd_wms_mes_2d_020
omd_wms_mes_2d_021
omd_wms_mes_2d_022
omd_wms_mes_2d_023
omd_wms_mes_2d_024 Thanks and regards! cong.do1</t>
  </si>
  <si>
    <t>[VinID PAY][FSCORE][PROD] giảm cấu hình của mysql database và redis cụm om-fs-core-prod</t>
  </si>
  <si>
    <t>2025-03-13T15:06:36.137+0700</t>
  </si>
  <si>
    <t>2025-03-15T07:51:01.279+0700</t>
  </si>
  <si>
    <t>Vinpay, save_cost, tunning</t>
  </si>
  <si>
    <t>DBA team cần giảm cấu hình cho các instance thuộc project om-fs-core-prod việc giảm cấu hình sẽ có downtime đối với mysql là 10 phút, redis sẽ là 20 phút: Project: om-fs-core-prod Instance:  fs-core-prod Resource: 8vCPU 32GB Memory về 6vCPU 24GB Memory Flag: cloudsql_mysql_audit = ON  enable full các optional về Insight: Project: om-fs-core-prod Instance:  main resource: 3GB Memory về 1GB Memory</t>
  </si>
  <si>
    <t>2025-03-13T14:11:30.069+0700</t>
  </si>
  <si>
    <t>2025-03-13T14:36:14.614+0700</t>
  </si>
  <si>
    <t>Dear anh Linh, Nhờ anh chạy các câu lệnh sql dưới đây giúp team do cần update dữ liệu Project: vincart-prod
IP: 172.31.1.41
Database: vincart_mm_product
SQL: Chạy câu lệnh
Thời gian chạy: 11h00</t>
  </si>
  <si>
    <t>[Merchant] Cập nhật dữ liệu production</t>
  </si>
  <si>
    <t>2025-03-13T11:18:19.935+0700</t>
  </si>
  <si>
    <t>2025-03-13T15:07:20.456+0700</t>
  </si>
  <si>
    <t>Dear team,   Do OPS chưa hỗ trợ sửa dữ liệu, nên nhờ team chạy giúp câu lệnh bên dưới để cập nhật lại cho đúng ạ. Thông tin database https://console.cloud.google.com/sql/instances/main/overview?inv=1&amp;invt=Abqw_w&amp;project=vinid-merchant-prod DB_MYSQL_HOST=172.31.1.44
DB_MYSQL_DATABASE=merchant_service Câu lệnh UPDATE
	`address`
SET
	`deleted_at` = NOW(),
	`updated_at` = NOW(),
	`verification_status` = 'INACTIVE',
	`updated_by` = 'OPS'
WHERE
	`id` IN (371436, 371657, 371839, 371908, 372435, 372515, 372872, 372947, 375786, 376114, 376374, 376717, 377031, 377232, 377438);</t>
  </si>
  <si>
    <t>Phân quyền tạo bảng &amp; truncate dữ liệu cho account của DP dataplatform_ingestion</t>
  </si>
  <si>
    <t>2025-03-13T09:56:45.284+0700</t>
  </si>
  <si>
    <t>2025-03-13T11:02:10.036+0700</t>
  </si>
  <si>
    <t>DP_ODS</t>
  </si>
  <si>
    <t>Chào anh Dương, Luồng kéo dữ liệu từ Google Sheets về ODS trên Production cần phân quyền CREATE TABLE và TRUNCATE để tự động tạo bảng và overwrite dữ liệu, nên em cần phân quyền với thông tin như sau ạ: User của DP là  dataplatform_ingestion . Database:  omre_ijupiter_qm_owner . Related ticket:  https://vinid-team.atlassian.net/browse/DWHV2-10695</t>
  </si>
  <si>
    <t>[MTP][PostgreSQL] Request chạy script</t>
  </si>
  <si>
    <t>2025-03-13T08:31:42.932+0700</t>
  </si>
  <si>
    <t>2025-03-13T08:32:08.730+0700</t>
  </si>
  <si>
    <t>Nhờ anh  @Nguyễn Văn Dũng  chạy giúp em script này ạ: create index mtp_campaign_campaign_name_status_channel_idx
    on mtp_campaign_campaign (name, status, channel);
create index mtp_campaign_campaign_audience_id_idx
    on mtp_campaign_campaign (audience_id);
update mtp_campaign_campaign
set status = 'ENDED'
where id in ('31040', '31050'); Thông tin db: IP:  172.31.3.49:5432 DB:  mtp_campaign_management</t>
  </si>
  <si>
    <t>[OMC][ServicePlatform][PROD] Tối ưu tham số innodb_buffer_pool_size trên instance heavy 172.31.1.17</t>
  </si>
  <si>
    <t>2025-03-12T18:23:00.508+0700</t>
  </si>
  <si>
    <t>2025-03-12T23:14:59.089+0700</t>
  </si>
  <si>
    <t>Tối ưu tham số innodb_buffer_pool_size trên instance heavy, để giảm lượng RAM sử dụng. project: vinid-service-platform-prod instance: heavy Master IP: 172.31.1.17 https://console.cloud.google.com/sql/instances?project=vinid-service-platform-prod Chỉ số RAM đang sử dụng 97% và kéo dài nhiều ngày. Tham số innodb_buffer_pool_size đang để ở tỉ lệ cao so với mức 26GB RAM cấp phát innodb_buffer_pool_size : 20100446944 Vì vậy, em đề xuất giảm tham số innodb_buffer_pool_size về mức 60% số RAM, để instance không bị chiếm dụng bộ nhớ RAM ở mức cao. innodb_buffer_pool_size :  16750372454 Thay đổi này không gây downtime, cũng không ảnh hưởng đến service đang chạy. Thời gian thực hiện:  23h 12Mar25</t>
  </si>
  <si>
    <t>[OMRE][AgentPlatform][PROD] Thực thi câu lệnh SQL cập nhật thông tin về giá cho hàng</t>
  </si>
  <si>
    <t>2025-03-12T16:31:14.108+0700</t>
  </si>
  <si>
    <t>2025-03-12T16:35:48.820+0700</t>
  </si>
  <si>
    <t>UPDATE INVENTORY_PROPERTIES SET reference_selling_price_net_commission = 3260000000 WHERE INVENTORY_PROPERTIES.inventory_code = 'INV.SH7N01';
UPDATE INVENTORY_PROPERTIES SET reference_selling_price_net_commission = 2750000000 WHERE INVENTORY_PROPERTIES.inventory_code = 'INV.GU1ZIX';
UPDATE INVENTORY_PROPERTIES SET reference_selling_price_net_commission = 2350000000 WHERE INVENTORY_PROPERTIES.inventory_code = 'INV.DLKWHF';
UPDATE INVENTORY_PROPERTIES SET reference_selling_price_net_commission = 2770000000 WHERE INVENTORY_PROPERTIES.inventory_code = 'INV.ICLI6J';
UPDATE INVENTORY_PROPERTIES SET reference_selling_price_net_commission = 1790000000 WHERE INVENTORY_PROPERTIES.inventory_code = 'INV.ALXJI5';
UPDATE INVENTORY_PROPERTIES SET reference_selling_price_net_commission = 1954000000 WHERE INVENTORY_PROPERTIES.inventory_code = 'INV.3RLGHI';
UPDATE INVENTORY_PROPERTIES SET reference_selling_price_net_commission = 2990000000 WHERE INVENTORY_PROPERTIES.inventory_code = 'INV.XPQHMJ';
UPDATE INVENTORY_PROPERTIES SET reference_selling_price_net_commission = 2182000000 WHERE INVENTORY_PROPERTIES.inventory_code = 'INV.USHGW5';
UPDATE INVENTORY_PROPERTIES SET reference_selling_price_net_commission = 2468000000 WHERE INVENTORY_PROPERTIES.inventory_code = 'INV.TE0KHS';
UPDATE INVENTORY_PROPERTIES SET reference_selling_price_net_commission = 2609000000 WHERE INVENTORY_PROPERTIES.inventory_code = 'INV.BJWVS0';
UPDATE INVENTORY_PROPERTIES SET reference_selling_price_net_commission = 2270000000 WHERE INVENTORY_PROPERTIES.inventory_code = 'INV.MVFLVY';
UPDATE INVENTORY_PROPERTIES SET reference_selling_price_net_commission = 2750000000 WHERE INVENTORY_PROPERTIES.inventory_code = 'INV.WHQUJM';
UPDATE INVENTORY_PROPERTIES SET reference_selling_price_net_commission = 2900000000 WHERE INVENTORY_PROPERTIES.inventory_code = 'INV.ZDI7NK';
UPDATE INVENTORY_PROPERTIES SET reference_selling_price_net_commission = 3660000000 WHERE INVENTORY_PROPERTIES.inventory_code = 'INV.XCB1VR';
UPDATE INVENTORY_PROPERTIES SET reference_selling_price_net_commission = 2310000000 WHERE INVENTORY_PROPERTIES.inventory_code = 'INV.WQNVPY';
UPDATE INVENTORY_PROPERTIES SET reference_selling_price_net_commission = 4414000000 WHERE INVENTORY_PROPERTIES.inventory_code = 'INV.5EQSW7';</t>
  </si>
  <si>
    <t>2025-03-12T15:42:23.797+0700</t>
  </si>
  <si>
    <t>2025-03-12T15:52:38.492+0700</t>
  </si>
  <si>
    <t>Dear anh Linh, Nhờ anh chạy các câu lệnh sql dưới đây giúp team do cần update dữ liệu ạ Project: vincart-prod
IP: 172.31.4.9
Database: ecom_configuration
SQL: Chạy câu lệnh
Thời gian chạy: 15h45</t>
  </si>
  <si>
    <t>2025-03-12T12:04:43.974+0700</t>
  </si>
  <si>
    <t>2025-03-12T12:09:19.280+0700</t>
  </si>
  <si>
    <t>Dear team, Do migrate dữ liệu bị lỗi, nên nhờ team chạy giúp câu lệnh bên dưới để cập nhật lại cho đúng ạ. Thông tin database DB_MYSQL_DATABASE: merchant_notification
  DB_MYSQL_HOST: vinid-merchant-prod--main.cloudsql.int Câu lệnh UPDATE address
SET type='warehouse_address', updated_at=now(), verification_status='VERIFIED', verified_at=now(), default_delivery_address=0
WHERE id IN (372258, 372454, 372666, 372709);</t>
  </si>
  <si>
    <t>[OMRE] Xin cấp tài khoản để access vào DB mysql môi trường non-prod</t>
  </si>
  <si>
    <t>2025-03-12T10:22:33.570+0700</t>
  </si>
  <si>
    <t>2025-03-12T10:23:35.455+0700</t>
  </si>
  <si>
    <t>Dear team, A/e cần tài khoản để access vào DB trên môi trường NON-PROD Lý do: cấp quyền cho đội Biz access database non-prod Nhờ a/c cấp tạo và phân quyền giúp theo thông tin dưới đây: Database:  vep-mysql-master.int.vinid.dev:3306/onehs_crawler_uat Privileges:  SELECT ON onehs_crawler_uat.* User: onehs_crawler_uat_for_biz Thanks,</t>
  </si>
  <si>
    <t>[OMC][MTP][PROD] Truncate table và thực hiện migrate dữ liệu trên database mới</t>
  </si>
  <si>
    <t>2025-03-11T20:41:52.617+0700</t>
  </si>
  <si>
    <t>2025-03-11T20:42:15.871+0700</t>
  </si>
  <si>
    <t>Dear anh  @Nguyễn Văn Dũng  , Do ngày 06-03 team MTP cần rollback, nên dữ liệu đã migrate bị outdated, nhờ anh chạy script truncated table dưới đây, để team migrate lại data ạ. Truncate table trên database Postgresql thông tin db: POSTGRES_DB: mtp_campaign_management
  POSTGRES_HOST: 172.31.3.49
  POSTGRES_PORT: '5432'
  POSTGRES_USER: mtp_campaign_management script: TRUNCATE TABLE 
    mtp_campaign_content_feed,
    mtp_campaign_content_feed_field,
    mtp_campaign_campaign,
    mtp_campaign_campaign_audit,
    mtp_campaign_recommendation_model,
    mtp_campaign_user_recommendation,
    mtp_campaign_email_feed_block,
    mtp_campaign_objective,
    mtp_campaign_objective_event_group,
    mtp_campaign_campaign_schedule,
    mtp_campaign_export_audience_history
RESTART IDENTITY CASCADE; Thời gian thực hiện: trước 20h30' ngày 11-03-2025 Chạy script export dữ liệu cần migrate trên Mysql (đính kèm script bên dưới) - chạy export lúc 20h30' ngày 11-03-2025 Chạy script import dữ liệu migrate vào database mới Postgres. (script sẽ được gửi sau khi build từ data export tại mục thứ 2). Best regards,</t>
  </si>
  <si>
    <t>[OM][TSA] Kéo dữ liệu từ TCB Sales App về ODS và cấp quyền cho Superset Int</t>
  </si>
  <si>
    <t>2025-03-11T17:49:49.848+0700</t>
  </si>
  <si>
    <t>2025-03-12T17:50:06.150+0700</t>
  </si>
  <si>
    <t>Hi team DBA Nhằm phục vụ nhu cầu truy cập dữ liệu, kiểm soát dữ liệu và xây dựng các báo cáo vận hành, cần kéo dữ liệu của TCB Sales App về ODS với thông tin như sau Thông tin database nguồn như sau Database instance Project omd-pos-prod Instance: main-pos-integration IP 172.31.3.63 Database:  omd_saleapp_tcb_prod Tables như dưới đây Table TTL Action 180 D Answer 180 D Area Master AreaItem Master C2LItem Master Customer Master DocumentMedia 180 D ImageMedia 180 D Question Master QuestionChoice Master QuestionDataBranching Master QuestionPage Master Route 180 D RouteStore 180 D Sale Master SaleAreaRel Master SaleDevice 180 D SaleSurveyRestrictionRel Master Store Master StoreConsent Master StoreMetaConfig 180 D StoreMetaData 180 D Survey 180 D SurveyAudit 180 D SurveyTemplate Master Task 180 D   Dữ liệu phân quyền truy cập thông qua Dremio cho các tài khoản: khoi.nguyen3@onemount.com tramnn@onemount.com phuongnl5@onemount.com</t>
  </si>
  <si>
    <t>[OM][DP][Kafka][TMS][PROD] Tạo kafka topic cho bảng rate_info source tms_planning</t>
  </si>
  <si>
    <t>2025-03-11T14:08:00.587+0700</t>
  </si>
  <si>
    <t>2025-03-11T15:01:56.505+0700</t>
  </si>
  <si>
    <t>Dear team DBA, Hiện tại, team DE cần kéo dữ liệu bảng rate_info để sử dụng thông tin min charge của bảng rate_info để tính và phân bổ LogCost. Nhờ anh Linh giúp em tạo kafka topic theo các thông tin sau ạ PROD: IP: 172.31.4.129 Port: 3306 Schema: omd_tms_planning_prod Table: rate_info Thanks and regards! cong.do1</t>
  </si>
  <si>
    <t>[OMD TMS] [PROD] Sizing machine type của oracle-primary từ n2d-standard-8 sang n2d-standard-16</t>
  </si>
  <si>
    <t>2025-03-11T11:42:46.035+0700</t>
  </si>
  <si>
    <t>2025-04-13T18:19:38.946+0700</t>
  </si>
  <si>
    <t>Dear team DBA, anh  @Nguyễn Văn Duy  anh  @Phan Anh Sơn Nhờ team hỗ trợ trong việc chuyển job backup database tms oracle trên primary instance (10.255.24.170) về standby instance (10.255.24.171). Hiện tại việc backup database tms oracle trên primary instance gây ảnh hưởng tới dịch vụ, chi tiết: Hàng ngày sẽ có khung thời gian khoảng 1 tiếng database cao tải vào khung giờ backup (1h-2h sáng) Luồng dịch vụ API (từ các hệ thống khác gửi tới TMS) trong khung thời gian này cũng bị ảnh hưởng. Hiện trạng tần suất đang ít. Luồng dịch vụ cần query vào DB bị ảnh hưởng kéo dài, cụ thể trường hợp trao đổi ở thread:  https://chat.google.com/room/AAAAv0SFK3E/CYAU6tfD-5w/YsHXD5a-0b4?cls=10 Về chi phí hạ tầng của cụm TMS Oracle có thể thay đổi, cần team DBA sizing lại cấu hình: sẽ tăng cấu hình của standby instance (đảm bảo job backup chạy được) điều chỉnh lại cấu hình (có thể giảm) + ổ đĩa của primary instance (chạy reclaim lại ổ đĩa, bớt ổ đĩa)</t>
  </si>
  <si>
    <t>[OMC][MTP][PROD] Hỗ trợ truy vấn dữ liệu</t>
  </si>
  <si>
    <t>2025-03-11T11:01:02.450+0700</t>
  </si>
  <si>
    <t>2025-03-12T10:37:29.003+0700</t>
  </si>
  <si>
    <t>Dear team,  Em có nhu cầu lấy dữ liệu gửi SMS trên môi trường production. Nhờ team truy vấn giúp em dữ liệu trên production ở database:  172.31.1.17 notification_center với câu truy vấn sau ạ, nhờ team xuất excel output giúp em. select * from sms where created_at &gt;= '2025-02-01 00:00:00' and created_at &lt; '2025-03-01 00:00:00';
select * from sms_request where created_at &gt;= '2025-02-01 00:00:00' and created_at &lt; '2025-03-01 00:00:00';
select * from sms_response where created_at &gt;= '2025-02-01 00:00:00' and created_at &lt; '2025-03-01 00:00:00';
select * from sms_promotion where created_at &gt;= '2025-02-01 00:00:00' and created_at &lt; '2025-03-01 00:00:00'; Em cảm ơn team. Best regards, Thành An.</t>
  </si>
  <si>
    <t>[OMD CDP] [Non-prod] Setup TiSpark trên TiDB Cluster để thử nghiệm transform dữ liệu</t>
  </si>
  <si>
    <t>2025-03-11T10:51:52.648+0700</t>
  </si>
  <si>
    <t>2026-03-14T11:16:44.242+0700</t>
  </si>
  <si>
    <t>Dear team DBA, Nhờ team nghiên cứu và hỗ trợ việc setup TiSpark trên TiDB Cluster Nonprod để thử nghiệm transform dữ liệu. cc  @Lê Quang Thiệu   @Former user</t>
  </si>
  <si>
    <t>[Loyalty][OMC]V/v setup mapping google cloud storage on Windows Server 2016 project oneid-loyalty-core-prod instance oe-ms-sql 10.255.23.242</t>
  </si>
  <si>
    <t>2025-03-11T10:48:30.249+0700</t>
  </si>
  <si>
    <t>2025-03-24T09:53:54.137+0700</t>
  </si>
  <si>
    <t>Setup mapping Google Cloud Storage trên Windows Server 2016 phục vụ cho việc backup trực tiếp trên GCS mà không cần backup trên local VM. Luồng backup hiện tại: Job backup MSSQL Server--&gt; Write backup (FULL+Transaction Logs) local VM---&gt; gsutil cp to GCS bucket Thay đổi: Job backup MSSQL Server---&gt; Write backup (FULL+ Transaction Logs) GCS bucket Sử dung rclone tool để mapping bucket GCS to windows server: Bucket Google Cloud Storage Windows Server 2016 rclone tool oneid-data-backup-prod-int oe-ms-sql rclone tool         References link:  Lí do: Tăng tần suất interval time backup FULL từ  1 lần/ngày   thành   3h /1 lần daily   backup đang bị full disk local và cần backup trực tiếp trên GCS.</t>
  </si>
  <si>
    <t>[OneHS - Agent] Lấy data trên Redis Production</t>
  </si>
  <si>
    <t>2025-03-11T10:16:45.786+0700</t>
  </si>
  <si>
    <t>2025-03-11T10:17:05.723+0700</t>
  </si>
  <si>
    <t>Nhờ team lấy giúp e data trên Redis Production theo thông tin sau: Host:  172.31.0.68:6379 Key:  assignment_rule_v3 Query: GET assignment_rule_v3</t>
  </si>
  <si>
    <t>[OneHS - Agent] Delete data trên Redis PROD</t>
  </si>
  <si>
    <t>2025-03-11T10:15:48.706+0700</t>
  </si>
  <si>
    <t>2025-03-11T10:16:07.342+0700</t>
  </si>
  <si>
    <t xml:space="preserve">Nhờ team thực hiện xóa data trong Zset của Redis theo thông tin sau ạ: Host:  172.31.0.68:6379 Key:  assignment_rule_v3 Query: Theo file đính kèm  </t>
  </si>
  <si>
    <t>[OMD CDP] Migrate bổ sung data event Caresoft ticket</t>
  </si>
  <si>
    <t>2025-03-10T13:41:24.187+0700</t>
  </si>
  <si>
    <t>2025-03-10T14:51:44.167+0700</t>
  </si>
  <si>
    <t>Dear team DBA, Nhờ team process execute sql script dưới đây để bổ sung event configuration cho dữ liệu event Caresoft ticket (context:  https://chat.google.com/room/AAAALuw2C08/pHD-zG4xgZc/pHD-zG4xgZc?cls=10 ) trên OMD CDP với các thông tin dưới: Due date: 10/03/2025 Host:  omd-tidb.int.onemount.com:4000 Database:  omd_cdp_data_orchestration Script: omd-cdp.caresoft-ticket-event.sql  </t>
  </si>
  <si>
    <t>2025-03-10T11:27:59.570+0700</t>
  </si>
  <si>
    <t>2025-03-10T11:28:21.862+0700</t>
  </si>
  <si>
    <t>[OMC][GAMI][PS2][Prod] Hỗ trợ xuất báo cáo data of campaign "Săn vé anh tài" Day 3,4</t>
  </si>
  <si>
    <t>2025-03-10T10:39:43.424+0700</t>
  </si>
  <si>
    <t>2025-03-10T10:39:59.217+0700</t>
  </si>
  <si>
    <t>Hỗ trợ xuất báo cáo data of campaign "Săn vé anh tài" Day 3,4 theo câu query, lưu thành các exel sau: Host:  172.31.4.75 DB:  promo_gamezone Số lần quay: SELECT customer_id, COUNT(customer_id) FROM  transactions  WHERE campaign_id = 20 &amp;&amp;  status ='SUCCESS' GROUP BY customer_id; Danh sách trúng voucher: SELECT customer_id, COUNT(customer_id) AS total FROM transactions WHERE campaign_id = 20 &amp;&amp; reward_type='VOUCHER' &amp;&amp;  status ='SUCCESS' GROUP BY user_id Tổng lượt phát: SELECT customer_id,SUM(claim_amount) FROM  rule_logs  WHERE campaign_id=20 GROUP BY customer_id;</t>
  </si>
  <si>
    <t>[omd][taskbox][non-prod] Xin cấp DB mongo cho taskbox</t>
  </si>
  <si>
    <t>2025-03-10T09:29:49.613+0700</t>
  </si>
  <si>
    <t>2025-03-10T16:55:59.139+0700</t>
  </si>
  <si>
    <t xml:space="preserve">Hi anh Linh nhờ anh cấp giúp em DB cho project taskbox mới cho omd trên môi trường non-prod tamj thời chưa config sharding anh nhé, cứ để default anh nhé vì dự án đang giai đoạn dev nên data có thể thay đổi anh ạ! db_name: omd_taskbox_np SAD:   </t>
  </si>
  <si>
    <t>[OMC][MTP][PROD] Hỗ trợ bổ sung dữ liệu</t>
  </si>
  <si>
    <t>2025-03-08T12:15:42.774+0700</t>
  </si>
  <si>
    <t>2025-03-08T12:16:12.732+0700</t>
  </si>
  <si>
    <t xml:space="preserve">Dear team,  Nhờ team chạy giúp em script insert dưới đây với ạ DB host :   tidb.int.onemount.com:4000   / DB name : omc_mtp_user_profile INSERT INTO identified_profile
(id, uid, destination, tcb_user_status, is_linking, extra_data, om_referral_id, is_dien_may_xanh)
VALUES (UUID(), '12078104', 'VINID', '', 0, null, '', 1); Em cảm ơn ạ. Best regards, Thành An. cc anh  @Former user  </t>
  </si>
  <si>
    <t>[MTP][Prod][MySQL] Request chạy script</t>
  </si>
  <si>
    <t>2025-03-08T11:43:15.034+0700</t>
  </si>
  <si>
    <t>2025-03-08T11:43:31.542+0700</t>
  </si>
  <si>
    <t>Nhờ team DBA chạy giúp em script sau update `campaign` set `status` = 'FAILED' where id = 30970 and status = 'PROCESSING' IP:  172.31.1.21:3306 DB:  martech_campaign_prod</t>
  </si>
  <si>
    <t>2025-03-07T16:02:12.935+0700</t>
  </si>
  <si>
    <t>2025-03-07T16:04:30.633+0700</t>
  </si>
  <si>
    <t>Dear anh Linh, Nhờ anh chạy các câu lệnh sql dưới đây giúp team do cần update dữ liệu ạ Project: vincart-prod
IP: 172.31.4.9
Database: ecom_configuration
SQL: Chạy câu lệnh
Thời gian chạy: 16h00</t>
  </si>
  <si>
    <t>[OMD][WMS][Prod] Request tạo database cho tenant mới của WMS (C1 Sabeco)</t>
  </si>
  <si>
    <t>2025-03-07T11:25:10.676+0700</t>
  </si>
  <si>
    <t>2025-03-07T12:11:56.787+0700</t>
  </si>
  <si>
    <t>MES</t>
  </si>
  <si>
    <t>Hi DBA team, Dự án WMS sắp tới sẽ mở thêm kho mới cho MES, nên cần thêm database cho tenant này. Team DBA support tạo thêm database trên production cho WMS và WES với thông tin như sau WMS Project  vinid-b2b-platform-prod DB Instance  IP: 172.31.4.59 Databases DB name Username Additional Privileges omd_wms_mes_2d_021 omd_wms_mes_2d_021 ALTER/CREATE omd_wms_mes_2d_022 omd_wms_mes_2d_022 ALTER/CREATE omd_wms_mes_2d_023 omd_wms_mes_2d_023 ALTER/CREATE omd_wms_mes_2d_024 omd_wms_mes_2d_024 ALTER/CREATE omd_wms_mes_2d_025 omd_wms_mes_2d_025 ALTER/CREATE User  omd_wms_core_read_only  cấp quyền READ ONLY trên all databases mới được tạo WES Project  vinid-b2b-platform-prod DB Instance  172.31.1.143 Databases DB name Username Additional Privileges omd_wes_mes_2d_021 omd_wes_mes_2d_021 ALTER/CREATE omd_wes_mes_2d_022 omd_wes_mes_2d_022 ALTER/CREATE omd_wes_mes_2d_023 omd_wes_mes_2d_023 ALTER/CREATE omd_wes_mes_2d_024 omd_wes_mes_2d_024 ALTER/CREATE omd_wes_mes_2d_025 omd_wes_mes_2d_025 ALTER/CREATE User  read_wes  cấp quyền READ ONLY trên all databases mới được tạo</t>
  </si>
  <si>
    <t>2025-03-07T11:22:13.497+0700</t>
  </si>
  <si>
    <t>2025-03-07T12:11:36.163+0700</t>
  </si>
  <si>
    <t>Hi DBA team, Dự án WMS sắp tới sẽ mở thêm kho mới cho MES, nên cần thêm database cho tenant này. Team DBA support tạo thêm database trên production cho WMS và WES với thông tin như sau WMS Project  vinid-b2b-platform-prod DB Instance  IP: 172.31.4.59 Databases DB name Username Additional Privileges omd_wms_mes_2d_021 omd_wms_mes_2d_021 ALTER/CREATE omd_wms_mes_2d_022 omd_wms_mes_2d_022 ALTER/CREATE omd_wms_mes_2d_023 omd_wms_mes_2d_023 ALTER/CREATE omd_wms_mes_2d_024 omd_wms_mes_2d_024 ALTER/CREATE omd_wms_mes_2d_025 omd_wms_mes_2d_025 ALTER/CREATE User  omd_wms_core_read_only  cấp quyền READ ONLY trên all databases mới được tạo WES Project  vinid-b2b-platform-prod DB Instance  172.31.1.143 Databases DB name Username Additional Privileges omd_wes_mes_2d_021 omd_wes_mes_2d_021 ALTER/CREATE omd_wes_mes_2d_022 omd_wes_mes_2d_022 ALTER/CREATE omd_wes_mes_2d_023 omd_wes_mes_2d_023 ALTER/CREATE omd_wes_mes_2d_024 omd_wes_mes_2d_024 ALTER/CREATE omd_wes_mes_2d_025 omd_wes_mes_2d_025 ALTER/CREATE User  read_wes  cấp quyền READ ONLY trên all databases mới được tạo Thông tin username và password gửi mail cho   quangph@onemount.com</t>
  </si>
  <si>
    <t>Kéo dữ liệu của các kho Subdis về ODS</t>
  </si>
  <si>
    <t>2025-03-07T11:19:04.039+0700</t>
  </si>
  <si>
    <t>2025-03-07T18:22:36.527+0700</t>
  </si>
  <si>
    <t>Kéo dữ liệu dưới đây về hệ thống ODS và phân quyền trên Dremio cho các tài khoản sau hoang.dau@onemount.com thien.hoang1@onemount.com phuonghd1@onemount.com khoi.nguyen3@onemount.com Thông tin database nguồn như sau WMS Database instance Project vinid-b2b-platform-prod IP 172.31.4.59 Sheet  omd_wms_*  schema omd_wms_MES_2D01 omd_wms_MES_2D_001 omd_wms_MES_2D_002 omd_wms_MES_2D_003 omd_wms_MES_2D_004 omd_wms_MES_2D_005 omd_wms_MES_2D_006 omd_wms_MES_2D_007 omd_wms_MES_2D_008 omd_wms_MES_2D_009 omd_wms_MES_2D_010 omd_wms_MES_2D_011 omd_wms_MES_2D_012 omd_wms_MES_2D_013 omd_wms_MES_2D_014 omd_wms_MES_2D_015 omd_wms_MES_2D_016 omd_wms_MES_2D_017 omd_wms_MES_2D_018 omd_wms_MES_2D_019 omd_wms_MES_2D_020 List database và table cần sync về ODS Table name TTL (Day) report_order_header 180 report_order_item 180</t>
  </si>
  <si>
    <t>Tạo kafka topic cho các bảng thuộc DB TMS</t>
  </si>
  <si>
    <t>2025-03-07T10:55:37.705+0700</t>
  </si>
  <si>
    <t>2025-03-07T11:32:01.381+0700</t>
  </si>
  <si>
    <t>Hi  team DBA, Hiện tại team TMS mới chuyển đổi data source cho data của phần TMS approval engine (các bảng t1_ae_...) từ Oracle sang MySQL, chỗ này ảnh hưởng đến phần data approval request sync trước đó từ Oracle của DE cần update lại để đồng bộ từ nguồn MySQL Danh sách bảng cần tạo kafka topic: t1_ae_approvers t1_ae_assignments t1_ae_events t1_ae_files t1_ae_sequences t1_ae_tasks t1_ae_workflows t.tin database: Oracle:  10.255.24.172:1521  (via LB) (cũ) MySQL: instance tms-mysql-01 ( onedc-tms-prod--tms-mysql-01.cloudsql.int ) (schema: omd_tms_planning_prod) (mới) @Former user  cung cấp thêm giúp anh thông tin môi trường nonprod (nếu có) để nhờ các anh DBA cấu hình CDC luôn với nha. Thanks</t>
  </si>
  <si>
    <t>2025-03-07T10:48:05.363+0700</t>
  </si>
  <si>
    <t>2025-03-07T10:51:11.498+0700</t>
  </si>
  <si>
    <t>Description Dear anh Linh, Nhờ anh chạy các câu lệnh sql dưới đây giúp team do cần update dữ liệu ạ Project: vincart-prod
IP: 172.31.4.9
Database: ecom_configuration
SQL: Chạy câu lệnh
Thời gian chạy: 10h45</t>
  </si>
  <si>
    <t>[OMC][MTP][PROD] Hỗ trợ insert dữ liệu vào redis</t>
  </si>
  <si>
    <t>2025-03-07T09:10:07.914+0700</t>
  </si>
  <si>
    <t>2025-03-07T09:10:25.515+0700</t>
  </si>
  <si>
    <t>Dear a  @Nguyễn Văn Dũng  nhờ a thực hiện insert dữ liệu mới redis giúp em ạ  Thông tin Redis : crm-salesforce-redis.int.vinid.net:6379 Script: SET com.aiagent.1agent OMRE
SET https://mtp-webapp.web.app OMC
SET https://ticketing-webapp-beta.web.app OMC
SET com.aiagent.os.1agent OMRE
SET vn.om.outsystems.newagent OMRE
SET https://onboarding.onemount.com OMC
SET vn.omre.agent OMRE
SET https://oneu.vn OMC
SET Fandom OMC
SET com.vingroup.VinIDApp OMC
SET com.vingroup.vinid OMC
SET com.vinid.one OMC
SET https://oneu-link-account.onemount.com OMC
SET automation-test-prod OMC
SET https://ungho.vinid.net OMC
SET https://survey-force.vinid.net OMC
SET https://vinid.net OMC
SET com.onemount.paymentpos OMC
SET com.vingroup.VinIDMerchantApp OMD
SET https://shortlink.vinid.net OMC
SET https://web-mnanalytics-qc.int.onemount.dev OMC
SET https://map-beta.onehousing.vn OMRE
SET https://map.onehousing.vn OMRE
SET https://maps.onehousing.vn OMRE
SET https://beta.int.onehousing.vn OMRE
SET https://beta.onehousing.vn OMRE
SET https://onehousing.vn OMRE
SET https://payment-pos-webapp.vinid.net OMC
SET https://banghang.onehousing.vn OMRE
SET ChatSDKv2 OMC
SET https://login.onemount.com OMC Thanks!</t>
  </si>
  <si>
    <t>[MTP][PROD][PostgreSQL] Request chạy script</t>
  </si>
  <si>
    <t>2025-03-07T09:09:30.671+0700</t>
  </si>
  <si>
    <t>2025-03-07T09:09:41.204+0700</t>
  </si>
  <si>
    <t>Nhờ a  @Nguyễn Văn Dũng  chạy giúp e script này lúc 8h30 tối 06/03 với ạ DB:  IP:  172.31.1.21:3306 Database:  martech_campaign_prod Script: đính kèm trong ticket Data kết quả gửi lại cho em để e chạy code build ra script mới. Script mới sau khi gen từ code sẽ gửi lại anh để anh insert vào db PostgreSQL của Campaign Management mới</t>
  </si>
  <si>
    <t>[OMC][MTP][Prod][PostgreSQL] Request tạo DB schema mới cho service Mtp Campaign Management</t>
  </si>
  <si>
    <t>2025-03-07T09:08:01.794+0700</t>
  </si>
  <si>
    <t>2025-03-07T09:08:41.502+0700</t>
  </si>
  <si>
    <t>Dear anh  @Nguyễn Văn Dũng  , Nhờ anh tạo giúp em database schema mới cho service MTP Campaign Management với các thông tin sau: Database name:  mtp_campaign_management Type: PostgreSQL Script tạo bảng: Đính kèm trong ticket Thông tin username/pass mới nhờ a gửi cho SRE  @Phạm Minh Quang  giúp em ạ</t>
  </si>
  <si>
    <t>[omd][taskbox][nonprod] Xin cấp DB cho dự án taskbox môi trường non-prod</t>
  </si>
  <si>
    <t>2025-03-06T23:31:52.304+0700</t>
  </si>
  <si>
    <t>2025-03-07T23:49:03.230+0700</t>
  </si>
  <si>
    <t>Hi anh  @Trần Trương Dương   Nhờ anh cấp giúp em DB cho dự án taskbox môi trường non-prod anh nhé SAD:    cc  @Nguyễn Đức Anh   mysql v8 với DB name: QC env: omd_taskbox_qc UAT env: omd_taskbox_uat</t>
  </si>
  <si>
    <t>2025-03-06T23:29:48.647+0700</t>
  </si>
  <si>
    <t>2025-03-07T23:49:20.960+0700</t>
  </si>
  <si>
    <t>[PROD][OMD][CDP] V/v Upgrade TiDB OMD CDP from version TiDB từ v7.5.5 lên v8.5.1</t>
  </si>
  <si>
    <t>2025-03-06T20:00:05.418+0700</t>
  </si>
  <si>
    <t>2025-03-06T20:00:34.467+0700</t>
  </si>
  <si>
    <t>Nâng cấp version database  TiDB từ v7.5.5 lên v8.5.1 Trong quá trình vận hành tidb của cdp version 7.5.5, thì phía DBA phát hiện các issues liên quan đến việc: tidb bị crash khi analyze mem quota   TiDB Version v8.5.1 được release từ tháng 1/2025, cụm tidb cũng chưa được upgrade các bản patch lỗi theo branch 7.5.x version v8.5.1 fixing: Fix the issue that the last  ANALYZE  time of tables without collected statistics might not be NULL  #57735  @ winoros Adjust the default threshold of statistics memory cache to 20% of the total memory Fix the issue that data indexes are inconsistent because plan cache uses the wrong schema when adding indexes  #56733  @ wjhuang2016 Fix the issue that the  REORGANIZE PARTITION  operation does not correctly clean up replaced global indexes and handles unique indexes on non-clustered tables  #56822  @ mjonss   Lý do chọn upgrade từ 7.5.1 lên 7.5.5 mà không phải lên 8.5.x: Giảm thiểu rủi ro vận hành và phát sinh thêm các issues ngoài mong đợi với breaking change từ v 7.5.x sang 8.5.x Patch các lỗi theo branch 7.5.x 8.5.x có thêm tính năng global index   Việc nâng cấp hệ thống sẽ có down time trong quá trình thực hiện theo plan:    thời gian thực hiện: từ 22:00 PM ngày 2025-03-14 đến 01:00 AM ngày 2025-03-15</t>
  </si>
  <si>
    <t>[OMC][NRs][PROD] Migrate Display Time</t>
  </si>
  <si>
    <t>2025-03-06T14:45:56.265+0700</t>
  </si>
  <si>
    <t>2025-03-07T10:56:08.545+0700</t>
  </si>
  <si>
    <t>Dear A/e DBA Nhờ team support chạy giúp script update attribute name display_from, display_to. Thời gian chạy   22h 06/03/2025 Thông tin database Mysql: IP: 172.31.1.41
Database Name: vincart_mm_product Các bước thực hiện dưới: B1:   Backup bảng  entity_attributes_values create table entity_attributes_values_20250306 like entity_attributes_values;
insert into entity_attributes_values_20250306 select * from entity_attributes_values; B2: Chạy script update: UPDATE entity_attributes_values a
    JOIN entity_attributes_values x
    ON a.entity_id = x.entity_id
        AND x.name = 'effective_time_from'
SET a.value = x.value
WHERE a.type = 'VARIANT'
  AND a.name = 'display_from';
UPDATE entity_attributes_values a
    JOIN entity_attributes_values x
    ON a.entity_id = x.entity_id
        AND x.name = 'effective_time_to'
SET a.value = x.value
WHERE a.type = 'VARIANT'
  AND a.name = 'display_to';</t>
  </si>
  <si>
    <t xml:space="preserve">[OM][DP][Kafka][nonPROD] Xin cấp Kafka topic cho các bảng ở MySQL </t>
  </si>
  <si>
    <t>2025-03-06T14:35:49.018+0700</t>
  </si>
  <si>
    <t>2025-03-06T14:41:45.017+0700</t>
  </si>
  <si>
    <t>Ingestion, OMRE</t>
  </si>
  <si>
    <t>Dear các anh và team, Để phục vụ nhu cầu kéo bảng từ  MySQL  về  DP  mình theo ticket  https://vinid-team.atlassian.net/browse/DWHV2-10955  , nhờ các anh tạo giúp em thêm các topic dưới đây với ạ. Thông tin  DB MySQL Non-prod : IP:   172.31.0.16 Database:  onehs_crawler_uat Table: analyzed_messages Em cảm ơn các anh ạ!</t>
  </si>
  <si>
    <t>2025-03-06T13:57:56.883+0700</t>
  </si>
  <si>
    <t>2025-03-06T13:58:12.410+0700</t>
  </si>
  <si>
    <t>Hỗ trợ xuất báo cáo data of campaign "Săn vé anh tài" Day 3,4 theo câu query, lưu thành các exel sau: Host:  172.31.4.75 DB:  promo_gamezone Query: SELECT customer_id,SUM(claim_amount) FROM  rule_logs  WHERE campaign_id=20 GROUP BY customer_id;</t>
  </si>
  <si>
    <t>[Merchant] Cập nhật dữ liệu đơn vị hành chính</t>
  </si>
  <si>
    <t>2025-03-06T12:53:44.678+0700</t>
  </si>
  <si>
    <t>2025-03-06T13:01:54.706+0700</t>
  </si>
  <si>
    <t>Dear team, Hiện tại dữ liệu đơn vị hành chính bị sai một số trường hợp (do script lần trước chưa cover hết). Em nhờ team hỗ trợ chạy các script bên dưới - để cập nhật dữ liệu cho đúng ạ. Em cảm ơn. Thông tin database https://console.cloud.google.com/sql/instances/main/overview?inv=1&amp;invt=Abqw_w&amp;project=vinid-merchant-prod DB_MYSQL_HOST=172.31.1.44
DB_MYSQL_DATABASE=merchant_service Script UPDATE address SET updated_at='2025-03-06 15:19:09', district_id='374', district_name='TP. Hoa Lư' WHERE district_id='369' AND ward_id='14329' ;
UPDATE address SET updated_at='2025-03-06 15:19:09', district_id='753', district_name='H. Long Đất', ward_name='X. Tam An' WHERE district_id='752' AND ward_id='26668' ;
UPDATE address SET updated_at='2025-03-06 15:19:09', district_id='356', district_name='TP. Nam Định' WHERE district_id='358' AND ward_id='13735';
UPDATE address SET updated_at='2025-03-06 15:19:09', district_id='356', district_name='TP. Nam Định' WHERE district_id='358' AND ward_id='13708';
UPDATE address SET updated_at='2025-03-06 15:19:09', district_id='213', district_name='TP. Bắc Giang' WHERE district_id='221' AND ward_id='07682';
UPDATE address SET updated_at='2025-03-06 15:19:09', ward_id='28810' WHERE district_id='831' AND ward_id='28801';
UPDATE address SET updated_at='2025-03-06 15:19:09', ward_id='19207' WHERE district_id='456' AND ward_id='19201';
UPDATE address SET updated_at='2025-03-06 15:19:09', province_id='01', district_id='019', ward_id='00628' WHERE id IN (199475, 199476, 199511, 199512);</t>
  </si>
  <si>
    <t>2025-03-06T10:09:10.561+0700</t>
  </si>
  <si>
    <t>2025-03-06T10:12:05.566+0700</t>
  </si>
  <si>
    <t>Hỗ trợ xuất báo cáo data of campaign "Săn vé anh tài" Day 3,4 theo câu query, lưu thành các exel sau: Host:  172.31.4.75 DB:  promo_mysterybox Query: SELECT customer_id, turn_left FROM  user_turns  WHERE campaign_id = 20;</t>
  </si>
  <si>
    <t>[OMD CDP][Prod] Execute sql migration script for golive Sprint 10</t>
  </si>
  <si>
    <t>2025-03-05T23:40:08.611+0700</t>
  </si>
  <si>
    <t>2025-03-06T00:02:45.323+0700</t>
  </si>
  <si>
    <t>Nhờ team process execute sql script trong file đính kèm để init data cho CDP với nhé ạ Due date: 22h30 ngày 05/03/2025 Server: OMD TiDB at  omd-tidb.int.onemount.com:4000 Database:  omd_cdp_data_from_ingest Script: see in attachments 2.omd-cdp-ingest-worker-v0.4.0.ingest.ddl.sql
3.omd-cdp-ingest-api-v0.2.0.ingest.ddl.sql Database:  omd_cdp_orchestration Script: see in attachments 1.omd-cdp-bff-api-v0.5.0.ingest.ddl.sql
4.omd-cdp-ingest-worker-v0.4.0.meta.dml.sql
5.omd-cdp-segment-worker-v0.5.0.meta.ddl+migrate.sql</t>
  </si>
  <si>
    <t>2025-03-05T23:37:48.673+0700</t>
  </si>
  <si>
    <t>2025-03-06T18:42:35.722+0700</t>
  </si>
  <si>
    <t>[TMS][Prod] Execute sql migration script for Golive TMS Sprint 43 (05/03/2025)</t>
  </si>
  <si>
    <t>2025-03-05T22:04:39.363+0700</t>
  </si>
  <si>
    <t>2025-03-05T22:20:09.017+0700</t>
  </si>
  <si>
    <t>Nhờ team thực hiện migration sql cho các database sau ạ Thực hiện trước 22h ngày 05/03/2025 Database  bytm_prod  (Oracle instance on GCE oracle-primary (Private IP: 10.255.24.170) (see attachments) (theo thứ tự) tms-data-proxy-v1.10.0.sql tms-data-proxy-v1.10.0.trigger.sql Database  omd_tms_planning_prod  (SQL instance tms-mysql-01 (Private IP: 172.31.4.129)  https://console.cloud.google.com/sql/instances/tms-mysql-01/overview?project=onedc-tms-prod ) (see attachments) tms-approval-engine-v1.13.0.sql</t>
  </si>
  <si>
    <t>[OMC][MTP][PROD] Hỗ trợ tạo account truy cập DB</t>
  </si>
  <si>
    <t>2025-03-05T17:50:51.036+0700</t>
  </si>
  <si>
    <t>2025-03-06T09:31:47.941+0700</t>
  </si>
  <si>
    <t>Dear a  @Nguyễn Văn Dũng  nhờ a tạo user cho mtp_tracking với thông tin như sau: username : omc_mtp_tracking_events , host :  omc-mtp-tidb.int.onemount.com username : omd_cdp_data_from_mtp , host :  omd-tidb.int.onemount.com username : omre_mtp_tracking_events , host :  omc-mtp-tidb.int.onemount.com Thanks</t>
  </si>
  <si>
    <t>2025-03-05T17:19:11.710+0700</t>
  </si>
  <si>
    <t>2025-03-05T17:22:28.276+0700</t>
  </si>
  <si>
    <t>Dear a  @Nguyễn Văn Dũng  , nhờ a insert bản ghi mới vào DB giúp em ạ DB host : tidb.int.onemount.com:4000 / DB name : omc_mtp_user_profile
INSERT INTO identified_profile
(id, uid, destination, tcb_user_status, is_linking, extra_data, om_referral_id, is_dien_may_xanh)
VALUES
(UUID(), '7827812', 'VINID', '', 0, null, '', 1); Thanks.</t>
  </si>
  <si>
    <t>[OMC][Link Account] [Prod] thực hiện query update 1 record trong table "linkages" ở dự án Link Account với user_id 951373</t>
  </si>
  <si>
    <t>2025-03-05T17:03:36.603+0700</t>
  </si>
  <si>
    <t>2025-03-05T17:07:12.742+0700</t>
  </si>
  <si>
    <t>Onboarding</t>
  </si>
  <si>
    <t>Dear team DBA, Theo thread trao đổi:  https://chat.google.com/room/AAAAbcTWvJQ/uN5bnfzUtAg/uN5bnfzUtAg?cls=10   Hiện user bị gãy luồng, nên team cần thực hiện update record để đảm bảo luồng của user UID 951373 trước đây có sđt cũ 0988900795 thực hiện request link account và lỗi.
 Sau đó đổi sđt sang 0904900795 và thực hiện liên kết nên hệ thống báo lỗi uid đã tồn tại bản ghi LA Nhờ team thực hiện query: Instance ID:  https://console.cloud.google.com/sql/instances/postgres-01/overview?authuser=1&amp;project=vinid-service-platform-prod Database name:  sp_postgres_link_account Câu lệnh SQL: UPDATE linkages SET active = false
WHERE user_id = 951373</t>
  </si>
  <si>
    <t>[OMD][WMS][ODS]Off các Schema trên ODS</t>
  </si>
  <si>
    <t>2025-03-05T14:59:05.700+0700</t>
  </si>
  <si>
    <t>2025-03-08T12:21:18.261+0700</t>
  </si>
  <si>
    <t>Nhờ anh  @Trần Trương Dương  off các Schema sau giúp em với nhé ạ omd_vinid_b2b_platform_prod_main_omd_wms_tue01 omd_vinid_b2b_platform_prod_main_omd_wms_thanhhang omd_vinid_b2b_platform_prod_main_omd_wms_smo omd_vinid_b2b_platform_prod_main_omd_wms_ban omd_vinid_b2b_platform_prod_main_omd_wms_dms_trn omd_vinid_b2b_platform_prod_main_omd_wms_ttp omd_vinid_b2b_platform_prod_main_omd_wms_tbs omd_vinid_b2b_platform_prod_main_integration_wes_tbs</t>
  </si>
  <si>
    <t>[OMD][PROD][Aftersale]Cập nhật Aftersale DB S146</t>
  </si>
  <si>
    <t>2025-03-05T14:51:52.152+0700</t>
  </si>
  <si>
    <t>2025-03-05T22:47:14.480+0700</t>
  </si>
  <si>
    <t>Hi các anh , Team promotion OMD nhờ các anh hỗ trợ chạy script phục vụ cho S146 chạy cùng với thời điểm deploy. alter table AfterSaleCampaign
    add blockRegistration bit default null after saRegistersReportsForGt; Thông tin database: GCP Project Instance DB name Production : vinid-b2b-platform-prod main (mysql 8.0 - 172.31.4.59) omd_aftersale_campaign Thanks!</t>
  </si>
  <si>
    <t>[OMC][PS2][OneVoucher][PROD]Hỗ trợ update thông tin purchased_price ở ticket</t>
  </si>
  <si>
    <t>2025-03-05T14:20:39.775+0700</t>
  </si>
  <si>
    <t>2025-03-05T14:53:09.072+0700</t>
  </si>
  <si>
    <t>Dear anh  @Phạm Tuấn Linh   và  @Trần Mạnh Đức  support, Do 1 số ticket phát sinh đang bị sai thông tin giá nhập (nguyên nhân do list voucher này đều là Cash voucher và phải có giá nhập khác 0.  Tuy nhiên, những voucher này ban đầu chỉ xuất kho cho OMC nên đang ghi nhận giá nhập = 0. Sau đó, có mở thêm bán cho TCB nhưng giá nhập này chưa được update nên ticket của những voucher bán cho TCB này cũng đang ghi nhận giá nhập = 0) Giờ em cần update lại giá nhập cho những ticket này, theo như danh sách đính kèm, nhờ mn support ạ. Em cảm ơn!</t>
  </si>
  <si>
    <t>[B2B-OFS] Change database release S146(05/03/2025)</t>
  </si>
  <si>
    <t>2025-03-05T12:09:27.006+0700</t>
  </si>
  <si>
    <t>2025-03-05T22:21:27.231+0700</t>
  </si>
  <si>
    <t>Hi a Dương, Hiện tại team OFS mong muốn team DBA hỗ trợ chạy script thay đổi database cho release S146 trên prod. Nhờ team update database giúp em a. I. Thời gian: 22h ngày 05/03/2025 II. Thông tin database IP: 172.31.1.143 Database: b2b_ofs III. Query: ALTER TABLE b2b_ofs.load_tender ADD COLUMN porter_name VARCHAR(100) NULL; ALTER TABLE b2b_ofs.load_tender ADD COLUMN porter_phone VARCHAR(100) NULL; ALTER TABLE b2b_ofs.trip_planning ADD COLUMN porter_name VARCHAR(100) NULL; ALTER TABLE b2b_ofs.trip_planning ADD COLUMN porter_phone VARCHAR(100) NULL;</t>
  </si>
  <si>
    <t>[OMD CDP][Prod&amp;NonProd] Phân quyền DB omd_cdp_orchestration cho account dataplatform_ingestion</t>
  </si>
  <si>
    <t>2025-03-05T11:46:01.333+0700</t>
  </si>
  <si>
    <t>2025-03-05T12:05:34.572+0700</t>
  </si>
  <si>
    <t xml:space="preserve">Dear DBA team,  Để phục vụ cho việc kéo dữ liệu từ OMD CDP về Data Platform ( https://vinid-team.atlassian.net/browse/DWHV2-10870 ). Em nhờ team thực hiện phân quyền theo thông tin sau: Prod: Host: omd-tidb.int.onemount.com:4000 Databases:  omd_cdp_orchestration omd_cdp_ingest_from_ingest Account: dataplatform_ingestion Non-Prod:  Host: tidb.int.onemount.dev:4000 Databases:  omd_cdp_orchestration_qc omd_cdp_ingest_from_ingest_qc Account: dataplatform_ingestion Em cảm ơn ạ!! cc anh  @Bùi Văn Lực  </t>
  </si>
  <si>
    <t>2025-03-05T11:41:21.070+0700</t>
  </si>
  <si>
    <t>2025-03-05T12:17:37.004+0700</t>
  </si>
  <si>
    <t>Soundbox, vinidpay</t>
  </si>
  <si>
    <t>Hi các anh DBA, Hiện tại em cần update data trên prod bảng tcb_device, nhờ các anh review và approve giúp em, Thông tin database  saas_tpay: jdbc:mysql://pay-tidb.int.onemount.com:4000/saas_tpay UPDATE TCB_DEVICE m SET m.device_edition = 'DEVICE_EMPTY' WHERE m.DEVICE_ID = 'SB_RLINK_Y66A_SDLTCBY66A1223240101';
UPDATE TCB_DEVICE m SET m.device_edition = 'DEVICE_EMPTY' WHERE m.DEVICE_ID = 'SB_RLINK_Y66A_SDLTCBY66A1223241079';
DELETE from SOUNDBOX_DEVICE_MAPPING m WHERE m.DEVICE_ID = 'SB_RLINK_Y66A_SDLTCBY66A1223240101';
DELETE from SOUNDBOX_DEVICE_MAPPING m WHERE m.DEVICE_ID = 'SB_RLINK_Y66A_SDLTCBY66A1223241079'; Thanks kiuuu các anh,</t>
  </si>
  <si>
    <t>2025-03-05T11:38:22.490+0700</t>
  </si>
  <si>
    <t>2025-03-05T23:27:11.160+0700</t>
  </si>
  <si>
    <t>Nhờ team DBA  chạy upgrade database camunda vào lúc  11h thứ 4 ngày 05/03/2025 Database ip:   172.31.3.10:5432 database name prod:  camunda_bpm_prod Query insert into ACT_GE_SCHEMA_LOG
values ('600', CURRENT_TIMESTAMP, '7.17.0');
ALTER TABLE ACT_RU_JOB
  ADD COLUMN LAST_FAILURE_LOG_ID_ varchar(64);
ALTER TABLE ACT_RU_EXT_TASK
  ADD COLUMN LAST_FAILURE_LOG_ID_ varchar(64);
create index ACT_IDX_HI_VARINST_NAME on ACT_HI_VARINST(NAME_);
create index ACT_IDX_HI_VARINST_ACT_INST_ID on ACT_HI_VARINST(ACT_INST_ID_);   Cảm ơn team.</t>
  </si>
  <si>
    <t>[PROD][FS-CORE]  update category tài khoản 094093029433</t>
  </si>
  <si>
    <t>2025-03-05T11:09:18.214+0700</t>
  </si>
  <si>
    <t>2025-03-05T11:09:43.976+0700</t>
  </si>
  <si>
    <t>Dear team,  Em cần support câu lệnh sau để  update category tài khoản 094093029433 thời gian thực hiện: thực hiện sau khi được approve DB fscore: domain: om-fs-core-prod--fs-core-prod.cloudsql.int:3306 schema: fs_core_prod scripts: UPDATE account t
SET t.category = '4104'
WHERE t.account_number = '094093029433'</t>
  </si>
  <si>
    <t>[B2B-OMS]: Xóa Fraud Rule cũ và thay đổi length cho field groupLabelValues (FraudCheckOrderValue)</t>
  </si>
  <si>
    <t>2025-03-05T10:57:55.966+0700</t>
  </si>
  <si>
    <t>2025-03-05T11:10:59.434+0700</t>
  </si>
  <si>
    <t>Hi a Dương, Anh chạy giúp em script thay đổi  bên dưới với ạ.  Script 1: Xóa Fraud Rule cũ để tránh Vận hành active lại rule cũ sẽ ảnh hưởng đến luồng chạy Rule mới Script 2: Thay đổi length do hiện tại length column bên PCM có đội dài khoảng 20 mà số lượng sku tối đa = 40 DELETE FROM `FraudCheck` WHERE `id` IN (53,52,47,42,41,40,39,36,33,32,31,28,27,26,25,24,23,22,21,19,18,17,16,15,14,13,12,11,10,9,8,7,6,5,4,3,2,1);
ALTER TABLE `FraudCheckOrderValue` CHANGE COLUMN `brandCodes` `brandCodes` VARCHAR(1000) NULL DEFAULT NULL; Hiện tại 2 bảng  FraudCheck và  FraudCheckOrderValue  có số lượng data nhỏ và không có relation với bảng khác. nên khi chạy sẽ không impact vào các bảng khác ạ. Thời gian chạy:  22h ngày 05/03/2025 Thông tin database gcp project: vinid-b2b-platform-prod IP: 172.31.4.113 Database: b2b_oms_prod</t>
  </si>
  <si>
    <t>2025-03-04T21:15:51.808+0700</t>
  </si>
  <si>
    <t>2025-03-04T21:17:08.608+0700</t>
  </si>
  <si>
    <t>Nằm trong kế hoạch golive HD/IVM ngày 04/03/2025, nhờ team chạy giúp em câu script sau để tạo thêm column mới: Dự kiến thời gian chạy: 19h30 ngày 04/03/2025 Thông tin Database Server: 172.31.4.146
DB: onehs_hd_residential_house_import
User: onehs_hd_residential_house_import Câu lệnh script: alter table RAW_DATA_RESIDENTIAL_PROPERTY
    add property_planning_infos json null comment 'Thông tin quy hoạch' after planning_outside_land_area;
alter table RESIDENTIAL_PROPERTY_VALIDATION_RESULTS
    add property_planning_infos json null comment 'Thông tin quy hoạch' after planning_outside_land_area; Em cảm ơn ạ</t>
  </si>
  <si>
    <t>[OMC][VmmMerchantService][Prod] Chạy script update data đơn vị hành chính</t>
  </si>
  <si>
    <t>2025-03-04T18:08:45.888+0700</t>
  </si>
  <si>
    <t>2025-03-05T09:48:10.942+0700</t>
  </si>
  <si>
    <t>OMC, VmmMerchant</t>
  </si>
  <si>
    <t>Hi a  @Nguyễn Văn Dũng Nhờ anh chạy giúp e script update data đơn vị hành chính MYSQL_ADDRESS:  172.31.1.41 MYSQL_DATABASE:  vincart_mm_merchant Script update database theo file đính kèm update_sql_20241129.csv update_sql_20250101.csv  chú ý: backup bảng trước khi update Nhờ a run giúp e lúc  22h ngày 4/3/2025  với ạ. Thanks a ạ.</t>
  </si>
  <si>
    <t>[OMD CDP][Prod] Tạo mới bảng DP_SALESFORCE_CS_CALL và thêm cột cho bảng DP_STAT_TRANSACTION_DAILY</t>
  </si>
  <si>
    <t>2025-03-04T16:36:51.193+0700</t>
  </si>
  <si>
    <t>2025-03-05T09:25:41.719+0700</t>
  </si>
  <si>
    <t xml:space="preserve">Dear tem DBA, Để phục vụ việc phát triển OMD CDP trên môi trường prod, nhờ team hỗ trợ tạo giúp em trên TiDb  omd-tidb.int.onemount.com:4000 Database: omd_cdp_data_from_dp Review script và tạo bảng dữ liệu  omd_cdp_data_from_dp.DP_SALESFORCE_CS_CALL   Script: CREATE TABLE omd_cdp_data_from_dp.DP_SALESFORCE_CS_CALL (
    `id` varchar(28) NOT NULL,
    `case_number` varchar(12),
    `created_date` timestamp,
    `case_log_by` varchar(20),
    `description` text,
    `detail_request` varchar(168),
    `detail_request_group` varchar(90),
    `gt_code` varchar(60),
    `subject` varchar(255),
    `call_status` varchar(125),
    `is_deleted` boolean,
    `fact_status` varchar(1),
    `data_sync_ts` timestamp,
    PRIMARY KEY (`id`)
); Dự kiến insert trong lần đầu chạy: ~520k bản ghi Ticket liên quan:  https://vinid-team.atlassian.net/browse/B2B1D-54823 Review script và thêm cột cho bảng  omd_cdp_data_from_dp.DP_STAT_TRANSACTION_DAILY Script: ALTER TABLE omd_cdp_data_from_dp.DP_STAT_TRANSACTION_DAILY ADD placed_order_type varchar(30);
ALTER TABLE omd_cdp_data_from_dp.DP_STAT_TRANSACTION_DAILY ADD profit_after_variable_logcost DOUBLE;
ALTER TABLE omd_cdp_data_from_dp.DP_STAT_TRANSACTION_DAILY ADD margin_after_variable_logcost DOUBLE; Dự kiến insert &amp; update ~19M bản ghi, thực hiện ngoài giờ hành chính Ticket liên quan:  https://vinid-team.atlassian.net/browse/B2B1D-54825 Em cảm ơn team ạ! cc anh  @Former user  , anh  @Bùi Văn Lực  </t>
  </si>
  <si>
    <t>2025-03-04T15:46:52.635+0700</t>
  </si>
  <si>
    <t>2025-03-04T15:47:11.757+0700</t>
  </si>
  <si>
    <t>Dear team, nhờ team chạy giúp em các câu truy vấn sau ạ: Release note: Database:  TIDB   omc_mtp_tracking_events Scripts file chứa 2 câu truy vấn được đính kèm ở dưới.</t>
  </si>
  <si>
    <t>2025-03-04T15:18:25.177+0700</t>
  </si>
  <si>
    <t>2025-03-04T15:18:55.423+0700</t>
  </si>
  <si>
    <t>Hi các anh DBA, Hiện tại em cần update data trên prod bảng tcb_device, nhờ các anh review và approve giúp em, Thông tin database  saas_tpay: jdbc:mysql://pay-tidb.int.onemount.com:4000/saas_tpay UPDATE SOUNDBOX_DEVICE_MAPPING m SET m.OM_VA_ACCOUNT = null WHERE DEVICE_ID = 'SB_SDLink_Y66A_SDLTCBY66A1223240596';
UPDATE SOUNDBOX_DEVICE_MAPPING m SET m.OM_VA_ACCOUNT = null WHERE DEVICE_ID = 'SB_SDLink_Y66A_SDLTCBY66A1223241809';
INSERT INTO TCB_DEVICE (device_id,service,vendor_code,device_model,device_edition,device_serial_number,device_status,enable,production_at,warranty_expired_at,device_hub,device_hub_code,device_notify) VALUES ('SB_RLINK_Y66A_SDLTCBY66A1223240101','SOUNDBOX','RLINK','Y66A','DEVICE_ASSIGN_QR','SDLTCBY66A1223240101','DEVICE_IMPORTED','false','2025-01-05 00:00:00.000','2026-02-16 00:00:00.000','Bình Dương','BHD','NORMAL');
INSERT INTO TCB_DEVICE (device_id,service,vendor_code,device_model,device_edition,device_serial_number,device_status,enable,production_at,warranty_expired_at,device_hub,device_hub_code,device_notify) VALUES ('SB_RLINK_Y66A_SDLTCBY66A1223241079','SOUNDBOX','RLINK','Y66A','DEVICE_ASSIGN_QR','SDLTCBY66A1223241079','DEVICE_IMPORTED','false','2025-01-05 00:00:00.000','2026-02-16 00:00:00.000','Bình Dương','BHD','NORMAL');
INSERT INTO SOUNDBOX_DEVICE_MAPPING (DEVICE_ID,SERVICE,VENDOR_CODE,OM_VA_ACCOUNT,STATUS) VALUES ('SB_RLINK_Y66A_SDLTCBY66A1223240101','SOUNDBOX','RLINK','M22629935275226','ACTIVE');
INSERT INTO SOUNDBOX_DEVICE_MAPPING (DEVICE_ID,SERVICE,VENDOR_CODE,OM_VA_ACCOUNT,STATUS) VALUES ('SB_RLINK_Y66A_SDLTCBY66A1223241079','SOUNDBOX','RLINK','M22629885945929','ACTIVE'); Thanks kiuuu các anh,</t>
  </si>
  <si>
    <t>[OM][DP][Kafka][NON-PROD] Hỗ trợ tạo kafka topic cho bảng ở db promo_gamezone_uat</t>
  </si>
  <si>
    <t>2025-03-04T14:41:58.929+0700</t>
  </si>
  <si>
    <t>2025-03-04T16:20:24.410+0700</t>
  </si>
  <si>
    <t>Dear anh Linh, Phục vụ nhu cầu đối soát với TCB nhờ anh tạo kafka topic cho bảng sau: IP:  172.31.0.16:3306 DB:  promo_gamezone_uat Bảng: campaigns pools tenants Em cảm ơn ạ</t>
  </si>
  <si>
    <t>[OMC][PS2][OneVoucher][PROD] Update thông tin Client Postpaid Type tại PO - Voucher distribution</t>
  </si>
  <si>
    <t>2025-03-04T14:36:20.016+0700</t>
  </si>
  <si>
    <t>2025-03-04T14:38:33.701+0700</t>
  </si>
  <si>
    <t>Dear anh  @Phạm Tuấn Linh   và  @Trần Mạnh Đức  support, Hiện tại em cần update lại Client postpaid type ở hệ thống Voucher distribution, thông tin như sau nhờ mọi người support giúp VH ạ. Thông tin cần update như sau: Voucher distribution: PO code: PO20241211B03QAC2BB4 Client postpaid type: Pay at Claim Em cảm ơn mn ạ!</t>
  </si>
  <si>
    <t>2025-03-04T14:12:59.437+0700</t>
  </si>
  <si>
    <t>2025-03-06T19:50:55.777+0700</t>
  </si>
  <si>
    <t>[DP][PROD][ODS] Nâng cấp version database TiDB ODS cluster từ v8.5.0 lên v8.5.1</t>
  </si>
  <si>
    <t>2025-03-04T12:14:27.806+0700</t>
  </si>
  <si>
    <t>2025-03-29T01:02:47.657+0700</t>
  </si>
  <si>
    <t>Nâng cấp version database  TiDB từ v8.5.0 lên v8.5.1 Việc nâng cấp hệ thống sẽ có down time trong quá trình thực hiện theo plan:    thời gian thực hiện: từ 11:30 PM ngày 2025-03-12 đến 02:00 AM ngày 2025-03-13</t>
  </si>
  <si>
    <t>2025-03-04T09:58:21.737+0700</t>
  </si>
  <si>
    <t>2025-03-04T10:52:09.111+0700</t>
  </si>
  <si>
    <t>DFS, OM</t>
  </si>
  <si>
    <t>Dear Linh, Em tạo giúp anh topic cho bảng sau với nhé: db: vinpay-prod ewallet-oracle-19c-primary 10.255.24.152 -------------------------- ewallet-oracle-19c-standby 10.255.24.77 Tên bảng: CUSTOMER_STATUS</t>
  </si>
  <si>
    <t>[OMD][PROD]Nâng RAM và số lượng max connection cho database vinid-b2b-platform-prod - main và main-integration</t>
  </si>
  <si>
    <t>2025-03-04T09:54:11.250+0700</t>
  </si>
  <si>
    <t>2025-03-05T11:17:48.038+0700</t>
  </si>
  <si>
    <t>Hiện tại 2 instances  main (172.31.4.59) và main-integration (172.31.1.143)  resource đang alert 90% memory để đảm bảo dịch vụ được ổn định bọn em sẽ có kế hoạch nâng resource của 2 insstance và tham số max-active-connection của instance main (hiện tại cũng peak 9k5/10k) này nhé ạ dự kiến sẽ vào ngày * 04/03/2025 lúc 23:59 PM * 2 instance này phạm vi ảnh hưởng tới luồng wms/wes : @Nguyễn Đức Khôi  bpm, ops-api: @Chu Văn Châu  scc: @Lê Huy Hùng @Nguyễn Hoàng Hiệp  omd-iams: @Lê Huy Hùng  ofs, leadtime. omd-print. cash-flow: @Lê Quang Thiệu  aftersale: @Lê Huy Hùng @Nguyễn Văn Còn  cc các anh @Nguyễn Văn Duy @Trần Trương Dương anh @Nguyễn Văn Dũng @Nguyễn Đức Anh Project Instance IP Info before After upgrade Note vinid-b2b-platform-prod main 172.31.4.59 Max connection: 10k RAM: 24GiB Max connection 12k RAM: 30GiB Rủi ro Out of memory dẫn đến reboot database vì used 95% RAM vinid-b2b-platform-prod main-integration 172.31.1.143 Max connection: 4030 RAM: 15GiB Max connection: 10k RAM: 22GiB Rủi ro Out of memory dẫn đến reboot database vì used 90% RAM</t>
  </si>
  <si>
    <t>2025-03-04T09:38:07.303+0700</t>
  </si>
  <si>
    <t>2025-03-07T23:50:52.370+0700</t>
  </si>
  <si>
    <t>Kéo dữ liệu dưới đây về hệ thống ODS và phân quyền trên Dremio cho các tài khoản sau hoang.dau@onemount.com thien.hoang1@onemount.com phuonghd1@onemount.com khoi.nguyen3@onemount.com Thông tin database nguồn như sau WMS Database instance Project vinid-b2b-platform-prod IP 172.31.4.59 Sheet  omd_wms_*  schema omd_wms_MES_2D01 omd_wms_MES_2D_001 omd_wms_MES_2D_002 omd_wms_MES_2D_003 omd_wms_MES_2D_004 omd_wms_MES_2D_005 omd_wms_MES_2D_006 omd_wms_MES_2D_007 omd_wms_MES_2D_008 omd_wms_MES_2D_009 omd_wms_MES_2D_010 omd_wms_MES_2D_011 omd_wms_MES_2D_012 omd_wms_MES_2D_013 omd_wms_MES_2D_014 omd_wms_MES_2D_015 omd_wms_MES_2D_016 omd_wms_MES_2D_017 omd_wms_MES_2D_018 omd_wms_MES_2D_019 omd_wms_MES_2D_020 List database và table cần sync về ODS Table name TTL (Day) flat_appointment_master 180 flat_appointment_service 180 flat_incident_report 180 flat_staging_assignment 180 order_hdr 180 order_item 180 prod_batch_detail master_data prod_master master_data prod_uom master_data product_category master_data replenishment_header 180 replenishment_inventory_item 180 replenishment_item 180 report_order_header 180 report_order_item 180 report_warehouse_order_header 180 report_warehouse_order_item 180 report_warehouse_stock_item master_data report_wave_header 180 time_slot master_data warehouse_zone master_data wave_order_header 180 wave_order_item 180 whse_location master_data whse_order_hdr 180 whse_order_item 180 whse_stock_detail master_data wms_data_snapshot 180 wms_lookup master_data wms_party master_data</t>
  </si>
  <si>
    <t>[OMRE][Agent] Cập nhật thông tin inventory</t>
  </si>
  <si>
    <t>2025-03-03T18:01:46.037+0700</t>
  </si>
  <si>
    <t>2025-03-03T18:02:06.819+0700</t>
  </si>
  <si>
    <t>Nhờ team chạy các lệnh UPDATE trên MySQL Production như sau ạ: URL:  mysql://omre-onehs-mysql-main.int.onemount.com:3306/onehs_dictionary Query:  UPDATE  PROPERTIES  SET  number_of_bedrooms  = '3.00' WHERE  PROPERTIES . id  = '154af139-29e5-6e49-a8d2-b1550d34e545'</t>
  </si>
  <si>
    <t>[OMC][PS2][Loyalty][PROD] - SHRINK SPACE bảng PAY_WITH_POINT_TRANSACTION_HISTORY tháng 3/2025</t>
  </si>
  <si>
    <t>2025-03-03T15:43:08.476+0700</t>
  </si>
  <si>
    <t>2025-03-11T12:34:05.536+0700</t>
  </si>
  <si>
    <t>Sau khi đã xóa data theo điều kiện cho bảng PAY_WITH_POINT_TRANSACTION_HISTORY , tại ticket :    Thực hiện SHRINK SPACE bảng PAY_WITH_POINT_TRANSACTION_HISTORY để giảm dung lượng, tối ưu index  và bớt phân mảnh table</t>
  </si>
  <si>
    <t>[OMC][MTP][Prod] Request chạy script mongodb update data</t>
  </si>
  <si>
    <t>2025-03-03T15:42:11.026+0700</t>
  </si>
  <si>
    <t>2025-03-03T15:42:28.072+0700</t>
  </si>
  <si>
    <t>Dear team, Team MTP có nhu cầu muốn cập nhật một field của một vài bàn ghi trên database prod, nhờ team chạy giúp em script sau ạ Thread:  https://chat.google.com/room/AAAAG7nBpqg/qg-zwnaOi1k/qg-zwnaOi1k?cls=10 Thông tin db:  DB Mongo atlas:  https://cloud.mongodb.com/v2/5f75822d8cd502459f959495#/clusters/detail/OMC-MTP-Martech Collection:  notification-hubs-template Script: var templateIds = [
   "643e742c7747d12c1e5599b1"
];
templateIds.forEach(function (templateId) {
    print("Processing templateId:", templateId);
    db.getCollection("template").updateOne(
        { _id: new ObjectId(templateId) },
        { $set: { createdBy: 8 } }
    );
}); Em cảm ơn ạ. Best regards, Thành An.</t>
  </si>
  <si>
    <t>[OMC][PS2][Loyalty][PROD] - Thực hiện archive dữ liệu history table PAY_WITH_POINT_TRANSACTION_HISTORY - 3/2025</t>
  </si>
  <si>
    <t>2025-03-03T15:41:14.367+0700</t>
  </si>
  <si>
    <t>2025-03-10T17:02:05.666+0700</t>
  </si>
  <si>
    <t>Thực hiện archive data history của bảng: PAY_WITH_POINT_TRANSACTION_HISTORY  - Giữ nguyên các partition, chỉ xóa theo điều kiện where status = 'F' và thời gian đủ 1 tháng gần nhất. hiện tại tháng 3/2025 =&gt; Điều kiện xóa là : status = 'F' and transaction_time &lt; to_date('01/02/2025','dd/MM/yyyy'); -- Bảng: PAY_WITH_POINT_TRANSACTION_HISTORY
-- Giữ nguyên các partition, chỉ xóa theo điều kiện where status = 'F' và thời gian đủ 1 tháng gần nhất
-- Hiện tại là tháng 3/2025 =&gt; Xóa data có status = 'F' and transaction_time &lt; to_date('01/02/2025','dd/MM/yyyy');
select /*+ parallel(16) */ count(*) from oloyalty.pay_with_point_transaction_history; -- 508.145.016
select /*+ parallel(16) */ count(*) from oloyalty.pay_with_point_transaction_history where status = 'F'
and transaction_time &lt; to_date('01/11/2024','dd/MM/yyyy'); -- 0
select /*+ parallel(16) */ count(*) from oloyalty.pay_with_point_transaction_history where status = 'F'
and transaction_time &lt; to_date('01/12/2024','dd/MM/yyyy'); -- 106.302.614
select /*+ parallel(16) */ count(*) from oloyalty.pay_with_point_transaction_history where status = 'F'
and transaction_time &lt; to_date('01/02/2025','dd/MM/yyyy'); -- 341.093.099 Thời gian thực hiện:  0h10 ngày 10/3/2025</t>
  </si>
  <si>
    <t>[OMC][PS2][Loyalty][PROD] - Thực hiện archive dữ liệu history cho DB Loyalty - 3/3/2025</t>
  </si>
  <si>
    <t>2025-03-03T15:39:47.214+0700</t>
  </si>
  <si>
    <t>2025-03-04T01:06:30.507+0700</t>
  </si>
  <si>
    <t>Archive data cho các bảng: Tables Partition column Life time Note KAFKA_AUDIT_TRAIL_PRODUCT_INFO CREATED_AT 1 month KAFKA_AUDIT_TRAIL_CARD_INFO CREATED_AT 1 month KAFKA_AUDIT_TRAIL_CUSTOMER_PROFILE CREATED_AT 1 month KAFKA_AUDIT_TRAIL_EARN_TRANSACTION CREATED_AT 1 month KAFKA_AUDIT_TRAIL_EARN_EVENT CREATED_AT 1 month TIER_HISTORY CREATED_AT 6 month POINT_TRANSACTION_ACCOUNT_BALANCE CREATED_AT 6 month TRANSACTION_HISTORY_ATTRIBUTE CREATED_AT 6 month Tháng hiện tại là tháng n, Giữ lại data đầy đủ của 3 tháng gần nhất (tháng thứ n-1,n-2,n-3 sau tháng hiện tại) trên DB chính PROD, các data tháng thứ n-4,n-5,n-6 sau tháng hiện tại thì chuyển sang db COLD.) Bảng TRANSACTION_HISTORY_ATTRIBUTE : hiện tại là tháng 3/2025, thì data giữ lại ở db chính PROD là tháng 2/2025, 1/2025, 12/2024. Các tháng 11/2024, 10/2024, 9/2024 sẽ khai thác trên db COLD. Thời gian thực hiện:  23h30 ngày 3/3/2025</t>
  </si>
  <si>
    <t xml:space="preserve">[VinID Pay][Tpay][PROD] Tác động database - update charge phí </t>
  </si>
  <si>
    <t>2025-03-03T15:32:50.145+0700</t>
  </si>
  <si>
    <t>2025-03-03T15:37:00.512+0700</t>
  </si>
  <si>
    <t>Hi team, Nhờ các anh giúp em chạy script với thông tin như bên dưới nhé ạ Thông tin database  saas_tpay: jdbc:mysql://pay-tidb.int.onemount.com:4000/saas_tpay AUTO_SETTLEMENT update AUTO_SETTLEMENT set charge_code = 'DN15727'
                       where fee_period_from = '2025-02-01 00:00:00'
                       and fee_period_to = '2025-02-28 23:59:59'
                       and status = 'FAIL'
                       and merchant_code NOT IN ('VINIDPAY');</t>
  </si>
  <si>
    <t>[OMC][PS2][Loyalty][PROD] - Thực hiện archive dữ liệu history cho DB Loyalty - Tháng 3/2025</t>
  </si>
  <si>
    <t>2025-03-03T15:23:22.314+0700</t>
  </si>
  <si>
    <t>2025-03-11T16:06:03.156+0700</t>
  </si>
  <si>
    <t>Team DBA cần thực hiện archive dữ liệu lịch sử của 1 số bảng lớn trong DB LOYALTY, để tối ưu dung lượng lưu trữ data , tránh để data lưu trữ quá lớn trong DB dẫn tới chi phí phần cứng tăng và giảm hiệu suất IO khi truy xuất data lớn. Quy định về thời gian lưu trữ data (dự án đã confirm với TCB qua email): Live data tier: không TTL expired bất kể dữ liệu nào Backup tier: Thực hiện backup full 2 lần/tuần và incremental các ngày còn lại Archiving tier:  Dữ liệu Archive được thực hiện 6 tháng/lần và store với retention là 365 days Kế hoạch thực hiện archive dữ liệu history của DB Loyalty , thực hiện trong tháng 3 năm 2025 Các bảng cần lưu trữ data và thực hiện xóa data history:   Tables Partition column Life time Note KAFKA_AUDIT_TRAIL_PRODUCT_INFO CREATED_AT 1 month KAFKA_AUDIT_TRAIL_CARD_INFO CREATED_AT 1 month KAFKA_AUDIT_TRAIL_CUSTOMER_PROFILE CREATED_AT 1 month KAFKA_AUDIT_TRAIL_EARN_TRANSACTION CREATED_AT 1 month KAFKA_AUDIT_TRAIL_EARN_EVENT CREATED_AT 1 month TIER_HISTORY CREATED_AT 6 month POINT_TRANSACTION_ACCOUNT_BALANCE CREATED_AT 6 month Bắt đầu thực hiện từ tháng 1/2025 PAY_WITH_POINT_TRANSACTION_HISTORY TRANSACTION_TIME Giữ nguyên các partition,chỉ DELETE xóa data theo điều kiện where là:  status = 'F'  and transaction_time đủ  full 1 tháng  gần nhất Ví dụ, hiện tại tháng 3/2025, thì sẽ thực hiện DELETE Xóa data có: status = 'F' and transaction_time &lt; to_date('01/02/2025','dd/MM/yyyy') TRANSACTION_HISTORY_ATTRIBUTE CREATED_AT 6 month Tháng hiện tại là tháng n, Giữ lại data đầy đủ của 3 tháng gần nhất (tháng thứ n-1,n-2,n-3 sau tháng hiện tại) trên DB chính PROD, các data tháng thứ n-4,n-5,n-6 sau tháng hiện tại thì chuyển sang db COLD.) Ví dụ, hiện tại là tháng 3/2025, thì data giữ lại ở db chính PROD là tháng 2/2025, 1/2025, 12/2024. Các tháng 11/2024, 10/2024, 9/2024 sẽ khai thác trên db COLD. TRANSACTION_HISTORY TRANSACTION_TIME Chuyển data history sang db COLD (hiện tại tháng 3/2024, db COLD đang có data của tháng 9/2024 trở về trước) POINT_TRANSACTION TRANSACTION_TIME Chuyển data history sang db COLD (hiện tại tháng 3/2024, db COLD đang có data của tháng 9/2024 trở về trước) COUNTER_TRANSACTION_HISTORY CREATED_AT Chuyển data history sang db COLD (hiện tại tháng 3/2024, db COLD đang có data của tháng 9/2024 trở về trước) Phương án làm archive data cho các bảng này: export các partition vi phạm thời gian lưu trữ data life time ONLINE  Lưu trữ các partition đã export lên GCS (thời gian lưu trữ trên GCS là 1 năm). Các dữ liệu nào cần khai thác trên COLD, thì sẽ import sang db COLD. Drop các partition đã export + archived trên DB PROD Chạy lại gather statistic cho bảng vừa drop partition (có thể để DB auto chạy cũng được)</t>
  </si>
  <si>
    <t>[OMC][MTP][PROD] Truncate dữ liệu tracking tháng 1</t>
  </si>
  <si>
    <t>2025-03-03T14:19:08.322+0700</t>
  </si>
  <si>
    <t>2025-03-03T23:57:21.377+0700</t>
  </si>
  <si>
    <t>Dear anh  @Nguyễn Văn Dũng , nhờ anh truncate giúp em dữ liệu tháng 1 của mn_tracking Alter table omc_mtp_tracking_events.mtp_tracking_events drop partition p202501; Best regards Dinh Quang Nguyen</t>
  </si>
  <si>
    <t>[OMRE][AgentPlatform][PROD] Cập nhật thông tin agent</t>
  </si>
  <si>
    <t>2025-03-03T13:35:42.254+0700</t>
  </si>
  <si>
    <t>2025-03-03T14:08:53.928+0700</t>
  </si>
  <si>
    <t>AgentPlatform, OMRE</t>
  </si>
  <si>
    <t>Dear team DBA. Nhờ mọi người run câu lệnh này giúp bên OMRE UPDATE agents SET user_deleted_account = 1 WHERE code IN ( '1026390301', '1029686423', '1029589327', '1029776298', '1025959678', '1028853838', '1025757754', '1020127161', '1029978749', '1020520135', '1021711412', '1026786430', '1022183300', '1029728727', '1021832395', '1029140790', '1028834264', '1023498109', '1027231363', '1023237401', '1029996124', '1022623924', '1025037612', '1026417103', '1028459267', '1027575730', '1028160015', '1024620571', '1025937700', '1024704545', '1026796664', '1020332019', '1028077983', '1027111894', '1026898833', '1023828077', '1021812936', '1024507739', '1024227641', '1028797693', '1027582308', '1026606030', '1026099576', '1025021847', '1026038396', '1024730448', '1023767145', '1025501506', '1025972204', '1027630744', '1026871951', '1027143580', '1021469772', '1024146414', '1028229266', '1026271212', '1022715907', '1028821397', '1020354358', '1024185878', '1022329605', '1028903445', '1026731767', '1021216719', '1022051047', '1024413470', '1029810048', '1026946655', '1024905585', '1023348155', '1025470587', '1027780740', '1026540032', '1020703608', '1028124860', '1025639631', '1029229980', '1028538921', '1024156073', '1021822398', '1021820754', '1026610199', '1026535011', '1023333884', '1022927049', '1022178528', '1028405438', '1027093627', '1029629724', '1024845916', '1024688815', '1020125528', '1027946306', '1028782311', '1026050320', '1025363284', '1029167434', '1028262332', '1028699061', '1024408635', '1022232119', '1024144714', '1029483181', '1024470416', '1025873434', '1026487744', '1025276291', '1028814044', '1020176288', '1020183343', '1024117547', '1021200121', '1023035260', '1028161139', '1028136332', '1021857018', '1027311139', '1025687624', '1023676454', '1022941126', '1026604068', '1029279920', '1028211052', '1025649307', '1022449432', '1025315096', '1021274293', '1022211945', '1028873712', '1020686944' ); Thông tin DB: HOST = "172.31.4.83" PORT = 3306 DATABASE = "agent-platform"</t>
  </si>
  <si>
    <t>[OMD][TCB Sales App] Thay đổi kiểu dữ liệu cho table omd_saleapp_tcb_prod.Question.description</t>
  </si>
  <si>
    <t>2025-03-03T11:20:03.635+0700</t>
  </si>
  <si>
    <t>2025-03-03T14:36:14.670+0700</t>
  </si>
  <si>
    <t>Hi team DBA Do nhu cầu thay đổi type của dữ liệu, cần team DBA hỗ trợ cập nhật type cho column dưới đây Project: omd-pos-prod Instance:  main-pos-integration Databases omd_saleapp_tcb_prod Table Column Old Type New Type Question description varchar(255) TEXT ALTER TABLE `Question`
CHANGE `description` `description` text ; Hiện tại chưa có user sử dụng thực tế nên có thể apply asap được.</t>
  </si>
  <si>
    <t>2025-03-03T10:58:31.865+0700</t>
  </si>
  <si>
    <t>2025-03-03T11:43:56.052+0700</t>
  </si>
  <si>
    <t>Dear anh Linh, Phục vụ thêm thông tin đối soát cho báo cáo vận hành, nhờ anh tạo kafka topic cho bảng sau: IP:  vinid-app-common-dev--main-mysql-8.cloudsql.int:3306 DB:  onevc_vsm_uat Bảng:  ticket_user_group Em cảm ơn ạ</t>
  </si>
  <si>
    <t>[OMC][PROD][One Shield][Memorystore] Update Memstore Redis và CloudDNS tương ứng</t>
  </si>
  <si>
    <t>2025-03-03T09:20:53.591+0700</t>
  </si>
  <si>
    <t>2025-03-13T15:08:30.913+0700</t>
  </si>
  <si>
    <t>Dear team, Team CP liên quan đến việc tối ưu chi phí nên team cần update memstore redis ở luồng caching data cho luồng TCB SoftPOS. Thông tin cụ thể: GCP project:  omc-base-platform-prod Storage : 2 GB (standard) Service tier:  Standard, không replicas   Redis Version: 7.x Instance ID:  one-shield DNS address tương ứng:  omc-base-plaform-prod--one-shield.memstore.int:6379 DNS convention cho CloudSQL và Memstore  Thời gian thực hiện:  0h ngày 4/3/2025 cùng thời điểm maintain TCB DB Sau khi tạo xong thì update vào config của các service one-shield-v3 với repo tương ứng:  https://gitlab.id.vin/base-platform/1shield/one-shield-v3</t>
  </si>
  <si>
    <t>2025-03-02T13:02:51.308+0700</t>
  </si>
  <si>
    <t>2025-03-02T13:03:09.184+0700</t>
  </si>
  <si>
    <t>Hi các anh DBA, 23h ngày 01/03/2025 team em có release sprint, cần tạo thêm col cho bảng, nhờ các anh chạy giup em với ạ. Thông tin db :  jdbc:mysql://tidb.int.onemount.com:4000/vinpay_vinpay_prod_saas_ps2_general_ledger -- Alter table general_ledger_cost_request &amp; general_ledger_cost
ALTER TABLE general_ledger_cost_request ADD channel VARCHAR(20) DEFAULT NULL;
ALTER TABLE general_ledger_cost_request ADD biz_owner VARCHAR(20) DEFAULT NULL;
ALTER TABLE general_ledger_cost_request ADD apply_subsidy VARCHAR(20) DEFAULT NULL;
ALTER TABLE general_ledger_cost ADD channel VARCHAR(20) DEFAULT NULL;
ALTER TABLE general_ledger_cost ADD biz_owner VARCHAR(20) DEFAULT NULL;
ALTER TABLE general_ledger_cost ADD apply_subsidy VARCHAR(20) DEFAULT NULL;
-- f_voucher_earning_transaction_v2
ALTER TABLE f_voucher_earning_transaction_v2 ADD LINK_ACCOUNT_STATUS VARCHAR(20) DEFAULT NULL;
ALTER TABLE f_voucher_earning_transaction_v2 ADD BURNING_TYPE VARCHAR(10) DEFAULT NULL;
-- add data config in table general_ledger_data_list: channel, biz_owner if exists update (refer to: V8_Insert.sql)
-- channel
INSERT INTO general_ledger_data_list(service, data_key, data_value, data_name, created_at)
SELECT 'general_ledger', 'channel', 'OMC', 'OMC', CURRENT_TIMESTAMP
    WHERE NOT EXISTS(SELECT * FROM general_ledger_data_list WHERE data_key = 'channel' AND data_value = 'OMC');
UPDATE general_ledger_data_list set data_name = 'OMC', created_at = CURRENT_TIMESTAMP, updated_at = CURRENT_TIMESTAMP WHERE data_key = 'channel' AND data_value = 'OMC';
-- channel
INSERT INTO general_ledger_data_list(service, data_key, data_value, data_name, created_at)
SELECT 'general_ledger', 'channel', 'TCB', 'TCB', CURRENT_TIMESTAMP
    WHERE NOT EXISTS(SELECT * FROM general_ledger_data_list WHERE data_key = 'channel' AND data_value = 'TCB');
UPDATE general_ledger_data_list set data_name = 'TCB', created_at = CURRENT_TIMESTAMP, updated_at = CURRENT_TIMESTAMP WHERE data_key = 'channel' AND data_value = 'TCB';
-- biz_owner
INSERT INTO general_ledger_data_list(service, data_key, data_value, data_name, created_at)
SELECT 'general_ledger', 'biz_owner', 'OMC', 'OMC', CURRENT_TIMESTAMP
    WHERE NOT EXISTS(SELECT * FROM general_ledger_data_list WHERE data_key = 'biz_owner' AND data_value = 'OMC');
UPDATE general_ledger_data_list set data_name = 'OMC', updated_at = CURRENT_TIMESTAMP WHERE data_key = 'biz_owner' AND data_value = 'OMC';
-- biz_owner
INSERT INTO general_ledger_data_list(service, data_key, data_value, data_name, created_at)
SELECT 'general_ledger', 'biz_owner', 'TCB', 'TCB', CURRENT_TIMESTAMP
    WHERE NOT EXISTS(SELECT * FROM general_ledger_data_list WHERE data_key = 'biz_owner' AND data_value = 'TCB');
UPDATE general_ledger_data_list set data_name = 'TCB', updated_at = CURRENT_TIMESTAMP WHERE data_key = 'biz_owner' AND data_value = 'TCB';
-- apply_subsidy
INSERT INTO general_ledger_data_list(service, data_key, data_value, data_name, created_at)
VALUES ('general_ledger', 'apply_subsidy', 'UT', 'UT', CURRENT_TIMESTAMP);
INSERT INTO general_ledger_data_list(service, data_key, data_value, data_name, created_at)
VALUES ('general_ledger', 'apply_subsidy', 'UO', 'UO', CURRENT_TIMESTAMP);
INSERT INTO general_ledger_data_list(service, data_key, data_value, data_name, created_at)
VALUES ('general_ledger', 'apply_subsidy', 'BOTH', 'Sử dụng cả UO và UT', CURRENT_TIMESTAMP);
-- merchant_provider
INSERT INTO general_ledger_data_list(service, data_key, data_value, data_name, created_at)
VALUES ('general_ledger', 'merchant_provider', 'OMC', 'OMC', CURRENT_TIMESTAMP);
INSERT INTO general_ledger_data_list(service, data_key, data_value, data_name, created_at)
VALUES ('general_ledger', 'merchant_provider', 'OTHER', 'Khác OMC', CURRENT_TIMESTAMP);
-- from V11_Alter.sql
ALTER TABLE general_ledger_cost ADD discount_rate DECIMAL(10, 4) NULL;
ALTER TABLE general_ledger_cost_request ADD discount_rate DECIMAL(10, 4) NULL;
ALTER TABLE general_ledger_cost ADD merchant_provider VARCHAR(255) NULL;
ALTER TABLE general_ledger_cost_request ADD merchant_provider VARCHAR(255) NULL; Thanks các anh,</t>
  </si>
  <si>
    <t>[OM][TCB Sales App] Tạo và phân quyền tài khoản Read-only cho database</t>
  </si>
  <si>
    <t>2025-03-01T11:22:44.496+0700</t>
  </si>
  <si>
    <t>2025-03-01T11:59:19.826+0700</t>
  </si>
  <si>
    <t>Nhằm mục đích monitor và hỗ trợ khách hàng trong quá trình sử dụng vận hành, team phát triển cần cấp tài khoản với quyền READ-ONLY trên các database liên quan đến dự án. Thông tin database được liệt kê dưới đây Project: omd-pos-prod Instance:  main-pos-integration Databases omd_saleapp_tcb_iom_prod omd_saleapp_tcb_prod Tài khoản: tsa_readonly Phân quyền: read data Thông tin tài khoản vui lòng gửi về  khoi.nguyen3@onemount.com  và  quangph@onemount.com</t>
  </si>
  <si>
    <t>2025-03-01T11:18:48.738+0700</t>
  </si>
  <si>
    <t>2025-03-01T12:14:11.687+0700</t>
  </si>
  <si>
    <t>Hi anh Dương, Hiện tại team OFS đang có một số câu query chậm do chưa đánh index. Nhờ a đánh index giúp em với thông tin như sau ạ: Order Fulfillment IP: 172.31.1.143 Database: b2b_ofs Query: ALTER TABLE b2b_ofs.demand_order
    ADD INDEX idx_demand_order_import_warehouse_provider  (import_warehouse,provider,warehouse_code), ALGORITHM=INPLACE, LOCK=NONE;</t>
  </si>
  <si>
    <t>[OMRE][PROD] enable audit log cho project onehs-prod</t>
  </si>
  <si>
    <t>2025-03-01T10:56:23.888+0700</t>
  </si>
  <si>
    <t>2025-05-15T09:48:49.097+0700</t>
  </si>
  <si>
    <t>DBA team sẽ tiến hành add thêm flag audit log ddl cho các instance thuộc project onehs-prod. Các instance sẽ downtime khoảng 20 phút trong thời điểm thực hiện. instance:  main-1 ,  secrets ,  migrate-camunda-from-main cloudsql_mysql_audit=on  flag cần restart database instance:  main-postgre cloudsql.enable_pgaudit=on  pgaudit.log=on  2 flag này cũng cần restart database đồng thời sẽ enable các tính năng trong query insight sau:</t>
  </si>
  <si>
    <t>[OMC][PROD][OMC][MTP] Hỗ trợ insert dữ liệu</t>
  </si>
  <si>
    <t>2025-03-01T10:19:19.509+0700</t>
  </si>
  <si>
    <t>2025-03-01T10:19:27.556+0700</t>
  </si>
  <si>
    <t>Dear a  @Nguyễn Văn Dũng  , nhờ a insert bản ghi mới vào DB giúp em ạ  DB host : tidb.int.onemount.com:4000 / DB name : omc_mtp_user_profile
INSERT INTO identified_profile
(id, uid, destination, tcb_user_status, is_linking, extra_data, om_referral_id, is_dien_may_xanh)
VALUES
(UUID(), '1326231', 'VINID', '', 0, null, '', 1),
(UUID(), '1525205', 'VINID', '', 0, null, '', 1); Thanks!</t>
  </si>
  <si>
    <t>[PROD][OMC][MTP] Hỗ trợ tạo table mới.</t>
  </si>
  <si>
    <t>2025-03-01T10:16:59.475+0700</t>
  </si>
  <si>
    <t>2025-03-01T10:17:17.072+0700</t>
  </si>
  <si>
    <t>Dear a  @Nguyễn Văn Dũng  , nhờ a setup tạo bảng mới tương ứng trong mỗi schema sau giúp em trên ODS ạ schema name :  omc_mtp_tracking_events tables :  mtp_tracking_events_omc  ,  mtp_tracking_events_context_omc schema name :  omd_cdp_data_from_mtp tables :  mtp_tracking_events_omd  ,  mtp_tracking_events_context_omd schema name :  omre_mtp_tracking_events tables :  mtp_tracking_events_omre  ,  mtp_tracking_events_context_omre Thanks</t>
  </si>
  <si>
    <t>[VINPAY] [PROD] [PGW] Update config database cổng</t>
  </si>
  <si>
    <t>2025-03-01T08:52:42.130+0700</t>
  </si>
  <si>
    <t>2025-03-01T08:55:50.380+0700</t>
  </si>
  <si>
    <t>Hi anh. Nhờ anh chạy giúp em ticket update config database cổng thanh toán ạ. Thời gian chạy:  23:59 ngày 28/02/2025   Scirpt:  update SYSTEM_CONFIGURATION
set system_param_value = '921183,8410315,215348,6394863,4979923,12600406,11374836,12575808,12601772,13444997,4107396'
where system_param_code = 'USER_ID_PILOT_TCB_DIRECT' and system_configuration_id = 14; Database: 172.31.1.148:3306/pay_payment_gateway</t>
  </si>
  <si>
    <t xml:space="preserve">[VINPAY][TPAY][SOUNDBOX][PROD] Update dữ liệu bảng tcb_device </t>
  </si>
  <si>
    <t>2025-03-01T08:52:37.000+0700</t>
  </si>
  <si>
    <t>2025-03-01T08:56:17.778+0700</t>
  </si>
  <si>
    <t>Hi các anh DBA, Hiện tại em cần update data trên prod bảng tcb_device, nhờ các anh review và approve giúp em, Thông tin database  saas_tpay: jdbc:mysql://pay-tidb.int.onemount.com:4000/saas_tpay # DB saas_tpay
# Bảng TCB_DEVICE
UPDATE TCB_DEVICE t SET t.device_status='DEVICE_IMPORTED',t.device_edition='DEVICE_ASSIGN_QR',t.device_notify='NORMAL' WHERE t.device_id= 'SB_RLINK_MD716A_SDLMD716A0622240049';
# Bảng SOUNDBOX_DEVICE_SALES
DELETE FROM SOUNDBOX_DEVICE_SALES WHERE DEVICE_ID = 'SB_RLINK_MD716A_SDLMD716A0622240049';
# Bảng SOUNDBOX_DEVICE_MAPPING
UPDATE SOUNDBOX_DEVICE_MAPPING t SET t.MERCHANT_CODE=null,t.MC_VA_ACCOUNT=null,t.FILE_ID=null,t.STATUS='ACTIVE' WHERE t.ID= '2004';
# Bảng SOUNDBOX_VA
UPDATE SOUNDBOX_VA t SET t.VIRTUAL_ACCOUNT_NAME='CTCP VINIDPAY',t.IS_ACTIVE=false WHERE t.VIRTUAL_ACCOUNT_NUMBER= 'M22625297557899'; thông tin db ops: project: vinpay-prod Instance: low-performance Master IP: 172.31.1.149 Slave IP: 172.31.1.179 DB: ops_pay_service # DB: ops_pay_service
# Bảng VIRTUAL_ACCOUNT
UPDATE VIRTUAL_ACCOUNT v SET v.ACCOUNT_NAME='CTCP VINIDPAY',v.IS_ACTIVE=false WHERE v.VIRTUAL_ACCOUNT_NUMBER= 'M22625297557899'; Thanks kiuuu các anh,</t>
  </si>
  <si>
    <t>[OMC][Prod][Platform] Truncate dữ liệu Performance</t>
  </si>
  <si>
    <t>2025-03-01T00:50:22.634+0700</t>
  </si>
  <si>
    <t>2025-03-01T00:51:57.298+0700</t>
  </si>
  <si>
    <t>performance</t>
  </si>
  <si>
    <t>Dear anh  @Nguyễn Văn Dũng , hệ thống Performance đã off. Do vậy nhờ anh truncate giúp e dữ liệu của các bảng sau: TRUNCATE TABLE omc_mn_performance.mn_performance_framerender;
TRUNCATE TABLE omc_mn_performance.mn_performance_framerender_bk;
TRUNCATE TABLE omc_mn_performance.mn_performance_framerender_bk1; Best regards Dinh Quang Nguyen</t>
  </si>
  <si>
    <t>2025-02-28T21:27:57.233+0700</t>
  </si>
  <si>
    <t>2025-02-28T22:37:36.861+0700</t>
  </si>
  <si>
    <t>Dear team, để phục vụ migrate dữ liệu Đơn vị hành chính.   Team sản phẩm cần chạy script để cập nhật dữ liệu, nhờ team hỗ trợ ạ. Thông tin database https://console.cloud.google.com/sql/instances/main/overview?inv=1&amp;invt=Abqw_w&amp;project=vinid-merchant-prod DB_MYSQL_HOST=172.31.1.44
DB_MYSQL_DATABASE=merchant_service Thời gian chạy: 21h 28/02/2025 Chi tiết yêu cầu: Cập nhật dữ liệu bảng  address_master Truncate bảng  address_master Import dữ liệu từ file  address_master_20250228.csv Cập nhật dữ liệu  address ,  merchant_trade_address Backup bảng:  address ,  merchant_trade_address Chạy tuần tự các script bên dưới theo file name:  20241129  →  20250101  →  20250207 Em cảm ơn ạ.</t>
  </si>
  <si>
    <t>[VinID Pay][PROD] Tác động database Tpay</t>
  </si>
  <si>
    <t>2025-02-28T18:03:47.678+0700</t>
  </si>
  <si>
    <t>2025-03-01T08:55:24.396+0700</t>
  </si>
  <si>
    <t>Hi team, Nhờ các anh giúp em chạy script với thông tin như bên dưới nhé ạ Thông tin database  saas_tpay: jdbc:mysql://pay-tidb.int.onemount.com:4000/saas_tpay Ticket nhờ các anh chạy vào lúc  23h00 ngày 28/02/2025 , khi team dev thông báo ạ SYSTEM_CONFIGURATION UPDATE SYSTEM_CONFIGURATION SET SYSTEM_PARAM_VALUE = 'self_onboard/template/contract_template_main_v7.jrxml' WHERE SYSTEM_PARAM_CODE = 'SELF_ONBOARD_TEMPLATE_CONTRACT_PORTRAIT';</t>
  </si>
  <si>
    <t>2025-02-28T17:42:39.677+0700</t>
  </si>
  <si>
    <t>2025-03-01T11:14:14.302+0700</t>
  </si>
  <si>
    <t>Dear team, Do OPS chưa cung cấp tính năng REJECT request, nên nhờ team chạy giúp câu lệnh bên dưới ạ. Thông tin database https://console.cloud.google.com/sql/instances/merchant-tcb/overview?inv=1&amp;invt=Abqw_w&amp;project=vinid-merchant-prod DB_DATABASE: "merchant_service_tcb"
DB_HOST: "vinid-merchant-prod--merchant-tcb.cloudsql.int" Câu lệnh UPDATE tpay_request_merchant SET `status` = 'REJECTED' WHERE `code` = 'YCVU7UEK';</t>
  </si>
  <si>
    <t>[OMD][Budget] Update sponsor cho budget tổng</t>
  </si>
  <si>
    <t>2025-02-28T16:04:27.699+0700</t>
  </si>
  <si>
    <t>2025-02-28T16:24:01.377+0700</t>
  </si>
  <si>
    <t>Update sponsor cho một số budget bị config sai sponsor Gcp project: vinid-merchant-prod Link:  https://console.cloud.google.com/sql/instances/main-read-replica-internal-1/overview?project=vinid-merchant-prod IP: 172.31.1.44 Database Name: budget_control Query: UPDATE budgets
SET sponsor_id = (SELECT id FROM sponsors WHERE sponsors.code = 'OMD' LIMIT 1)
WHERE budgets.code IN (
                       'NST_REVENEWLiby_SocBrother_012025',
                       'Liby_15PTthuongdonhang_Q12025_upCentralRetail_QUA',
                       'Liby_15PTthuongdonhang_Q12025_upCentralRetail'
    );</t>
  </si>
  <si>
    <t>[Budget] Update sponsor cho budget tổng</t>
  </si>
  <si>
    <t>2025-02-28T16:01:29.648+0700</t>
  </si>
  <si>
    <t>2025-02-28T16:23:53.629+0700</t>
  </si>
  <si>
    <t>[SalesTools][Prod] Cập nhật đơn vị hành chính</t>
  </si>
  <si>
    <t>2025-02-28T15:59:39.188+0700</t>
  </si>
  <si>
    <t>2025-02-28T23:33:38.478+0700</t>
  </si>
  <si>
    <t>1SEAL cần chạy migrate tên đơn vị hành chính cho các Route, địa chỉ GT, Store mới Cập nhật đúng thời điểm  sau 21h ngày 28/02/2025 (sau khi có confirm bên Merchant Platform đã chạy xong dữ liệu) Thông tin database để chạy file sql Instance:  https://console.cloud.google.com/sql/instances/main/overview?inv=1&amp;invt=AbqqDA&amp;project=vinid-integration-prod Database:  sales_tools</t>
  </si>
  <si>
    <t>Summary about Rolling upgrade version of TiDB ODS from v8.5.0 to v8.5.1</t>
  </si>
  <si>
    <t>2025-02-28T15:28:04.872+0700</t>
  </si>
  <si>
    <t>2025-02-28T15:28:24.517+0700</t>
  </si>
  <si>
    <t xml:space="preserve">Summary about Rolling upgrade version of TiDB ODS from v8.5.0 to v8.5.1  </t>
  </si>
  <si>
    <t>2025-02-28T15:14:36.036+0700</t>
  </si>
  <si>
    <t>2025-02-28T15:38:59.056+0700</t>
  </si>
  <si>
    <t>Nhờ team chạy script này trên PROD env của DB loyalty oracle giúp team Loyalty ạ IP: 10.255.23.119 Service name: oneloyaltydb Port: 1521 schema app: OLOYALTY</t>
  </si>
  <si>
    <t>[OMC][NRs][PROD] migrate dữ liệu - GSM</t>
  </si>
  <si>
    <t>2025-02-28T15:14:10.218+0700</t>
  </si>
  <si>
    <t>2025-02-28T15:22:21.525+0700</t>
  </si>
  <si>
    <t>OMC, seeder</t>
  </si>
  <si>
    <t>project: vincart-prod DB: vincart_mm_order instance: main ip: 172.31.1.41 UPDATE order_payments SET status = 'PAID' WHERE order_id IN (1263038, 1542237);</t>
  </si>
  <si>
    <t>2025-02-28T14:59:17.369+0700</t>
  </si>
  <si>
    <t>2025-02-28T14:59:18.300+0700</t>
  </si>
  <si>
    <t>Outsystems</t>
  </si>
  <si>
    <t>[OMRE][OMRE Customer][PROD] Update bảng thông tin ekyc</t>
  </si>
  <si>
    <t>2025-02-28T12:13:33.515+0700</t>
  </si>
  <si>
    <t>2025-02-28T12:16:20.645+0700</t>
  </si>
  <si>
    <t xml:space="preserve">Dear team,  Nhờ các anh update lại thông tin bản ghi theo lệnh sau để cập nhật thông tin khách hàng. UPDATE `ekyc_user_information` SET `issue_place` = 'Cục CS QLHC về TTXH' WHERE `ekyc_user_information`.`id` = 1780; DB: onehs_user_usecase Thanks team. </t>
  </si>
  <si>
    <t>[OMC][CustomerPlatform][Vinid.vn][PROD] Đồng bộ dữ liệu trong bảng VinID_options từ vinid.net sang vinid.vn</t>
  </si>
  <si>
    <t>2025-02-28T09:59:13.248+0700</t>
  </si>
  <si>
    <t>2025-02-28T11:08:01.655+0700</t>
  </si>
  <si>
    <t>OMC, VinIDWeb</t>
  </si>
  <si>
    <t>nhờ team support đồng bộ giúp em dữ liệu từ DB vinid_website sang DB vinidvn_website Các bảng cần đồng bộ: VinID_options Thông tin DB: DB Nguồn: WORDPRESS_DB_HOST: 172.31.4.215 MYSQL_DATABASE: vinid_website MYSQL_USER: vinid_website DB Đích: WORDPRESS_DB_HOST: 172.31.4.215 WORDPRESS_DB_NAME: vinidvn_website WORDPRESS_DB_USER: vinidvn_website   Các bước thực hiện chính: Backup lại 2 DB vinidvn_website và vinid_website drop bảng VinID_options trên DB vinidvn_website dump data của bảng VinID_options từ DB vinid_website sang DB vinidvn_website update lại trường  option_value  với  option_name  là siteurl và home thành  http://vinid.vn  trên bảng vinidvn_website Kiểm tra lại data trên 2 DB Báo lại dự án đã hoàn thành migrate và các bên liên quan test lại service.</t>
  </si>
  <si>
    <t>[PROD][Salestools] Migrate data instance salestools (172.31.1.13) sang main (172.31.1.126) project vinid-integration-prod</t>
  </si>
  <si>
    <t>2025-02-27T17:41:33.159+0700</t>
  </si>
  <si>
    <t>2025-03-01T08:53:27.818+0700</t>
  </si>
  <si>
    <t>Hi team! Trước đây do có ứng dụng cần chạy trên mysql 8.0 nhưng instance  main  (172.31.1.126) đang chạy mysql 5.7 nên team đã request tạo instance  salestools  (172.31.1.13) chạy mysql 8.0 để đáp ứng nghiệp vụ. Hiện tại instance  main  đã được upgrade lên mysql 8.0 và chạy ổn định nên team sẽ chuyển ứng dụng về instance  main , off instance  salestools  để tối ưu tài nguyên và tiết kiệm chi phí hạ tầng Việc migrate data và off instance  salestools  (172.31.1.13) có thể thực hiện ngoài giờ hành chính, em đã trao đổi với dự án và thống nhất có thể thực hiện vào  10h tối thứ 6 ngày 28 tháng 2 Thông tin instance Name:  salestools  - 172.31.1.13 Project: vinid-integration-prod Migrate 2 database salestools_distributor và salestools_headquarter sang instance  main  (172.31.1.126) Nếu cần bổ sung thông tin gì thêm nhờ các anh comment giúp em ạ.</t>
  </si>
  <si>
    <t>[OMRE] Update data Production</t>
  </si>
  <si>
    <t>2025-02-27T17:40:08.889+0700</t>
  </si>
  <si>
    <t>2025-02-27T17:40:32.171+0700</t>
  </si>
  <si>
    <t>Nhờ anh  @Nguyễn Văn Dũng  chạy giúp em 3 câu lệnh này trên db UPDATE `contract` SET `expired_date`= null WHERE contract.expired_date ='1901-01-01 07:06:40'</t>
  </si>
  <si>
    <t>[OutSystems[PROD]]Nhờ DBA count số lượng record theo từng năm của bảng OSSYS_BPM_ACTIVITY</t>
  </si>
  <si>
    <t>2025-02-27T14:00:59.829+0700</t>
  </si>
  <si>
    <t>2025-02-28T15:51:45.447+0700</t>
  </si>
  <si>
    <t>Nhờ DBA count số lượng record theo từng năm của bảng OSSYS_BPM_ACTIVITY</t>
  </si>
  <si>
    <t>[OMC][[PROD][CustomerPlatform][Vinid.vn][FE] đồng bộ dữ liệu từ vinid.net sang vinid.vn</t>
  </si>
  <si>
    <t>2025-02-27T11:48:26.172+0700</t>
  </si>
  <si>
    <t>2025-02-28T10:04:05.236+0700</t>
  </si>
  <si>
    <t xml:space="preserve">Dear team, Ngày 28/02, team em có golive một vài tính năng nhằm đảm bảo giấy phép MXH cho trang    , nhờ team support đồng bộ giúp em dữ liệu từ trang    sang    (Ngoại trừ bảng  VinID_options ) Các bảng cần đồng bộ: Bao gồm toàn bộ các bảng trên  vinid.net  (Trừ bảng  VinID_options ) Thông tin DB:    Project:   Project:  vinid-incubator-prod IP: 104.16.253.245   Project:  vinid-incubator-prod IP: 104.18.2.8 Release note:    Doc:   </t>
  </si>
  <si>
    <t>[VinID Pay][VINPAY][PROD] Tác động database Tpay</t>
  </si>
  <si>
    <t>2025-02-27T11:23:23.420+0700</t>
  </si>
  <si>
    <t>2025-02-27T11:24:26.312+0700</t>
  </si>
  <si>
    <t>Hi team, Các anh giúp em chạy script với thông tin như bên dưới nhé ạ Thông tin database  saas_tpay: jdbc:mysql://pay-tidb.int.onemount.com:4000/saas_tpay Ticket này nhờ team chạy trong giờ giúp em ạ SYSTEM_CONFIGURATION UPDATE SYSTEM_CONFIGURATION SET SYSTEM_PARAM_VALUE = 'true' WHERE SYSTEM_PARAM_CODE = 'IS_CHECK_LATEST_AUTO_SETTLEMENT_JOB';</t>
  </si>
  <si>
    <t>[OMC][VinID Pay][Loyalty][PROD] Hỗ trợ đồng bộ data nguồn lên ODS phục vụ hạch toán Loyalty</t>
  </si>
  <si>
    <t>2025-02-27T10:37:41.124+0700</t>
  </si>
  <si>
    <t>2025-02-27T16:32:34.788+0700</t>
  </si>
  <si>
    <t>Dear team Hiện tại dự án back-ofice cần bổ sung thêm thông tin oneloyalty trên ODS phục vụ hạch toán điểm loyalty. nhờ các anh hỗ trợ kéo dữ liệu nguồn booking_uat lên ODS giúp team ạ Thông tin data nguồn: Database: 172.31.7.6:3306 Tên Dịch Vụ Schema Table oneloyalty oneloyalty_cpm oneloyalty_checkout oneloyalty_cpm.transaction_history oneloyalty_cpm.master_transaction_history oneloyalty_checkout.loc_transaction_history Nhờ các anh hỗ trợ thêm  phân quyền read  cho các schema bên trên ODS giúp dự án ạ danh sách user service: vinidpay_back_office   Nhờ các anh hỗ trợ cập nhật thêm giúp team ạ Em cảm ơn!</t>
  </si>
  <si>
    <t>[OMRE][PROD][OneHS - Agent] Update data trên PROD</t>
  </si>
  <si>
    <t>2025-02-26T17:52:11.817+0700</t>
  </si>
  <si>
    <t>2025-02-26T17:52:33.849+0700</t>
  </si>
  <si>
    <t>Nhờ team chạy các lệnh UPDATE trên MySQL Production như sau ạ: URL:  mysql://omre-onehs-mysql-main.int.onemount.com:3306/onehs_dictionary Query: UPDATE `INVENTORY_PROPERTIES` set status = "REVOKED", available_for_sale_status = "NOT_AVAILABLE", last_modified_date = "2025-02-10 11:24:40", last_modified_by = "master_data_admin" WHERE id = "875abd1f-228f-43a3-8da4-a6cf24649992";
INSERT INTO `eav_attribute_json_values` (eav_attribute_id, entity_id, entity_id_v2, data_type, name, value, created_by, created_date, last_modified_by, last_modified_date) VALUES ((SELECT eav_attribute_id FROM `eav_attributes` WHERE field_name = "updating_status_reason"), 0, "875abd1f-228f-43a3-8da4-a6cf24649992", "PICKLIST_MULTI_SELECT", "updating_status_reason", '[ { "id": null, "gid": null, "code": "REPLACED_BY_ANOTHER", "name": "Bị thay thế bởi hàng khác", "uuid": null, "dname": null, "gcode": null, "gname": null, "order": null, "sector_id": null } ]', "master_data_admin", "2025-02-10 11:24:40", "master_data_admin", "2025-02-10 11:24:40");</t>
  </si>
  <si>
    <t>[OMC][PROD][LinkAcc][Memorystore] Update Memstore Redis tương ứng</t>
  </si>
  <si>
    <t>2025-02-26T15:46:08.894+0700</t>
  </si>
  <si>
    <t>2025-03-04T11:37:13.590+0700</t>
  </si>
  <si>
    <t>Dear team, Team CP liên quan đến việc tối ưu chi phí nên team cần update memstore redis ở luồng caching data cho luồng TCB PS2. Thông tin cụ thể: GCP project:  vinid-service-platform-prod Storage : 2 GB (standard) Service tier:  Standard, không replicas   Redis Version: 6.x Instance ID: link-account https://console.cloud.google.com/memorystore/redis/locations/asia-east1/instances/link-account/details/overview?authuser=0&amp;hl=en&amp;inv=1&amp;invt=AbqkaA&amp;project=vinid-service-platform-prod Thời gian thực hiện:  0h ngày 4/3/2025 cùng thời điểm maintain TCB DB</t>
  </si>
  <si>
    <t>[OMD][PROD]Sizing enable HA và nâng tài nguyên cho project omd-pos-prod instance main-pos-integration 172.31.3.63</t>
  </si>
  <si>
    <t>2025-02-26T11:52:13.762+0700</t>
  </si>
  <si>
    <t>2025-03-01T10:07:48.342+0700</t>
  </si>
  <si>
    <t>EPIC xây dựng các đầu danh mục thuộc scope DBA phụ trách cần thiết sizing/nâng cấp/chuyển đổi để phục vụ các hệ thống services liên quan đến TCB, nhằm cung cấp khả năng ổn định/hiệu suất hơn trong 2025 Bối cảnh Với mục tiêu cung cấp dịch vụ ổn định, đạt hiệu năng cho đối tác TCB, cần rà soát đánh giá khả năng đáp ứng tải, đáp ứng tính ổn định của các component liên quan, nhằm sizing phù hợp để đảm bảo với các tiêu chí trên Vấn đề gặp phải Sizing các hệ thống hiện đang _x0008_usage mức resource cao, chưa đảm bảo tính ổn định và đáp ứng performance khi có tải đột biến hơn mức thông thường Acceptance criteria  Có những hệ thống dùng chung Database do không thể tách biệt riêng DB chỉ giành cho TCB's services, nên chấp nhận những rủi ro xung đột resource dùng chung, khi các services OM có peak hoặc chưa được tối ưu về code, sẽ cần liên tục monitor phát hiện những bất thường để kịp thời điều chỉnh và ngăn chặn ảnh hưởng. Technical Solution sizing hệ thống bằng việc nâng cấp/chuyển đổi/migrate một số thành phần database như Oracle, CloudSQL, Redis với mức đáp ứng tốt hơn Tài liệu/Link Liên quan Các hệ thống được sizing theo danh mục đề xuất của phòng hạ tầng tại danh sách đính kèm Task nâng tài nguyên: Project ES System Type   IP Instance Original Info HW Upgrade Info HW Status omd-pos-prod OMD Database  172.31.3.63 main-pos-integration 2vCPU,4GB MEM 4vCPU,8GiB MEM Enable HA   CR Planning:    Thêm các thông số cấu hình sau(nếu chưa có):</t>
  </si>
  <si>
    <t>2025-02-26T09:42:52.036+0700</t>
  </si>
  <si>
    <t>2025-02-26T16:37:13.968+0700</t>
  </si>
  <si>
    <t>Hi DBA team, Dự án WMS sắp tới sẽ mở thêm kho mới cho MES, nên cần thêm database cho tenant này. Team DBA support tạo thêm database trên production cho WMS và WES với thông tin như sau WMS Project  vinid-b2b-platform-prod DB Instance  IP: 172.31.4.59 Databases DB name Username Additional Privileges omd_wms_mes_2d_006 omd_wms_mes_2d_006 ALTER/CREATE omd_wms_mes_2d_007 omd_wms_mes_2d_007 ALTER/CREATE omd_wms_mes_2d_008 omd_wms_mes_2d_008 ALTER/CREATE omd_wms_mes_2d_009 omd_wms_mes_2d_009 ALTER/CREATE omd_wms_mes_2d_010 omd_wms_mes_2d_010 ALTER/CREATE omd_wms_mes_2d_011 omd_wms_mes_2d_011 ALTER/CREATE omd_wms_mes_2d_012 omd_wms_mes_2d_012 ALTER/CREATE omd_wms_mes_2d_013 omd_wms_mes_2d_013 ALTER/CREATE omd_wms_mes_2d_014 omd_wms_mes_2d_014 ALTER/CREATE omd_wms_mes_2d_015 omd_wms_mes_2d_015 ALTER/CREATE omd_wms_mes_2d_016 omd_wms_mes_2d_016 ALTER/CREATE omd_wms_mes_2d_017 omd_wms_mes_2d_017 ALTER/CREATE omd_wms_mes_2d_018 omd_wms_mes_2d_018 ALTER/CREATE omd_wms_mes_2d_019 omd_wms_mes_2d_019 ALTER/CREATE omd_wms_mes_2d_020 omd_wms_mes_2d_020 ALTER/CREATE User  omd_wms_core_read_only  cấp quyền READ ONLY trên all databases mới được tạo WES Project  vinid-b2b-platform-prod DB Instance  172.31.1.143 Databases DB name Username Additional Privileges omd_wes_mes_2d_006 omd_wes_mes_2d_006 ALTER/CREATE omd_wes_mes_2d_007 omd_wes_mes_2d_007 ALTER/CREATE omd_wes_mes_2d_008 omd_wes_mes_2d_008 ALTER/CREATE omd_wes_mes_2d_009 omd_wes_mes_2d_009 ALTER/CREATE omd_wes_mes_2d_010 omd_wes_mes_2d_010 ALTER/CREATE omd_wes_mes_2d_011 omd_wes_mes_2d_011 ALTER/CREATE omd_wes_mes_2d_012 omd_wes_mes_2d_012 ALTER/CREATE omd_wes_mes_2d_013 omd_wes_mes_2d_013 ALTER/CREATE omd_wes_mes_2d_014 omd_wes_mes_2d_014 ALTER/CREATE omd_wes_mes_2d_015 omd_wes_mes_2d_015 ALTER/CREATE omd_wes_mes_2d_016 omd_wes_mes_2d_016 ALTER/CREATE omd_wes_mes_2d_017 omd_wes_mes_2d_017 ALTER/CREATE omd_wes_mes_2d_018 omd_wes_mes_2d_018 ALTER/CREATE omd_wes_mes_2d_019 omd_wes_mes_2d_019 ALTER/CREATE omd_wes_mes_2d_020 omd_wes_mes_2d_020 ALTER/CREATE User  read_wes  cấp quyền READ ONLY trên all databases mới được tạo Thông tin username và password gửi mail cho  quangph@onemount.com</t>
  </si>
  <si>
    <t>2025-02-26T09:40:03.295+0700</t>
  </si>
  <si>
    <t>2025-02-26T16:37:22.811+0700</t>
  </si>
  <si>
    <t>Hi DBA team, Dự án WMS sắp tới sẽ mở thêm kho mới cho MES, nên cần thêm database cho tenant này. Team DBA support tạo thêm database trên production cho WMS và WES với thông tin như sau WMS Project  vinid-b2b-platform-prod DB Instance  IP: 172.31.4.59 Databases DB name Username Additional Privileges omd_wms_mes_2d_006 omd_wms_mes_2d_006 ALTER/CREATE omd_wms_mes_2d_007 omd_wms_mes_2d_007 ALTER/CREATE omd_wms_mes_2d_008 omd_wms_mes_2d_008 ALTER/CREATE omd_wms_mes_2d_009 omd_wms_mes_2d_009 ALTER/CREATE omd_wms_mes_2d_010 omd_wms_mes_2d_010 ALTER/CREATE omd_wms_mes_2d_011 omd_wms_mes_2d_011 ALTER/CREATE omd_wms_mes_2d_012 omd_wms_mes_2d_012 ALTER/CREATE omd_wms_mes_2d_013 omd_wms_mes_2d_013 ALTER/CREATE omd_wms_mes_2d_014 omd_wms_mes_2d_014 ALTER/CREATE omd_wms_mes_2d_015 omd_wms_mes_2d_015 ALTER/CREATE omd_wms_mes_2d_016 omd_wms_mes_2d_016 ALTER/CREATE omd_wms_mes_2d_017 omd_wms_mes_2d_017 ALTER/CREATE omd_wms_mes_2d_018 omd_wms_mes_2d_018 ALTER/CREATE omd_wms_mes_2d_019 omd_wms_mes_2d_019 ALTER/CREATE omd_wms_mes_2d_020 omd_wms_mes_2d_020 ALTER/CREATE User  omd_wms_core_read_only  cấp quyền READ ONLY trên all databases mới được tạo WES Project  vinid-b2b-platform-prod DB Instance  172.31.1.143 Databases DB name Username Additional Privileges omd_wes_mes_2d_006 omd_wes_mes_2d_006 ALTER/CREATE omd_wes_mes_2d_007 omd_wes_mes_2d_007 ALTER/CREATE omd_wes_mes_2d_008 omd_wes_mes_2d_008 ALTER/CREATE omd_wes_mes_2d_009 omd_wes_mes_2d_009 ALTER/CREATE omd_wes_mes_2d_010 omd_wes_mes_2d_010 ALTER/CREATE omd_wes_mes_2d_011 omd_wes_mes_2d_011 ALTER/CREATE omd_wes_mes_2d_012 omd_wes_mes_2d_012 ALTER/CREATE omd_wes_mes_2d_013 omd_wes_mes_2d_013 ALTER/CREATE omd_wes_mes_2d_014 omd_wes_mes_2d_014 ALTER/CREATE omd_wes_mes_2d_015 omd_wes_mes_2d_015 ALTER/CREATE omd_wes_mes_2d_016 omd_wes_mes_2d_016 ALTER/CREATE omd_wes_mes_2d_017 omd_wes_mes_2d_017 ALTER/CREATE omd_wes_mes_2d_018 omd_wes_mes_2d_018 ALTER/CREATE omd_wes_mes_2d_019 omd_wes_mes_2d_019 ALTER/CREATE omd_wes_mes_2d_020 omd_wes_mes_2d_020 ALTER/CREATE User  read_wes  cấp quyền READ ONLY trên all databases mới được tạo Thông tin username và password gửi mail cho   quangph@onemount.com</t>
  </si>
  <si>
    <t>2025-02-26T00:00:44.169+0700</t>
  </si>
  <si>
    <t>2025-02-26T08:36:40.796+0700</t>
  </si>
  <si>
    <t>Dear anh Dũng, Nhờ anh hỗ trợ team chạy một số yêu cầu với các thông tin dưới đây ạ Project: vincart-prod
IP: 172.31.1.41
DB name: booking_transportation Thời gian thực hiện: 00h00 ngày 26/02/2025 Các bước thực hiện:  Backup bảng:  booking_services Delete toàn bộ dữ liệu bảng  booking_services</t>
  </si>
  <si>
    <t>[OMC][NRs][PROD] Config UT Only for OneU</t>
  </si>
  <si>
    <t>2025-02-25T16:08:45.100+0700</t>
  </si>
  <si>
    <t>2025-02-25T16:15:53.416+0700</t>
  </si>
  <si>
    <t>Dear a/e DBA, Nhờ mọi người support chạy giúp script thêm config tiêu điểm UT Only cho One Thời gian chạy: 16h00 25/1/2025 Thông tin database MySQL: 1  .ecom_configuration Dababase name: ecom_configuration
IP: 172.31.4.9 ALTER TABLE merchant_payment_configs ADD COLUMN business_code VARCHAR(50) DEFAULT NULL;
ALTER TABLE merchant_payment_configs ADD COLUMN currency_code VARCHAR(50) DEFAULT NULL;
UPDATE merchant_payment_configs
SET loyalty_service_code = 'VOUCHER_REDEMPTION_UT',
    business_code        = 'VGC',
    currency_code        = 'Upoint'
WHERE id = 576; vincart_mm_product Dababase name: vincart_mm_product
IP: 172.31.1.41 INSERT INTO sub_service_code_config (`key`, value) VALUES (64, 'VOUCHER_UT');
INSERT INTO sub_service_code_config (`key`, value) VALUES (65, 'VOUCHER_OMC_UT');</t>
  </si>
  <si>
    <t>[OMC][NRs][Non-prod] migrate redis vm to memstore</t>
  </si>
  <si>
    <t>2025-02-25T14:57:08.178+0700</t>
  </si>
  <si>
    <t>2025-02-26T00:03:35.071+0700</t>
  </si>
  <si>
    <t>DBA team cần tạo 1 instance memstore trên project vincard-nonprod để dự án test chuyển đổi từ redis VM lên memstore với cấu hình như sau: redis standard + 1 replica size 5GB mem + rdb (1 hours)</t>
  </si>
  <si>
    <t>[OMC][MTP][PROD] Hỗ trợ xoá và cập nhật dữ liệu</t>
  </si>
  <si>
    <t>2025-02-25T11:27:01.954+0700</t>
  </si>
  <si>
    <t>2025-02-26T00:00:10.552+0700</t>
  </si>
  <si>
    <t>Dear team, nhờ team chạy giúp em các câu truy vấn sau ạ: Release note:  Database:  TIDB   omc_mtp_tracking_events Scripts: DELETE FROM mtp_analytics_report_checkpoints; Câu truy vấn update dữ liệu em xin gửi lại lúc golive ạ.</t>
  </si>
  <si>
    <t>2025-02-25T11:13:48.290+0700</t>
  </si>
  <si>
    <t>2025-02-25T11:31:23.971+0700</t>
  </si>
  <si>
    <t>Dear anh  @Phạm Tuấn Linh   và  @Trần Mạnh Đức  và anh  @Nguyễn Tá Lợi    support, Hiện tại em cần update lại Client postpaid type ở 3 hệ thống Voucher distribution, OneVC và VMM của 3 voucher, thông tin như sau nhờ mọi người support giúp VH ạ. Thông tin cần update như sau: Voucher distribution: PO code: DOSALESFORCE24292lmC_CASH_T1224 và MAA_GRABFOOD_31122024_SF5651 Client Voucher Payment Type: Postpaid Client postpaid type: Pay at claim One VC: Warehouse code:  VD_WH_1735032043498 Voucher payment type: Postpaid Postpaid type: Pay at claim VMM Variant code:  VD_VC_1735032043600 Voucher payment type: Postpaid Postpaid type: Pay at claim Em cảm ơn mn ạ!</t>
  </si>
  <si>
    <t>[OM][DP][Kafka][PROD] Tạo kafka topic cho các bảng của WMS cho các MiniDC 8116</t>
  </si>
  <si>
    <t>2025-02-25T11:11:54.163+0700</t>
  </si>
  <si>
    <t>2025-02-25T15:31:04.445+0700</t>
  </si>
  <si>
    <t>Dear các anh DBA, Hiện tại OMD đang có nhu cầu phát triển thêm kho mới, nhờ anh Linh tạo kafka topic ở môi trường PROD giúp team để kéo data về DP nhé ạ! PROD: Project: vinid-b2b-platform-prod IP host: 172.31.4.59:3306 (mysql) Schema: omd_wms_8116 Table list: appointment_service_status
appointment_service_type
appointment_status
appointment_type
whse_location
prod_master
stock_status
prod_uom
appointment_master
appointment_service
order_hdr
order_item
whse_stock_detail
prod_batch_detail
report_order_header
report_order_item
report_warehouse_order_header
report_warehouse_order_item
report_warehouse_stock_item
report_wave_header
wave_order_header
wave_order_item
whse_order_hdr
whse_order_item Thanks and regards! cong.do1</t>
  </si>
  <si>
    <t>[OMD][Prod][SalesTools] Cấp quyền tài khoản truy cập schema ODS</t>
  </si>
  <si>
    <t>2025-02-25T10:18:06.032+0700</t>
  </si>
  <si>
    <t>2025-02-25T10:18:22.959+0700</t>
  </si>
  <si>
    <t>Team cần hỗ trợ cấp quyền truy cập dữ liệu core trên dremio để khảo sát dữ liệu cho metric platform Data dir: omd_vinid_b2b_platform_prod_b2b_commerce_b2b_oms_prod omd_vinid_b2b_platform_prod_b2b_commerce_b2b_pcm_prod omd_vinid_b2b_platform_prod_b2b_commerce_b2b_user_prod omd_vinid_b2b_platform_prod_b2b_commerce_b2b_promotion_prod Account cấp quyền: sa.dremio.omd.onesalestools.local</t>
  </si>
  <si>
    <t>[Outsystems[NonPROD]]Nhờ DBA review performance ở Database OutSystems Non-prod</t>
  </si>
  <si>
    <t>2025-02-25T09:24:31.164+0700</t>
  </si>
  <si>
    <t>2025-02-25T09:24:32.064+0700</t>
  </si>
  <si>
    <t>Nhờ DBA hỗ trợ team review performance ở Database OutSystems DEV, UAT và hỗ trợ add index cho các table của Platform nếu cần thiết</t>
  </si>
  <si>
    <t>[OMD][WMS]Kéo dữ liệu về ODS cho dự án warehousing sau khi mở thêm kho 8116</t>
  </si>
  <si>
    <t>2025-02-25T09:07:54.565+0700</t>
  </si>
  <si>
    <t>2025-02-26T14:29:34.292+0700</t>
  </si>
  <si>
    <t>Hỗ trợ PO/BA trong việc xây dựng các báo cáo vận hành trên superset, cần thời gian thực Tạo các alert về mặt sai lệch trong dữ liệu hoặc các alert liên quan đến dữ liệu vận hành Thông tin database nguồn như sau WMS Database instance Project vinid-b2b-platform-prod IP 172.31.4.59 Sheet  omd_wms_*  schema omd_wms_8116 List database và table cần sync về ODS Table name TTL (Day) flat_appointment_master 180 flat_appointment_service 180 flat_incident_report 180 flat_staging_assignment 180 order_hdr 180 order_item 180 prod_batch_detail master_data prod_master master_data prod_uom master_data product_category master_data replenishment_header 180 replenishment_inventory_item 180 replenishment_item 180 report_order_header 180 report_order_item 180 report_warehouse_order_header 180 report_warehouse_order_item 180 report_warehouse_stock_item master_data report_wave_header 180 time_slot master_data warehouse_zone master_data wave_order_header 180 wave_order_item 180 whse_location master_data whse_order_hdr 180 whse_order_item 180 whse_stock_detail master_data wms_data_snapshot 180 wms_lookup master_data wms_party master_data</t>
  </si>
  <si>
    <t>[OMD CDP] [Production] Tạo database lưu trữ dữ liệu tracking MTP trên OMD TiDB</t>
  </si>
  <si>
    <t>2025-02-25T09:04:48.881+0700</t>
  </si>
  <si>
    <t>2025-03-06T12:52:24.507+0700</t>
  </si>
  <si>
    <t>Hi team DBA, Nhờ team DBA hỗ trợ tạo database lưu trữ dữ liệu tracking MTP cho dự án OMD CDP, yêu cầu chi tiết: SAD:   &gt; Mục 6 Database OMD TiDB: Host:port:  omd-tidb.int.onemount.com:4000 Version 8.5.0 → Yêu cầu upgrade do MTP cần tính năng global index của version 8.5.0 Khởi tạo database     Môi trường Tên database PROD omd_cdp_data_from_mtp Tạo các users/password và phân quyền access read/write → DBA cung cấp thông tin password cho SRE Lead dự án  @Phạm Hồng Quang Môi trường PROD User Database Quyền omd_cdp_query_api omd_cdp_data_from_mtp read omd_cdp_ingest_workers omd_cdp_data_from_mtp read omd_cdp_transform_workers omd_cdp_data_from_mtp read omd_cdp_segment_workers omd_cdp_data_from_mtp read Thêm phân quyền sau: Môi trường PROD User Database Quyền omd_cdp_query_api omd_cdp_data_from_dp omd_cdp_data_from_mtp read read cc  @Lê Quang Thiệu   @Former user</t>
  </si>
  <si>
    <t>[OMD CDP][Prod] Execute sql migration script for golive Sprint 7</t>
  </si>
  <si>
    <t>2025-02-24T22:14:43.543+0700</t>
  </si>
  <si>
    <t>2025-02-24T22:14:44.418+0700</t>
  </si>
  <si>
    <t>Nhờ team process execute sql script trong file đính kèm để init data cho CDP với nhé ạ Due date: 14h ngày 08/01/2025 Server: OMD TiDB at  omd-tidb.int.onemount.com:4000 Database:  omd_cdp_data_from_ingest Script: see in attachments omd-cdp-ingest-workers-v0.2.0.ingest.sql Database:  omd_cdp_orchestration Script: see in attachments omd-cdp-ingest-workers-v0.2.0.metadata.sql</t>
  </si>
  <si>
    <t>[OMD]Cập nhật Aftersale DB S143</t>
  </si>
  <si>
    <t>2025-02-24T22:11:58.745+0700</t>
  </si>
  <si>
    <t>2025-02-24T22:11:59.626+0700</t>
  </si>
  <si>
    <t>Hi các anh , Team promotion OMD nhờ các anh hỗ trợ chạy script megration phục vụ cho S143 chạy trước khi deploy S143. alter table AfterSaleCampaign
    add regionSupports text null after rewardDate;
alter table AfterSaleCampaign
    add saRegistersReportsForGt bit null after regionSupports;
alter table Participant
    add saCode varchar(255) null after rejectApproveReason;
alter table Participant
    add saName varchar(255) null after saCode;
alter table MissionTracking
    add fraudAlert bit null after scoreAvg;
alter table MissionTracking
    add saCode varchar(255) null after fraudAlert;
alter table MissionTracking
    add saName varchar(255) null after saCode;
alter table RewardTracking
    add alreadySendKafka bit null after voucherEffectiveTo;
 Thông tin database: GCP Project Instance DB name Production : vinid-b2b-platform-prod main (mysql 8.0 - 172.31.4.59) omd_aftersale_campaign Thanks!</t>
  </si>
  <si>
    <t xml:space="preserve">[VinID Pay][PROD][FS-CORE]  config sap company posting config cho category 4153 </t>
  </si>
  <si>
    <t>2025-02-24T21:48:15.753+0700</t>
  </si>
  <si>
    <t>2025-02-24T21:48:33.344+0700</t>
  </si>
  <si>
    <t>Dear team,  Em cần support câu lệnh sau để  config sap company posting config cho category  4153   thời gian thực hiện: thực hiện sau khi được approve DB fscore: domain: om-fs-core-prod--fs-core-prod.cloudsql.int:3306 schema: fs_core_prod script: UPDATE sap_company_posting_config t SET t.status = 1 WHERE t.id = 118;
UPDATE sap_company_posting_config t SET t.status = 1 WHERE t.id = 119;</t>
  </si>
  <si>
    <t>[OMD CDP][Prod] Partition table engagement_event</t>
  </si>
  <si>
    <t>2025-02-24T18:49:52.312+0700</t>
  </si>
  <si>
    <t>2025-02-24T18:49:53.435+0700</t>
  </si>
  <si>
    <t>Nhờ team support đánh partition table engagement_event trên DB tidb prod Database:  omd-tidb.int.onemount.com:4000 Schema: omd_cdp_data_from_ingest Table: engagement_event Partition theo field: event_date, monthly</t>
  </si>
  <si>
    <t>[OMD][WMS]Kéo dữ liệu về ODS cho dự án warehousing sau khi mở thêm kho 8114</t>
  </si>
  <si>
    <t>2025-02-24T18:46:29.078+0700</t>
  </si>
  <si>
    <t>2025-02-24T18:46:30.113+0700</t>
  </si>
  <si>
    <t>Hỗ trợ PO/BA trong việc xây dựng các báo cáo vận hành trên superset, cần thời gian thực Tạo các alert về mặt sai lệch trong dữ liệu hoặc các alert liên quan đến dữ liệu vận hành Thông tin database nguồn như sau WMS Database instance Project vinid-b2b-platform-prod IP 172.31.4.59 Sheet  omd_wms_*  schema omd_wms_8114 List database và table cần sync về ODS Table name TTL (Day) flat_appointment_master 180 flat_appointment_service 180 flat_incident_report 180 flat_staging_assignment 180 order_hdr 180 order_item 180 prod_batch_detail master_data prod_master master_data prod_uom master_data product_category master_data replenishment_header 180 replenishment_inventory_item 180 replenishment_item 180 report_order_header 180 report_order_item 180 report_warehouse_order_header 180 report_warehouse_order_item 180 report_warehouse_stock_item master_data report_wave_header 180 time_slot master_data warehouse_zone master_data wave_order_header 180 wave_order_item 180 whse_location master_data whse_order_hdr 180 whse_order_item 180 whse_stock_detail master_data wms_data_snapshot 180 wms_lookup master_data wms_party master_data</t>
  </si>
  <si>
    <t>[omd][saleapp][prod] Xin cấp DB cho dự án saleapp TCB</t>
  </si>
  <si>
    <t>2025-02-24T18:39:12.001+0700</t>
  </si>
  <si>
    <t>2025-02-24T18:39:12.743+0700</t>
  </si>
  <si>
    <t>Hi anh Dương dự án tcb saleapp chuẩn bị golive production (refer ticket non-prod:    ) SAD:  https://vinid-team.atlassian.net/wiki/spaces/TSA/pages/2386460773/SAD+-+TCB+Sale+App Nhờ anh cung cấp giúp em các DB trên production để phục vụ dự án ạ gcp project: omd-pos-prod instance: main-pos-integration (IP: 172.31.3.63) DB_Name: omd_saleapp_tcb_iom_prod omd_saleapp_tcb_prod</t>
  </si>
  <si>
    <t>[DP][OMD] Kéo dữ liệu về TiDB ODS</t>
  </si>
  <si>
    <t>2025-02-24T18:35:33.561+0700</t>
  </si>
  <si>
    <t>2025-02-24T18:35:34.506+0700</t>
  </si>
  <si>
    <t>Kéo dữ liệu về ODS để team DA có thể qua Dremio khai thác thông tin thanh toán của các đơn hàng PO, từ đó đưa lên báo cáo Nguồn: Cloud SQL:  172.31.1.143 Port:  3306 Database:  sccollab_prod Table:  purchase_order_payment_info Nhờ anh  @Trần Trương Dương  support giúp dự án và gửi lại thông tin kết nối cho anh  @Đặng Lưu Thành  để config external source trên Dremio ạ Ticket liên quan:  cc anh  @Phan Anh Sơn  anh  @Trần Vi Duân  anh  @Trần Nguyên Anh  anh  @Nguyễn Văn Dũng  anh  @Bùi Văn Lực   @Former user</t>
  </si>
  <si>
    <t>[B2B-OFS][PROD] Create index table shipping_location</t>
  </si>
  <si>
    <t>2025-02-24T18:32:41.967+0700</t>
  </si>
  <si>
    <t>2025-02-24T18:32:42.878+0700</t>
  </si>
  <si>
    <t>Hi anh Dương, Hiện tại team OFS đang có một số câu query chậm do chưa đánh index. Nhờ a đánh index giúp em với thông tin như sau ạ: Order Fulfillment IP: 172.31.1.143 Database: trackandtrace Query: ALTER TABLE trackandtrace.fact_orders
    ADD INDEX idx_fact_orders_ofs_status_number (ofs_status_number), ALGORITHM=INPLACE, LOCK=NONE;   Em cảm ơn!</t>
  </si>
  <si>
    <t>[OMD][WMS][Prod] Request tạo database cho tenant mới của WMS (Kho Hậu Giang - 8114)</t>
  </si>
  <si>
    <t>2025-02-24T18:29:10.203+0700</t>
  </si>
  <si>
    <t>2025-02-24T18:29:11.391+0700</t>
  </si>
  <si>
    <t>Hi DBA team, Dự án WMS sắp tới sẽ mở thêm kho mới khu vực Miền Tây (Kho Hậu Giang), nên cần thêm database cho tenant này. Team DBA support tạo thêm database trên production cho WMS và WES với thông tin như sau WMS Project  vinid-b2b-platform-prod DB Instance main-mysql-8  (IP: 172.31.4.59) DB name và username omd_wms_8114 (username omd_wms_8114) Bổ sung thêm quyền ALTER/CREATE và DROP để thực hiện run database initialization thông qua liquibase (với quyền DROP chỉ cần cấp đến ngày 10/01/2025) User  omd_wms_core_read_only  có quyền read only trên all tables của database  omd_wms_8114 WES Project  vinid-b2b-platform-prod DB Instance main-mysql-5.7  (IP: 172.31.1.143 ) DB name và username wes_8114 (username wes_8114) Bổ sung thêm quyền ALTER/CREATE và DROP để thực hiện run database initialization thông qua liquibase (với quyền DROP chỉ cần cấp đến ngày 10/01/2025) User  read_wes  có quyền read only trên all tables của database  wes_8114   Thông tin username và password gửi mail cho  quangph@onemount.com</t>
  </si>
  <si>
    <t>DBASD-5843 [B2B-OFS][PROD] Create index</t>
  </si>
  <si>
    <t>2025-02-24T18:24:27.247+0700</t>
  </si>
  <si>
    <t>2025-02-24T18:24:28.189+0700</t>
  </si>
  <si>
    <t>Hi anh Linh, Hiện tại team OFS đang có một số câu query chậm do chưa đánh index. Nhờ a đánh index giúp em với thông tin như sau ạ: Order Fulfillment IP: 172.31.1.143 Database: b2b_ofs Query: ALTER TABLE b2b_ofs.reference_field
    ADD INDEX idx_reference_field_created_date (created_date), ALGORITHM=INPLACE, LOCK=NONE;
ALTER TABLE b2b_ofs.status_event
    ADD INDEX idx_status_event_created_date (created_date), ALGORITHM=INPLACE, LOCK=NONE;
ALTER TABLE b2b_ofs.reschedule_event
    ADD INDEX idx_reschedule_event_created_date (created_date), ALGORITHM=INPLACE, LOCK=NONE; Em cảm ơn!</t>
  </si>
  <si>
    <t>2025-02-24T17:18:28.981+0700</t>
  </si>
  <si>
    <t>2025-02-24T17:20:01.036+0700</t>
  </si>
  <si>
    <t>2025-02-24T16:36:44.976+0700</t>
  </si>
  <si>
    <t>2025-02-24T17:13:01.255+0700</t>
  </si>
  <si>
    <t>Dear anh Linh, Nhờ anh chạy các câu lệnh sql dưới đây giúp team do cần update dữ liệu ạ Project: vincart-prod
IP: 172.31.1.41
Database: vincart_mm_product
SQL: Chạy câu lệnh
Thời gian chạy: 11h45</t>
  </si>
  <si>
    <t>[OM][DP][Kafka][PROD] Tạo kafka topic cho các bảng của Control Tower</t>
  </si>
  <si>
    <t>2025-02-24T16:35:29.808+0700</t>
  </si>
  <si>
    <t>2025-02-24T17:12:51.374+0700</t>
  </si>
  <si>
    <t>Dear các anh DBA, Hiện tại OMD có nhu cầu kéo thêm bảng ở db control_tower phục vụ cho mục tiêu back up dữ liệu lên product cho các lực lượng bán OMD. Nhờ anh và team tạo giúp em kafka topic ở PROD giúp em theo thông tin bên dưới ạ. PROD: IP: 172.31.4.48:3306 DB: control_tower Tables list: rtb_daily_sa_tele_engagement_zone
rtb_f_telecall_force
rtb_telesale_daily_call
r_sa_visit_gt_frequency
gt_visit_rtm_1seal
rtb_telesale_dailycall_to_caresoft Thanks and regards! cong.do1</t>
  </si>
  <si>
    <t xml:space="preserve">[OMD][PROMOTION][Prod] Xin cấp quyền truy cập quyền view data trên MongoDB </t>
  </si>
  <si>
    <t>2025-02-24T16:34:40.776+0700</t>
  </si>
  <si>
    <t>2025-02-24T17:12:34.037+0700</t>
  </si>
  <si>
    <t>Dear Team, Nhờ Team cấp quyền cho user thinhph1 quyền view data các collection của B2B-Promotion trên  Mongo (host:  10.255.32.55 , user:  omd_b2b_promotion ) Thanks Team!</t>
  </si>
  <si>
    <t>2025-02-24T16:19:49.154+0700</t>
  </si>
  <si>
    <t>2025-02-24T16:23:31.298+0700</t>
  </si>
  <si>
    <t>Dear anh Linh, Nhờ anh chạy các câu lệnh sql dưới đây giúp team do cần update dữ liệu ạ  Project: vincart-prod
IP: 172.31.1.41
Database: vincart_mm_product
SQL: Chạy câu lệnh
Thời gian chạy: 11h10</t>
  </si>
  <si>
    <t>2025-02-24T16:19:42.123+0700</t>
  </si>
  <si>
    <t>2025-02-24T16:23:40.053+0700</t>
  </si>
  <si>
    <t>Dear anh Dũng, Nhờ anh chạy câu lệnh SQL với các thông tin dưới đây ạ Project: vinid-topup-prod IP: 172.31.1.197 DB: topup SQL: START TRANSACTION;
UPDATE `orders`
SET `status` = 'SUCCESS', `finished_at` = `updated_at`
WHERE `id` in ('202502081000299', '202502031000478');
COMMIT;</t>
  </si>
  <si>
    <t>2025-02-24T16:18:48.682+0700</t>
  </si>
  <si>
    <t>2025-02-24T16:23:01.166+0700</t>
  </si>
  <si>
    <t>Dear anh Linh, Nhờ anh chạy các câu lệnh sql dưới đây giúp team do cần update dữ liệu ạ Project: vincart-prod
IP: 172.31.1.41
Database: vincart_mm_product
SQL: Chạy câu lệnh
Thời gian chạy: 16h45</t>
  </si>
  <si>
    <t>2025-02-24T16:18:21.383+0700</t>
  </si>
  <si>
    <t>2025-02-24T16:22:51.865+0700</t>
  </si>
  <si>
    <t>Dear anh Linh, Nhờ anh chạy các câu lệnh sql dưới đây giúp team do cần update dữ liệu ạ Project: vincart-prod
IP: 172.31.1.41
Database: vincart_mm_product
SQL: Chạy câu lệnh
Thời gian chạy: 16h00</t>
  </si>
  <si>
    <t>2025-02-24T16:18:16.786+0700</t>
  </si>
  <si>
    <t>2025-02-24T16:22:42.187+0700</t>
  </si>
  <si>
    <t>Dear anh Linh, Để phục vụ nhu cầu tracking agent view hàng omre, nhờ các anh tạo giúp em thêm các topic dưới đây với ạ. Thông tin DB Mysql PROD: IP: 172.31.4.83 Database: agent-platform Table: user_activities</t>
  </si>
  <si>
    <t>[OMC][PS2][OneVoucher][PROD] Update Điều kiện sử dụng của ticket - Phòng chờ quốc tế</t>
  </si>
  <si>
    <t>2025-02-24T15:59:46.560+0700</t>
  </si>
  <si>
    <t>2025-02-24T16:03:18.375+0700</t>
  </si>
  <si>
    <t>Dear anh Linh và  @Trần Mạnh Đức  support, Em cần update lại TnC của các ticket có trạng thái Distributed + Used của Sale_code CV_GAMIURBOXPHONGCHOQUOCTE300924_300924. Danh sách cần update tại file đính kèm. Nhờ mn support giúp em ạ. Em cảm ơn!</t>
  </si>
  <si>
    <t>2025-02-24T15:58:44.429+0700</t>
  </si>
  <si>
    <t>2025-02-24T16:03:06.580+0700</t>
  </si>
  <si>
    <t>Nhờ team chạy script này trên PROD env giúp team Loyalty ạ</t>
  </si>
  <si>
    <t>[OMC][PS2][OneVoucher][PROD] Update Điều kiện sử dụng của ticket</t>
  </si>
  <si>
    <t>2025-02-24T15:57:59.216+0700</t>
  </si>
  <si>
    <t>2025-02-24T16:02:49.019+0700</t>
  </si>
  <si>
    <t>Dear anh Linh và  @Trần Mạnh Đức   support, Em cần update lại TnC của list ticket code theo như file đính kèm sang TnC hiện tại của Sale_code: PV_MISHIOVALI50P200624_200624 Nhờ mn support giúp em ạ. Em cảm ơn!</t>
  </si>
  <si>
    <t>2025-02-24T15:57:24.928+0700</t>
  </si>
  <si>
    <t>2025-02-24T16:02:31.397+0700</t>
  </si>
  <si>
    <t>Dear anh Linh, Nhờ anh chạy các câu lệnh sql dưới đây giúp team do cần update dữ liệu đối xoát voucher ngày 06/02/2025 ạ Project: vincart-prod
IP: 172.31.1.41
Database: vincart_mm_product
SQL: Chạy câu lệnh
Thời gian chạy: 15h00</t>
  </si>
  <si>
    <t>[OMC][NRs][PROD] Chạy câu lệnh SQL update gia hạn cho voucher</t>
  </si>
  <si>
    <t>2025-02-24T15:56:58.088+0700</t>
  </si>
  <si>
    <t>2025-02-24T16:02:17.507+0700</t>
  </si>
  <si>
    <t>Nhờ anh  @Phạm Tuấn Linh  chạy giúp em lệnh sau ạ: Thông tin db:  IP: 172.31.1.41 DB name: vincart_mm_product UPDATE 
  `entity_attributes_values` 
SET 
  value = '1767200399' 
WHERE 
  entity_id in (
    SELECT 
      id 
    FROM 
      `variants` 
    WHERE 
      code in (
        'HYPOXI_09072024_SF5131_UPoint', 
        'HYPOXI_09072024_SF5132_UPoint', 
        'HYPOXI_09072024_SF5133_UPoint', 
        'CALIFORNIAFITNESSYOGA_10052024_SF4892_UPoint', 
        'CALIFORNIAFITNESSYOGA_10052024_SF4891_UPoint', 
        'CALIFORNIAFITNESSYOGA_10052024_SF4873_UPoint', 
        'CALIFORNIAFITNESSYOGA_10052024_SF4873', 
        'HYPOXI_09072024_SF5131'
      )
  ) 
  AND name in (
    'effective_time_to', 'display_to'
  );</t>
  </si>
  <si>
    <t>[OMC][NRs][VMM][PROD]  Update order payment status for GSM order</t>
  </si>
  <si>
    <t>2025-02-24T15:37:23.981+0700</t>
  </si>
  <si>
    <t>2025-02-24T15:43:16.354+0700</t>
  </si>
  <si>
    <t>Hi team. Nhờ các anh chạy giúp em các câu lệnh sau: project: vincart-prod DB: vincart_mm_order instance: main ip: 172.31.1.41 Scripts: UPDATE orders SET payment_status = 'PAID' WHERE code = 'MLB2ERL';
UPDATE orders SET payment_status = 'PAID' WHERE code = 'M3A2LR7';
UPDATE order_payments SET status = 'PAID' WHERE invoice_no = 'MLB2ERL';
UPDATE order_payments SET status = 'PAID' WHERE invoice_no = 'M3A2LR7';</t>
  </si>
  <si>
    <t>[OMRE][OneHS][PROD] Thực thi câu lệnh SQL</t>
  </si>
  <si>
    <t>2025-02-24T15:36:39.217+0700</t>
  </si>
  <si>
    <t>2025-02-24T15:43:06.718+0700</t>
  </si>
  <si>
    <t>DELETE FROM  opportunities  WHERE lead_uuid = 'a150c579-2635-435f-8640-5960f8405e85' and opportunity_uuid != 'cbb1684f-ffa0-4d30-b64b-ce20c9b20ec5' DELETE FROM  opportunities  WHERE lead_uuid = '5a260d4f-1cca-4b37-97b4-adfd2d97d3be' and opportunity_uuid != '4b158ed6-9d26-481c-ba24-7355b4acf675' host:  omre-onehs-mysql-main.int.onemount.com:3306 db: crm_opportunity</t>
  </si>
  <si>
    <t>2025-02-24T15:36:13.987+0700</t>
  </si>
  <si>
    <t>2025-02-24T15:42:48.650+0700</t>
  </si>
  <si>
    <t>SELECT opportunity_code, lead_uuid FROM `opportunities` GROUP BY opportunity_code, lead_uuid HAVING COUNT(opportunity_uuid) &gt; 1 host:  omre-onehs-mysql-main.int.onemount.com:3306 db: crm_opportunity</t>
  </si>
  <si>
    <t>2025-02-24T15:35:45.797+0700</t>
  </si>
  <si>
    <t>2025-02-24T15:42:35.900+0700</t>
  </si>
  <si>
    <t>Xuất data để trace PROD SELECT  * FROM `opportunities` WHERE lead_uuid = "5a260d4f-1cca-4b37-97b4-adfd2d97d3be" host:  omre-onehs-mysql-main.int.onemount.com:3306 db: crm_opportunity</t>
  </si>
  <si>
    <t>[OMC][VINPAY][TPay][PROD] Tác động database Tpay</t>
  </si>
  <si>
    <t>2025-02-24T15:34:41.477+0700</t>
  </si>
  <si>
    <t>2025-02-24T15:42:26.043+0700</t>
  </si>
  <si>
    <t>Hi team, Các anh giúp em chạy script với thông tin như bên dưới nhé ạ Thông tin database saas_tpay: jdbc:mysql://pay-tidb.int.onemount.com:4000/saas_tpay Script này nhờ các anh chạy luôn trong giờ giúp em với ạ. SOUNDBOX_MERCHANT UPDATE SOUNDBOX_MERCHANT SET PHONE_NUMBER = '0921856886' WHERE ID = 154;</t>
  </si>
  <si>
    <t xml:space="preserve">[OMRE][AgentPlatform][PROD] Bật cấu hình force update </t>
  </si>
  <si>
    <t>2025-02-24T15:33:42.768+0700</t>
  </si>
  <si>
    <t>2025-02-24T15:42:15.392+0700</t>
  </si>
  <si>
    <t>Nhờ DBA chạy giúp em câu lệnh này để cập nhật version force update cho Agent app nhé ! Thời gian: 23:59 5/12/2024 INSERT INTO mobile_application_versions (version, force_update_condition, force_update_message, warning_update_condition, warning_update_message, create_by, update_by, create_time, update_time, is_supporting, application) VALUES ('1.48.0', 'true', 'all users must update to 1.48.0', 'false', '', NULL, NULL, CURRENT_TIMESTAMP, CURRENT_TIMESTAMP, '1', 'ProAgentApp') Thông tin DB : HOST = " 172.31.4.83 " PORT = 3306 DATABASE = "agent-platform"</t>
  </si>
  <si>
    <t>2025-02-24T15:32:57.138+0700</t>
  </si>
  <si>
    <t>2025-02-24T15:42:01.552+0700</t>
  </si>
  <si>
    <t>Nhờ team chạy các lệnh UPDATE trên MySQL Production như sau ạ: URL:  mysql://omre-onehs-mysql-main.int.onemount.com:3306/onehs_dictionary Query: UPDATE  `INVENTORY_PROPERTIES`  set  status = "REVOKED", available_for_sale_status = "NOT_AVAILABLE", last_modified_date = "2025-02-03 10:35:35", last_modified_by = "master_data_admin" WHERE id = "91ff7d9e-b4e8-4138-9645-6785ad2b388a" INSERT  INTO `eav_attribute_json_values` (eav_attribute_id, entity_id, entity_id_v2, data_type, name, value, created_by, created_date, last_modified_by, last_modified_date)  VALUES  (( SELECT  eav_attribute_id FROM `eav_attributes` WHERE field_name = "updating_status_reason"), 0, "91ff7d9e-b4e8-4138-9645-6785ad2b388a", "PICKLIST_MULTI_SELECT", "updating_status_reason", '[ { "id": null, "gid": null, "code": "REPLACED_BY_ANOTHER", "name": "Bị thay thế bởi hàng khác", "uuid": null, "dname": null, "gcode": null, "gname": null, "order": null, "sector_id": null } ]', "master_data_admin", "2025-02-03 10:35:35", "master_data_admin", "2025-02-03 10:35:35")</t>
  </si>
  <si>
    <t>[OMC][NRs][PROD] Update logo_url trong voucher_accepted_merchants</t>
  </si>
  <si>
    <t>2025-02-24T15:31:31.839+0700</t>
  </si>
  <si>
    <t>2025-02-24T15:41:48.718+0700</t>
  </si>
  <si>
    <t>Hi team. Do tính năng chặn update logo_url của merchants trong voucher vừa mới golive, nên cần migrate lại logo_url giống như đã setting trong bảng merchants, nhờ mọi người chạy giúp em câu lệnh sau ạ Câu lệnh này ko ảnh hưởng đến người dùng, có thể ngay khi được approve ạ. project: vincart-prod instance: main ip: 172.31.1.41 Join 2 bảng  entity_attributes_values  trong  vincart_mm_product  và bảng  merchants  trong  vincart_mm_merchant START TRANSACTION;
update vincart_mm_product.entity_attributes_values a
    JOIN vincart_mm_merchant.merchants m ON
        REPLACE(JSON_EXTRACT(a.value, '$[0].merchant_code'), '"', '') = m.code
set value = JSON_SET(a.value, '$[0].logo_url', m.logo_url)
WHERE a.name = 'voucher_accepted_merchants';
update vincart_mm_product.entity_attributes_values a
    JOIN vincart_mm_merchant.merchants m ON
        REPLACE(JSON_EXTRACT(a.value, '$[1].merchant_code'), '"', '') = m.code
set value = JSON_SET(a.value, '$[1].logo_url', m.logo_url)
WHERE a.name = 'voucher_accepted_merchants' and json_length(JSON_EXTRACT(a.value, '$[*].merchant_code')) &gt; 1;
update vincart_mm_product.entity_attributes_values a
    JOIN vincart_mm_merchant.merchants m ON
        REPLACE(JSON_EXTRACT(a.value, '$[2].merchant_code'), '"', '') = m.code
set value = JSON_SET(a.value, '$[2].logo_url', m.logo_url)
WHERE a.name = 'voucher_accepted_merchants' and json_length(JSON_EXTRACT(a.value, '$[*].merchant_code')) &gt; 2;
COMMIT;</t>
  </si>
  <si>
    <t>[OMC][MiniApp][PROD] Thực hiện insert/ update thêm 1 record trong table "user" ở database microapp</t>
  </si>
  <si>
    <t>2025-02-24T15:30:55.798+0700</t>
  </si>
  <si>
    <t>2025-02-24T15:41:38.024+0700</t>
  </si>
  <si>
    <t>Nhờ team DBA thực hiện update/insert 1 record cho tài khoản thanh.nguyen15@onemount.com theo script sau: Nếu tồn tại bản ghi theo email  thanh.nguyen15@onemount.com  thì update giúp em theo scrip sau: UPDATE `user` SET `role_id`=1 WHERE user_id=1060 Nếu chưa tồn tại thì insert giúp em theo scrip sau: INSERT INTO `microapp`.`user` (`user_id`, `email`, `role_id`, `created_at`, `updated_at`) VALUES ('1060', 'thanh.nguyen15@onemount.com', '1', '2025-02-03 07:55:27', '2025-02-03 07:55:27'); IP: 172.31.1.12 Project: vinid-service-platform-prod Database: microapp Mục đích: Thêm quyền admin cho tài khoản thanh.nguyen15@onemount.com dùng trên trang vận hành OPS MiniApp Nhờ a thực hiện luôn giúp team ạ. Thanks a.</t>
  </si>
  <si>
    <t>2025-02-24T15:30:19.072+0700</t>
  </si>
  <si>
    <t>2025-02-24T15:41:21.717+0700</t>
  </si>
  <si>
    <t>Dear anh Linh, Nhờ anh chạy các câu lệnh sql dưới đây giúp team do cần xóa bản ghi bị duplicate ạ Project: vincart-prod
IP: 172.31.1.41
Database: vincart_mm_product
SQL: Chạy câu lệnh
Thời gian chạy: 16h30</t>
  </si>
  <si>
    <t>2025-02-24T15:16:18.415+0700</t>
  </si>
  <si>
    <t>2025-02-24T15:24:46.675+0700</t>
  </si>
  <si>
    <t>Hi team. Do vận hành cần update lại logo của merchant nhưng tính năng này qua tết mới có thể golive được, nên nhờ các anh chạy câu lệnh sau giúp em ạ. Câu lệnh này ko ảnh hưởng đến người dùng, có thể ngay khi được approve ạ. project: vincart-prod instance: main ip: 172.31.1.41 Join 2 bảng  entity_attributes_values  trong  vincart_mm_product  và bảng  merchants  trong  vincart_mm_merchant update vincart_mm_product.entity_attributes_values a
    JOIN vincart_mm_merchant.merchants m ON
        REPLACE(JSON_EXTRACT(a.value, '$[0].merchant_code'), '"', '') = m.code
set value = JSON_SET(a.value, '$[0].logo_url', m.logo_url)
WHERE a.name = 'voucher_accepted_merchants';</t>
  </si>
  <si>
    <t>[OMC][PS2][OneVoucher][PROD] Hỗ trợ cập nhật TnC trên toàn bộ ticket khách hàng đã nhận của Voucher VD_VC_1728899078798</t>
  </si>
  <si>
    <t>2025-02-24T15:15:47.997+0700</t>
  </si>
  <si>
    <t>2025-02-24T15:24:26.247+0700</t>
  </si>
  <si>
    <t>Dear team hỗ trợ, Do phần TnC của Voucher  VD_VC_1728899078798  đang có thông tin chưa chính xác dẫn đến khiếu nại tại cửa hàng, nhờ Anh/Chị hỗ trợ cập nhật TnC trên toàn bộ ticket khách hàng đã nhận của Voucher này ạ. Em đã cập nhật TnC đúng vào Voucher, ticket cập nhật theo nội dung này là được ạ. Phần này mong muốn A/C hỗ trợ trong tuần này ạ. Em xin cảm ơn!</t>
  </si>
  <si>
    <t>[OMC][NRs][PROD] Update tồn voucher</t>
  </si>
  <si>
    <t>2025-02-24T15:14:56.950+0700</t>
  </si>
  <si>
    <t>2025-02-24T15:24:14.064+0700</t>
  </si>
  <si>
    <t>Hi team. Do vận hành thực hiện thu hồi voucher nên xảy ra tình trạng lệch tồn giữa ONEVC và VMM, nhưng do chưa có cơ chế sync tồn tự động nên cần chạy script update lại tồn của VMM. Vận hành đã tiến hành inactive voucher để thực hiện update nên ko ảnh hưởng đến người dùng Nhờ team chạy giúp em câu lệnh sau ạ Chạy ngay khi được approve project: vincart-prod DB: vincart_mm_product instance: main ip: 172.31.1.41 start transaction;
update inventories set total_stock = 10, on_hand = 10, committed = 0, available = 10 where variant_code = 'CALIFORNIAFITNESSYOGA_10052024_SF4873' and channel_code = 'INIT';
update inventories set total_stock = 15, on_hand = 15, committed = 0, available = 15 where variant_code = 'CALIFORNIAFITNESSYOGA_10052024_SF4873_UPoint' and channel_code = 'INIT';
update inventories set total_stock = 25, on_hand = 25, committed = 0, available = 25 where variant_code = 'CALIFORNIAFITNESSYOGA_10052024_SF4891_UPoint' and channel_code = 'INIT';
update inventories set total_stock = 25, on_hand = 25, committed = 0, available = 25 where variant_code = 'CALIFORNIAFITNESSYOGA_10052024_SF4892_UPoint' and channel_code = 'INIT';
update inventories set total_stock = 67, on_hand = 1, committed = 0, available = 1 where variant_code = 'Canifa_06052024_SF4902' and channel_code = 'ONEU';
update inventories set total_stock = 10, on_hand = 10, committed = 0, available = 10 where variant_code = 'HYPOXI_09072024_SF5131' and channel_code = 'INIT';
update inventories set total_stock = 15, on_hand = 15, committed = 0, available = 15 where variant_code = 'HYPOXI_09072024_SF5131_UPoint' and channel_code = 'INIT';
update inventories set total_stock = 25, on_hand = 25, committed = 0, available = 25 where variant_code = 'HYPOXI_09072024_SF5132_UPoint' and channel_code = 'INIT';
update inventories set total_stock = 25, on_hand = 25, committed = 0, available = 25 where variant_code = 'HYPOXI_09072024_SF5133_UPoint' and channel_code = 'INIT';
update inventories set total_stock = 842, on_hand = 295, committed = 0, available = 295 where variant_code = 'VD_VC_1725528358615' and channel_code = 'INIT';
update inventories set total_stock = 2150, on_hand = 0, committed = 0, available = 0 where variant_code = 'VD_VC_1725528354156' and channel_code = 'INIT';
update inventories set total_stock = 9000, on_hand = 0, committed = 0, available = 0 where variant_code = 'VD_VC_1731120829152' and channel_code = 'INIT';
update inventories set total_stock = 9000, on_hand = 0, committed = 0, available = 0 where variant_code = 'VD_VC_1731120829152' and channel_code = 'TCBM';
update inventories set total_stock = 1439, on_hand = 191, committed = 0, available = 191 where variant_code = 'VD_VC_1725528359683' and channel_code = 'INIT';
update inventories set total_stock = 3210, on_hand = 0, committed = 0, available = 0 where variant_code = 'VD_VC_1725528350761' and channel_code = 'INIT';
update inventories set total_stock = 950, on_hand = 17, committed = 0, available = 17 where variant_code = 'VD_VC_1725528355341' and channel_code = 'INIT';
update inventories set total_stock = 549, on_hand = 229, committed = 0, available = 229 where variant_code = 'VD_VC_1725528360889' and channel_code = 'INIT';
update inventories set total_stock = 273, on_hand = 237, committed = 0, available = 237 where variant_code = 'MAA_SOIBIEN_25042024_SF4860_UPoint' and channel_code = 'INIT';
update inventories set total_stock = 50, on_hand = 50, committed = 0, available = 50 where variant_code = 'MENARD_01062024_SF4939' and channel_code = 'INIT';
update inventories set total_stock = 3962, on_hand = 999, committed = 0, available = 999 where variant_code = 'PV_MISHIOVALI50P200624_200624' and channel_code = 'INIT';
commit ;</t>
  </si>
  <si>
    <t>2025-02-24T15:14:22.930+0700</t>
  </si>
  <si>
    <t>2025-02-24T15:20:24.707+0700</t>
  </si>
  <si>
    <t>Hi team. Nhờ các anh chạy giúp em các câu lệnh sau  Chạy ngay khi được approve project: vincart-prod instance: main ip: 172.31.1.41 Join 2 bảng  entity_attributes_values  trong  vincart_mm_product  và bảng  merchants  trong  vincart_mm_merchant START TRANSACTION;
update vincart_mm_product.entity_attributes_values a
    JOIN vincart_mm_merchant.merchants m ON
        REPLACE(JSON_EXTRACT(a.value, '$[1].merchant_code'), '"', '') = m.code
set value = JSON_SET(a.value, '$[1].logo_url', m.logo_url)
WHERE a.name = 'voucher_accepted_merchants' and json_length(JSON_EXTRACT(a.value, '$[*].merchant_code')) &gt; 1;
COMMIT;</t>
  </si>
  <si>
    <t>[OM][DP][Kafka][PROD] Tạo kafka topic cho các bảng của WMS 8115</t>
  </si>
  <si>
    <t>2025-02-24T15:13:45.441+0700</t>
  </si>
  <si>
    <t>2025-02-24T15:19:49.066+0700</t>
  </si>
  <si>
    <t>Dear các anh DBA, Hiện tại OMD đang có nhu cầu phát triển thêm kho mới, nhờ anh Linh tạo kafka topic ở môi trường PROD giúp team để kéo data về DP nhé ạ! PROD: Project: vinid-b2b-platform-prod IP host: 172.31.4.59:3306 (mysql) Schema: omd_wms_8115 Table list: appointment_service_status
appointment_service_type
appointment_status
appointment_type
whse_location
prod_master
stock_status
prod_uom
appointment_master
appointment_service
order_hdr
order_item
whse_stock_detail
prod_batch_detail
report_order_header
report_order_item
report_warehouse_order_header
report_warehouse_order_item
report_warehouse_stock_item
report_wave_header
wave_order_header
wave_order_item
whse_order_hdr
whse_order_item Thanks and regards! cong.do1</t>
  </si>
  <si>
    <t>[OMC][MiniApp][PROD] Thực hiện insert thêm 1 record trong table "user" ở database microapp</t>
  </si>
  <si>
    <t>2025-02-24T15:13:03.857+0700</t>
  </si>
  <si>
    <t>2025-02-24T15:25:08.506+0700</t>
  </si>
  <si>
    <t>Nhờ team DBA thực hiện update 1 record cho tài khoản  hoang.tran2@onemount.com  theo script sau: UPDATE `user` SET `role_id`=1 WHERE user_id=1015 IP: 172.31.1.12 Project: vinid-service-platform-prod Database: microapp Mục đích: Thêm quyền admin cho tài khoản  hoang.tran2@onemount.com  dùng trên trang vận hành OPS MiniApp Nhờ a thực hiện luôn giúp team ạ. Thanks a.</t>
  </si>
  <si>
    <t>2025-02-24T15:09:21.270+0700</t>
  </si>
  <si>
    <t>2025-02-24T15:09:35.161+0700</t>
  </si>
  <si>
    <t>Hỗ trợ xuất báo cáo data of campaign "Săn vé anh tài" Day 3,4 theo câu query, lưu thành các exel sau: Host:  172.31.4.75 DB:  promo_gamezone Tuần 4  data cut off từ  created_at &gt;= '2025-02-17 00:00:00' &amp;&amp; created_at &lt; '2025-02-24 00:00:00' Danh sách KH nhận được lượt quay theo scheme Payment: Query các KH có giao dịch quà tặng của  campaignID 21 Query SELECT customer_id,unit_value FROM `transactions` 
WHERE campaign_id=21 &amp;&amp; created_at &gt;= '2025-02-17 00:00:00' 
&amp;&amp; created_at &lt; '2025-02-24 00:00:00';   Danh sách KH được được lượt quay theo scheme AE: Query các KH được phát  lượt thủ công  cho  campaignID 20   Query SELECT customer_id, MIN(claim_amount) FROM `rule_logs` 
WHERE campaign_id = 20 
&amp;&amp; created_at &gt;= '2025-02-17 00:00:00' &amp;&amp; created_at &lt; '2025-02-24 00:00:00' 
&amp;&amp; claim_type='MANUAL'
GROUP BY customer_id
ORDER BY unit_value;   Danh sách các KH tham gia quay thưởng: Query các KH có ít nhất 1 giao dịch quà tặng (không quan tâm trạng thái giao dịch) của  campaignID 20 Query SELECT DISTINCT customer_id FROM `transactions` 
WHERE campaign_id = 20 
&amp;&amp; created_at &gt;= '2025-02-17 00:00:00' &amp;&amp; created_at &lt; '2025-02-24 00:00:00';   Danh sách các KH nhận được vé: Query các KH có ít nhất 1 giao dịch quà tặng (giao dịch ở trạng thái Thành công) thuộc loại  Voucher  của  campaignID 20 Query SELECT DISTINCT customer_id FROM `transactions` 
WHERE campaign_id = 20 
&amp;&amp; created_at &gt;= '2025-02-17 00:00:00' &amp;&amp; created_at &lt; '2025-02-24 00:00:00' 
&amp;&amp; reward_type='VOUCHER' &amp;&amp; `status`='SUCCESS';</t>
  </si>
  <si>
    <t>2025-02-24T14:27:10.749+0700</t>
  </si>
  <si>
    <t>2025-02-24T14:46:27.707+0700</t>
  </si>
  <si>
    <t>Nhờ team DBA tạo giúp em database cho dify trên môi trường nonprod: Instance: main-postgres-02 Instance link:  https://console.cloud.google.com/sql/instances/main-postgres-02/overview?inv=1&amp;invt=AbqDnw&amp;project=vinid-app-common-dev User: om_dify_qc Database: om_dify_qc Pass: (DBA gen giúp) User: om_dify_uat Database: om_dify_uat Pass: (DBA gen giúp)</t>
  </si>
  <si>
    <t>[OMD CDP] [Non-Prod] Hỗ trợ phân quyền service user vào các databases trên TiDB</t>
  </si>
  <si>
    <t>2025-02-24T13:21:01.743+0700</t>
  </si>
  <si>
    <t>2025-02-25T08:57:18.787+0700</t>
  </si>
  <si>
    <t>OMD, OMD_CDP</t>
  </si>
  <si>
    <t>Hi team DBA, Nhờ team DBA hỗ trợ phân quyền service user vào các databases non-prod cho dự án OMD CDP, chi tiết Lý do: triển khai nghiệp vụ mới nên cần cập nhật phân quyền. SAD:   &gt; Mục 6 Thông tin host + port của TiDB non-prod: tidb.int.onemount.dev:4000 Thông tin service user (user đã tồn tại) cần bổ sung thêm phân quyền, chi tiết như dưới: Môi trường DEV User Database Quyền omd_cdp_ingest_api_dev omd_cdp_data_from_dp_dev omd_cdp_data_from_mtp_dev read read Môi trường QC User Database Quyền omd_cdp_ingest_api_qc omd_cdp_data_from_dp_qc omd_cdp_data_from_mtp_qc read read Môi trường UAT User Database Quyền omd_cdp_ingest_api_uat omd_cdp_data_from_dp_uat omd_cdp_data_from_mtp_uat read read cc  @Lê Quang Thiệu   @Former user</t>
  </si>
  <si>
    <t>[OMC][PS2][Loyalty][PROD] Loyalty Core Production - Thêm mới dữ liệu</t>
  </si>
  <si>
    <t>2025-02-24T12:48:15.517+0700</t>
  </si>
  <si>
    <t>2025-02-24T12:49:07.496+0700</t>
  </si>
  <si>
    <t xml:space="preserve">Dear team DBA,  Nhờ team execute script sau để thêm mới dữ liệu database Loyalty Core  </t>
  </si>
  <si>
    <t>[OMRE][AgentPlatform][PROD] Update data config Production thêm ctkd</t>
  </si>
  <si>
    <t>2025-02-24T12:45:37.949+0700</t>
  </si>
  <si>
    <t>2025-02-24T12:51:56.874+0700</t>
  </si>
  <si>
    <t>Dear các anh. Nhờ các anh chạy giúp câu lệnh sql trên prod giúp em. UPDATE `opportunity_campaigns` SET `display`= 0 WHERE code IN ('UNIVERSITY', 'C230700883', 'C230800908', 'C230800914', 'C230900931', 'C240301020'); Thông tin DB : HOST =   omre-onehs-mysql-main.int.onemount.com PORT = 3306 DATABASE = "agent-platform"</t>
  </si>
  <si>
    <t>2025-02-24T12:45:32.732+0700</t>
  </si>
  <si>
    <t>2025-02-24T12:51:46.743+0700</t>
  </si>
  <si>
    <t>Dear các anh. Nhờ các anh chạy giúp câu lệnh sql trên prod giúp em. insert into opportunity_campaigns (code, name, description, display)
values ('C250101088', 'Lễ hội đèn lồng 2025 ', '', 1);
insert into `opportunity_campaigns_applying_targets` (campaign_code, target, value, description, create_time, update_time)
values ('C250101088', 'organization_code', '101', 'AGENT in house can see this campaign', now(), now());
values ('C250101088', 'organization_code', '129', 'AGENT ACN can see this campaign', now(), now()); Thông tin DB : HOST =   omre-onehs-mysql-main.int.onemount.com PORT = 3306 DATABASE = "agent-platform"</t>
  </si>
  <si>
    <t>[OMRE][Kafka][PROD] Tạo kafka topic cho bảng ở db residential</t>
  </si>
  <si>
    <t>2025-02-24T12:44:41.305+0700</t>
  </si>
  <si>
    <t>2025-02-24T12:51:21.325+0700</t>
  </si>
  <si>
    <t>Dear team DBA. Em đang có nhu cầu kéo bảng từ 1 DB mới residential về DP mình. Nhờ team tạo  kafka topic  cho bảng mà em sẽ kéo về DP nhé ạ. Thông tin về DB và bảng như sau host= ' *172.31.3.66 ', * port=5432, database= '_residential '_ table: residential* .ldp_geospatial * Thanks and regards!</t>
  </si>
  <si>
    <t>2025-02-24T12:44:35.714+0700</t>
  </si>
  <si>
    <t>2025-02-24T12:51:33.642+0700</t>
  </si>
  <si>
    <t>Dear anh Linh, Nhờ anh chạy các câu lệnh sql dưới đây giúp team do cần thay đổi data phục vụ golive ngày 14/01/2025 Project: vincart-prod
IP: 172.31.1.41
Database: vincart_mm_product
SQL: Chạy câu lệnh
Thời gian chạy: 14h30 ngày 20/01/2025</t>
  </si>
  <si>
    <t>2025-02-24T12:41:42.773+0700</t>
  </si>
  <si>
    <t>2025-02-24T12:51:09.068+0700</t>
  </si>
  <si>
    <t>Nhờ anh  @Phạm Tuấn Linh  chạy giúp em lệnh sau ạ: Thông tin db:  IP: 172.31.1.41 DB name: vincart_mm_product SQL:   UPDATE 
  `entity_attributes_values` 
SET 
  value = '1924966799' 
WHERE 
  entity_id in (
    SELECT 
      id 
    FROM 
      `variants` 
    WHERE 
      code in (
        'HYPOXI_09072024_SF5131_UPoint', 
        'HYPOXI_09072024_SF5132_UPoint', 
        'HYPOXI_09072024_SF5133_UPoint', 
        'CALIFORNIAFITNESSYOGA_10052024_SF4892_UPoint', 
        'CALIFORNIAFITNESSYOGA_10052024_SF4891_UPoint', 
        'CALIFORNIAFITNESSYOGA_10052024_SF4873_UPoint', 
        'CALIFORNIAFITNESSYOGA_10052024_SF4873', 
        'HYPOXI_09072024_SF5131'
      )
  ) 
  AND name in (
    'effective_time_to', 'display_to'
  );</t>
  </si>
  <si>
    <t>[OMC][VINPAY][PROD] Thay đổi mã tài xế của tài khoản ảo cho OMD</t>
  </si>
  <si>
    <t>2025-02-24T12:40:57.771+0700</t>
  </si>
  <si>
    <t>2025-02-24T12:50:55.622+0700</t>
  </si>
  <si>
    <t>Dear team,  Em cần support câu lệnh sau để thay đổi mã tài xế của tài khoản ảo cho OMD . thời gian thực hiện: thực hiện sau khi ticket được approved. thông tin db: DB OPS: project: vinpay-prod Instance: low-performance Master IP: 172.31.1.149 Slave IP: 172.31.1.179 DB: ops_pay_service UPDATE ops_pay_service_uat.VIRTUAL_ACCOUNT t
SET t.MERCHANT_CODE = '30045609',
    t.CIF_ID        = 'FSFGLU2813'
WHERE t.VIRTUAL_ACCOUNT_NUMBER LIKE 'M88827583384696'</t>
  </si>
  <si>
    <t>[OMC][NRs][PROD] Xin DB cho môi trường pt nonprod</t>
  </si>
  <si>
    <t>2025-02-24T12:27:49.719+0700</t>
  </si>
  <si>
    <t>2025-02-24T12:37:15.666+0700</t>
  </si>
  <si>
    <t>Nhờ team DBA, anh  @Phạm Tuấn Linh   hỗ trợ team em thêm db cho môi trường non-prod PT. Thông tin DB:   1. IP: Server:  172.31.6.213 2. Name DB schema:  dynamic_content_pt</t>
  </si>
  <si>
    <t>[OMC] [PROD] Hỗ trợ truy vấn dữ liệu báo cáo SMS</t>
  </si>
  <si>
    <t>2025-02-24T12:27:13.433+0700</t>
  </si>
  <si>
    <t>2025-02-24T12:37:03.579+0700</t>
  </si>
  <si>
    <t>Dear team, Em có nhu cầu lấy dữ liệu report SMS trên môi trường production phục vụ kiểm tra đối soát. Nhờ team truy vấn giúp em dữ liệu trên production ở database:  172.31.1.17 notification_center với danh sách câu truy vấn sau ạ select *
from sms
where sms_id in ('b3ffedc0-dcd1-4a08-9c18-62ecf02793c6', 'ebe3d11f-5ab5-455c-aa68-4da55574269b',
                 'a2c752b7-b134-4f0d-a226-649f9f7c81ea', '90f91024-288c-4ebe-925d-5507f5ef6d70',
                 '142b6016-1490-43a5-bfb6-e8a16de3f07f', 'c0a7ddc0-8566-4ecc-808b-f9356c37cd8b',
                 'a76409b4-cc39-4ee9-a179-caa451c1744f', '71a85ecc-c065-4798-a994-cf8a9fb8aac5',
                 '52b2fede-6025-4f29-9a10-dfb257630acb', 'c1662aac-f6a0-4efa-9e4c-4d3ee9a4b042',
                 '4192b44d-ff2a-4c62-808d-b4f82845246d', 'afe4b485-64e1-48a8-9c15-9e9fcbbb9d03',
                 '595d1679-1a46-4df8-9ba4-2499e0e57a73', '28c852ae-0442-4eee-bcc6-3c5eeb14e0f1',
                 '68f639b7-e0f5-4d84-836e-e40f23c015d4', '172f07b8-8bc2-47a3-98fc-cabc8273ecb6',
                 '417b058c-7da4-4d7b-9c03-1bcf4667516a', 'afee066c-80c4-465c-8594-19ba5b629af6',
                 '0c0da1da-3cca-41e1-a46b-eeee7f3a72ed', '9c737b38-04b9-462c-9b78-95bc2053f429',
                 'fcb9adee-6af1-47e9-aaab-eb111bad416d', '0c643012-14a0-4286-ae96-3aca091868a2',
                 '8c02a652-60d9-4f57-a992-681b65c1d8d3', '504fdf1f-8328-4db4-a9e4-5a204ba20adf',
                 'a48399f0-8742-4a31-bcde-118212402955', '40ebf0df-b239-4f32-be3c-9b697d9a7e2f',
                 '5f39ba6b-a929-4068-be37-0a31a69b4008', '4d53bf18-50b0-45cc-812c-79b164fbc496',
                 '9fd8aacd-60df-411b-9a84-f9b68bf2cd55', 'ee0c510a-0a3c-4ad0-aed6-bf0aac772264',
                 '03e295b2-085b-41bc-8a69-e5be9e8e12da', 'ec116e1f-72ed-4519-988c-4d22d3a48556',
                 '41fd5377-aeba-4a40-9a82-af8def7010c5', 'bee22caf-dbed-48c3-b326-c9f0a8e6fa10',
                 '1392e2ae-9d26-4e0c-a521-8faa322baf97', '33456577-75b7-4536-b34a-4835f444531b',
                 '7b21b2a6-3e93-41f9-aeb6-758dcc6606c2', '39938ee6-8e43-430f-81c5-b6d6b90513ff',
                 'ee237db9-77d3-4418-ab6b-f276b6a70e34', 'bce34bcd-00f5-4547-900d-9ccad38f7d50',
                 '301b5e34-74c4-4081-a8cc-f809a6977b3e', 'e96602c3-e833-4689-a79c-abded2c9c5a2',
                 '32d15702-05d6-4b87-aa3c-456eee0d5650', '0a0b5a12-8d36-4566-9069-a12f331be87b',
                 '540cbb32-8c7c-4f0a-8458-ac07aaa92c23', '9d6f5f26-bffb-46d9-beed-b717b2ed6937',
                 '3288c46b-9a84-4d2e-8e9b-c17479f4c6d8', '19dbdb8b-d4dc-48ca-9394-d852941aae26',
                 '83220fe2-1efb-46ec-b0ca-21b833b6e166', 'e4e156fa-ef44-4521-a818-5d538b4ec05d',
                 '143ab6af-eabf-44e9-a0ce-6626bffa84ef', '779bd5a0-3b2f-49af-955d-9069e113e2ad',
                 'c000235a-516f-4313-a888-efda51ac0e26', '8c3ed704-1dd7-4594-871e-5d2803ee1b10',
                 'a0edac09-3d11-4eb6-b88d-3082ecaad022', 'f71343a5-6bbc-4225-a9c2-655990ea91a1',
                 'f4115f6a-8eb8-4e6a-abac-2691333e705f', '2d60f099-a21e-41a1-977b-57dc24f1fa24',
                 'b3f4611c-a947-4ff1-90d2-13497045afbf', 'd9e85a3b-8a78-422a-bdc2-030717c9a7e5',
                 'c2fd0855-40d9-449a-9257-763a9c1eade3', '9cabddba-6bba-4272-b561-37e676e98109',
                 '147654b9-6929-429b-89f4-d0a6a79a87b9', '0e9c9682-f383-499b-9b05-86996001621c',
                 'a89c7131-b98f-416f-a846-852dd12ca168', '4fde59c4-2d39-4236-a223-346773ecf215',
                 'dbc7a63c-2882-446d-8b7d-c7636e4f1cbe', '21d5eb81-4187-4177-9b68-b961454f754e',
                 '4cb97f90-a796-46a0-9ec9-5412d1e43fa0', 'ca678a83-7ced-4c33-99fe-95db0660b772',
                 'afcf547d-eb1f-4814-bf8d-1faae97ec348', '5213aad4-c3a5-43f5-b4d1-30d3aae04a45',
                 'bdb8dc0e-5d51-460c-83b1-d0ad6f3570c2', '8e293473-276c-42b6-bb1a-e5de55f56c15',
                 '74551e80-f5d7-4e1d-afe7-ce3d0001b4c5', '8a2258dd-da59-4371-a3be-2ffce9b2879e',
                 'dd5fa4d0-f96f-4507-8dff-1143288b7f86', '6cb43600-3c90-4f19-ba66-9dc8ba3e1605',
                 'd306e472-0005-4a0d-ad7f-55ec62d30733', 'e80214e6-f194-4ea7-aa7c-de06e232d738',
                 '5632e91d-5608-4e71-99b1-e7ca7790fd4d', '21d3f4f8-9d61-4c9a-8203-935647f0565d',
                 'cc87c3c2-28ac-4d24-8b0f-d929a22500be', '42a6d22c-1143-4a20-be46-2d8cdf347491',
                 '630b95b6-3fa0-43d5-bca7-7157ae938d74', '76517d17-438e-4fb4-8b18-c9803c392865',
                 'b1280f79-10ae-4b81-b617-719c4fef1042', 'cc4dadd8-a74a-45f0-88cd-00f4fe62775e',
                 '2de6715b-1687-4a53-9972-c96b5c4e51a4', '209408e6-50da-459d-81ed-c4943e1f5aef',
                 '24eed48f-3070-4ea0-b906-1737f57f932f', 'cbd6013a-e512-451c-9c93-10b602dd59c8',
                 'd2b363ef-c67b-4261-abfe-e426d8195478', '6f1e8816-f19f-4cf4-a06c-c2b1a407a463',
                 'f5e9c7b1-a15e-4f6d-90a8-31cf4f09f271', 'ac267af7-695c-4bca-8171-d0bf0b3f120d',
                 '6625a411-5fd7-4713-843a-53be636b3049', '749f2839-9923-432b-86e7-9ff3136b1d43',
                 '64805bf4-1ede-4886-b4cf-fb466282fc22', '7e87e66e-abab-43e3-b964-8050be4470ce',
                 'a39e7605-440e-4431-be12-d69bfce17adf', '8f2bb9d9-2115-4f06-9585-b9b61571de4a',
                 '1bc2750f-bed3-4c0a-85b0-80d1749e2f9d', '17b74667-1120-47d7-afd7-df410c84c946',
                 '3344a255-fe13-4ac8-a0e2-8adcc6ab9a05', '6a8cd461-5395-406b-9960-8d3dde83d5d3',
                 'eb54c845-4811-470e-b521-2a6d0125ef3a', 'f41d76d1-559c-4950-8dc2-12afe1132678',
                 '87d0d1d5-2ca8-4814-93a9-aae541f3bf37', '86c096a5-8709-4572-b795-f34c77b69a9b',
                 'b3520760-03df-48f9-867b-691b0bb2ef1d', '148f12b6-6bf7-4b73-b6d5-837ea0a4c38f',
                 '488c6fc2-9a8c-471d-afb7-a43a190e0b81', '3b193d53-dd62-465c-a2b7-218e16ec535f',
                 '0cfbb622-17ae-43c5-a516-064008d631da', '4e6b4722-e5a6-4140-8be0-36657202c3a8',
                 '1e23251c-28de-422f-94a5-45e20baeb408', '4ee84d13-5007-4b07-b8be-58a8180ff009',
                 '458f5c2a-6eca-4e67-9510-0b2c60360fc4', 'cb65b885-2e5d-4af5-936f-49b197588591',
                 'c38919a7-cd34-43d8-a2e2-005dd597dde8'); Em cảm ơn team. Best regards, Thành An.</t>
  </si>
  <si>
    <t>[OMC][PS2][Gami][PROD] Nâng cấp database GAMI cho campaign Triệu Quà Mê Xoay</t>
  </si>
  <si>
    <t>2025-02-24T12:26:14.865+0700</t>
  </si>
  <si>
    <t>2025-02-24T12:36:51.189+0700</t>
  </si>
  <si>
    <t>Nâng cấp database theo plan đỗ quà của TCB Việc nâng cấp sẽ có down time hệ thống gami trong quá trình thực hiện, thời gian thực hiện như sau:    Cấu hình hiện tại: DB gami: https://console.cloud.google.com/sql/instances/promotion/overview?project=vinid-loyalty-prod&amp;inv=1&amp;invt=Abm0pg host: 172.31.4.75 instance: promotion CPU: 4 RAM: 16 0h30 ngày 16/01/2025 , thực hiện nâng cấp lên:  12 vCPU 24GB RAM</t>
  </si>
  <si>
    <t xml:space="preserve">[OMC][NRs][PROD]  Chạy câu lệnh SQL </t>
  </si>
  <si>
    <t>2025-02-24T12:25:35.228+0700</t>
  </si>
  <si>
    <t>2025-02-24T12:36:32.886+0700</t>
  </si>
  <si>
    <t>Dear anh Linh, Nhờ anh chạy các câu lệnh sql dưới đây giúp team do cần thay đổi data phục vụ golive ngày 14/01/2025 Project: vincart-prod
IP: 172.31.1.41
Database: vincart_mm_product
SQL: Chạy câu lệnh
Thời gian chạy: 18h00 ngày 13/01/2025</t>
  </si>
  <si>
    <t>[OMC][NRs][VMM-Product][PROD]   Chạy script SQL migration</t>
  </si>
  <si>
    <t>2025-02-24T12:25:08.775+0700</t>
  </si>
  <si>
    <t>2025-02-24T12:35:57.789+0700</t>
  </si>
  <si>
    <t>Dear Anh em DBA, Nhờ mọi người support team chạy script migrate data bảng campaign_variant. Do nhu cầu cần filter out các voucher trong campaign. Thời gian dự kiến chạy:  23h 59 14/01/2025 Thông tin DatabaseMySQL Ip: 172.31.1.41
DB name:vincart_mm_product Các bước cần xử lý: Backup bảng   campaign_variant  thành  campaign_variant_bk20250114 create table campaign_variant_bk20250114 like campaign_variant;
insert into campaign_variant_bk20250114 select * from campaign_variant; Chạy script dưới: alter table campaign_variant
    add display_from  bigint default null;
alter table campaign_variant
    add display_to  bigint default null;
create index idx_cv_display_from
    on campaign_variant (display_from);
create index idx_cv_display_to
    on campaign_variant (display_to);
ALTER TABLE campaign_variant ADD COLUMN temp_effective_from BIGINT;
ALTER TABLE campaign_variant ADD COLUMN temp_effective_to BIGINT;
UPDATE campaign_variant SET temp_effective_from = UNIX_TIMESTAMP(effective_from),
                            temp_effective_to = UNIX_TIMESTAMP(effective_to);
ALTER TABLE campaign_variant DROP COLUMN effective_from;
ALTER TABLE campaign_variant CHANGE COLUMN temp_effective_from effective_from BIGINT;
ALTER TABLE campaign_variant DROP COLUMN effective_to;
ALTER TABLE campaign_variant CHANGE COLUMN temp_effective_to effective_to BIGINT;
create index idx_cv_effective_from
    on campaign_variant (effective_from);
create index idx_cv_effective_to
    on campaign_variant (effective_to); Chạy script update bảng campaign_variant. Sẽ gửi vào comment khi golive do data đang được cập nhật.</t>
  </si>
  <si>
    <t>[OMC][PS2][Loyalty][PROD] - Thực hiện archive dữ liệu bảng POINT_TRANSACTION_ACCOUNT_BALANCE</t>
  </si>
  <si>
    <t>2025-02-24T12:24:11.403+0700</t>
  </si>
  <si>
    <t>2025-02-24T12:35:41.303+0700</t>
  </si>
  <si>
    <t>Theo kế hoạch thực hiện archive dữ liệu để tối ưu lưu trữ và truy vấn, team DBA thực hiện archive dữ liệu bảng: POINT_TRANSACTION_ACCOUNT_BALANCE Tháng 1/2025 sẽ thực hiện archive data lần đầu, dữ liệu bảng này archive theo Live time data là 6 tháng. Thời gian thực hiện:  0h ngày 14/1/2025 Phương án làm archive data cho các bảng này: 1.export các partition vi phạm data quá 7 tháng so với hiện tại (đảm bảo tồn tại các partition của 6 tháng trước hiện tại) 2.Lưu trữ các partition đã export lên GCS (thời gian lưu trữ trên GCS là 1 năm) 3.Drop các partition đã export trên DB 4.Chạy lại gather statistic cho bảng vừa drop partition (có thể để DB auto chạy cũng được)</t>
  </si>
  <si>
    <t>2025-02-24T12:17:37.598+0700</t>
  </si>
  <si>
    <t>2025-02-24T12:20:41.761+0700</t>
  </si>
  <si>
    <t>Hi team. Nhờ các anh chạy giúp em các câu lệnh sau  Chạy ngay khi được approve project: vincart-prod instance: main ip: 172.31.1.41 Join 2 bảng  entity_attributes_values  trong  vincart_mm_product  và bảng  merchants  trong  vincart_mm_merchant START TRANSACTION;
update vincart_mm_product.entity_attributes_values a
    JOIN vincart_mm_merchant.merchants m ON
        REPLACE(JSON_EXTRACT(a.value, '$[1].merchant_code'), '"', '') = m.code
set value = JSON_SET(a.value, '$[1].logo_url', m.logo_url)
WHERE a.name = 'voucher_accepted_merchants' and json_length(JSON_EXTRACT(a.value, '$[*].merchant_code')) &gt; 1;
update vincart_mm_product.entity_attributes_values a
    JOIN vincart_mm_merchant.merchants m ON
        REPLACE(JSON_EXTRACT(a.value, '$[2].merchant_code'), '"', '') = m.code
set value = JSON_SET(a.value, '$[2].logo_url', m.logo_url)
WHERE a.name = 'voucher_accepted_merchants' and json_length(JSON_EXTRACT(a.value, '$[*].merchant_code')) &gt; 2;
COMMIT;</t>
  </si>
  <si>
    <t>2025-02-24T12:16:58.334+0700</t>
  </si>
  <si>
    <t>2025-02-24T12:19:57.214+0700</t>
  </si>
  <si>
    <t>Dear DBA team, Nhờ team thực hiện cập nhật thông tin Agent cho OMRE nhé UPDATE ekyc SET permanent_address = 'Đội 7, Thôn Bầu, Kim Chung, Đông Anh, Hà Nội' WHERE agent_code = '1043813919'   Thông tin DB : HOST = " 172.31.4.83 " PORT = 3306 DATABASE = "agent-platform"</t>
  </si>
  <si>
    <t>[OMC][NRs][PROD] Insert offering_list_image_url</t>
  </si>
  <si>
    <t>2025-02-24T12:16:23.554+0700</t>
  </si>
  <si>
    <t>2025-02-24T12:19:42.483+0700</t>
  </si>
  <si>
    <t>Hi team. Nhờ các anh chạy giúp em các câu lệnh  sau lúc 22h ngày 09/01/2025 project: vincart-prod instance: main ip: 172.31.1.41 Các bước thực hiện: 1. Backup dữ liệu bảng  entity_attributes_values 2. Chạy các lệnh sau ở database  vincart_mm_product START TRANSACTION;
insert into attributes(name, status) value ('offering_list_image_url', 'active');
SET @last_id = LAST_INSERT_ID();
INSERT INTO `entity_attributes_values`(`attribute_id`, `value`, `name`, `entity_id`, `type`,
                                       `display_order`, `channel_code`)
SELECT @last_id,
       replace(JSON_EXTRACT(value, '$[0].logo_url'), '"', '') as value,
       'offering_list_image_url',
       entity_id,
       type,
       display_order,
       channel_code
FROM entity_attributes_values
WHERE name = 'voucher_accepted_merchants';
COMMIT; 3. Chạy câu lệnh sau, join 2 bảng  entity_attributes_values  trong  vincart_mm_product  và bảng  merchants  trong  vincart_mm_merchant update vincart_mm_product.entity_attributes_values a
    JOIN vincart_mm_merchant.merchants m ON
        REPLACE(JSON_EXTRACT(a.value, '$[0].merchant_code'), '"', '') = m.code
set value = JSON_SET(a.value, '$[0].logo_url', m.logo_url)
WHERE a.name = 'voucher_accepted_merchants';</t>
  </si>
  <si>
    <t xml:space="preserve">[OMC][PS2][OneVoucher][PROD] - Hỗ trợ update client postpaid type của kho voucher </t>
  </si>
  <si>
    <t>2025-02-24T12:05:50.884+0700</t>
  </si>
  <si>
    <t>2025-02-24T12:13:50.456+0700</t>
  </si>
  <si>
    <t xml:space="preserve">Team One Voucher cần update lại thông tin trong database theo file đính kèm, nhờ team DBA support. Nhờ anh  @Phạm Tuấn Linh  chạy giúp em vào ngày  18/01/2025  ạ. cc: anh  @Nguyễn Ngọc Thạch IP: 172.31.4.126 Schema: onevc_vwm_prod Các bước thực hiện: Tạo bảng tạm migrate_postpaid_type chứa data cần update. CREATE TABLE `migrate_postpaid_type` (
	`code` VARCHAR(255),
	`voucher_payment_type` VARCHAR(255),
	`postpaid_type` VARCHAR(255)
); Insert data cần update vào bảng `migrate_postpaid_type` theo script   postpaid_type.sql Chạy câu SELECT để kiểm tra dữ liệu: select * from migrate_postpaid_type; update data UPDATE warehouse w
JOIN migrate_postpaid_type temp
ON w.code = temp.code
SET w.voucher_payment_type = temp.voucher_payment_type
w.postpaid_type = temp.postpaid_type 
WHERE w.code = temp.code; Sau khi chạy xong xóa bảng tạm: DROP TABLE IF EXISTS `migrate_postpaid_type`;  </t>
  </si>
  <si>
    <t>2025-02-24T12:04:06.764+0700</t>
  </si>
  <si>
    <t>2025-02-24T12:14:10.153+0700</t>
  </si>
  <si>
    <t>Dear DBA team, Nhờ team thực hiện cập nhật thông tin Agent cho OMRE nhé UPDATE ekyc SET issue_date = '10/07/2021' WHERE agent_code = '1041126604' Thông tin DB : HOST = " 172.31.4.83 " PORT = 3306 DATABASE = "agent-platform"</t>
  </si>
  <si>
    <t>[OMC][Vinticket][PROD] Update lại các trường ticket_date_from/to về null khi is_use_event_date =  true của bảng ticket_types</t>
  </si>
  <si>
    <t>2025-02-24T11:59:10.809+0700</t>
  </si>
  <si>
    <t>2025-02-24T12:13:32.108+0700</t>
  </si>
  <si>
    <t>Dear anh Linh, Nhờ anh hỗ trợ update lại các đơn hàng theo script dưới đây: UPDATE ticket_types 
SET ticket_type_date_from = NULL, 
    ticket_type_date_to = NULL  
WHERE is_use_event_date = 1; Thông tin: project: vinticket-prod private ip: 172.31.1.3 database: vinticket</t>
  </si>
  <si>
    <t>[OMC][PS2][OneVoucher][PROD] Hỗ trợ cập nhật thời hạn cho Voucher Potico VD_VC_1727172951860</t>
  </si>
  <si>
    <t>2025-02-24T11:57:21.130+0700</t>
  </si>
  <si>
    <t>2025-02-24T12:13:15.262+0700</t>
  </si>
  <si>
    <t>Dear Anh/Chị hỗ trợ, Voucher Potico VD_VC_1727172951860 cần gia hạn đến  22/02/2025 23:59:59 , em đã cập nhật tại VD nhưng do vấn đề nào đó đang không sync được sang OVC. Vậy case này nhờ anh  @Nguyễn Ngọc Thạch  hỗ trợ đoạn script cập nhật để team DBA update hạn sử dụng giúp team ạ. Em xin cảm ơn!</t>
  </si>
  <si>
    <t>[OMC][NRs][PROD] Update tồn  voucher</t>
  </si>
  <si>
    <t>2025-02-24T11:56:37.503+0700</t>
  </si>
  <si>
    <t>2025-02-24T12:12:48.203+0700</t>
  </si>
  <si>
    <t>Hi team. Nhờ các anh chạy giúp em câu lệnh sau Chạy ngay khi được approve project: vincart-prod DB: vincart_mm_product instance: main ip: 172.31.1.41 UPDATE `inventories` SET on_hand = 6, committed = 0, available = 6 WHERE variant_code = 'VD_VC_1733972687987'</t>
  </si>
  <si>
    <t>[OMC][Rebranding][PROD] Update icon recommendation trên màn kết quả thanh toán</t>
  </si>
  <si>
    <t>2025-02-24T11:52:00.726+0700</t>
  </si>
  <si>
    <t>2025-02-24T12:12:41.680+0700</t>
  </si>
  <si>
    <t>Ticket:   https://vinid-team.atlassian.net/browse/NR-13665 Context:  Hiện tại 2 service  "Nạp Tiền ĐT"  và  "Nạp tiền điện thoại"  đang dùng chung  "icon_url": "https://cdn-vincart.vinid.net/cdn-cgi/image/fit=scale-down,w=1200,quality=75,f=auto/connected-apps/ic_48service_3rd_financial_payment@3x.png" Expectation:  Service  "Nạp tiền điện thoại"  dùng sang "icon_url": "https://cdn-vincart.vinid.net/cdn-cgi/image/fit=scale-down,w=1200,quality=75,f=auto/connected-apps/ic_48service_3rd_mobiledata@3x.png" Solotion : project: vinpay-prod private ip: 172.31.1.54 database: pay_recommendation Update data trong database  vinpay-prod  →  pay_recommendation  (bảng  service ,  user_recommend ) File SQL update cho bảng “user_recommend”:  pay_recommendation_user_recommend.sql UPDATE user_recommend
SET services = REPLACE(
        services,
        '{"id": 10, "desc": "Nạp thẻ điện thoại", "deeplink": "one://vinid.net/utility/service/mobile_topup", "icon_url": "https://cdn-vincart.vinid.net/cdn-cgi/image/fit=scale-down,w=1200,quality=75,f=auto/connected-apps/ic_48service_3rd_financial_payment@3x.png", "label_type": 0, "label_title": "", "service_name": "Nạp tiền điện thoại"}',
        '{"id": 10, "desc": "Nạp thẻ điện thoại", "deeplink": "one://vinid.net/utility/service/mobile_topup", "icon_url": "https://cdn-vincart.vinid.net/cdn-cgi/image/fit=scale-down,w=1200,quality=75,f=auto/connected-apps//ic_48service_3rd_mobiletopup@3x.png", "label_type": 0, "label_title": "", "service_name": "Nạp tiền điện thoại"}'
    )
WHERE JSON_CONTAINS(services, '{"id": 10}', '$');</t>
  </si>
  <si>
    <t>[OMC][Loyalty][PS2][PROD] Archive data bảng TRANSACTION_HISTORY_ATTRIBUTE sang instance COLD - tháng 2/2024</t>
  </si>
  <si>
    <t>2025-02-24T11:12:33.671+0700</t>
  </si>
  <si>
    <t>2025-02-25T14:51:42.210+0700</t>
  </si>
  <si>
    <t>Team DBA cần thực hiện Archive data bảng TRANSACTION_HISTORY_ATTRIBUTE sang instance COLD, theo thông tin như sau: TRANSACTION_HISTORY_ATTRIBUTE (Yêu cầu: Giữ lại data đầy đủ của 3 tháng gần nhất (tháng thứ n-1,n-2,n-3 sau tháng hiện tại) trên DB chính, các data tháng thứ n-4,n-5,n-6 sau tháng hiện tại (tháng n) thì chuyển sang COLD.) Ví dụ, hiện tại là tháng 2/2025, thì data giữ lại ở PROD là tháng 1/2025, 12/2024, 11/2024. Các tháng 10/2024, 9/2024, 8/2024 sẽ khai thác trên môi trường COLD. Hiện tại trên COLD đang có data của tháng 8,9,10,11 năm 2024 rồi. Vì vậy, trên DB PROD , Đề xuất xóa data tháng 9,10 năm 2024 của bảng TRANSACTION_HISTORY_ATTRIBUTE , giữ lại tháng 11,12 năm 2024 và tháng 1,2 năm 2025. Các partition data của các tháng thực hiện xóa, sẽ được chuyển đầy đủ lên GCS để lưu trữ, cũng như đảm bảo đã được chuyển đổi sang môi trường COLD đầy đủ, trước khi thực hiện xóa trên môi trường PROD. Đã count + check chéo data giữa PROD và COLD và xác nhận data là trùng khớp. --24Feb25 check TRANSACTION_HISTORY_ATTRIBUTE -- Trên COLD select /+ parallel(16) */ count() from oloyalty.TRANSACTION_HISTORY_ATTRIBUTE PARTITION (TRANSACTION_HISTORY_ATTRIBUTE_202410); -- 5939206061 select /+ parallel(16) */ count() from oloyalty.TRANSACTION_HISTORY_ATTRIBUTE PARTITION (TRANSACTION_HISTORY_ATTRIBUTE_202409); -- 5644284535 -- Trên PROD select /+ parallel(16) */ count() from oloyalty.TRANSACTION_HISTORY_ATTRIBUTE PARTITION (TRANSACTION_HISTORY_ATTRIBUTE_202410); -- 5939206061 select /+ parallel(16) */ count() from oloyalty.TRANSACTION_HISTORY_ATTRIBUTE PARTITION (TRANSACTION_HISTORY_ATTRIBUTE_202409); -- 5644284535</t>
  </si>
  <si>
    <t>[OMC][MiniApp][Prod] Thực hiện insert/ update thêm 1 record trong table "user" ở database microapp</t>
  </si>
  <si>
    <t>2025-02-24T10:25:21.611+0700</t>
  </si>
  <si>
    <t>2025-02-24T10:25:36.632+0700</t>
  </si>
  <si>
    <t>Nhờ team DBA thực hiện update/insert 1 record cho tài khoản  minhlq4@onemount.com  theo script sau: Nếu tồn tại bản ghi theo email  minhlq4@onemount.com  thì update giúp em theo scrip sau: UPDATE `user` SET `role_id`=1 WHERE user_id=1032 Nếu chưa tồn tại thì insert giúp em theo scrip sau: INSERT INTO `microapp`.`user` (`user_id`, `email`, `role_id`, `created_at`, `updated_at`) VALUES ('1032', 'minhlq4@onemount.com', '1', '2025-02-03 07:55:27', '2025-02-03 07:55:27');   IP: 172.31.1.12 Project: vinid-service-platform-prod Database: microapp Mục đích: Thêm quyền admin cho tài khoản  minhlq4@onemount.com  dùng trên trang vận hành OPS MiniApp Nhờ a thực hiện luôn giúp team ạ. Thanks a.</t>
  </si>
  <si>
    <t>[OMC][PS2][OneVoucher][PROD] Hỗ trợ edit store của voucher ở hệ thống VD + OneVC</t>
  </si>
  <si>
    <t>2025-02-24T09:04:27.683+0700</t>
  </si>
  <si>
    <t>2025-02-24T11:39:13.257+0700</t>
  </si>
  <si>
    <t>Dear anh  @Phạm Tuấn Linh  và  @Trần Mạnh Đức   support, Em cần edit lại thông tin store của 2 voucher tại 2 hệ thống Voucher distribution và One voucher. Thông tin cần upate như sau: Voucher code VD:   TCB_URRBOXLOUGE_DOT1_200125 TCB_URRBOXLOUGEQUOCNOI_RBV_230125 Warehouse code OneVC:   VD_WH_1737365229067 VD_WH_1737606207891 Remove 6 store code trong list store apply:  PHONGCHO21 PHONGCHO22 PHONGCHO23 PHONGCHO26 PHONGCHO27 PHONGCHO28 Em cảm ơn ạ!</t>
  </si>
  <si>
    <t>[VinID Pay][VINPAY][PROD] update db golive regression test soundbox 22/02/2025</t>
  </si>
  <si>
    <t>2025-02-23T00:26:33.102+0700</t>
  </si>
  <si>
    <t>2025-02-24T08:29:53.531+0700</t>
  </si>
  <si>
    <t>Dear team,  Em cần update db phục vụ regression test luồng soundbox. thời gian thực hiện: thời gian golive vào ngày 21/02/2025 thông tin db ops: project: vinpay-prod Instance: low-performance Master IP: 172.31.1.149 Slave IP: 172.31.1.179 DB: ops_pay_service UPDATE VIRTUAL_ACCOUNT v SET v.ACCOUNT_NAME='CTCP VINIDPAY',v.IS_ACTIVE=false WHERE v.VIRTUAL_ACCOUNT_NUMBER= 'M22625297557899';
UPDATE VIRTUAL_ACCOUNT v SET v.ACCOUNT_NAME='CTCP VINIDPAY',v.IS_ACTIVE=false WHERE v.VIRTUAL_ACCOUNT_NUMBER= 'M22629286588693'; thông tin db saas: saas_tpay: jdbc:mysql://pay-tidb.int.onemount.com:4000/saas_tpay Bảng TCB DEVICE
UPDATE TCB_DEVICE t SET t.device_status='DEVICE_IMPORTED',t.device_edition='DEVICE_ASSIGN_QR',t.device_notify='NORMAL' WHERE t.device_id= 'SB_RLINK_MD716A_SDLMD716A0622240049';
UPDATE TCB_DEVICE t SET t.device_status='DEVICE_IMPORTED',t.device_edition='DEVICE_ASSIGN_QR',t.device_notify='NORMAL' WHERE t.device_id= 'SB_RLINK_MD716A_TCBDV1101202402';
UPDATE TCB_DEVICE t SET t.device_status='DEVICE_IMPORTED',t.device_edition='DEVICE_EMPTY',t.device_notify='NORMAL' WHERE t.device_id= 'SB_RLINK_MD716A_TCBDV1101202401';
Bảng SOUNDBOX_DEVICE_SALES
DELETE FROM SOUNDBOX_DEVICE_SALES WHERE DEVICE_ID = 'SB_RLINK_MD716A_SDLMD716A0622240049';
DELETE FROM SOUNDBOX_DEVICE_SALES WHERE DEVICE_ID = 'SB_RLINK_MD716A_TCBDV1101202402';
DELETE FROM SOUNDBOX_DEVICE_SALES WHERE DEVICE_ID = 'SB_RLINK_MD716A_TCBDV1101202401';
Bảng SOUNDBOX_DEVICE_MAPPING
UPDATE SOUNDBOX_DEVICE_MAPPING t SET t.MERCHANT_CODE=null,t.MC_VA_ACCOUNT=null,t.FILE_ID=null,t.STATUS='ACTIVE' WHERE t.ID= '2004';
DELETE FROM SOUNDBOX_DEVICE_MAPPING WHERE t.device_id= 'SB_RLINK_MD716A_TCBDV1101202401';
Bảng SOUNDBOX_VA
UPDATE SOUNDBOX_VA t SET t.VIRTUAL_ACCOUNT_NAME='CTCP VINIDPAY',t.IS_ACTIVE=false WHERE t.VIRTUAL_ACCOUNT_NUMBER= 'M22625297557899';
UPDATE SOUNDBOX_VA t SET t.VIRTUAL_ACCOUNT_NAME='CTCP VINIDPAY',t.IS_ACTIVE=false WHERE t.VIRTUAL_ACCOUNT_NUMBER= 'M22629286588693';</t>
  </si>
  <si>
    <t>[OMC][PROD][NewRetails] Seeding dữ liệu</t>
  </si>
  <si>
    <t>2025-02-22T17:01:38.070+0700</t>
  </si>
  <si>
    <t>2025-02-24T11:17:10.732+0700</t>
  </si>
  <si>
    <t>Dear team,  Nhờ team update giúp dữ liệu trên prod:  Instance: main, IP: 172.31.1.41 INSERT INTO `inventories`(
    `created_at`, `updated_at`, `merchant_id`, `merchant_code`, `product_id`,
    `product_code`, `variant_id`, `variant_code`, `store_id`, `store_code`,
    `weight_unit`, `weight_value`, `dimension_l`, `dimension_w`, `dimension_h`, 
    `amount`, `on_hand`, `available`, `committed`, `incoming`, 
    `safety_stock`, `bin_location`, `low_inventory_level`, `minimum_inventory_number`, `channel_id`,
    `channel_code`, `total_stock`, `quantity`
) values (
    now(), now(), 331872, 'OMCPS2', 757756,
    'VD_VC_1740128643093', 1009663, 'VD_VC_1739959845117', 332451, 'IOJ',
    'g', 0, 0, 0, 0,
    0, 100, 100, 0, 0, 
    0, 'A1', 0, 0, 0,
    'INIT', 100, 0);
INSERT INTO `inventories`(
    `created_at`, `updated_at`, `merchant_id`, `merchant_code`, `product_id`,
    `product_code`, `variant_id`, `variant_code`, `store_id`, `store_code`,
    `weight_unit`, `weight_value`, `dimension_l`, `dimension_w`, `dimension_h`, 
    `amount`, `on_hand`, `available`, `committed`, `incoming`, 
    `safety_stock`, `bin_location`, `low_inventory_level`, `minimum_inventory_number`, `channel_id`,
    `channel_code`, `total_stock`, `quantity`
) values (
    now(), now(), 331872, 'OMCPS2', 757756,
    'VD_VC_1740128643093', 1009664, 'VD_VC_1739959846681', 332451, 'IOJ',
    'g', 0, 0, 0, 0,
    0, 100, 100, 0, 0, 
    0, 'A1', 0, 0, 0,
    'INIT', 100, 0);
INSERT INTO `inventories`(
    `created_at`, `updated_at`, `merchant_id`, `merchant_code`, `product_id`,
    `product_code`, `variant_id`, `variant_code`, `store_id`, `store_code`,
    `weight_unit`, `weight_value`, `dimension_l`, `dimension_w`, `dimension_h`, 
    `amount`, `on_hand`, `available`, `committed`, `incoming`, 
    `safety_stock`, `bin_location`, `low_inventory_level`, `minimum_inventory_number`, `channel_id`,
    `channel_code`, `total_stock`, `quantity`
) values (
    now(), now(), 331872, 'OMCPS2', 757757,
    'VD_VC_1740128811149', 1009665, 'VD_VC_1739959853475', 332451, 'IOJ',
    'g', 0, 0, 0, 0,
    0, 50, 50, 0, 0, 
    0, 'A1', 0, 0, 0,
    'INIT', 50, 0);
INSERT INTO `inventories`(
    `created_at`, `updated_at`, `merchant_id`, `merchant_code`, `product_id`,
    `product_code`, `variant_id`, `variant_code`, `store_id`, `store_code`,
    `weight_unit`, `weight_value`, `dimension_l`, `dimension_w`, `dimension_h`, 
    `amount`, `on_hand`, `available`, `committed`, `incoming`, 
    `safety_stock`, `bin_location`, `low_inventory_level`, `minimum_inventory_number`, `channel_id`,
    `channel_code`, `total_stock`, `quantity`
) values (
    now(), now(), 331872, 'OMCPS2', 757757,
    'VD_VC_1740128811149', 1009666, 'VD_VC_1739959854589', 332451, 'IOJ',
    'g', 0, 0, 0, 0,
    0, 50, 50, 0, 0, 
    0, 'A1', 0, 0, 0,
    'INIT', 50, 0);
INSERT INTO `inventories`(
    `created_at`, `updated_at`, `merchant_id`, `merchant_code`, `product_id`,
    `product_code`, `variant_id`, `variant_code`, `store_id`, `store_code`,
    `weight_unit`, `weight_value`, `dimension_l`, `dimension_w`, `dimension_h`, 
    `amount`, `on_hand`, `available`, `committed`, `incoming`, 
    `safety_stock`, `bin_location`, `low_inventory_level`, `minimum_inventory_number`, `channel_id`,
    `channel_code`, `total_stock`, `quantity`
) values (
    now(), now(), 331872, 'OMCPS2', 757757,
    'VD_VC_1740128811149', 1009667, 'VD_VC_1739959855689', 332451, 'IOJ',
    'g', 0, 0, 0, 0,
    0, 49, 49, 0, 0, 
    0, 'A1', 0, 0, 0,
    'INIT', 49, 0);
INSERT INTO `inventories`(
    `created_at`, `updated_at`, `merchant_id`, `merchant_code`, `product_id`,
    `product_code`, `variant_id`, `variant_code`, `store_id`, `store_code`,
    `weight_unit`, `weight_value`, `dimension_l`, `dimension_w`, `dimension_h`, 
    `amount`, `on_hand`, `available`, `committed`, `incoming`, 
    `safety_stock`, `bin_location`, `low_inventory_level`, `minimum_inventory_number`, `channel_id`,
    `channel_code`, `total_stock`, `quantity`
) values (
    now(), now(), 331872, 'OMCPS2', 757757,
    'VD_VC_1740128811149', 1009668, 'VD_VC_1739959856820', 332451, 'IOJ',
    'g', 0, 0, 0, 0,
    0, 49, 49, 0, 0, 
    0, 'A1', 0, 0, 0,
    'INIT', 49, 0);
INSERT INTO `inventories`(
    `created_at`, `updated_at`, `merchant_id`, `merchant_code`, `product_id`,
    `product_code`, `variant_id`, `variant_code`, `store_id`, `store_code`,
    `weight_unit`, `weight_value`, `dimension_l`, `dimension_w`, `dimension_h`, 
    `amount`, `on_hand`, `available`, `committed`, `incoming`, 
    `safety_stock`, `bin_location`, `low_inventory_level`, `minimum_inventory_number`, `channel_id`,
    `channel_code`, `total_stock`, `quantity`
) values (
    now(), now(), 331872, 'OMCPS2', 757758,
    'VD_VC_1740128984671', 1009669, 'VD_VC_1739959857895', 332451, 'IOJ',
    'g', 0, 0, 0, 0,
    0, 50, 50, 0, 0, 
    0, 'A1', 0, 0, 0,
    'INIT', 50, 0);
INSERT INTO `inventories`(
    `created_at`, `updated_at`, `merchant_id`, `merchant_code`, `product_id`,
    `product_code`, `variant_id`, `variant_code`, `store_id`, `store_code`,
    `weight_unit`, `weight_value`, `dimension_l`, `dimension_w`, `dimension_h`, 
    `amount`, `on_hand`, `available`, `committed`, `incoming`, 
    `safety_stock`, `bin_location`, `low_inventory_level`, `minimum_inventory_number`, `channel_id`,
    `channel_code`, `total_stock`, `quantity`
) values (
    now(), now(), 331872, 'OMCPS2', 757758,
    'VD_VC_1740128984671', 1009670, 'VD_VC_1739959859025', 332451, 'IOJ',
    'g', 0, 0, 0, 0,
    0, 50, 50, 0, 0, 
    0, 'A1', 0, 0, 0,
    'INIT', 50, 0);
INSERT INTO `inventories`(
    `created_at`, `updated_at`, `merchant_id`, `merchant_code`, `product_id`,
    `product_code`, `variant_id`, `variant_code`, `store_id`, `store_code`,
    `weight_unit`, `weight_value`, `dimension_l`, `dimension_w`, `dimension_h`, 
    `amount`, `on_hand`, `available`, `committed`, `incoming`, 
    `safety_stock`, `bin_location`, `low_inventory_level`, `minimum_inventory_number`, `channel_id`,
    `channel_code`, `total_stock`, `quantity`
) values (
    now(), now(), 331872, 'OMCPS2', 757758,
    'VD_VC_1740128984671', 1009671, 'VD_VC_1739959860153', 332451, 'IOJ',
    'g', 0, 0, 0, 0,
    0, 50, 50, 0, 0, 
    0, 'A1', 0, 0, 0,
    'INIT', 50, 0);
INSERT INTO `inventories`(
    `created_at`, `updated_at`, `merchant_id`, `merchant_code`, `product_id`,
    `product_code`, `variant_id`, `variant_code`, `store_id`, `store_code`,
    `weight_unit`, `weight_value`, `dimension_l`, `dimension_w`, `dimension_h`, 
    `amount`, `on_hand`, `available`, `committed`, `incoming`, 
    `safety_stock`, `bin_location`, `low_inventory_level`, `minimum_inventory_number`, `channel_id`,
    `channel_code`, `total_stock`, `quantity`
) values (
    now(), now(), 331872, 'OMCPS2', 757758,
    'VD_VC_1740128984671', 1009672, 'VD_VC_1739959861162', 332451, 'IOJ',
    'g', 0, 0, 0, 0,
    0, 50, 50, 0, 0, 
    0, 'A1', 0, 0, 0,
    'INIT', 50, 0); Instant: ecom-high-mysql, IP: 172.31.4.10 UPDATE `ops_voucher_views` SET `quantity` = 100  WHERE `code` = 'VD_VC_1739959845117';
UPDATE `ops_voucher_views` SET `quantity` = 100  WHERE `code` = 'VD_VC_1739959846681';
UPDATE `ops_voucher_views` SET `quantity` = 50  WHERE `code` = 'VD_VC_1739959853475';
UPDATE `ops_voucher_views` SET `quantity` = 50  WHERE `code` = 'VD_VC_1739959854589';
UPDATE `ops_voucher_views` SET `quantity` = 49  WHERE `code` = 'VD_VC_1739959855689';
UPDATE `ops_voucher_views` SET `quantity` = 49  WHERE `code` = 'VD_VC_1739959856820';
UPDATE `ops_voucher_views` SET `quantity` = 50  WHERE `code` = 'VD_VC_1739959857895';
UPDATE `ops_voucher_views` SET `quantity` = 50  WHERE `code` = 'VD_VC_1739959859025';
UPDATE `ops_voucher_views` SET `quantity` = 50  WHERE `code` = 'VD_VC_1739959860153';
UPDATE `ops_voucher_views` SET `quantity` = 50  WHERE `code` = 'VD_VC_1739959861162'; Mình cảm ơn!</t>
  </si>
  <si>
    <t>[Vinid Pay][Vinpay][dremio][Prod] Xin phân quyền truy cập vào bảng ODS</t>
  </si>
  <si>
    <t>2025-02-22T16:31:20.295+0700</t>
  </si>
  <si>
    <t>2025-02-22T17:01:45.399+0700</t>
  </si>
  <si>
    <t>để phục vụ export dữ liệu NFC để đối chiếu với dữ liệu VNPT gửi sang để OM thanh toán tiền với VNPT. em cần xin quyền view dremio https://dremio.ops.onemount.com/source/tidb_ods/folder/om_onemg_identity_service_prod_main_ocr_service user: dung.le5 , hanhnt47, cuongnv49</t>
  </si>
  <si>
    <t>[OMD CDP] Thục hiện data migration bảng DP_CUSTOMER_GT thuộc database omd_cdp_data_from_dp</t>
  </si>
  <si>
    <t>2025-02-22T10:47:09.870+0700</t>
  </si>
  <si>
    <t>2025-02-25T22:49:32.224+0700</t>
  </si>
  <si>
    <t>ontext:  https://chat.google.com/room/AAAAHlDo664/Xt1ey4qTJt8/Xt1ey4qTJt8?cls=10 Hi em  @Former user  , Hiện tại team CDP đang gặp 1 câu query siêu chậm (35s), qua tìm hiểu qua thì thấy số lượng input row scan tiflash đang khá lớn (mvcc_input_rows:175771437, trong khi thực tế bảng chỉ có 346204 bản ghi). Trước đó, team đã request compact table nhưng số input rows vẫn không thay đổi (  ) và Resync tiflash nhưng số input rows vẫn không thay đổi (  ) DBA plan thực hiện  data migration  của bảng DP_CUSTOMER_GT (database: ]omd_cdp_data_from_dp)</t>
  </si>
  <si>
    <t>[VINID PAY][OSC] [PROD] Xin hỗ trợ update dữ liệu cho database osc</t>
  </si>
  <si>
    <t>2025-02-22T02:26:18.908+0700</t>
  </si>
  <si>
    <t>2025-02-22T07:39:50.861+0700</t>
  </si>
  <si>
    <t>Hi các anh DBA, Hiện tại team em cần update dữ liệu master data, nhờ các anh chạy giúp em câu lệnh sau với ạ. UPDATE SETTING_MERCHANT m SET m.merchant_code ='TCBLOYALTY', m.merchant_id='CVU', m.terminal_id='CVUXU' WHERE id = 1; Thông tin DB : Tên schema:  osc IP:  pay-tidb.int.onemount.com:4000 Thanks các anh,</t>
  </si>
  <si>
    <t>[VINID PAY][VINPAY][PROD] update db golive soundbox 21/02/2025</t>
  </si>
  <si>
    <t>2025-02-21T23:55:37.925+0700</t>
  </si>
  <si>
    <t>2025-02-22T07:36:39.904+0700</t>
  </si>
  <si>
    <t>Dear team,  Em cần update db phục vụ regression test luồng soundbox. thời gian thực hiện: thời gian golive vào ngày 21/02/2025 thông tin db ops: project: vinpay-prod Instance: low-performance Master IP: 172.31.1.149 Slave IP: 172.31.1.179 DB: ops_pay_service UPDATE VIRTUAL_ACCOUNT v SET v.ACCOUNT_NAME='CTCP VINIDPAY',v.IS_ACTIVE=false WHERE v.VIRTUAL_ACCOUNT_NUMBER= 'M22625297557899';
UPDATE VIRTUAL_ACCOUNT v SET v.ACCOUNT_NAME='CTCP VINIDPAY',v.IS_ACTIVE=false WHERE v.VIRTUAL_ACCOUNT_NUMBER= 'M22629286588693'; thông tin db saas: saas_tpay: jdbc:mysql://pay-tidb.int.onemount.com:4000/saas_tpay Bảng TCB DEVICE
UPDATE TCB_DEVICE t SET t.device_status='DEVICE_IMPORTED' WHERE t.device_id= 'SB_RLINK_MD716A_SDLMD716A0622240049';
UPDATE TCB_DEVICE t SET t.device_status='DEVICE_IMPORTED', t.device_edition = 'DEVICE_ASSIGN_QR' WHERE t.device_id= 'SB_RLINK_MD716A_TCBDV1101202402';
"UPDATE TCB_DEVICE t SET t.device_status='DEVICE_IMPORTED', t.device_edition = 'DEVICE_EMPTY'  WHERE t.device_id= 'SB_RLINK_MD716A_TCBDV1101202401';
Bảng SOUNDBOX_DEVICE_SALE
DELETE FROM SOUNDBOX_DEVICE_SALES WHERE DEVICE_ID = 'SB_RLINK_MD716A_SDLMD716A0622240049';
DELETE FROM SOUNDBOX_DEVICE_SALES WHERE DEVICE_ID = 'SB_RLINK_MD716A_TCBDV1101202402';
DELETE FROM SOUNDBOX_DEVICE_SALES WHERE DEVICE_ID = 'SB_RLINK_MD716A_TCBDV1101202401';
Bảng SOUNDBOX_DEVICE_MAPPING
UPDATE SOUNDBOX_DEVICE_MAPPING t SET t.MERCHANT_CODE=null,t.MC_VA_ACCOUNT=null,t.FILE_ID=null,t.STATUS='ACTIVE',t.OM_VA_ACCOUNT ='M22625297557899' WHERE t.ID= '2004';
UPDATE SOUNDBOX_DEVICE_MAPPING t SET t.MERCHANT_CODE=null,t.MC_VA_ACCOUNT=null,t.FILE_ID=null,t.STATUS='ACTIVE',t.OM_VA_ACCOUNT ='M22629286588693' WHERE t.ID= '2013';
DELETE SOUNDBOX_DEVICE_MAPPING WHERE ID= '2003';
Bảng SOUNDBOX_VA
UPDATE SOUNDBOX_VA t SET t.VIRTUAL_ACCOUNT_NAME='CTCP VINIDPAY',t.IS_ACTIVE=false WHERE t.VIRTUAL_ACCOUNT_NUMBER= 'M22625297557899';
UPDATE SOUNDBOX_VA t SET t.VIRTUAL_ACCOUNT_NAME='CTCP VINIDPAY',t.IS_ACTIVE=false WHERE t.VIRTUAL_ACCOUNT_NUMBER= 'M22625297557899';</t>
  </si>
  <si>
    <t>2025-02-21T23:55:05.692+0700</t>
  </si>
  <si>
    <t>2025-02-22T07:37:43.561+0700</t>
  </si>
  <si>
    <t>Hi anh. Nhờ anh chạy giúp em ticket update config database cổng thanh toán ạ. Thời gian chạy:  23:59 ngày 21/02/2025 (sau khi bật bảo trì checkout) Scirpt:  Database:  172.31.1.148:3306/pay_payment_gateway update SYSTEM_CONFIGURATION
    set system_param_value = 'VINID08-SVIN08-PVIN08,GOLDENGATE-540-540,TCBLOYALTY-CVU-CVUXU'
where system_param_code = 'MERCHANT_CONFIG_PILOT_TCB_DIRECT' and system_configuration_id = 15;
INSERT INTO SETTLEMENT_ACCOUNT_CONFIG
(SETTLEMENT_ACCOUNT_CONFIG_ID, ACCOUNT_TYPE, ACCOUNT_NUMBER, CONFIG_TYPE, CONFIG_CODE)
VALUES(20, 'CREDIT', '061031337571', 'MERCHANT', 'TCBLOYALTY'); Scirpt:  Database: mysql:// vinpay-sql-onehub-master.int.vinid.net:3306/qrdb INSERT INTO SYSTEM_CONFIGURATION
(SYSTEM_CONFIGURATION_ID, SYSTEM_PARAM_CODE, SYSTEM_PARAM_NAME, SYSTEM_PARAM_VALUE, IS_ACTIVE, IS_ENCRYPTED, CREATED_BY, UPDATED_BY, UPDATED_DATE, CREATED_DATE)
VALUES(56, 'CONFIG_MERCHANT_OFF_WALLET', 'CONFIG_MERCHANT_OFF_WALLET', 'TCBLOYALTY', 1, 0, NULL, NULL, CURRENT_TIMESTAMP, CURRENT_TIMESTAMP);</t>
  </si>
  <si>
    <t>[VINPAY][PROD] Tác động database Tpay</t>
  </si>
  <si>
    <t>2025-02-21T23:52:30.948+0700</t>
  </si>
  <si>
    <t>2025-02-22T00:13:34.014+0700</t>
  </si>
  <si>
    <t>Hi team, Các anh giúp em chạy script với thông tin như bên dưới nhé ạ Thông tin database  saas_tpay: jdbc:mysql://pay-tidb.int.onemount.com:4000/saas_tpay Ticket này nhờ team chạy trong giờ giúp em ạ SERVICE UPDATE SERVICE SET STATUS = 'DRAFT' WHERE ID IN (49803, 49804, 59177, 59178);</t>
  </si>
  <si>
    <t>2025-02-21T18:16:02.455+0700</t>
  </si>
  <si>
    <t>2025-02-21T18:16:09.424+0700</t>
  </si>
  <si>
    <t>Dear anh Dũng, Nhờ anh hỗ trợ team thực hiện 1 số câu lệnh SQL dứơi đây ạ Project: serive platform
IP: 172.31.1.102
DB name: user_inventory_service SQL: START TRANSACTION;
INSERT INTO `inventory_item` (`created_at`, `updated_at`, `user_id`, `category_id`, `title`,
                              `description`, `image_url`, `deep_link`, `status`, `tag`, `cta_title`,
                              `expired_at`)
VALUES (NOW(), NOW(), 11888, 2,
        'ROAD TO 8WONDER - THE NEXT ICON', '',
        'https://cdn.vinid.net/ticketing/event/1739862755_LOGO_wonder.png',
        'one://mnminiapp.com?url=https://ticketing-webapp.web.app/ticket/ticket-view/974',
        'Sắp diễn ra', '', '', 1742083199);
COMMIT; Project: vinticket-prod
IP: 172.31.1.3
DB name: vinticket SQL: START TRANSACTION;
UPDATE `order_vouchers`
SET `discount_value` = 160000
WHERE `id` = 32;
COMMIT;</t>
  </si>
  <si>
    <t>[OMRE][Agent][PROD] Nhờ hỗ trợ query thông tin bảng agent_documents</t>
  </si>
  <si>
    <t>2025-02-21T16:57:47.192+0700</t>
  </si>
  <si>
    <t>2025-02-21T17:01:15.093+0700</t>
  </si>
  <si>
    <t>Dear team DBA. Nhờ mọi người run câu lệnh này giúp bên OMRE SELECT agent_id 
FROM agent_documents 
WHERE category = 'BROKER_CERTIFICATE' 
  AND (
        document_number IS NULL OR document_number = '' 
        OR expired_date IS NULL 
        OR issued_date IS NULL 
        OR issued_place IS NULL OR issued_place = ''
    ); Thông tin DB: HOST = "172.31.4.83" PORT = 3306 DATABASE = "agent-platform"</t>
  </si>
  <si>
    <t>[OMC][Link Account] [Prod] thực hiện query update 1 record trong table "linkages" ở dự án Link Account cho userId 369434</t>
  </si>
  <si>
    <t>2025-02-21T16:49:01.965+0700</t>
  </si>
  <si>
    <t>2025-02-21T17:35:41.795+0700</t>
  </si>
  <si>
    <t>Dear team DBA, Theo thread trao đổi:  https://chat.google.com/room/AAAAbcTWvJQ/OIia6NtJJbg/OIia6NtJJbg?cls=10   Hiện user bị gãy luồng, nên team cần thực hiện update record để đảm bảo luồng của user UID 369434 trước đây có sđt cũ 0942633228 thực hiện request link account và lỗi.
 Sau đó đổi sđt sang 0889301908 và thực hiện liên kết nên hệ thống báo lỗi uid đã tồn tại bản ghi LA Nhờ team thực hiện query: Instance ID:  https://console.cloud.google.com/sql/instances/postgres-01/overview?authuser=1&amp;project=vinid-service-platform-prod Database name:  sp_postgres_link_account Câu lệnh SQL: UPDATE linkages SET active = false
WHERE user_id = 369434</t>
  </si>
  <si>
    <t>[OMC][CloudSQL][PROD] Bật delete protection cho instance omc-authentication</t>
  </si>
  <si>
    <t>2025-02-21T15:17:02.149+0700</t>
  </si>
  <si>
    <t>2025-02-22T00:12:03.431+0700</t>
  </si>
  <si>
    <t>Nhờ a  @Nguyễn Văn Dũng  bật giúp em Delete Protection cho instance  omc-authentication  thuộc project omc-base-platform-prod ạ</t>
  </si>
  <si>
    <t>[OMC][CloudSQL][PROD] Bật delete protection cho instance omc-hydra</t>
  </si>
  <si>
    <t>2025-02-21T15:11:32.366+0700</t>
  </si>
  <si>
    <t>2025-02-22T00:08:32.305+0700</t>
  </si>
  <si>
    <t xml:space="preserve">Nhờ a  @Nguyễn Văn Dũng  bật giúp e Delete Protection của instance  omc-hydra  ở project vinid-service-platform-prod ạ </t>
  </si>
  <si>
    <t>[OMC][NEWRETAILS][PROD] Chạy câu lệnh SQL</t>
  </si>
  <si>
    <t>2025-02-21T13:38:26.834+0700</t>
  </si>
  <si>
    <t>2025-02-22T00:06:36.938+0700</t>
  </si>
  <si>
    <t>Dear anh Dũng, Nhờ anh hỗ trợ team chạy câu lệnh SQL với các thông tin dưới đây ạ Project: vincart-prod
IP: 172.31.1.41
DB name: booking_transportation Câu lệnh SQL: START TRANSACTION;
UPDATE `trips`
SET `status` = 'FINISHED', `previous_status` = 'JOURNEY'
WHERE `id` in (25220, 25252);
COMMIT;</t>
  </si>
  <si>
    <t>[OMC][PROD][NewRetails] Support golive 20/02/2025</t>
  </si>
  <si>
    <t>2025-02-20T22:38:09.878+0700</t>
  </si>
  <si>
    <t>2025-02-21T08:50:51.855+0700</t>
  </si>
  <si>
    <t>Newretail, OMC</t>
  </si>
  <si>
    <t>Dear team, Vào tối 20/02/2025, bên NewRetails có golive phần update tồn. Thời gian dự kiến: 24h ngày 20/02/2025.   Nhờ team support update database trong cluster: vincart-prod, instance main, IP: 172.31.1.41, gồm các bước sau: Backup database: vincart_mm_product Backup database: vincart_mm_promotion Database vincart_mm_product, run query: ALTER TABLE inventories
 ADD COLUMN campaign_code VARCHAR(63) DEFAULT NULL, ALGORITHM=INPLACE, LOCK=NONE; Database vincart_mm_promotion, run query: ALTER TABLE campaign_variant ADD COLUMN original_quantity INT(20), ALGORITHM=INPLACE, LOCK=NONE; Export thông tin tồn kho campaign 6jqwOP1DE. Bảng vincart_mm_promotion, query:  SELECT
 c.code AS campaign_code,
 cv.variant_id AS variant_id,
 cv.quantity AS quantity,
 cv.sale_quantity AS sale_quantity
FROM
 campaign_variant cv
INNER JOIN campaigns c ON
 cv.campaign_id = c.id AND c.code in ("6jqwOP1DE") Export thông tin các kho channel. Bảng vincart_mm_product, query: SELECT
 *
FROM
 inventories
WHERE
 variant_id IN(
 SELECT
     id
 FROM
     variants
 WHERE
     stock_type = "CHANNEL"
) Dựa vào các thông tin export ở trên bên New Retails sẽ cung cấp câu query và nhờ team update lại số tồn ở bảng vincart_mm_product. Mình cảm ơn!</t>
  </si>
  <si>
    <t>[OMC][MTP][PROD] Request chạy script MySQL</t>
  </si>
  <si>
    <t>2025-02-20T18:09:40.685+0700</t>
  </si>
  <si>
    <t>2025-02-20T18:10:00.168+0700</t>
  </si>
  <si>
    <t>Nhờ a chạy giúp em câu script sau ạ: DELETE FROM audience_sync_history WHERE audience_id = 52923 AND sync_date = '2025-02-20' DB Info: IP:  172.31.1.21:3306 Database:  martech_ads_prod</t>
  </si>
  <si>
    <t xml:space="preserve">[OM][DP][Kafka][PROD] Tạo topic cho dự án ps2 </t>
  </si>
  <si>
    <t>2025-02-20T16:03:21.340+0700</t>
  </si>
  <si>
    <t>2025-02-21T14:53:24.398+0700</t>
  </si>
  <si>
    <t>Dear Linh, Em tạo giúp anh topic cho 2 bảng sau với nhé: Host: 172.31.4.82 DB:  b2b_voucher_distribution Table:  master_category và master_category_merchant</t>
  </si>
  <si>
    <t>[Loyalty][PROD][MSSQL]V/v Kiểm thử recovery database trên OE-MS-SQL 10.255.23.242</t>
  </si>
  <si>
    <t>2025-02-20T15:09:15.956+0700</t>
  </si>
  <si>
    <t>2025-04-04T09:41:45.634+0700</t>
  </si>
  <si>
    <t>Kiểm thử recovery database trên OE-MS-SQL 10.255.23.242 Em  @Former user  tạo giúp anh 1 VM MSSQL server giống như môi trường PROD hiện tại Thông tin MSSQL Server VM: https://console.cloud.google.com/compute/instancesDetail/zones/asia-east1-b/instances/oe-ms-sql?inv=1&amp;invt=AbrGMw&amp;project=oneid-loyalty-core-prod Kịch bản: Recovery Point in time từ data files backup trên GCS khi có sự cố trên con MSSQL Server PROD đang chạy thì có sự cố không thể tiếp tục dịch vụ. Data files backup GCS:  https://console.cloud.google.com/storage/browser/oneid-data-backup-prod-int/mssql/oe-ms-sql/Backup/Adayroi_VinIdPortal?pageState=("StorageObjectListTable":("f":"%255B%255D"))&amp;inv=1&amp;invt=AbrGKw&amp;project=vinid-app-common-prod Dùng bản backup Full + Transaction logs(Incremental backup) mới nhất trên GCS để recovery (Schedule transaction log backup 5 phút 1 lần, vì vậy có thể lost data 5 phút so với thời điểm xảy ra sự cố, chúng ta có thể giảm lost data bằng việc tăng tần suất chạy backup transaction log)</t>
  </si>
  <si>
    <t>[OMC][VINTICKET][PROD]Giảm cấu hình hạ tầng DB Vinticket</t>
  </si>
  <si>
    <t>2025-02-20T14:43:30.088+0700</t>
  </si>
  <si>
    <t>2025-02-20T22:11:20.931+0700</t>
  </si>
  <si>
    <t>Dear anh Dũng, anh Linh, Nhờ các anh hỗ trợ giảm cấu hình DB vinticket về 4 vcpu 8gb mem Thời gian thực hiện 22h ngày 20/2/2025 Em cảm ơn</t>
  </si>
  <si>
    <t>V/v config database flags basic cho database instance main-pos-integration thuộc project omd-pos-prod</t>
  </si>
  <si>
    <t>2025-02-20T14:33:17.960+0700</t>
  </si>
  <si>
    <t>2025-02-20T14:33:40.339+0700</t>
  </si>
  <si>
    <t>Dear SRE team, Hiện tại database instance main-pos-integration trên project omd-pos-prod đang thiếu các tham số cấu hình cơ bản cần phải có khi setup môi trường. link project:  omd-pos-prod Team cần config các tham số cơ bản như sau: Parameter name Value Note binlog_expire_logs_seconds 604800 Keep binlog 7 days long_query_time 2 Max time execution of query 3s table_open_cache 2000 Number os tables MySQL keeps open Hiện tại là chuẩn default của tất cả Clous SQL instance đang chạy trên môi trường PROD và các tham số phục vụ cho mục đích check log và check slow log queries và giới hạn kích thước của 1 single query khi call và tối ưu hiệu suất query trên hệ thống.</t>
  </si>
  <si>
    <t>[OMRE][DIFY][NONPROD]Tạo database cho dify trên nonnprod</t>
  </si>
  <si>
    <t>2025-02-20T14:32:41.367+0700</t>
  </si>
  <si>
    <t>2025-02-20T14:37:52.102+0700</t>
  </si>
  <si>
    <t>Dify, OMRE</t>
  </si>
  <si>
    <t>Nhờ team DBA tạo giúp em database cho dify trên môi trường nonprod: Instance: main-postgres-02 Instance link:  https://console.cloud.google.com/sql/instances/main-postgres-02/overview?inv=1&amp;invt=AbqDnw&amp;project=vinid-app-common-dev User: onehs_dify_qc Database: onehs_dify_qc Pass: (DBA gen giúp) User: onehs_dify_uat Database: onehs_dify_uat Pass: (DBA gen giúp)</t>
  </si>
  <si>
    <t>[OMC][Kafka][NON-PROD] Hỗ trợ tạo kafka topic cho bảng ở db onevc_vsm_uat</t>
  </si>
  <si>
    <t>2025-02-20T14:23:01.648+0700</t>
  </si>
  <si>
    <t>2025-02-20T15:58:13.334+0700</t>
  </si>
  <si>
    <t>Dear anh Linh, Phục vụ thêm thông tin đối soát cho báo cáo vận hành, nhờ anh tạo kafka topic cho bảng sau: IP:  vinid-app-common-dev--main-mysql-8.cloudsql.int:3306 DB:  onevc_vsm_uat Bảng:  serial_request Em cảm ơn ạ cc chị  @Nguyễn Thu Thảo</t>
  </si>
  <si>
    <t>[OMD][WMS][Prod] Request tạo database cho tenant mới của WMS (Habeco)</t>
  </si>
  <si>
    <t>2025-02-20T11:30:38.052+0700</t>
  </si>
  <si>
    <t>2025-02-21T10:59:51.721+0700</t>
  </si>
  <si>
    <t>Hi DBA team, Dự án WMS sắp tới sẽ mở thêm kho mới cho MES, nên cần thêm database cho tenant này. Team DBA support tạo thêm database trên production cho WMS và WES với thông tin như sau WMS Project  vinid-b2b-platform-prod DB Instance  IP: 172.31.4.59 Databases DB name Username Additional Privileges omd_wms_mes_2d01 omd_wms_mes_2d01 ALTER/CREATE omd_wms_mes_2d_001 omd_wms_mes_2d_001 ALTER/CREATE omd_wms_mes_2d_002 omd_wms_mes_2d_002 ALTER/CREATE omd_wms_mes_2d_003 omd_wms_mes_2d_003 ALTER/CREATE omd_wms_mes_2d_004 omd_wms_mes_2d_004 ALTER/CREATE omd_wms_mes_2d_005 omd_wms_mes_2d_005 ALTER/CREATE omd_wms_8116 omd_wms_8116 ALTER/CREATE User  omd_wms_core_read_only  cấp quyền READ ONLY trên all databases mới được tạo WES Project  vinid-b2b-platform-prod DB Instance  172.31.1.143 Databases DB name Username Additional Privileges omd_wes_mes_2d01 omd_wes_mes_2d01 ALTER/CREATE omd_wes_mes_2d_001 omd_wes_mes_2d_001 ALTER/CREATE omd_wes_mes_2d_002 omd_wes_mes_2d_002 ALTER/CREATE omd_wes_mes_2d_003 omd_wes_mes_2d_003 ALTER/CREATE omd_wes_mes_2d_004 omd_wes_mes_2d_004 ALTER/CREATE omd_wes_mes_2d_005 omd_wes_mes_2d_005 ALTER/CREATE omd_wes_8116 omd_wes_8116 ALTER/CREATE User  read_wes  cấp quyền READ ONLY trên all databases mới được tạo Thông tin username và password gửi mail cho  quangph@onemount.com</t>
  </si>
  <si>
    <t>2025-02-20T11:25:35.217+0700</t>
  </si>
  <si>
    <t>2025-02-20T21:02:40.805+0700</t>
  </si>
  <si>
    <t>Dear anh Dũng, Nhờ anh chạy cậu lệnh SQL với các thông tin dưới đây ạ Time: 21h ngày 20/02/2025
Project: vincart-prod
IP: 172.31.7.3
DB name: dynamic_content SQL: START TRANSACTION;
ALTER TABLE `rules`
    MODIFY COLUMN `segment_id` VARCHAR(255), ALGORITHM=INPLACE, LOCK=NONE;
COMMIT;</t>
  </si>
  <si>
    <t>[OMD CDP] Tạo mới bảng omd_cdp_data_from_dp.DP_RATING</t>
  </si>
  <si>
    <t>2025-02-20T11:12:53.327+0700</t>
  </si>
  <si>
    <t>2025-02-20T11:21:12.674+0700</t>
  </si>
  <si>
    <t xml:space="preserve">Dear tem DBA, Để phục vụ việc phát triển OMD CDP trên môi trường prod, nhờ team hỗ trợ tạo giúp em bảng  DP_RATING  trên TiDb  omd-tidb.int.onemount.com:4000 Database: omd_cdp_data_from_dp Review script (được đính kèm trong file) và tạo bảng dữ liệu:  omd_cdp_data_from_dp.DP_RATING Dữ liệu dự kiến insert trong lần đầu chạy: ~110k bản ghi Due date: ASAP (20/02/2025) Em cảm ơn team ạ! cc chị  @Nghiêm Ngọc Trâm  , anh  @Former user  </t>
  </si>
  <si>
    <t>2025-02-20T11:05:37.112+0700</t>
  </si>
  <si>
    <t>2025-02-20T11:06:23.301+0700</t>
  </si>
  <si>
    <t>DBA, OMC</t>
  </si>
  <si>
    <t>Dear a  @Nguyễn Văn Dũng  , Nhờ a thực hiện update dữ liệu giúp em ạ . Thông tin DB :  MYSQL_ADDRESS: 172.31.1.21:3306
MYSQL_DATABASE: mtp_martech_profile Script: INSERT INTO `mtp_anonymous_profile_segmentation_job` (`id`, `segmentation_id`, `status`, `hash`, `properties`, `created_at`, `display_name`, `display_order`) VALUES
('d030469b11c64118a4631b9078f17a68', 'f83a1b2542cd4e7b9a8c7fd638e2b56f', NULL, '15599933049623895581\r\n', '{\"om_referral_id\":{\"$equal\":\"qc\"}}', '2024-03-06 14:59:49', 'QC Segment', 1); Thanks!</t>
  </si>
  <si>
    <t>[OMC][VINPAY][OPS][PROD] tạo tài khoản luồng h2h luồng qr247</t>
  </si>
  <si>
    <t>2025-02-20T11:04:16.019+0700</t>
  </si>
  <si>
    <t>2025-02-20T11:24:44.486+0700</t>
  </si>
  <si>
    <t>Dear team,  Em cần thêm tài khoản core account luồng h2h  thời gian thực hiện: thực hiện sau khi được approve ạ. e gửi thông tin db ạ: project: vinpay-prod Instance: low-performance Master IP: 172.31.1.149 Slave IP: 172.31.1.179 DB: ops_pay_service UPDATE ops_pay_service.SYSTEM_CONFIGURATION_DETAIL t
SET t.CONFIG_DETAIL_VALUE = '19099995555082'
WHERE t.SYSTEM_CONFIGURATION_DETAIL_ID = 92;
INSERT INTO ops_pay_service.BANK_ACCOUNT_CONFIGURATION (ACCOUNT_NUMBER, SERVICE_TYPE, ACCOUNT_NAME, BANK_CODE,
                                                        BANK_NAME, IS_ACTIVE, EMAIL, BANK_PHONE, COMPANY_CODE,
                                                        COMPANY_NAME, ACCOUNT_TYPE, REFER_ACCOUNT, CREATED_DATE,
                                                        CREATED_BY, UPDATED_BY, UPDATED_DATE, PREFIX_BANK, CATEGORY,
                                                        CIF_ID, CORE_TRANSACTION_TYPE, MNEMONIC_CORE, MERCHANT_CODE,
                                                        BANK_TRANSFER_METHOD, VA_SERVICE_TYPE, VA_SERVICE_ID,
                                                        SENT_KAFKA, PARENT_COMPANY, PREFIX_NAME, VERSION,
                                                        PARTNER_SERVICE)
VALUES ('\'19099995555082', 'STATEMENT_READER', 'CTCP VINIDPAY', 'VTCBVNVX', 'Ngân hàng TMCP Kỹ Thương Việt Nam', 1,
        null, null, 'VINIDPAY', 'Công ty cổ phần VINIDPAY', null, '064005978496', DEFAULT, null, null, null, null, null,
        null, null, null, null, null, null, null, null, 'E-WALLET', null, null, 'FINANCIALSERVICE');
INSERT INTO ops_pay_service.SOURCE_ACCOUNT_MASTER (PARTNER_CODE, ACCOUNT_NUMBER, ACCOUNT_NAME, IS_ACTIVE,
                                                       CREATED_DATE, CREATED_BY, UPDATED_DATE, UPDATED_BY, PARTNER_ID,
                                                       CORE_REFER_ACCOUNT, SERVICE_ID)
VALUES ('VINIDPAY', '19099995555082', 'CTCP VINID PAY', 1, DEFAULT, null, null, null, 'ONEIDPAY', '064005978496',
        'E-WALLET');</t>
  </si>
  <si>
    <t>[OMC][NR][PROD] Chạy câu lệnh SQL</t>
  </si>
  <si>
    <t>2025-02-20T10:09:24.571+0700</t>
  </si>
  <si>
    <t>2025-02-20T10:10:22.822+0700</t>
  </si>
  <si>
    <t>Dear anh Dũng, Nhờ anh chạy câu lệnh SQL với các thông tin dưới đây Project: vinticket-prod
IP: 172.31.1.3
DB name: vinticket SQL: START TRANSACTION;
CREATE TABLE IF NOT EXISTS `refund_transaction_logs`
(
	`id`              BIGINT       NOT NULL AUTO_INCREMENT PRIMARY KEY,
	`created_at`      TIMESTAMP DEFAULT CURRENT_TIMESTAMP,
	`updated_at`      TIMESTAMP DEFAULT CURRENT_TIMESTAMP ON UPDATE CURRENT_TIMESTAMP,
	`order_code`      VARCHAR(250) NOT NULL,
	`transaction_id`  BIGINT       NOT NULL,
	`refund_request`  TEXT      DEFAULT NULL,
	`refund_response` TEXT      DEFAULT NULL,
	`status`          VARCHAR(25)  NOT NULL,
	`refund_reason` TEXT DEFAULT NULL
) ENGINE = InnoDB
  DEFAULT CHARSET = utf8mb4;
COMMIT;</t>
  </si>
  <si>
    <t>[OMC][GAMI][PS2][Prod] Hỗ trợ xuất danh sách phát vé quay tuần 4</t>
  </si>
  <si>
    <t>2025-02-20T09:28:50.668+0700</t>
  </si>
  <si>
    <t>2025-02-20T09:30:38.504+0700</t>
  </si>
  <si>
    <t>Hỗ trợ xuất danh sách phát vé quay tuần 4 thời điểm cutoff data created_at &gt; '2025-02-12 21:20:00' &amp;&amp; created_at &lt; '2025-02-19 21:20:00' Host:  172.31.4.75 DB:  promo_gamezone Câu query: SELECT customer_id, unit_value FROM `transactions` WHERE created_at &gt; '2025-02-12 21:20:00' AND created_at &lt; '2025-02-19 21:20:00';</t>
  </si>
  <si>
    <t>[B2B-OMS]: Thay đổi length cho field groupLabelValues (FraudCheckOrderValue)</t>
  </si>
  <si>
    <t>2025-02-20T00:34:38.224+0700</t>
  </si>
  <si>
    <t>2025-02-20T00:46:27.201+0700</t>
  </si>
  <si>
    <t>Hi a Dương, Anh chạy giúp em script thay đổi length bên dưới với ạ. nguyên nhân do groupLabelValues phụ thuộc vào cấu hình bên sản phẩm và số lượng sku trong giỏ hàng nên độ dài có thể khá lớn ALTER TABLE `FraudCheckOrderValue` MODIFY `groupLabelValues` TEXT DEFAULT NULL; Hiện tại bảng có số lượng data nhỏ và không có relation với bảng khác. nên khi chạy sẽ không impact vào các bảng khác ạ. Thời gian chạy: tối ngày 19/02/2025 Thông tin database gcp project: vinid-b2b-platform-prod IP: 172.31.4.113 Database: b2b_oms_prod</t>
  </si>
  <si>
    <t>Cập nhật Aftersale DB S145</t>
  </si>
  <si>
    <t>2025-02-19T23:03:57.023+0700</t>
  </si>
  <si>
    <t>2025-02-20T11:23:59.684+0700</t>
  </si>
  <si>
    <t>Hi các anh , Team promotion OMD nhờ các anh hỗ trợ chạy script phục vụ cho S145 chạy cùng với thời điểm deploy.  alter table RewardTracking
    add voucherPercentage float null after alreadySendKafka; Thông tin database: GCP Project Instance DB name Production : vinid-b2b-platform-prod main (mysql 8.0 - 172.31.4.59) omd_aftersale_campaign Thanks!</t>
  </si>
  <si>
    <t>[B2B-OFS] Change database release S145(19/02/2025)</t>
  </si>
  <si>
    <t>2025-02-19T22:40:44.498+0700</t>
  </si>
  <si>
    <t>2025-02-20T11:24:57.723+0700</t>
  </si>
  <si>
    <t>Hi a Dương, Hiện tại team OFS mong muốn team DBA hỗ trợ chạy script thay đổi database cho release S145 trên prod. Nhờ team update database giúp em a. I. Thời gian: 22h ngày 19/02/2025 II. Thông tin database IP: 172.31.1.143 Database: b2b_ofs III. Query: ALTER TABLE b2b_ofs.load_tender ADD driver_id_card VARCHAR(50) NULL;
ALTER TABLE b2b_ofs.trip_planning ADD driver_id_card VARCHAR(50) NULL;</t>
  </si>
  <si>
    <t>[OMD CDP][Prod] Execute sql migration script for golive Sprint 9</t>
  </si>
  <si>
    <t>2025-02-19T22:19:16.087+0700</t>
  </si>
  <si>
    <t>2025-02-20T11:25:59.281+0700</t>
  </si>
  <si>
    <t>Nhờ team process execute sql script trong file đính kèm để init data cho CDP với nhé ạ Due date: 21h00 ngày 19/02/2025 Server: OMD TiDB at  omd-tidb.int.onemount.com:4000 Database:  omd_cdp_data_from_ingest Script: see in attachments omd-cdp-query-api-v0.3.0.ddl.sql
omd-cdp-ingest-api-v0.0.1.ingest.ddl.sql
omd-cdp-ingest-worker-v0.3.0.ingest.ddl.sql Database:  omd_cdp_orchestration Script: see in attachments omd-cdp-metadata-api-v0.3.0.ddl.sql
omd-cdp-ingest-worker-v0.3.0.meta.dml.sql</t>
  </si>
  <si>
    <t>[1SEAL][Prod] Update tuyến bán hàng cho sales</t>
  </si>
  <si>
    <t>2025-02-19T21:47:27.909+0700</t>
  </si>
  <si>
    <t>2025-02-20T14:30:01.627+0700</t>
  </si>
  <si>
    <t>Theo release plan   &amp; update đơn vị hành chính Team cần tạo tuyến mới trước cho sales bán hàng theo file SQL đính kèm. Instance run:  vinid-integration-prod--main.cloudsql.int Database:  sales_tools Thời gian chạy: 22h00 ngày 19/02/2024 @Nguyễn Đức Anh  Ntt</t>
  </si>
  <si>
    <t>[TMS][Prod] Execute sql migration script for Golive TMS Sprint 42 (19/02/2025)</t>
  </si>
  <si>
    <t>2025-02-19T21:33:33.055+0700</t>
  </si>
  <si>
    <t>2025-02-19T21:45:44.655+0700</t>
  </si>
  <si>
    <t>Nhờ team thực hiện migration sql cho các database sau ạ Thực hiện trước 22h ngày 19/02/2025 Database  omd_tms_planning_prod  (SQL instance tms-mysql-01 (Private IP: 172.31.4.129)  https://console.cloud.google.com/sql/instances/tms-mysql-01/overview?project=onedc-tms-prod ) (see attachments) tms-tariff-engine-v1.5.0.sql</t>
  </si>
  <si>
    <t>[OMRE][Agent][PROD] support chạy lệnh migration db</t>
  </si>
  <si>
    <t>2025-02-19T17:58:46.213+0700</t>
  </si>
  <si>
    <t>2025-02-19T17:59:33.007+0700</t>
  </si>
  <si>
    <t>Nhờ các anh  @Nguyễn Văn Dũng  chạy giúp em 3 câu lệnh này trên db  ALTER TABLE `agent_histories` ADD `note` VARCHAR(255) NULL DEFAULT NULL AFTER `info_update_time`;
ALTER TABLE `agents` ADD `note` VARCHAR(255) NULL DEFAULT NULL AFTER `salary_group`;
ALTER TABLE `agent_histories` ADD `history_note` VARCHAR(255) NULL DEFAULT NULL AFTER `note`; Thông tin DB: HOST = "172.31.4.83" PORT = 3306 DATABASE = "agent-platform"</t>
  </si>
  <si>
    <t xml:space="preserve">[OMRE][Agent][PROD] review câu lệnh migration trước khi chạy </t>
  </si>
  <si>
    <t>2025-02-19T16:52:40.635+0700</t>
  </si>
  <si>
    <t>2025-02-20T16:00:47.837+0700</t>
  </si>
  <si>
    <t>dear các anh  em cần review trước mấy câu sql này nếu chạy trên db có gây lock db không? ALTER TABLE contract
ADD COLUMN renewable BOOLEAN DEFAULT NULL,
ADD COLUMN renewal_term INT DEFAULT NULL; ALTER TABLE `agent_working_groups` ADD INDEX `idx_agent_code` (`agent_code`);
ALTER TABLE `agent_working_groups` ADD INDEX `idx_agent_uuid` (`agent_uuid`); thực hiện:  21h ngày 19Feb25 Thông tin DB: HOST = "172.31.4.83" PORT = 3306 DATABASE = "agent-platform"</t>
  </si>
  <si>
    <t>2025-02-19T15:32:28.756+0700</t>
  </si>
  <si>
    <t>2025-02-19T17:55:09.745+0700</t>
  </si>
  <si>
    <t>Hỗ trợ xuất báo cáo data of campaign "Săn vé anh tài" Day 3,4 theo câu query, lưu thành các exel sau: Host:  172.31.4.75 DB:  promo_gamezone Danh sách KH nhận được lượt quay theo scheme Payment: Query các KH có giao dịch quà tặng của  campaignID 21 Query SELECT customer_id,unit_value,created_at FROM `transactions` 
WHERE campaign_id=21 &amp;&amp; created_at &gt;= '2025-01-18 00:00:00' 
&amp;&amp; created_at &lt; '2025-02-10 00:00:00'; Danh sách KH được được lượt quay theo scheme AE: Query các KH được phát  lượt thủ công  cho  campaignID 20   Query SELECT customer_id,claim_amount,created_at FROM `rule_logs` 
WHERE campaign_id = 20 &amp;&amp; created_at &gt;= '2025-01-18 00:00:00' 
&amp;&amp; created_at &lt; '2025-02-10 00:00:00' &amp;&amp; claim_type='MANUAL'; Danh sách các KH tham gia quay thưởng: Query các KH có ít nhất 1 giao dịch quà tặng (không quan tâm trạng thái giao dịch) của  campaignID 20 Query SELECT DISTINCT customer_id FROM `transactions` 
WHERE campaign_id = 20 AND created_at &gt;= '2025-01-18 00:00:00' 
AND created_at &lt; '2025-02-10 00:00:00'; Danh sách các KH nhận được vé: Query các KH có ít nhất 1 giao dịch quà tặng (giao dịch ở trạng thái Thành công) thuộc loại  Voucher  của  campaignID 20 Query SELECT DISTINCT customer_id FROM `transactions` 
WHERE campaign_id = 20 AND created_at &gt;= '2025-01-18 00:00:00' 
AND created_at &lt; '2025-02-10 00:00:00' AND reward_type='VOUCHER' AND `status`='SUCCESS';</t>
  </si>
  <si>
    <t>[OMC][New Retail][PROD] Migrate Campaign Variant</t>
  </si>
  <si>
    <t>2025-02-19T14:47:37.063+0700</t>
  </si>
  <si>
    <t>2025-02-19T16:51:05.649+0700</t>
  </si>
  <si>
    <t>Dear Anh em DBA, Nhờ mọi người support team chạy script migrate data bảng campaign_variant. Do nhu cầu cần filter out các voucher trong campaign. Thời gian dự kiến chạy:  22h 09/01/2025 (chạy ticket này trước:     ) Thông tin DatabaseMySQL Ip: 172.31.1.41
DB name:vincart_mm_product Các bước cần xử lý: Backup bảng   campaign_variant alter table campaign_variant
    add display_from  bigint default null;
alter table campaign_variant
    add display_to  bigint default null;
create index idx_cv_display_from
    on campaign_variant (display_from);
create index idx_cv_display_to
    on campaign_variant (display_to);
ALTER TABLE campaign_variant ADD COLUMN temp_effective_from BIGINT;
ALTER TABLE campaign_variant ADD COLUMN temp_effective_to BIGINT;
UPDATE campaign_variant SET temp_effective_from = UNIX_TIMESTAMP(effective_from),
                            temp_effective_to = UNIX_TIMESTAMP(effective_to);
ALTER TABLE campaign_variant DROP COLUMN effective_from;
ALTER TABLE campaign_variant CHANGE COLUMN temp_effective_from effective_from BIGINT;
ALTER TABLE campaign_variant DROP COLUMN effective_to;
ALTER TABLE campaign_variant CHANGE COLUMN temp_effective_to effective_to BIGINT;
create index idx_cv_effective_from
    on campaign_variant (effective_from);
create index idx_cv_effective_to
    on campaign_variant (effective_to);
update campaign_variant set display_from = 1722489600, display_to=1725081025 where campaign_code ='K2wML5QDd';
update campaign_variant set display_from = 1723042481, display_to=1723301627 where campaign_code ='6jqA1q0nZ';
update campaign_variant set display_from = 1723313280, display_to=1723350600 where campaign_code ='rBg3Aya4r';
update campaign_variant set display_from = 1723456967, display_to=1723544456 where campaign_code ='Y67jzYxZY';
update campaign_variant set display_from = 1723536182, display_to=1723795267 where campaign_code ='AKG3b2G3g';
update campaign_variant set display_from = 1723539135, display_to=1723798279 where campaign_code ='zz4kygLkA';
update campaign_variant set display_from = 1723721760, display_to=1723894510 where campaign_code ='yr4QOky5x';
update campaign_variant set display_from = 1723748400, display_to=1723755600 where campaign_code ='zz4mznREm';
update campaign_variant set display_from = 1723781536, display_to=1723795320 where campaign_code ='9w3rRr5qr';
update campaign_variant set display_from = 1723788180, display_to=1723799100 where campaign_code ='0nGEDbnvr';
update campaign_variant set display_from = 1723803245, display_to=1723806060 where campaign_code ='qBg72p6yk';
update campaign_variant set display_from = 1723805375, display_to=1723806060 where campaign_code ='0nGEYMDg0';
update campaign_variant set display_from = 1723834800, display_to=1723842000 where campaign_code ='jmgzdgOqW';
update campaign_variant set display_from = 1723811884, display_to=1723819860 where campaign_code ='O9DbBK6av';
update campaign_variant set display_from = 1723814177, display_to=1723815060 where campaign_code ='7gdbLBW6x';
update campaign_variant set display_from = 1723823485, display_to=1723824060 where campaign_code ='7gdbKGrYp';
update campaign_variant set display_from = 1724526900, display_to=1724532300 where campaign_code ='yr4yNZnLz';
update campaign_variant set display_from = 1724526900, display_to=1724532300 where campaign_code ='vn4LNA0E8';
update campaign_variant set display_from = 1724490499, display_to=1724492100 where campaign_code ='ZYMBmAdE5';
update campaign_variant set display_from = 1724505019, display_to=1724677780 where campaign_code ='ZYMB6LmOJ';
update campaign_variant set display_from = 1724531193, display_to=1724532060 where campaign_code ='6jqLrRaZa';
update campaign_variant set display_from = 1724532720, display_to=1724533200 where campaign_code ='vn48WEMk8';
update campaign_variant set display_from = 1724533091, display_to=1724533989 where campaign_code ='6jqLgGkGn';
update campaign_variant set display_from = 1724772267, display_to=1724772960 where campaign_code ='kAgv0z0gx';
update campaign_variant set display_from = 1724846030, display_to=1724846520 where campaign_code ='K2wdX3JNY';
update campaign_variant set display_from = 1724846068, display_to=1724846460 where campaign_code ='rBgvZLwvw';
update campaign_variant set display_from = 1724852450, display_to=1725802799 where campaign_code ='RkGDZpKP8';
update campaign_variant set display_from = 1724857123, display_to=1724857560 where campaign_code ='MGZ34j9DE';
update campaign_variant set display_from = 1724861688, display_to=1724948042 where campaign_code ='P8A23KDz1';
update campaign_variant set display_from = 1724886420, display_to=1924902441 where campaign_code ='O9D28DvO9';
update campaign_variant set display_from = 1724886852, display_to=1924966799 where campaign_code ='6jqwOP1DE';
update campaign_variant set display_from = 1724896800, display_to=1724993999 where campaign_code ='O9D24mkw9';
update campaign_variant set display_from = 1724900993, display_to=1724983790 where campaign_code ='L8K2Zv6bw';
update campaign_variant set display_from = 1724896800, display_to=1724993999 where campaign_code ='K2w8RyRwg';
update campaign_variant set display_from = 1724899800, display_to=1724993999 where campaign_code ='XJqamk9EW';
update campaign_variant set display_from = 1725116400, display_to=1726052400 where campaign_code ='rBgdX8O2G';
update campaign_variant set display_from = 1725449100, display_to=1725508800 where campaign_code ='L8KrwyNzw';
update campaign_variant set display_from = 1725519600, display_to=1725591600 where campaign_code ='3rPXGBdP6';
update campaign_variant set display_from = 1725533406, display_to=1726228210 where campaign_code ='DYPwkDMXv';
update campaign_variant set display_from = 1725606000, display_to=1725678000 where campaign_code ='dMNdjnkwz';
update campaign_variant set display_from = 1725692400, display_to=1725764400 where campaign_code ='52zymgAQM';
update campaign_variant set display_from = 1725778800, display_to=1725850800 where campaign_code ='mELmqX6A0';
update campaign_variant set display_from = 1725865200, display_to=1725937200 where campaign_code ='Y67gwPvmj';
update campaign_variant set display_from = 1725951600, display_to=1726023600 where campaign_code ='3rPER5B5a';
update campaign_variant set display_from = 1726038000, display_to=1726110000 where campaign_code ='JG3X1dw8R';
update campaign_variant set display_from = 1726124400, display_to=1726196400 where campaign_code ='zz4j0JNDQ';
update campaign_variant set display_from = 1726128000, display_to=1726408799 where campaign_code ='ZYMvOQ1Jy';
update campaign_variant set display_from = 1726253283, display_to=1726256760 where campaign_code ='6jqvEgxrW';
update campaign_variant set display_from = 1726262265, display_to=1726263060 where campaign_code ='qBgYXGJDg';
update campaign_variant set display_from = 1726326962, display_to=1726329660 where campaign_code ='4zr00M8bg';
update campaign_variant set display_from = 1726335900, display_to=1726336910 where campaign_code ='RkGEZ8kG3';
update campaign_variant set display_from = 1726345314, display_to=1726345861 where campaign_code ='3rP6QkAq0';
update campaign_variant set display_from = 1727262000, display_to=1727704799 where campaign_code ='1bBk963wK';
update campaign_variant set display_from = 1727598572, display_to=1727600401 where campaign_code ='P8y7LwKng';
update campaign_variant set display_from = 1728313200, display_to=1728316920 where campaign_code ='Y6bvM1QqJ';
update campaign_variant set display_from = 1728357600, display_to=1728360900 where campaign_code ='0nm926bz0';
update campaign_variant set display_from = 1728375600, display_to=1728376500 where campaign_code ='rBk0JWqJr';
update campaign_variant set display_from = 1728397443, display_to=1728398580 where campaign_code ='pEW40E1XJ';
update campaign_variant set display_from = 1728398855, display_to=1728400080 where campaign_code ='P8ymdGGaL';
update campaign_variant set display_from = 1728579600, display_to=1729000799 where campaign_code ='nEJWg2wpP';
update campaign_variant set display_from = 1729582200, display_to=1729582800 where campaign_code ='GGyZBG3gr';
update campaign_variant set display_from = 1729879310, display_to=1729879860 where campaign_code ='DYGP0zY4z';
update campaign_variant set display_from = 1730109600, display_to=1730296799 where campaign_code ='P8yyWGz6Z';
update campaign_variant set display_from = 1730706300, display_to=1730709000 where campaign_code ='qB4X0EpX9';
update campaign_variant set display_from = 1731484800, display_to=1731679199 where campaign_code ='xP6m0jRz4';
update campaign_variant set display_from = 1731919390, display_to=1731920460 where campaign_code ='kAk8DnEJx';
update campaign_variant set display_from = 1731924784, display_to=1731951055 where campaign_code ='yr0W1X3gr';
update campaign_variant set display_from = 1731941930, display_to=1731942944 where campaign_code ='kAk84nwE9';
update campaign_variant set display_from = 1731941930, display_to=1731942944 where campaign_code ='9wqLGbq0v';
update campaign_variant set display_from = 1732164492, display_to=1732165201 where campaign_code ='DYGjJ93vJ';
update campaign_variant set display_from = 1732201176, display_to=1732201587 where campaign_code ='bWK2jGXOO';
update campaign_variant set display_from = 1732266762, display_to=1732439509 where campaign_code ='NJy2xRM6w';
update campaign_variant set display_from = 1732270362, display_to=1732439509 where campaign_code ='yr0NY29AG';
update campaign_variant set display_from = 1732270406, display_to=1732443151 where campaign_code ='yr0Na08Ez';
update campaign_variant set display_from = 1732684500, display_to=1732975199 where campaign_code ='8BzpG7Yvr';
update campaign_variant set display_from = 1733200254, display_to=1733203920 where campaign_code ='wbkmPrPdm';
update campaign_variant set display_from = 1733200168, display_to=1733202960 where campaign_code ='NJyGZkRYM';
update campaign_variant set display_from = 1733386449, display_to=1733386860 where campaign_code ='7grPKqdLy';
update campaign_variant set display_from = 1733473143, display_to=1733473260 where campaign_code ='6jPv26AwE';
update campaign_variant set display_from = 1734141600, display_to=1734271199 where campaign_code ='1bBmmagYY';
update campaign_variant set display_from = 1735068221, display_to=1735069500 where campaign_code ='xPzx7yxvE';
update campaign_variant set display_from = 1735203670, display_to=1735204440 where campaign_code ='K2025xMEv';
update campaign_variant set display_from = 1735203890, display_to=1735204320 where campaign_code ='JG0G8PwNR';
update campaign_variant set display_from = 1735273920, display_to=1735274700 where campaign_code ='bWbYY6zxx';
update campaign_variant set display_from = 1735274700, display_to=1735275600 where campaign_code ='7gxnn5Kgp';
update campaign_variant set display_from = 1735275300, display_to=1735275600 where campaign_code ='jmwNWPOBd';
update campaign_variant set display_from = 1735275900, display_to=1735286400 where campaign_code ='GG0KJ6Ayp';
update campaign_variant set display_from = 1735287000, display_to=1735288200 where campaign_code ='wbrx7OBKJ';
update campaign_variant set display_from = 1735287000, display_to=1735291800 where campaign_code ='qBGz667P8';
update campaign_variant set display_from = 1735295829, display_to=1735468596 where campaign_code ='kAKO2MGpj';
update campaign_variant set display_from = 1735364908, display_to=1735365240 where campaign_code ='O9R12YN0p';
update campaign_variant set display_from = 1735959959, display_to=1736046728 where campaign_code ='xPzGD7Rvm';
update campaign_variant set display_from = 1735874025, display_to=1735960429 where campaign_code ='GG012xOAm';
update campaign_variant set display_from = 1735960393, display_to=1736046979 where campaign_code ='6jAJx10Wz';</t>
  </si>
  <si>
    <t>[OMC][Vinpay][NonProd] Setup DB cho dự án Rinlink</t>
  </si>
  <si>
    <t>2025-02-19T14:46:26.073+0700</t>
  </si>
  <si>
    <t>2025-02-19T16:50:08.792+0700</t>
  </si>
  <si>
    <t xml:space="preserve">Nhờ team DBA setup giúp e 2 database mới theo username như sau: Database/username : rinlink_fota_api_server Mật khẩu :  [Gửi lại SRE sau khi setup xong] Role : { role: 'readWrite', db: 'rinlink_fota_api_server' } Database/username : rinlink_iot_broadcast Mật khẩu :  [Gửi lại SRE sau khi setup xong] Role : [   { role: 'readWrite', db: 'rinlink_iot_broadcast' },   { role: 'dbAdmin', db: 'rinlink_iot_broadcast' } // If auto index creation is needed – Team DBA chưa cấp quyền này, tạm thời chỉ cấp quyền RW trước. ] SAD :    TO : anh  @Vương Đình Dũng   SRE :  @Nguyễn Hoàng Long   @Former user   @Phạm Việt Hùng  </t>
  </si>
  <si>
    <t>[OMC][New Retail][PROD] Insert attribute IS_DIGITAL</t>
  </si>
  <si>
    <t>2025-02-19T14:45:17.858+0700</t>
  </si>
  <si>
    <t>2025-02-19T16:50:05.368+0700</t>
  </si>
  <si>
    <t>Hi team. Nhờ các anh chạy giúp em câu lệnh sau Chạy ngay khi được approve project: vincart-prod DB: vincart_mm_product instance: main ip: 172.31.1.41 INSERT INTO `entity_attributes_values` (`attribute_id`, `value`, `name`, `entity_id`, `type`,`display_order`)
VALUES ('1', 'true', 'IS_DIGITAL', '757444', 'PRODUCT', '0');</t>
  </si>
  <si>
    <t>[OMD][Kafka][PROD] Tạo kafka topic cho các bảng của WMS cho MiniDC 8114</t>
  </si>
  <si>
    <t>2025-02-19T14:44:21.405+0700</t>
  </si>
  <si>
    <t>2025-02-19T16:50:02.439+0700</t>
  </si>
  <si>
    <t>Dear các anh DBA, Hiện tại OMD đang có nhu cầu phát triển thêm kho mới, nhờ anh Linh tạo kafka topic ở môi trường PROD giúp team để kéo data về DP nhé ạ! PROD: Project: vinid-b2b-platform-prod IP host: 172.31.4.59:3306 (mysql) Schema: omd_wms_8114 Table list: appointment_service_status
appointment_service_type
appointment_status
appointment_type
whse_location
prod_master
stock_status
prod_uom
appointment_master
appointment_service
order_hdr
order_item
whse_stock_detail
prod_batch_detail
report_order_header
report_order_item
report_warehouse_order_header
report_warehouse_order_item
report_warehouse_stock_item
report_wave_header
wave_order_header
wave_order_item
whse_order_hdr
whse_order_item Thanks and regards! cong.do1</t>
  </si>
  <si>
    <t>2025-02-19T14:39:54.520+0700</t>
  </si>
  <si>
    <t>2025-02-19T17:54:56.357+0700</t>
  </si>
  <si>
    <t xml:space="preserve">[OMD][tcb-saleapp][PROD] Xin cấp mongodb cho dự án tcb saleapp </t>
  </si>
  <si>
    <t>2025-02-19T14:37:59.343+0700</t>
  </si>
  <si>
    <t>2025-02-19T14:48:04.960+0700</t>
  </si>
  <si>
    <t>Hi anh Linh Nhờ anh cấp giúp em db trên mongo cho dự án tcb saleapp ạ SAD:    Môi trường Non-prod ( mongos-ilb-2.int.onemount.dev ):  omd_tc_saleapp_{qc/uat } Môi trường production (ILB: 10.255.32.55):  omd_tc_saleapp_prod Config sharding tạm thời anh Linh cứ để default giúp em nhé ạ!</t>
  </si>
  <si>
    <t>[OMC][PS2][Loyalty][PROD] - Update data production cho LOC và CPM</t>
  </si>
  <si>
    <t>2025-02-19T14:36:42.732+0700</t>
  </si>
  <si>
    <t>2025-02-19T14:48:01.648+0700</t>
  </si>
  <si>
    <t>Dear anh Linh, Nhờ anh hỗ trợ update data theo thông tin sau: 1. oneloyalty_checkout project: vinid-loyalty-prod instance: oneloyalty Master IP: 172.31.7.6 DB: oneloyalty_checkout UPDATE loc_transaction_history SET cancellation = null,cancellation_time = NULL WHERE transaction_ref ='LOC201209839274'; 2. oneloyalty_cpm project: vinid-loyalty-prod instance: oneloyalty Master IP: 172.31.7.6 DB: oneloyalty_cpm UPDATE master_transaction_history SET cancellation = null,cancellation_time = NULL WHERE transaction_ref ='CPM312591954241';
UPDATE transaction_history set cancellation = null,cancellation_time = null where loyalty_transaction_ref_no = '622395523102295'; Thanks anh!</t>
  </si>
  <si>
    <t>[OMC][VINPAY][PROD] Tác động database Tpay</t>
  </si>
  <si>
    <t>2025-02-19T14:31:14.514+0700</t>
  </si>
  <si>
    <t>2025-02-19T14:31:49.292+0700</t>
  </si>
  <si>
    <t>Hi team, Các anh giúp em chạy script với thông tin như bên dưới nhé ạ Thông tin database  saas_tpay: jdbc:mysql://pay-tidb.int.onemount.com:4000/saas_tpay Ticket này nhờ team chạy trong giờ giúp em ạ SERVICE UPDATE SERVICE SET STATUS = 'DRAFT' WHERE ID IN (58601, 58602, 58613, 58614);</t>
  </si>
  <si>
    <t>[OMC][AuthenSDK][PROD]  Add data vào bảng whitelist_phones</t>
  </si>
  <si>
    <t>2025-02-19T14:30:45.513+0700</t>
  </si>
  <si>
    <t>2025-02-19T14:32:58.311+0700</t>
  </si>
  <si>
    <t xml:space="preserve">Mục đích: Unratelimit Request OTP cho bên Nhân Sự thực hiện việc ký kết hợp đồng   Với nhu cầu trên nhờ anh add giúp em data sau đây vào trong bảng whitelist_phones giúp em ạ: INSERT INTO whitelist_phones (phone_number, app_id)
VALUES
('0356228662', 'AwnwekrBEmfdzdc');   Thông tin database: Host:  172.31.3.40 Database:  omc_bp_authentication  </t>
  </si>
  <si>
    <t xml:space="preserve">[OMC][New Retail][PROD] Chạy câu lệnh SQL </t>
  </si>
  <si>
    <t>2025-02-19T14:29:31.569+0700</t>
  </si>
  <si>
    <t>2025-02-19T14:33:02.250+0700</t>
  </si>
  <si>
    <t xml:space="preserve">Nhờ anh  @Phạm Tuấn Linh  chạy giúp em lệnh SQL sau ạ Project: vincart-prod IP: 172.31.4.9 Database: ecom_transaction SQL: START TRANSACTION;
UPDATE `transaction_lines` SET status='ROLLBACK_SUCCEEDED' WHERE id = 1882524;
COMMIT;  </t>
  </si>
  <si>
    <t>2025-02-19T14:28:03.782+0700</t>
  </si>
  <si>
    <t>2025-02-19T14:33:07.778+0700</t>
  </si>
  <si>
    <t xml:space="preserve">Nhờ anh  @Phạm Tuấn Linh  chạy giúp em lệnh SQL sau ạ Project: vincart-prod IP: 172.31.4.9 Database: ecom_transaction SQL: START TRANSACTION;
UPDATE `transaction_lines` SET status='PROCESSING' WHERE id IN (1882187,1882195,1882290,1882312,1882318,1882333,1882366,1882375,1882434,1882524);
COMMIT;  </t>
  </si>
  <si>
    <t>[OMC][New Retail][PROD] Migrate data order ticket code</t>
  </si>
  <si>
    <t>2025-02-19T14:18:48.956+0700</t>
  </si>
  <si>
    <t>2025-02-19T14:32:35.198+0700</t>
  </si>
  <si>
    <t>Dear A/e DBA, Nhờ a/e chạy giúp script. Cập nhật thông tin ticket coe. Do đang lưu thiếu thông tin ticket code. Thời gian chạy:  17h30 03/1/2025 Thông tin Database Mysql: IP:  172.31.1.41 DatabaseName:  vincart_mm_order INSERT INTO serial_fulfillment_items (user_id, order_id, order_code, fulfillment_id,
                                      fulfillment_item_id, variant_id, serial_code, distribute_code,
                                      expired_time)
VALUES (1010681520, 1265798, 'M327E2Q', 1198343, 1504751, 1009410,
        '3728ab153ae84a5a95d6d11693c7607f', 'h9sr0hnxdugh8VxDqxdBl', from_unixtime(1738120629)),
       (1008329746, 843258, 'M62VKDD', 775794, 1081813, 1009010,
        '4faf0a0d6dd74116a3d3d807d8f169c91735664399', 'gKyDaDdw4k4lGBOaJbdQK',
        from_unixtime(1735664399)),
       (20314783, 843263, 'MDNG8XV', 775799, 1081818, 1008513, '36637f81ef9a45c1ae0193fc64fc8f43',
        'lYUSHKpyLI0zn4WU7Pb_y', from_unixtime(1731172144)),
       (1000001873, 889145, 'MK9N59K', 821687, 1127708, 1009092, '81960f5d3bc44263838c166bb98a7be8',
        '060gCAg7Y5fNiBrTCw0GH', from_unixtime(1735664399)),
       (1000078272, 843259, 'MQ8EL38', 775795, 1081814, 1009010, '8a5546d0a1af4b9b96b5aca495405951',
        'yYzDcaMzdpNkh8Cmnt1Yl', from_unixtime(1735664399)),
       (1021256, 1042228, 'MY3VQ7B', 974773, 1280796, 1009087, '640b0d9112b74cc68f7f22323d8d1052',
        'VORAwnJAzANEfPryYUu5', from_unixtime(1733763728));
update orders
set status = 'FINISHED'
WHERE code in (
               'M62VKDD', 'MY3VQ7B', 'M327E2Q', 'MK9N59K', 'MDNG8XV', 'MQ8EL38');
update fulfillments
set status = 'SHIPPED'
WHERE order_id in (select o.id
                   from orders o
                   where o.code in
                         ('M62VKDD', 'MY3VQ7B', 'M327E2Q', 'MK9N59K', 'MDNG8XV', 'MQ8EL38'));</t>
  </si>
  <si>
    <t>[OMC][VINPAY][EzPay][PROD] Cấp quyền truy cập bảng thuộc DB EWALLET</t>
  </si>
  <si>
    <t>2025-02-19T14:17:13.844+0700</t>
  </si>
  <si>
    <t>2025-02-19T14:32:38.115+0700</t>
  </si>
  <si>
    <t>Hi anh Nhờ các anh DBA phân quyền cho tài khoản NGOCCX truy cập thêm các bảng sau thuộc DB EWALLET ạ. Thông tin DB: 10.255.24.77 ewallet-oracle-19c-standby
Port DB: 1522
SERVICE_NAME: EWALLET Bảng cần phân quyền:   PAYMENT_TRANSACTION_DETAIL
VERIFICATION_CONFIGURATION
CUSTOMER_REFERENCE_LINK_BANK
LIMIT_CONFIG_WALLET_LEVEL
SYSTEM_CONFIGURATION
CUSTOMER_COUNTER
BANK
BANK_NAPAS
BANK_VERIFY_INFO
LIMIT_CONFIG_LEGAL_WALLET_LEVEL
LINK_BANK_VERIFY_INFO
REF_BANK_BIN
REF_BANK_LINK_TYPE
BANK_FUNCTION
CONFIG_MOVEMENT</t>
  </si>
  <si>
    <t>2025-02-19T14:14:47.220+0700</t>
  </si>
  <si>
    <t>2025-02-19T14:32:41.320+0700</t>
  </si>
  <si>
    <t>Description Context:  Màn hình kết quả giao dịch vẫn hiển thị icon cũ, chưa update theo branding OneU Expectation:  Cần update lại logo Ticket:   https://vinid-team.atlassian.net/browse/NR-13665 Solotion :  project: vinpay-prod private ip: 172.31.1.54 database: pay_recommendation Update data trong database  vinpay-prod  →  pay_recommendation  (bảng  service ,  user_recommend ) File SQL update cho bảng “service”:  pay_recommendation_service.sql File SQL update cho bảng “user_recommend”:  pay_recommendation_user_recommend.sql</t>
  </si>
  <si>
    <t>[OMC][Loyalty][PS2][PROD] Migrate db</t>
  </si>
  <si>
    <t>2025-02-19T14:12:45.690+0700</t>
  </si>
  <si>
    <t>2025-02-19T14:32:49.517+0700</t>
  </si>
  <si>
    <t>Nhờ team chạy script này trên PROD env của DB loyalty_checkout giúp team Loyalty ạ</t>
  </si>
  <si>
    <t>[OM][AAM][PROD]  update record Database</t>
  </si>
  <si>
    <t>2025-02-19T14:08:34.006+0700</t>
  </si>
  <si>
    <t>2025-02-19T14:32:53.670+0700</t>
  </si>
  <si>
    <t>update record được ủy quyền khi ủy quyền hết hạn  với ID = APLG2190610 update is_active = false , applied_to thành 2025-01-02 00:00:00</t>
  </si>
  <si>
    <t xml:space="preserve">[OMC][VINPAY][OPS] hỗ trợ OMRE thêm tài khoản core account luồng h2h </t>
  </si>
  <si>
    <t>2025-02-19T14:05:18.585+0700</t>
  </si>
  <si>
    <t>2025-02-19T14:32:30.929+0700</t>
  </si>
  <si>
    <t>Dear team,  Em cần thêm  tài khoản core account luồng h2h  thời gian thực hiện: thực hiện sau khi được approve ạ. script: UPDATE ops_pay_service.SOURCE_ACCOUNT_MASTER t SET t.CORE_REFER_ACCOUNT = '094087260859' WHERE t.ACCOUNT_NUMBER = '19033995588087';</t>
  </si>
  <si>
    <t>[OMRE][Agent][PROD] Cập nhật thông tin flyway histories database agent</t>
  </si>
  <si>
    <t>2025-02-19T13:56:00.207+0700</t>
  </si>
  <si>
    <t>2025-02-19T17:52:49.737+0700</t>
  </si>
  <si>
    <t>Dear team DBA. Nhờ mọi người run 2 câu lệnh này giúp bên OMRE 1.  SELECT * FROM `flyway_schema_history` WHERE success = 0 UPDATE  flyway_schema_history  SET  success  = '1' WHERE  flyway_schema_history . version  = '--version--' UPDATE  flyway_schema_history  SET  checksum  = '--checksum---' WHERE  flyway_schema_history . version  = '--version--' Lưu ý: Team nhờ mọi người run câu lệnh 1 trước, sau đó mọi người đợi team phản hồi lại, team sẽ cập nhật thông tin và nhờ mọi người chạy tiếp 2 câu còn lại Thông tin DB: HOST = "172.31.4.83" PORT = 3306 DATABASE = "agent-platform"</t>
  </si>
  <si>
    <t>[OMD][PROD][WMS]V/v revoke DROP permission trên user chạy migration database schemas của tất cả tenant đã tạo</t>
  </si>
  <si>
    <t>2025-02-19T12:04:24.392+0700</t>
  </si>
  <si>
    <t>2025-02-22T12:22:41.633+0700</t>
  </si>
  <si>
    <t>Dear sếp  @Nguyễn Đức Khôi  , DBA tiến hành revoke DROP permission trên tất cả các database schemas của tất cả tenant đã tạo trước đây theo yêu cầu. Thống kê permission trên WMS và WES:</t>
  </si>
  <si>
    <t>2025-02-19T11:53:21.441+0700</t>
  </si>
  <si>
    <t>2025-02-19T11:55:53.955+0700</t>
  </si>
  <si>
    <t>Hi team. Do vận hành thực hiện thu hồi voucher nên xảy ra tình trạng lệch tồn giữa ONEVC và VMM, nhưng do chưa có cơ chế sync tồn tự động nên cần chạy script update lại tồn của VMM. Vận hành đã tiến hành inactive voucher để thực hiện update nên ko ảnh hưởng đến người dùng Nhờ team chạy giúp em câu lệnh sau ạ Chạy ngay khi được approve project: vincart-prod DB: vincart_mm_product instance: main ip: 172.31.1.41 start transaction ;
update inventories set total_stock = 70, on_hand = 57, committed = 0, available = 57 where variant_code = 'MEIWEI_14062024_SF5054_UPoint' and channel_code = 'INIT';
update inventories set total_stock = 69, on_hand = 0, committed = 0, available = 0 where variant_code = 'WULAO_14062024_SF5058_UPoint' and channel_code = 'INIT';
update inventories set total_stock = 21251, on_hand = 8713, committed = 0, available = 8713 where variant_code = 'VD_VC_1732870397089' and channel_code = 'INIT';
update inventories set total_stock = 70, on_hand = 31, committed = 0, available = 31 where variant_code = 'HOTPOTSTORY_14062024_SF5025_UPoint' and channel_code = 'INIT';
update inventories set total_stock = 620, on_hand = 620, committed = 0, available = 620 where variant_code = 'VD_VC_1736755897791' and channel_code = 'INIT';
update inventories set total_stock = 548, on_hand = 349, committed = 0, available = 349 where variant_code = 'VD_VC_1734346012273' and channel_code = 'INIT';
update inventories set total_stock = 1276, on_hand = 0, committed = 0, available = 0 where variant_code = 'VD_VC_1728899076870' and channel_code = 'INIT';
update inventories set total_stock = 45308, on_hand = 27282, committed = 0, available = 27282 where variant_code = 'VD_VC_1732870399699' and channel_code = 'INIT';
update inventories set total_stock = 66, on_hand = 58, committed = 0, available = 58 where variant_code = 'MEIWEI_14062024_SF5053_UPoint' and channel_code = 'INIT';
update inventories set total_stock = 685, on_hand = 349, committed = 0, available = 349 where variant_code = 'VD_VC_1734346016024' and channel_code = 'INIT';
update inventories set total_stock = 352, on_hand = 350, committed = 0, available = 350 where variant_code = 'VD_VC_1736755903527' and channel_code = 'INIT';
update inventories set total_stock = 627, on_hand = 620, committed = 0, available = 620 where variant_code = 'VD_VC_1736755906856' and channel_code = 'INIT';
update inventories set total_stock = 70, on_hand = 57, committed = 0, available = 57 where variant_code = 'KHAOLAO_14062024_SF5048_UPoint' and channel_code = 'INIT';
update inventories set total_stock = 70, on_hand = 65, committed = 0, available = 65 where variant_code = 'CAPRICCIOSA_14062024_SF5044_UPoint' and channel_code = 'INIT';
update inventories set total_stock = 63, on_hand = 52, committed = 0, available = 52 where variant_code = 'KHAOLAO_14062024_SF5047_UPoint' and channel_code = 'INIT';
update inventories set total_stock = 70, on_hand = 70, committed = 0, available = 70 where variant_code = 'SEOULGARDEN_14062024_SF5030_UPoint' and channel_code = 'INIT';
update inventories set total_stock = 70, on_hand = 64, committed = 0, available = 64 where variant_code = 'SEOULGARDEN_14062024_SF5029_UPoint' and channel_code = 'INIT';
update inventories set total_stock = 70, on_hand = 55, committed = 0, available = 55 where variant_code = 'SUSHIKEI_14062024_SF5040_UPoint' and channel_code = 'INIT';
update inventories set total_stock = 70, on_hand = 58, committed = 0, available = 58 where variant_code = 'CAPRICCIOSA_14062024_SF5043_UPoint' and channel_code = 'INIT';
update inventories set total_stock = 47046, on_hand = 27963, committed = 0, available = 27963 where variant_code = 'VD_VC_1732870398601' and channel_code = 'INIT';
update inventories set total_stock = 68, on_hand = 51, committed = 0, available = 51 where variant_code = 'HOTPOTSTORY_14062024_SF5026_UPoint' and channel_code = 'INIT';
update inventories set total_stock = 70, on_hand = 69, committed = 0, available = 69 where variant_code = 'SIZZLER_14062024_SF5050_UPoint' and channel_code = 'INIT';
update inventories set total_stock = 70, on_hand = 70, committed = 0, available = 70 where variant_code = 'SEOULGARDEN_14062024_SF5028_UPoint' and channel_code = 'INIT';
update inventories set total_stock = 67, on_hand = 44, committed = 0, available = 44 where variant_code = 'THAIEXPRESS_14062024_SF5057_UPoint' and channel_code = 'INIT';
update inventories set total_stock = 1058, on_hand = 614, committed = 0, available = 614 where variant_code = 'VD_VC_1734338722212' and channel_code = 'INIT';
update inventories set total_stock = 392, on_hand = 387, committed = 0, available = 387 where variant_code = 'MAA_SOIBIEN_25042024_SF4861_UPoint' and channel_code = 'ONEU';
update inventories set total_stock = 15000, on_hand = 9962, committed = 0, available = 9962 where variant_code = 'PV_VUANEM40P150724_150724' and channel_code = 'INIT';
update inventories set total_stock = 69, on_hand = 46, committed = 0, available = 46 where variant_code = 'MEIWEI_14062024_SF5052_UPoint' and channel_code = 'INIT';
update inventories set total_stock = 70, on_hand = 50, committed = 0, available = 50 where variant_code = 'SUSHIKEI_14062024_SF5042_UPoint' and channel_code = 'INIT';
update inventories set total_stock = 69, on_hand = 64, committed = 0, available = 64 where variant_code = 'SIZZLER_14062024_SF5051_UPoint' and channel_code = 'INIT';
update inventories set total_stock = 1239, on_hand = 363, committed = 0, available = 363 where variant_code = 'VD_VC_1728899081889' and channel_code = 'INIT';
update inventories set total_stock = 70, on_hand = 69, committed = 0, available = 69 where variant_code = 'BUKBUK_14062024_SF5037_UPoint' and channel_code = 'INIT';
update inventories set total_stock = 70, on_hand = 70, committed = 0, available = 70 where variant_code = 'SIZZLER_14062024_SF5049_UPoint' and channel_code = 'INIT';
update inventories set total_stock = 1260, on_hand = 984, committed = 0, available = 984 where variant_code = 'VD_VC_1727336379106' and channel_code = 'INIT';
update inventories set total_stock = 68, on_hand = 55, committed = 0, available = 55 where variant_code = 'TASAKIBBQ_14062024_SF5033_UPoint' and channel_code = 'INIT';
update inventories set total_stock = 354, on_hand = 350, committed = 0, available = 350 where variant_code = 'VD_VC_1736755908089' and channel_code = 'INIT';
update inventories set total_stock = 68, on_hand = 56, committed = 0, available = 56 where variant_code = 'SUSHIKEI_14062024_SF5041_UPoint' and channel_code = 'INIT';
update inventories set total_stock = 1399, on_hand = 950, committed = 0, available = 950 where variant_code = 'VD_VC_1727172951860' and channel_code = 'INIT';
update inventories set total_stock = 1266, on_hand = 489, committed = 0, available = 489 where variant_code = 'VD_VC_1728899083027' and channel_code = 'INIT';
update inventories set total_stock = 62, on_hand = 46, committed = 0, available = 46 where variant_code = 'THAIEXPRESS_14062024_SF5056_UPoint' and channel_code = 'INIT';
update inventories set total_stock = 70, on_hand = 66, committed = 0, available = 66 where variant_code = 'BUKBUK_14062024_SF5039_UPoint' and channel_code = 'INIT';
update inventories set total_stock = 3296, on_hand = 2305, committed = 0, available = 2305 where variant_code = 'KHRUABAANTHAI_17072024_SF5157' and channel_code = 'INIT';
update inventories set total_stock = 70, on_hand = 37, committed = 0, available = 37 where variant_code = 'KHAOLAO_14062024_SF5046_UPoint' and channel_code = 'INIT';
update inventories set total_stock = 626, on_hand = 620, committed = 0, available = 620 where variant_code = 'VD_VC_1736755905052' and channel_code = 'INIT';
update inventories set total_stock = 50, on_hand = 50, committed = 0, available = 50 where variant_code = 'MENARD_01062024_SF4939' and channel_code = 'INIT';
update inventories set total_stock = 390, on_hand = 383, committed = 0, available = 383 where variant_code = 'MAA_SOIBIEN_25042024_SF4862_UPoint' and channel_code = 'ONEU';
update inventories set total_stock = 647, on_hand = 613, committed = 0, available = 613 where variant_code = 'VD_VC_1736755891122' and channel_code = 'INIT';
update inventories set total_stock = 69, on_hand = 41, committed = 0, available = 41 where variant_code = 'HOTPOTSTORY_14062024_SF5024_UPoint' and channel_code = 'INIT';
update inventories set total_stock = 874, on_hand = 619, committed = 0, available = 619 where variant_code = 'VD_VC_1734338723905' and channel_code = 'INIT';
update inventories set total_stock = 352, on_hand = 350, committed = 0, available = 350 where variant_code = 'VD_VC_1736755893036' and channel_code = 'INIT';
update inventories set total_stock = 1449, on_hand = 963, committed = 0, available = 963 where variant_code = 'VD_VC_1727336377039' and channel_code = 'INIT';
update inventories set total_stock = 1348, on_hand = 0, committed = 0, available = 0 where variant_code = 'VD_VC_1724886424378' and channel_code = 'INIT';
update inventories set total_stock = 70, on_hand = 65, committed = 0, available = 65 where variant_code = 'TASAKIBBQ_14062024_SF5031_UPoint' and channel_code = 'INIT';
update inventories set total_stock = 777, on_hand = 345, committed = 0, available = 345 where variant_code = 'VD_VC_1734346014399' and channel_code = 'INIT';
update inventories set total_stock = 70, on_hand = 61, committed = 0, available = 61 where variant_code = 'CAPRICCIOSA_14062024_SF5045_UPoint' and channel_code = 'INIT';
update inventories set total_stock = 70, on_hand = 70, committed = 0, available = 70 where variant_code = 'BUKBUK_14062024_SF5038_UPoint' and channel_code = 'INIT';
update inventories set total_stock = 2218, on_hand = 1993, committed = 0, available = 1993 where variant_code = 'VD_VC_1726114035610' and channel_code = 'INIT';
update inventories set total_stock = 70, on_hand = 31, committed = 0, available = 31 where variant_code = 'THAIEXPRESS_14062024_SF5055_UPoint' and channel_code = 'INIT';
update inventories set total_stock = 70, on_hand = 65, committed = 0, available = 65 where variant_code = 'TASAKIBBQ_14062024_SF5032_UPoint' and channel_code = 'INIT';
commit ;</t>
  </si>
  <si>
    <t>[OMC][MTP][PROD] Hỗ trợ tạo bảng và tính toán dữ liệu</t>
  </si>
  <si>
    <t>2025-02-18T21:57:34.672+0700</t>
  </si>
  <si>
    <t>2025-02-19T08:24:27.140+0700</t>
  </si>
  <si>
    <t>Dear team, nhờ team chạy giúp em các câu truy vấn sau ạ: Release note:    Database:  TIDB   omc_mtp_tracking_events Script:  ALTER TABLE mtp_tracking_email_events
ADD COLUMN is_unique tinyint(1) null;
create table mtp_analytics_report_checkpoints
(
    id                   bigint auto_increment
        primary key,
    campaign_id          varchar(50)                         not null,
    channel              varchar(25)                         not null,
    checkpoint_timestamp timestamp                           not null,
    send_size            bigint                              null,
    total_request        bigint                              null,
    total_delivery       bigint                              null,
    push_total_received  bigint                              null,
    push_total_opened    bigint                              null,
    email_blocks         bigint                              null,
    email_bounces        bigint                              null,
    email_drops          bigint                              null,
    email_total_opens    bigint                              null,
    email_total_clicks   bigint                              null,
    email_unique_opens   bigint                              null,
    email_unique_clicks  bigint                              null,
    email_unsubscribes   bigint                              null,
    created_at           timestamp default CURRENT_TIMESTAMP null,
    constraint mtp_analytics_report_checkpoints_unique
        unique (campaign_id, channel, checkpoint_timestamp)
);
create index mtp_analytics_report_checkpoints_created_at_index
    on mtp_analytics_report_checkpoints (created_at); Em cảm ơn ạ. Best regards, Thành An.</t>
  </si>
  <si>
    <t>2025-02-18T17:32:46.754+0700</t>
  </si>
  <si>
    <t>2025-02-19T09:19:09.623+0700</t>
  </si>
  <si>
    <t xml:space="preserve">Dear anh Linh, Nhờ anh chạy các câu lệnh sql dưới đây giúp team do cần update dữ liệu ạ Project: vincart-prod
IP: 172.31.4.9
Database: ecom_configuration
SQL: Chạy câu lệnh
Thời gian chạy: 17h30  </t>
  </si>
  <si>
    <t>[OMC][GAMI][PS2][Prod] Hỗ trợ triển khai chương trình "Săn vé anh tài" - ATVNCG Encore</t>
  </si>
  <si>
    <t>2025-02-18T17:28:48.750+0700</t>
  </si>
  <si>
    <t>2025-02-18T17:29:50.506+0700</t>
  </si>
  <si>
    <t>Hỗ trợ triển khai chương trình "Săn vé anh tài" - ATVNCG Encore theo yêu cầu phần tích campaign của TCB Host:  172.31.4.75 DB:  promo_gamezone Danh sách các KH tham gia quay thưởng  tuần 1  cut off data created_at &gt;= '2025-01-20 00:00:00' AND created_at &lt; '2025-02-03 00:00:00':   campaignID 20 Query SELECT customer_id, COUNT(customer_id) FROM `transactions` 
WHERE campaign_id = 20 AND created_at &gt;= '2025-01-20 00:00:00' 
AND created_at &lt; '2025-02-03 00:00:00'
GROUP BY customer_id; Danh sách các KH tham gia quay thưởng  tuần 2  cut off data created_at &gt;= '2025-02-03 00:00:00' AND created_at &lt; '2025-02-10 00:00:00':   campaignID 20 Query SELECT customer_id, COUNT(customer_id) FROM `transactions` 
WHERE campaign_id = 20 AND created_at &gt;= '2025-02-03 00:00:00' 
AND created_at &lt; '2025-02-10 00:00:00'
GROUP BY customer_id; Danh sách các KH tham gia quay thưởng:   campaignID 11 Query SELECT customer_id, COUNT(customer_id) FROM `transactions` 
WHERE campaign_id = 11 
GROUP BY customer_id;   Danh sách các KH tham gia quay thưởng:   campaignID 13, 14 Query SELECT customer_id, COUNT(customer_id) FROM `transactions` 
WHERE campaign_id = 13 OR campaign_id = 14 
GROUP BY customer_id; KH có bao nhiêu vé quay:   campaignID 11 Query SELECT customer_id,SUM(claim_amount) FROM `rule_logs` 
WHERE campaign_id = 11 AND claim_type='MANUAL' 
GROUP BY customer_id; KH có bao nhiêu vé quay:   campaignID 13, 14 Query SELECT customer_id,SUM(claim_amount) FROM `rule_logs` 
WHERE (campaign_id = 13 OR campaign_id = 14) AND claim_type='MANUAL' 
GROUP BY customer_id</t>
  </si>
  <si>
    <t>[NON PROD] Nâng cấp version database TiDB ODS cluster từ v8.5.0 lên v8.5.1</t>
  </si>
  <si>
    <t>2025-02-18T15:20:00.404+0700</t>
  </si>
  <si>
    <t>2025-02-28T14:49:01.915+0700</t>
  </si>
  <si>
    <t>Nâng cấp version database  TiDB Non PROD từ v8.5.0 lên v8.5.1 Việc nâng cấp hệ thống sẽ không có down time trong quá trình thực hiện theo plan:    thời gian thực hiện: từ 11:00 AM ngày 2025-02-28 đến 12:00 PM ngày 2025-02-28</t>
  </si>
  <si>
    <t>Phân quyền view các schema kho WMS</t>
  </si>
  <si>
    <t>2025-02-18T14:18:23.357+0700</t>
  </si>
  <si>
    <t>2025-02-18T17:58:07.384+0700</t>
  </si>
  <si>
    <t>Hỗ trợ PO/BA trong việc xây dựng các báo cáo vận hành trên superset, cần thời gian thực Tạo các alert về mặt sai lệch trong dữ liệu hoặc các alert liên quan đến dữ liệu vận hành Phân quyền các schema sau cho các tài khoản đăng kí phía dưới Schema "tidb_ods"."omd_vinid_b2b_platform_prod_main_omd_wms_8194" "tidb_ods"."omd_vinid_b2b_platform_prod_main_omd_wms_8195" "tidb_ods"."omd_vinid_b2b_platform_prod_main_omd_wms_8196" "tidb_ods"."omd_vinid_b2b_platform_prod_main_omd_wms_8197" "tidb_ods"."omd_vinid_b2b_platform_prod_main_omd_wms_8198" "tidb_ods"."omd_vinid_b2b_platform_prod_main_omd_wms_8199" "tidb_ods"."omd_vinid_b2b_platform_prod_main_omd_wms_8110" "tidb_ods"."omd_vinid_b2b_platform_prod_main_omd_wms_8111" "tidb_ods"."omd_vinid_b2b_platform_prod_main_omd_wms_8112" "tidb_ods"."omd_vinid_b2b_platform_prod_main_omd_wms_8113" "tidb_ods"."omd_vinid_b2b_platform_prod_main_omd_wms_8114" "tidb_ods"."omd_vinid_b2b_platform_prod_main_omd_wms_8115" Các tài khoản hoang.dau khoi.nguyen thien.hoang1 phuonghd1</t>
  </si>
  <si>
    <t>2025-02-18T12:25:01.666+0700</t>
  </si>
  <si>
    <t>2025-02-18T14:53:13.811+0700</t>
  </si>
  <si>
    <t xml:space="preserve">Dear anh Linh, Nhờ anh chạy các câu lệnh sql dưới đây giúp team do cần update dữ liệu ạ Project: vincart-prod
IP: 172.31.4.9
Database: ecom_configuration
SQL: Chạy câu lệnh
UPDATE merchant_payment_configs
SET loyalty_service_code = "TICKETING"
WHERE id in (572, 573);
</t>
  </si>
  <si>
    <t>[OMC][Kafka][PROD] Hỗ trợ tạo kafka topic cho bảng ở db onevc_vsm_prod</t>
  </si>
  <si>
    <t>2025-02-18T11:54:20.749+0700</t>
  </si>
  <si>
    <t>2025-02-18T12:22:16.813+0700</t>
  </si>
  <si>
    <t xml:space="preserve">  Dear anh Linh, Phục vụ thêm thông tin đối soát cho vận hành, nhờ anh tạo kafka topic cho bảng sau: IP:  172.31.4.126:3306 DB:  onevc_vsm_prod Bảng:  serial_request Em cảm ơn ạ.</t>
  </si>
  <si>
    <t>[OMC][VINPAY][PROD] Update công nợ phí merchant VINMECTIME</t>
  </si>
  <si>
    <t>2025-02-18T10:31:35.814+0700</t>
  </si>
  <si>
    <t>2025-02-18T10:36:04.959+0700</t>
  </si>
  <si>
    <t>Dear team,  Em cần support câu lệnh sau để Update công nợ phí merchant . thời gian thực hiện: thực hiện sau khi ticket được approved. thông tin db: DB OPS: project: vinpay-prod Instance: low-performance Master IP: 172.31.1.149 Slave IP: 172.31.1.179 DB: ops_pay_service script: UPDATE ops_pay_service.FEE_DEBT_MASTER t
SET t.DEBT_END_PERIOD = 0
WHERE t.FEE_DEBT_MASTER_ID = 2675</t>
  </si>
  <si>
    <t>2025-02-18T10:12:05.313+0700</t>
  </si>
  <si>
    <t>2025-02-18T11:03:02.578+0700</t>
  </si>
  <si>
    <t>Hỗ trợ xuất báo cáo data of campaign "Săn vé anh tài" Day 3,4 theo câu query, lưu thành các exel sau: Host:  172.31.4.75 DB:  promo_gamezone Danh sách KH nhận được lượt quay theo scheme Payment: Query các KH có giao dịch quà tặng của  campaignID 21 SELECT customer_id,unit_value,created_at FROM `transactions` WHERE campaign_id=21 &amp;&amp; created_at &gt;= '2025-02-10 00:00:00' &amp;&amp; created_at &lt; '2025-02-17 00:00:00'; Danh sách KH được được lượt quay theo scheme AE: Query các KH được phát  lượt thủ công  cho  campaignID 20   SELECT customer_id,claim_amount,created_at FROM `rule_logs` WHERE campaign_id = 20 &amp;&amp; created_at &gt;= '2025-02-10 00:00:00' &amp;&amp; created_at &lt; '2025-02-17 00:00:00' &amp;&amp; claim_type='MANUAL'; Danh sách các KH tham gia quay thưởng: Query các KH có ít nhất 1 giao dịch quà tặng (không quan tâm trạng thái giao dịch) của  campaignID 20 SELECT DISTINCT customer_id FROM `transactions` WHERE campaign_id = 20 AND created_at &gt;= '2025-02-10 00:00:00' AND created_at &lt; '2025-02-17 00:00:00'; Danh sách các KH nhận được vé: Query các KH có ít nhất 1 giao dịch quà tặng (giao dịch ở trạng thái Thành công) thuộc loại  Voucher  của  campaignID 20 SELECT DISTINCT customer_id FROM `transactions` WHERE campaign_id = 20 AND created_at &gt;= '2025-02-10 00:00:00' AND created_at &lt; '2025-02-17 00:00:00' AND reward_type='VOUCHER' AND `status`='SUCCESS';</t>
  </si>
  <si>
    <t>[OMRE][Agent] Cập nhật thông tin flyway histories database agent</t>
  </si>
  <si>
    <t>2025-02-18T09:26:13.037+0700</t>
  </si>
  <si>
    <t>2025-02-18T09:27:56.082+0700</t>
  </si>
  <si>
    <t>Dear team DBA. Nhờ mọi người run 2 câu lệnh này giúp bên OMRE UPDATE  flyway_schema_history  SET  success  = '1' WHERE   flyway_schema_history . version  = '1.20250117.1900' UPDATE  flyway_schema_history  SET  checksum  = '---sẽ bổ sung---' WHERE   flyway_schema_history . version  = '1.20250117.1900' Lưu ý: Team nhờ mọi người run câu lệnh 1 trước,  sau đó mọi người đợi team phản hồi lại,  team sẽ cập nhật thông tin checksum và nhờ mọi người chạy tiếp câu thứ 2 ạ Thông tin DB: HOST = "172.31.4.83" PORT = 3306 DATABASE = "agent-platform"</t>
  </si>
  <si>
    <t>2025-02-17T18:03:06.388+0700</t>
  </si>
  <si>
    <t>2025-02-17T18:05:02.433+0700</t>
  </si>
  <si>
    <t>Hi team, Các anh giúp em chạy script với thông tin như bên dưới nhé ạ Thông tin database  saas_tpay: jdbc:mysql://pay-tidb.int.onemount.com:4000/saas_tpay Ticket này nhờ team chạy trong giờ giúp em ạ SERVICE UPDATE SERVICE SET STATUS = 'DRAFT' WHERE ID IN (58332, 58402, 58401);</t>
  </si>
  <si>
    <t>[OMC] [CloudSQL] [PROD] Enable HA + Tăng cấu hình instance DB mysql trong project  omc-base-platform-prod</t>
  </si>
  <si>
    <t>2025-02-17T16:44:24.782+0700</t>
  </si>
  <si>
    <t>2025-03-04T14:16:32.171+0700</t>
  </si>
  <si>
    <t>Enable HA + Tăng cấu hình instance DB mysql trong project   omc-base-platform-prod  theo như nội dung file này: Sizing hệ thống TCB project: omc-base-platform-prod instance: main Master IP: 172.31.4.23 https://console.cloud.google.com/sql/instances/main/overview?inv=1&amp;invt=AbpzPA&amp;project=omc-base-platform-prod DB: one_shield_v3 remote_config Từ: 1 CPUs	3.75 GB RAM Lên: 2 CPUs	8 GB RAM Thêm flag: cloudsql_mysql_audit= on</t>
  </si>
  <si>
    <t>[OMC] [CloudSQL] [PROD] Tăng cấu hình ,các instance DB mysql trong project vinid-loyalty-prod</t>
  </si>
  <si>
    <t>2025-02-17T16:44:02.794+0700</t>
  </si>
  <si>
    <t>2025-02-18T16:05:53.480+0700</t>
  </si>
  <si>
    <t xml:space="preserve"> Tăng cấu hình ,các instance DB mysql trong project  vinid-loyalty-prod  theo như nội dung file này: Sizing hệ thống TCB onevoucher https://console.cloud.google.com/sql/instances/onevoucher/overview?project=vinid-loyalty-prod 172.31.4.126 Từ: 4 CPUs	16 GB RAM, 10000 connections , innodb_buffer_pool_size		10037418240 Lên: 8 CPUs	32 GB RAM , innodb_buffer_pool_size  18874368000 Thêm flag: cloudsql_mysql_audit= on voucher-distribution https://console.cloud.google.com/sql/instances/voucher-distribution/overview?project=vinid-loyalty-prod 172.31.4.82 Từ: 2 CPUs	8 GB RAM , innodb_buffer_pool_size   4294967296 Lên: 8 CPUs	16 GB RAM , 4000 connections, innodb_buffer_pool_size  10037418240 Thêm flag: cloudsql_mysql_audit= on promotion https://console.cloud.google.com/sql/instances/promotion/overview?project=vinid-loyalty-prod&amp;inv=1&amp;invt=AbpzIA 172.31.4.75 Đang vận hành ở cấu hình 12 CPUs	24 GB RAM =&gt; không cần tăng lên nữa.</t>
  </si>
  <si>
    <t>[OM] [CloudSQL] [PROD] Enable HA + Tăng cấu hình instance DB main-postgres trong project onemg-dp-prod</t>
  </si>
  <si>
    <t>2025-02-17T16:29:39.576+0700</t>
  </si>
  <si>
    <t>2025-02-23T00:24:45.983+0700</t>
  </si>
  <si>
    <t>Enable HA + Tăng cấu hình instance DB main-postgres trong project onemg-dp-prod , theo như nội dung file này: Sizing hệ thống TCB    project: onemg-dp-prod instance: main-postgres Master IP: 172.31.3.39 Port: 5432 https://console.cloud.google.com/sql/instances/main-postgres/overview?project=onemg-dp-prod DB: chatbot	 omrec	 omrec_serving_api superset_om_common	 superset_omc_ext superset_omd_ext superset_omd_int superset_omre_ext superset_tcb Từ: 2 CPUs	7.5 GB RAM Lên: 4 CPUs	16 GB RAM Enable HA</t>
  </si>
  <si>
    <t>[OMC][PS2][Loyalty][PROD] [Cold] Nâng cấp version grid_home, oracle_home</t>
  </si>
  <si>
    <t>2025-02-17T16:19:48.639+0700</t>
  </si>
  <si>
    <t>2025-02-27T14:14:37.308+0700</t>
  </si>
  <si>
    <t>Thực hiện nâng cấp version software grid_home, oracle_home cho VM instance oracle COLD của dự án LOYATLY-PS2</t>
  </si>
  <si>
    <t>[OMC][PS2][Loyalty][PROD] Xin cấp tài nguyên instance oracle COLD, để chuyển bớt data history từ DB core, sang DB COLD</t>
  </si>
  <si>
    <t>2025-02-17T15:39:20.692+0700</t>
  </si>
  <si>
    <t>2025-02-17T16:13:05.749+0700</t>
  </si>
  <si>
    <t xml:space="preserve">Xin cấp tài nguyên instance oracle COLD, để chuyển bớt data history từ DB core, sang DB COLD:  [Loyalty-PS2] Cấp tài nguyên VM Loyalty cold instance mới : </t>
  </si>
  <si>
    <t>[OMC][PS2][Loyalty][PROD]Xin cấp tài nguyên VM machine type mới với loại disk high throughput ( pd-extreme ).</t>
  </si>
  <si>
    <t>2025-02-17T15:38:53.391+0700</t>
  </si>
  <si>
    <t>2025-02-17T15:42:16.136+0700</t>
  </si>
  <si>
    <t xml:space="preserve">Xin cấp tài nguyên VM machine type mới với loại disk high throughput ( pd-extreme ). Để kiểm thử throughput IO của loại disk tốc độ cao, cũng như test khả năng backup/restore DB LOYALTY và ghi nhận thời gian RTO khôi phục DB khi có sự cố xảy ra. [Loyalty-PS2] Xin Cấp VM Loyalty với phần cứng high throughput disk type: pd-extreme : </t>
  </si>
  <si>
    <t>[OMC][VINPAY][PROD]Cập nhật VA name</t>
  </si>
  <si>
    <t>2025-02-17T15:14:48.381+0700</t>
  </si>
  <si>
    <t>2025-02-17T15:19:17.363+0700</t>
  </si>
  <si>
    <t>UPDATE ops_pay_service.VIRTUAL_ACCOUNT t
SET t.ACCOUNT_NAME = 'NGUYEN THI LE HUYEN'
WHERE t.VIRTUAL_ACCOUNT_NUMBER = 'M22622783656474';</t>
  </si>
  <si>
    <t xml:space="preserve">[OMC][MTP][PROD] Hỗ trợ cập nhật dữ liệu </t>
  </si>
  <si>
    <t>2025-02-17T13:19:30.654+0700</t>
  </si>
  <si>
    <t>2025-02-17T13:19:44.275+0700</t>
  </si>
  <si>
    <t>Dear a @Nguyễn Văn Dũng nhờ a cập nhật DB giúp team em với ạ DB host : tidb.int.onemount.com:4000 / DB name : omc_mtp_user_profile
INSERT INTO identified_profile
(id, uid, destination, tcb_user_status, is_linking, extra_data, om_referral_id, is_dien_may_xanh)
VALUES
(UUID(), '20241341', 'VINID', '', 0, null, '', 1),
(UUID(), '9558474', 'VINID', '', 0, null, '', 1); Thanks</t>
  </si>
  <si>
    <t>[OMC][VINPAY][PROD]Script system config 15/2/2025</t>
  </si>
  <si>
    <t>2025-02-17T13:18:39.240+0700</t>
  </si>
  <si>
    <t>2025-02-17T13:18:48.762+0700</t>
  </si>
  <si>
    <t>Nhờ anh chạy giúp em ạ Thông tin database saas_tpay: mysql://pay-tidb.int.onemount.com:4000/saas_tpay Thời gian chạy:  23h59 14/2/2025</t>
  </si>
  <si>
    <t>[OMC][VINPAY][TPAY][PROD][SOUNDBOX] Create unique key bảng tcb_device_history</t>
  </si>
  <si>
    <t>2025-02-17T13:18:08.352+0700</t>
  </si>
  <si>
    <t>2025-02-17T13:18:16.676+0700</t>
  </si>
  <si>
    <t>Hi các anh DBA, Hiện tại em cần update data trên prod bảng tcb_device, nhờ các anh review và approve giúp em, Thông tin database  saas_tpay: jdbc:mysql://pay-tidb.int.onemount.com:4000/saas_tpay alter table TCB_DEVICE_HISTORY add constraint TCB_DEVICE_HISTORY_pk unique (device_id, version); Thanks kiuuu các anh,</t>
  </si>
  <si>
    <t>[OMC][VINPAY][TPAY][SOUNDBOX][PROD] Tạo dữ liệu bảng SOUNDBOX_DEVICE_MAPPING</t>
  </si>
  <si>
    <t>2025-02-17T13:17:34.996+0700</t>
  </si>
  <si>
    <t>2025-02-17T13:17:44.449+0700</t>
  </si>
  <si>
    <t>Hi các anh DBA, Hiện tại em cần update data trên prod bảng tcb_device, nhờ các anh review và approve giúp em, Thông tin database  saas_tpay: jdbc:mysql://pay-tidb.int.onemount.com:4000/saas_tpay INSERT INTO SOUNDBOX_DEVICE_MAPPING (DEVICE_ID,SERVICE,VENDOR_CODE,OM_VA_ACCOUNT,STATUS) VALUES ('SB_SDLink_Y66A_SDLTCBY66A1223240702','SOUNDBOX','RLINK','M22622333597645','ACTIVE'); Thanks kiuuu các anh,</t>
  </si>
  <si>
    <t>[OMC][GAMI][PS2][Prod] Hỗ trợ xuất báo cáo tất toán chương trình Triệu quà Mê "Xoay"</t>
  </si>
  <si>
    <t>2025-02-17T13:16:55.713+0700</t>
  </si>
  <si>
    <t>2025-02-17T13:17:08.403+0700</t>
  </si>
  <si>
    <t>Hỗ trợ xuất báo cáo tất toán chương trình Triệu quà Mê "Xoay" Thực hiện câu query sau và xuất exel report Host:  172.31.4.75 DB:  promo_gamezone Query: SELECT user_id,customer_id,reward_id, rewards.code,transactions.created_at FROM  transactions  LEFT JOIN rewards ON transactions.reward_id =  rewards.id  WHERE transactions.campaign_id = 16 &amp;&amp; transactions.status='SUCCESS';</t>
  </si>
  <si>
    <t>[OMC][VINPAY][PROD] [BO] Thêm các bảng quản lý limit segments</t>
  </si>
  <si>
    <t>2025-02-17T13:16:15.314+0700</t>
  </si>
  <si>
    <t>2025-02-17T13:16:26.314+0700</t>
  </si>
  <si>
    <t>Hi team, Nhờ team chạy giúp các script bên dưới ạ. Script thêm bảng: CREATE TABLE LIMIT_TYPE
(
    `ID`           varchar(50) COLLATE utf8mb4_unicode_ci NOT NULL DEFAULT (UUID()),
    `DESCRIPTION`  VARCHAR(500) COLLATE utf8mb4_unicode_ci         DEFAULT NULL,
    `CREATED_DATE` timestamp                              NULL     DEFAULT NULL,
    `CREATED_BY`   varchar(100) COLLATE utf8mb4_unicode_ci         DEFAULT NULL,
    `UPDATED_DATE` timestamp                              NULL     DEFAULT NULL,
    `UPDATED_BY`   varchar(100) COLLATE utf8mb4_unicode_ci         DEFAULT NULL,
    PRIMARY KEY (`ID`)
) ENGINE = InnoDB
  DEFAULT CHARSET = utf8mb4
  COLLATE = utf8mb4_unicode_ci;
CREATE TABLE `LIMIT_AMOUNT`
(
    `ID`           varchar(50) COLLATE utf8mb4_unicode_ci NOT NULL DEFAULT (UUID()),
    `VALUE`        decimal(20, 0)                                  DEFAULT NULL,
    `TYPE`         VARCHAR(50) COLLATE utf8mb4_unicode_ci          DEFAULT NULL,
    `CURRENCY`     VARCHAR(50) COLLATE utf8mb4_unicode_ci          DEFAULT NULL,
    `CREATED_DATE` timestamp                              NULL     DEFAULT NULL,
    `CREATED_BY`   varchar(100) COLLATE utf8mb4_unicode_ci         DEFAULT NULL,
    `UPDATED_DATE` timestamp                              NULL     DEFAULT NULL,
    `UPDATED_BY`   varchar(100) COLLATE utf8mb4_unicode_ci         DEFAULT NULL,
    PRIMARY KEY (`ID`)
) ENGINE = InnoDB
  DEFAULT CHARSET = utf8mb4
  COLLATE = utf8mb4_unicode_ci;
CREATE INDEX IDX_VALUE on LIMIT_AMOUNT (VALUE);
CREATE TABLE LIMIT_SEGMENT
(
    `ID`              varchar(50) COLLATE utf8mb4_unicode_ci NOT NULL DEFAULT (UUID()),
    `CODE`            varchar(50) COLLATE utf8mb4_unicode_ci          DEFAULT NULL,
    `LIMIT_AMOUNT_ID` varchar(50) COLLATE utf8mb4_unicode_ci          DEFAULT NULL,
    `LIMIT_TYPE_ID`   varchar(50) COLLATE utf8mb4_unicode_ci          DEFAULT NULL,
    `DESCRIPTION`     varchar(500) COLLATE utf8mb4_unicode_ci         DEFAULT NULL,
    `NAME`            varchar(100) COLLATE utf8mb4_unicode_ci         DEFAULT NULL,
    `OPERATOR`        varchar(50) COLLATE utf8mb4_unicode_ci          DEFAULT NULL,
    `GROUP`           varchar(100) COLLATE utf8mb4_unicode_ci         DEFAULT NULL,
    `CREATED_DATE`    timestamp                              NULL     DEFAULT NULL,
    `CREATED_BY`      varchar(100) COLLATE utf8mb4_unicode_ci         DEFAULT NULL,
    `UPDATED_DATE`    timestamp                              NULL     DEFAULT NULL,
    `UPDATED_BY`      varchar(100) COLLATE utf8mb4_unicode_ci         DEFAULT NULL,
    PRIMARY KEY (`ID`),
    KEY `IDX_LIMIT_SEGMENT_CODE` (`CODE`)
) ENGINE = InnoDB
  DEFAULT CHARSET = utf8mb4
  COLLATE = utf8mb4_unicode_ci;
CREATE INDEX IDX_LIMIT_SEGMENT_CODE on LIMIT_SEGMENT (CODE);
CREATE TABLE LIMIT_RULE
(
    `ID`                 varchar(50) COLLATE utf8mb4_unicode_ci NOT NULL DEFAULT (uuid()),
    `LIMIT_SEGMENT_CODE` varchar(50) COLLATE utf8mb4_unicode_ci          DEFAULT NULL,
    `RISK_TYPE`          varchar(10) COLLATE utf8mb4_unicode_ci NOT NULL,
    `MERCHANT_CODE`      varchar(50) COLLATE utf8mb4_unicode_ci NOT NULL,
    `MCC`                varchar(50) COLLATE utf8mb4_unicode_ci          DEFAULT NULL,
    `STORE_CODE`         varchar(50) COLLATE utf8mb4_unicode_ci          DEFAULT NULL,
    `TERMINAL_CODE`      varchar(50) COLLATE utf8mb4_unicode_ci          DEFAULT NULL,
    `DEVICE_ID`          varchar(50) COLLATE utf8mb4_unicode_ci          DEFAULT NULL,
    `SERVICE_CODE`       varchar(50) COLLATE utf8mb4_unicode_ci NOT NULL,
    `CUSTOMER_TYPE`      varchar(50) COLLATE utf8mb4_unicode_ci          DEFAULT NULL,
    `EFFECTIVE_DATE`     date                                            DEFAULT NULL,
    `STATUS`             varchar(100) COLLATE utf8mb4_unicode_ci         DEFAULT NULL,
    `CREATED_DATE`       timestamp                              NULL     DEFAULT NULL,
    `CREATED_BY`         varchar(100) COLLATE utf8mb4_unicode_ci         DEFAULT NULL,
    `UPDATED_DATE`       timestamp                              NULL     DEFAULT NULL,
    `UPDATED_BY`         varchar(100) COLLATE utf8mb4_unicode_ci         DEFAULT NULL,
    PRIMARY KEY (`ID`),
    KEY `IDX_MERCHANT_CODE` (`MERCHANT_CODE`),
    KEY `IDX_STORE_CODE` (`STORE_CODE`),
    KEY `IDX_TERMINAL_CODE` (`TERMINAL_CODE`)
) ENGINE = InnoDB
  DEFAULT CHARSET = utf8mb4
  COLLATE = utf8mb4_unicode_ci;
CREATE INDEX IDX_SERVICE_CODE on LIMIT_RULE (SERVICE_CODE);
CREATE TABLE LIMIT_TRANSACTION_REPORT
(
    `ID`                     varchar(50) COLLATE utf8mb4_unicode_ci NOT NULL DEFAULT (UUID()),
    `TOTAL_AMOUNT_PER_DAY`   decimal(20, 0)                         NOT NULL,
    `TOTAL_AMOUNT_PER_MONTH` decimal(20, 0)                         NOT NULL,
    `TOTAL_AMOUNT_PER_YEAR`  decimal(20, 0)                         NOT NULL,
    `NUM_OF_TRANS_PER_DAY`   bigint                                 NOT NULL,
    `APPLIED_DAY`            int                                    NOT NULL,
    `APPLIED_MONTH`          int                                    NOT NULL,
    `APPLIED_YEAR`           int                                    NOT NULL,
    `LIMIT_RULE_ID`          varchar(50) COLLATE utf8mb4_unicode_ci NOT NULL,
    `CREATED_DATE`           timestamp                              NULL     DEFAULT NULL,
    `CREATED_BY`             varchar(100) COLLATE utf8mb4_unicode_ci         DEFAULT NULL,
    `UPDATED_DATE`           timestamp                              NULL     DEFAULT NULL,
    `UPDATED_BY`             varchar(100) COLLATE utf8mb4_unicode_ci         DEFAULT NULL,
    PRIMARY KEY (`ID`)
) ENGINE = InnoDB
  DEFAULT CHARSET = utf8mb4
  COLLATE = utf8mb4_unicode_ci;
CREATE INDEX IDX_APPLIED_DAY on LIMIT_TRANSACTION_REPORT (APPLIED_DAY);
CREATE INDEX IDX_APPLIED_MONTH on LIMIT_TRANSACTION_REPORT (APPLIED_MONTH);
CREATE INDEX IDX_APPLIED_YEAR on LIMIT_TRANSACTION_REPORT (APPLIED_YEAR); Script init cấu hình: INSERT INTO LIMIT_AMOUNT
(
    ID,
    VALUE,
    `TYPE`,
    CURRENCY,
    CREATED_DATE,
    CREATED_BY,
    UPDATED_DATE,
    UPDATED_BY
)
VALUES
    (
        'AM1',
        5000000,
        null,
        'VND',
        CURRENT_TIMESTAMP,
        'bach.cao',
        CURRENT_TIMESTAMP,
        'bach.cao'
    ),
    (
        'AM2',
        3000000,
        null,
        'VND',
        CURRENT_TIMESTAMP,
        'bach.cao',
        CURRENT_TIMESTAMP,
        'bach.cao'
    ),
    (
        'AM3',
        1200000,
        null,
        'VND',
        CURRENT_TIMESTAMP,
        'bach.cao',
        CURRENT_TIMESTAMP,
        'bach.cao'
    )
;
INSERT INTO LIMIT_TYPE
(
    ID,
    DESCRIPTION,
    CREATED_DATE,
    CREATED_BY,
    UPDATED_DATE,
    UPDATED_BY
)
VALUES
    (
        'AMOUNT_PER_TRANSACTION',
        'Amount per transaction',
        CURRENT_TIMESTAMP,
        'bach.cao',
        CURRENT_TIMESTAMP,
        'bach.cao'
    );
INSERT INTO LIMIT_SEGMENT
(
    CODE,
    LIMIT_AMOUNT_ID,
    LIMIT_TYPE_ID,
    DESCRIPTION,
    NAME,
    OPERATOR,
    `GROUP`,
    CREATED_DATE,
    CREATED_BY,
    UPDATED_DATE,
    UPDATED_BY
)
VALUES
    (
        'NHOM_N1',
        (SELECT LIMIT_AMOUNT.ID FROM LIMIT_AMOUNT WHERE LIMIT_AMOUNT.ID = 'AM1'),
        (SELECT LIMIT_TYPE.ID FROM LIMIT_TYPE WHERE LIMIT_TYPE.ID = 'AMOUNT_PER_TRANSACTION'),
        'Cửa hàng thời trang',
        'Cửa hàng thời trang_5 TRIỆU',
        'MAXIMUM',
        'TRANSACTION',
        CURRENT_TIMESTAMP,
        'bach.cao',
        CURRENT_TIMESTAMP,
        'bach.cao'
    ),
    (
        'NHOM_N2',
        (SELECT LIMIT_AMOUNT.ID FROM LIMIT_AMOUNT WHERE LIMIT_AMOUNT.ID = 'AM2'),
        (SELECT LIMIT_TYPE.ID FROM LIMIT_TYPE WHERE LIMIT_TYPE.ID = 'AMOUNT_PER_TRANSACTION'),
        'Cửa hàng thực phẩm, tạp hóa, siêu thị',
        'Cửa hàng thực phẩm, tạp hóa, siêu thị_3 TRIỆU',
        'MAXIMUM',
        'TRANSACTION',
        CURRENT_TIMESTAMP,
        'bach.cao',
        CURRENT_TIMESTAMP,
        'bach.cao'
    ),
    (
        'NHOM_N3',
        (SELECT LIMIT_AMOUNT.ID FROM LIMIT_AMOUNT WHERE LIMIT_AMOUNT.ID = 'AM3'),
        (SELECT LIMIT_TYPE.ID FROM LIMIT_TYPE WHERE LIMIT_TYPE.ID = 'AMOUNT_PER_TRANSACTION'),
        'Nhà hàng ăn uống, quán cafe, giải khát',
        'Nhà hàng ăn uống, quán cafe, giải khát_1,2 TRIỆU',
        'MAXIMUM',
        'TRANSACTION',
        CURRENT_TIMESTAMP,
        'bach.cao',
        CURRENT_TIMESTAMP,
        'bach.cao'
    ),
    (
        'NHOM_N4',
        (SELECT LIMIT_AMOUNT.ID FROM LIMIT_AMOUNT WHERE LIMIT_AMOUNT.ID = 'AM3'),
        (SELECT LIMIT_TYPE.ID FROM LIMIT_TYPE WHERE LIMIT_TYPE.ID = 'AMOUNT_PER_TRANSACTION'),
        'Khác',
        'Khác_1,2 TRIỆU',
        'MAXIMUM',
        'TRANSACTION',
        CURRENT_TIMESTAMP,
        'bach.cao',
        CURRENT_TIMESTAMP,
        'bach.cao'
    )
;
 Thông tin db:  jdbc:mysql://pay-tidb.int.onemount.com:4000/saas_tpay</t>
  </si>
  <si>
    <t>[OMC][VINPAY][PROD] Tác động database - golive Soundbox</t>
  </si>
  <si>
    <t>2025-02-17T13:15:33.843+0700</t>
  </si>
  <si>
    <t>2025-02-17T13:15:42.273+0700</t>
  </si>
  <si>
    <t>Hi team, Các anh giúp em chạy script với thông tin như bên dưới nhé ạ Thông tin database  saas_tpay: jdbc:mysql://pay-tidb.int.onemount.com:4000/saas_tpay Thời gian thực hiện:  23:59 14-02-2025 , khi team thông báo SOUNDBOX_MERCHANT Lưu ý: Thực hiện theo thứ tự, SELECT và Export Data trước, sau đó chạy câu UPDATE Thực hiện câu SELECT và Export data SELECT
  sm.MERCHANT_CODE as merchant_code,
  sm.CUSTOMER_NAME as ten_khach_hang,
  sdm.OM_VA_ACCOUNT as QR_thiet_bi,
  sdm.MC_VA_ACCOUNT as QR_cua_hang,
  sdm.DEVICE_ID as ma_thiet_bi,
  sm.CREATED_BY as nguoi_tao,
  td.device_hub_code as code_thiet_bi,
  td.device_hub as chi_nhanh_thiet_bi,
  sm.BRANCH as code_chi_nhanh_merchant,
  sm.BRANCH_NAME as chi_nhanh_merchant
FROM SOUNDBOX_MERCHANT sm
INNER JOIN SOUNDBOX_DEVICE_MAPPING sdm ON sm.merchant_code = sdm.merchant_code and sdm.STATUS = 'ACTIVE'
INNER JOIN TCB_DEVICE td ON sdm.device_id = td.DEVICE_ID
WHERE sm.STATUS = 'ACTIVE' and sm.BRANCH != td.device_hub_code; Thực hiện câu UPDATE UPDATE SOUNDBOX_MERCHANT sm
INNER JOIN SOUNDBOX_DEVICE_MAPPING sdm
    ON sm.merchant_code = sdm.merchant_code
    AND sdm.STATUS = 'ACTIVE'
INNER JOIN TCB_DEVICE td
    ON sdm.device_id = td.DEVICE_ID
SET sm.BRANCH = td.device_hub_code,
    sm.BRANCH_NAME = td.device_hub
WHERE sm.STATUS = 'ACTIVE'
  AND sm.BRANCH != td.device_hub_code;</t>
  </si>
  <si>
    <t>2025-02-17T13:13:56.892+0700</t>
  </si>
  <si>
    <t>2025-02-17T13:14:05.502+0700</t>
  </si>
  <si>
    <t>Dear team DBA, liên quan đến việc update đơn vị hành chính theo file mapping mới nhất, nhờ team hỗ trợ chạy file sql  đính kèm phía dưới để update dữ liệu đơn vị hành chính trên database User Profile môi trường prod vào thời điểm  khoảng 23h30 ngày 13/02/2025 thông tin DB: IP DB: 172.31.1.12:3306
Schema: account_profile_service Chạy theo thứ tự sau: đầu tiên chạy SQL query command phía dưới UPDATE user_address
SET old_district = district
WHERE user_address.district != '';
UPDATE user_address
SET old_commune = commune
WHERE user_address.commune != ''; tiếp chạy SQL query ở file  20241129.txt cuối cùng chạy SQL query ở file  20250101.txt</t>
  </si>
  <si>
    <t>2025-02-17T13:13:21.656+0700</t>
  </si>
  <si>
    <t>2025-02-17T13:13:30.308+0700</t>
  </si>
  <si>
    <t>Hi team, Các anh giúp em chạy script với thông tin như bên dưới nhé ạ Script này nhờ các anh chạy luôn trong giờ giúp em với ạ. Thông tin database  ops : project: vinpay-prod Instance: low-performance Master IP: 172.31.1.149 Slave IP: 172.31.1.179 DB: ops_pay_service VIRTUAL_ACCOUNT UPDATE ops_pay_service.VIRTUAL_ACCOUNT t
SET t.ACCOUNT_NAME = 'TRAN THI YEN THI'
WHERE t.VIRTUAL_ACCOUNT_NUMBER = 'M22623579363872';</t>
  </si>
  <si>
    <t>2025-02-17T13:12:33.867+0700</t>
  </si>
  <si>
    <t>2025-02-17T13:12:42.076+0700</t>
  </si>
  <si>
    <t>Hi team, Các anh giúp em chạy script với thông tin như bên dưới nhé ạ Script này nhờ các anh chạy luôn trong giờ giúp em với ạ.   Thông tin database  saas_tpay : jdbc:mysql://pay-tidb.int.onemount.com:4000/saas_tpay SOUNDBOX_MERCHANT UPDATE SOUNDBOX_MERCHANT SET CUSTOMER_NAME = 'NGUYEN DUC HIEN' WHERE ID = 1755; ================ Thông tin database  ops : project: vinpay-prod Instance: low-performance Master IP: 172.31.1.149 Slave IP: 172.31.1.179 DB: ops_pay_service VIRTUAL_ACCOUNT UPDATE ops_pay_service.VIRTUAL_ACCOUNT t
SET t.ACCOUNT_NAME = 'NGUYEN DUC HIEN'
WHERE t.VIRTUAL_ACCOUNT_NUMBER = 'M22629777687476';</t>
  </si>
  <si>
    <t>[OMC][Link Account] [Prod] thực hiện query update 1 record trong table "linkages" ở dự án Link Account</t>
  </si>
  <si>
    <t>2025-02-17T13:11:54.643+0700</t>
  </si>
  <si>
    <t>2025-02-17T13:12:06.925+0700</t>
  </si>
  <si>
    <t>Description Dear team DBA, Theo thread trao đổi:  https://chat.google.com/room/AAAAbcTWvJQ/bBhcIP4BqqQ/bBhcIP4BqqQ?cls=10   Hiện user bị gãy luồng, nên team cần thực hiện update record để đảm bảo luồng của user UID 10929708 trước đây có sđt cũ 0931556256 thực hiện request link account và lỗi.
 Sau đó đổi sđt sang 0867502886 và thực hiện liên kết nên hệ thống báo lỗi uid đã tồn tại bản ghi LA Nhờ team thực hiện query: Instance ID:  https://console.cloud.google.com/sql/instances/postgres-01/overview?authuser=1&amp;project=vinid-service-platform-prod Database name:  sp_postgres_link_account Câu lệnh SQL: UPDATE linkages SET active = false
WHERE user_id = 10929708</t>
  </si>
  <si>
    <t>[OMC][VINPAY][PROD]CLONE - XIN TẠO ACCOUNT TRUY CẬP DREMIO VÀ PHÂN QUYỀN XEM BÁO CÁO</t>
  </si>
  <si>
    <t>2025-02-17T13:10:37.181+0700</t>
  </si>
  <si>
    <t>2025-02-17T13:10:50.783+0700</t>
  </si>
  <si>
    <t>Dear anh chị, Hiện tại VinIDPay đang chạy dịch vụ Soundbox với Techcombank trên TKTT 19099995555661, tuy nhiên số lượng giao dịch quá lớn và KT không thể kết xuất sao kê trên hệ thống của techcombank để lấy số liệu kiểm tra và hạch toán. Qua trao đổi với TCB, việc gửi sao kê bằng excel hàng ngày cũng gặp bất cập do TCB quy định CBLĐ mới gửi được file excel và giới hạn dung lượng file gửi ra. Việc nhận sao kê từ TCB rất mất thời gian và không đáp ứng kịp thời nhu cầu kiểm tra số liệu và hạch toán. Do đó, KT muốn xin cấp account truy cập Dremio và xin phân quyền xem báo cáo dưới, để chủ động kiểm tra số liệu phát sinh hàng ngày, trong lúc chờ TCB đưa giải pháp cung cấp sao kê hàng ngày: GD dịch vụ Soundbox:  "tidb_ods"."saas_tpay"."SOUNDBOX_VA_TRANSACTION" GD tiền về VA  dp.dfs.semantic."ops_pay_service"."f_transaction Nhờ anh chị hỗ trợ tạo và phân quyền cho user:  mainn5@onemount.com  giúp em nhé ạ. Em cảm ơn anh chị.</t>
  </si>
  <si>
    <t>[OMC][VINPAY]CLONE - [Dremio][PROD] Phân quyền truy cập dữ liệu dịch vụ Soundbox</t>
  </si>
  <si>
    <t>2025-02-17T13:08:56.757+0700</t>
  </si>
  <si>
    <t>2025-02-17T13:09:07.944+0700</t>
  </si>
  <si>
    <t>Dear team, Nhờ team hỗ trợ phân quyền truy xuất dữ liệu cho group  dremio.vhft-group-group@onemount.com  của dịch vụ Soundbox vào bảng  "tidb_ods"."saas_tpay"."SOUNDBOX_VA_TRANSACTION"  giúp em ạ Em cảm ơn team!</t>
  </si>
  <si>
    <t>2025-02-17T13:07:54.458+0700</t>
  </si>
  <si>
    <t>2025-02-17T13:08:03.684+0700</t>
  </si>
  <si>
    <t>Hi team, Các anh giúp em chạy script với thông tin như bên dưới nhé ạ Thông tin database  saas_tpay : jdbc:mysql://pay-tidb.int.onemount.com:4000/saas_tpay Script này nhờ các anh chạy luôn trong giờ giúp em với ạ. AUTO_SETTLEMENT UPDATE AUTO_SETTLEMENT
SET status = 'SUCCESS',
    ft_id = 'CHG2503730465',
    fee_value_date = '2025-02-06 00:00:00',
    failed_code = null,
    failed_message = null
WHERE id = '2982226784526242458';
UPDATE AUTO_SETTLEMENT
SET charge_code = 'DN15727'
WHERE merchant_code in ('SHABU_YA_VH', 'FSN')
    AND fee_period_from = '2025-01-01 00:00:00'
    AND fee_period_to = '2025-01-31 23:59:59'
    AND status = 'FAIL';</t>
  </si>
  <si>
    <t>[OMC][VOUCHER][PROD][PS2]Hỗ trợ update thông tin ticket ở OneVC - VC Tặng Surewin ATVNCG 2025</t>
  </si>
  <si>
    <t>2025-02-17T13:07:00.298+0700</t>
  </si>
  <si>
    <t>2025-02-17T13:07:18.867+0700</t>
  </si>
  <si>
    <t>Dear anh Linh và  @Trần Mạnh Đức  support, Em cần update lại Sale name (tiếng việt và tiếng anh) + Description (tiếng việt và tiếng anh) của các ticket của list sale code sau: PV_GIFTTICKETATVNCG_DAY3ANHTAI1_070225 PV_GIFTTICKETATVNCG_DAY3ANHTAI2_070225 PV_GIFTTICKETATVNCG_DAY3GIATOC1_070225 PV_GIFTTICKETATVNCG_DAY3GIATOC2_070225 PV_GIFTTICKETATVNCG_DAY3LIENMINH1_070225 PV_GIFTTICKETATVNCG_DAY3LIENMINH2_070225 PV_GIFTTICKETATVNCG_DAY3MUAHE1_070225 PV_GIFTTICKETATVNCG_DAY3MUAHE2_070225 PV_GIFTTICKETATVNCG_DAY3TOANNANG1_070225 PV_GIFTTICKETATVNCG_DAY3TOANNANG2_070225 Nhờ mn support em sớm ạ. Brgs.</t>
  </si>
  <si>
    <t>2025-02-17T13:05:50.018+0700</t>
  </si>
  <si>
    <t>2025-02-17T13:06:00.172+0700</t>
  </si>
  <si>
    <t>Dear a @Nguyễn Văn Dũng nhờ a cập nhật DB giúp team em với ạ  DB host : tidb.int.onemount.com:4000 / DB name : omc_mtp_user_profile
1.
Update identified_profile set is_dien_may_xanh = true where uid = '13082959' and destination = 'VINID';
Update identified_profile set is_dien_may_xanh = true where uid = '1401948' and destination = 'VINID';
Update identified_profile set is_dien_may_xanh = true where uid = '4271737' and destination = 'VINID';
2.
INSERT INTO identified_profile
(id, uid, destination, tcb_user_status, is_linking, extra_data, om_referral_id, is_dien_may_xanh)
VALUES
(UUID(), '13090652', 'VINID', '', 0, null, '', 1),
(UUID(), '7848937', 'VINID', '', 0, null, '', 1),
(UUID(), '13084252', 'VINID', '', 0, null, '', 1),
(UUID(), '6200583', 'VINID', '', 0, null, '', 1),
(UUID(), '20406107', 'VINID', '', 0, null, '', 1),
(UUID(), '3207985', 'VINID', '', 0, null, '', 1),
(UUID(), '7871485', 'VINID', '', 0, null, '', 1),
(UUID(), '13102098', 'VINID', '', 0, null, '', 1),
(UUID(), '13083577', 'VINID', '', 0, null, '', 1),
(UUID(), '20383636', 'VINID', '', 0, null, '', 1),
(UUID(), '3935809', 'VINID', '', 0, null, '', 1),
(UUID(), '20388881', 'VINID', '', 0, null, '', 1); Thanks!</t>
  </si>
  <si>
    <t>[OMRE] [PROD] Force update Agent App lên version 1.48.1</t>
  </si>
  <si>
    <t>2025-02-17T13:05:03.718+0700</t>
  </si>
  <si>
    <t>2025-02-17T13:05:11.600+0700</t>
  </si>
  <si>
    <t>Nhờ DBA chạy giúp em câu lệnh này để cập nhật version force update cho Agent app nhé ! Thời gian: 23:59 10/12/2024 INSERT INTO mobile_application_versions (version, force_update_condition, force_update_message, warning_update_condition, warning_update_message, create_by, update_by, create_time, update_time, is_supporting, application) VALUES ('1.48.0', 'true', 'all users must update to 1.48.0', 'false', '', NULL, NULL, CURRENT_TIMESTAMP, CURRENT_TIMESTAMP, '1', 'ProAgentApp') Thông tin DB : HOST = " 172.31.4.83 " PORT = 3306 DATABASE = "agent-platform"</t>
  </si>
  <si>
    <t>2025-02-17T13:04:24.896+0700</t>
  </si>
  <si>
    <t>2025-02-17T13:04:36.800+0700</t>
  </si>
  <si>
    <t>Nhờ team chạy các lệnh UPDATE trên MySQL Production như sau ạ: URL:  mysql://omre-onehs-mysql-main.int.onemount.com:3306/onehs_dictionary Query: UPDATE `INVENTORY_PROPERTIES` set status = "REVOKED", available_for_sale_status = "NOT_AVAILABLE", last_modified_date = "2025-02-08 09:58:56", last_modified_by = "master_data_admin" WHERE id = "388c94c7-0326-4ba2-9d9d-137598715e22";
INSERT INTO `eav_attribute_json_values` (eav_attribute_id, entity_id, entity_id_v2, data_type, name, value, created_by, created_date, last_modified_by, last_modified_date) VALUES ((SELECT eav_attribute_id FROM `eav_attributes` WHERE field_name = "updating_status_reason"), 0, "388c94c7-0326-4ba2-9d9d-137598715e22", "PICKLIST_MULTI_SELECT", "updating_status_reason", '[ { "id": null, "gid": null, "code": "REPLACED_BY_ANOTHER", "name": "Bị thay thế bởi hàng khác", "uuid": null, "dname": null, "gcode": null, "gname": null, "order": null, "sector_id": null } ]', "master_data_admin", "2025-02-08 09:58:56", "master_data_admin", "2025-02-08 09:58:56");
UPDATE `INVENTORY_PROPERTIES` set status = "REVOKED", available_for_sale_status = "NOT_AVAILABLE", last_modified_date = "2025-02-07 14:36:25", last_modified_by = "master_data_admin" WHERE id = "a5998973-f3ba-415f-9213-e4050ea83819";
INSERT INTO `eav_attribute_json_values` (eav_attribute_id, entity_id, entity_id_v2, data_type, name, value, created_by, created_date, last_modified_by, last_modified_date) VALUES ((SELECT eav_attribute_id FROM `eav_attributes` WHERE field_name = "updating_status_reason"), 0, "a5998973-f3ba-415f-9213-e4050ea83819", "PICKLIST_MULTI_SELECT", "updating_status_reason", '[ { "id": null, "gid": null, "code": "REPLACED_BY_ANOTHER", "name": "Bị thay thế bởi hàng khác", "uuid": null, "dname": null, "gcode": null, "gname": null, "order": null, "sector_id": null } ]', "master_data_admin", "2025-02-07 14:36:25", "master_data_admin", "2025-02-07 14:36:25");
UPDATE `INVENTORY_PROPERTIES` set status = "REVOKED", available_for_sale_status = "NOT_AVAILABLE", last_modified_date = "2025-02-03 10:39:43", last_modified_by = "master_data_admin" WHERE id = "439db827-3516-4140-b140-b19997476d7d";
INSERT INTO `eav_attribute_json_values` (eav_attribute_id, entity_id, entity_id_v2, data_type, name, value, created_by, created_date, last_modified_by, last_modified_date) VALUES ((SELECT eav_attribute_id FROM `eav_attributes` WHERE field_name = "updating_status_reason"), 0, "439db827-3516-4140-b140-b19997476d7d", "PICKLIST_MULTI_SELECT", "updating_status_reason", '[ { "id": null, "gid": null, "code": "REPLACED_BY_ANOTHER", "name": "Bị thay thế bởi hàng khác", "uuid": null, "dname": null, "gcode": null, "gname": null, "order": null, "sector_id": null } ]', "master_data_admin", "2025-02-03 10:39:43", "master_data_admin", "2025-02-03 10:39:43");
UPDATE `INVENTORY_PROPERTIES` set status = "REVOKED", available_for_sale_status = "NOT_AVAILABLE", last_modified_date = "2025-02-08 08:51:32", last_modified_by = "master_data_admin" WHERE id = "da3f4615-8dd4-4f22-aff0-a3fb5ba85439";
INSERT INTO `eav_attribute_json_values` (eav_attribute_id, entity_id, entity_id_v2, data_type, name, value, created_by, created_date, last_modified_by, last_modified_date) VALUES ((SELECT eav_attribute_id FROM `eav_attributes` WHERE field_name = "updating_status_reason"), 0, "da3f4615-8dd4-4f22-aff0-a3fb5ba85439", "PICKLIST_MULTI_SELECT", "updating_status_reason", '[ { "id": null, "gid": null, "code": "REPLACED_BY_ANOTHER", "name": "Bị thay thế bởi hàng khác", "uuid": null, "dname": null, "gcode": null, "gname": null, "order": null, "sector_id": null } ]', "master_data_admin", "2025-02-08 08:51:32", "master_data_admin", "2025-02-08 08:51:32");
UPDATE `INVENTORY_PROPERTIES` set status = "REVOKED", available_for_sale_status = "NOT_AVAILABLE", last_modified_date = "2025-02-08 09:02:34", last_modified_by = "master_data_admin" WHERE id = "f830321d-5a95-4dd6-b990-8c85da3aed38";
INSERT INTO `eav_attribute_json_values` (eav_attribute_id, entity_id, entity_id_v2, data_type, name, value, created_by, created_date, last_modified_by, last_modified_date) VALUES ((SELECT eav_attribute_id FROM `eav_attributes` WHERE field_name = "updating_status_reason"), 0, "f830321d-5a95-4dd6-b990-8c85da3aed38", "PICKLIST_MULTI_SELECT", "updating_status_reason", '[ { "id": null, "gid": null, "code": "REPLACED_BY_ANOTHER", "name": "Bị thay thế bởi hàng khác", "uuid": null, "dname": null, "gcode": null, "gname": null, "order": null, "sector_id": null } ]', "master_data_admin", "2025-02-08 09:02:34", "master_data_admin", "2025-02-08 09:02:34");
UPDATE `INVENTORY_PROPERTIES` set status = "REVOKED", available_for_sale_status = "NOT_AVAILABLE", last_modified_date = "2025-02-08 09:07:57", last_modified_by = "master_data_admin" WHERE id = "d15f67d1-7ca5-46e9-9c4d-184c35083ee0";
INSERT INTO `eav_attribute_json_values` (eav_attribute_id, entity_id, entity_id_v2, data_type, name, value, created_by, created_date, last_modified_by, last_modified_date) VALUES ((SELECT eav_attribute_id FROM `eav_attributes` WHERE field_name = "updating_status_reason"), 0, "d15f67d1-7ca5-46e9-9c4d-184c35083ee0", "PICKLIST_MULTI_SELECT", "updating_status_reason", '[ { "id": null, "gid": null, "code": "REPLACED_BY_ANOTHER", "name": "Bị thay thế bởi hàng khác", "uuid": null, "dname": null, "gcode": null, "gname": null, "order": null, "sector_id": null } ]', "master_data_admin", "2025-02-08 09:07:57", "master_data_admin", "2025-02-08 09:07:57");
UPDATE `INVENTORY_PROPERTIES` set status = "REVOKED", available_for_sale_status = "NOT_AVAILABLE", last_modified_date = "2025-01-22 11:10:21", last_modified_by = "master_data_admin" WHERE id = "b1d2f27d-7e4c-46c2-a923-01af80622a14";
INSERT INTO `eav_attribute_json_values` (eav_attribute_id, entity_id, entity_id_v2, data_type, name, value, created_by, created_date, last_modified_by, last_modified_date) VALUES ((SELECT eav_attribute_id FROM `eav_attributes` WHERE field_name = "updating_status_reason"), 0, "b1d2f27d-7e4c-46c2-a923-01af80622a14", "PICKLIST_MULTI_SELECT", "updating_status_reason", '[ { "id": null, "gid": null, "code": "REPLACED_BY_ANOTHER", "name": "Bị thay thế bởi hàng khác", "uuid": null, "dname": null, "gcode": null, "gname": null, "order": null, "sector_id": null } ]', "master_data_admin", "2025-01-22 11:10:21", "master_data_admin", "2025-01-22 11:10:21");
UPDATE `INVENTORY_PROPERTIES` set status = "REVOKED", available_for_sale_status = "NOT_AVAILABLE", last_modified_date = "2025-02-08 09:01:15", last_modified_by = "master_data_admin" WHERE id = "caddcda6-972f-4521-9655-b7536e3a9b47";
INSERT INTO `eav_attribute_json_values` (eav_attribute_id, entity_id, entity_id_v2, data_type, name, value, created_by, created_date, last_modified_by, last_modified_date) VALUES ((SELECT eav_attribute_id FROM `eav_attributes` WHERE field_name = "updating_status_reason"), 0, "caddcda6-972f-4521-9655-b7536e3a9b47", "PICKLIST_MULTI_SELECT", "updating_status_reason", '[ { "id": null, "gid": null, "code": "REPLACED_BY_ANOTHER", "name": "Bị thay thế bởi hàng khác", "uuid": null, "dname": null, "gcode": null, "gname": null, "order": null, "sector_id": null } ]', "master_data_admin", "2025-02-08 09:01:15", "master_data_admin", "2025-02-08 09:01:15");
UPDATE `INVENTORY_PROPERTIES` set status = "REVOKED", available_for_sale_status = "NOT_AVAILABLE", last_modified_date = "2025-02-07 09:28:25", last_modified_by = "master_data_admin" WHERE id = "17ebd0b3-f3ca-4bc7-8e23-9ddb81d08a67";
INSERT INTO `eav_attribute_json_values` (eav_attribute_id, entity_id, entity_id_v2, data_type, name, value, created_by, created_date, last_modified_by, last_modified_date) VALUES ((SELECT eav_attribute_id FROM `eav_attributes` WHERE field_name = "updating_status_reason"), 0, "17ebd0b3-f3ca-4bc7-8e23-9ddb81d08a67", "PICKLIST_MULTI_SELECT", "updating_status_reason", '[ { "id": null, "gid": null, "code": "REPLACED_BY_ANOTHER", "name": "Bị thay thế bởi hàng khác", "uuid": null, "dname": null, "gcode": null, "gname": null, "order": null, "sector_id": null } ]', "master_data_admin", "2025-02-07 09:28:25", "master_data_admin", "2025-02-07 09:28:25");
UPDATE `INVENTORY_PROPERTIES` set status = "REVOKED", available_for_sale_status = "NOT_AVAILABLE", last_modified_date = "2025-02-07 08:52:13", last_modified_by = "master_data_admin" WHERE id = "533e2b16-3b47-4319-8236-9cd10c318bac";
INSERT INTO `eav_attribute_json_values` (eav_attribute_id, entity_id, entity_id_v2, data_type, name, value, created_by, created_date, last_modified_by, last_modified_date) VALUES ((SELECT eav_attribute_id FROM `eav_attributes` WHERE field_name = "updating_status_reason"), 0, "533e2b16-3b47-4319-8236-9cd10c318bac", "PICKLIST_MULTI_SELECT", "updating_status_reason", '[ { "id": null, "gid": null, "code": "REPLACED_BY_ANOTHER", "name": "Bị thay thế bởi hàng khác", "uuid": null, "dname": null, "gcode": null, "gname": null, "order": null, "sector_id": null } ]', "master_data_admin", "2025-02-07 08:52:13", "master_data_admin", "2025-02-07 08:52:13");</t>
  </si>
  <si>
    <t>[OMC][MTP][PROD]Clear dữ liệu tracking tháng 12</t>
  </si>
  <si>
    <t>2025-02-17T13:03:32.556+0700</t>
  </si>
  <si>
    <t>2025-02-17T13:03:41.887+0700</t>
  </si>
  <si>
    <t>Dear anh  @Nguyễn Văn Dũng ,  nhờ anh truncate giúp em dữ liệu tháng 12 của bảng tracking. DB:  tidb.int.onemount.com Schema: omc_mtp_tracking_events Alter table omc_mtp_tracking_events.mtp_tracking_events drop partition p202412; Best regards, Dinh Quang Nguyen</t>
  </si>
  <si>
    <t>[OMC][PROD][Vinpay][CCASH] Thêm cột bảng config để tôi ưu truy vấn cho luồng ccash</t>
  </si>
  <si>
    <t>2025-02-17T13:01:59.051+0700</t>
  </si>
  <si>
    <t>2025-02-17T13:02:07.970+0700</t>
  </si>
  <si>
    <t>Hi anh. Nhờ anh chạy giúp em câu lệnh thêm cột cho bảng  CCASH_ACCOUNT_CONFIGURATION  để tôi ưu truy vấn cho luồng ccash ạ alter table CCASH_ACCOUNT_CONFIGURATION
   add LAST_DATE_BALANCE_SELECTED timestamp null;
update CCASH_ACCOUNT_CONFIGURATION
set LAST_DATE_BALANCE_SELECTED = '2024-11-21 07:09:44'
where id = 1;
update CCASH_ACCOUNT_CONFIGURATION
set LAST_DATE_BALANCE_SELECTED = '2024-11-18 15:03:46'
where id = 2;
update CCASH_ACCOUNT_CONFIGURATION
set LAST_DATE_BALANCE_SELECTED = '2023-08-31 18:17:00'
where id = 4;
update CCASH_ACCOUNT_CONFIGURATION
set LAST_DATE_BALANCE_SELECTED = '2023-08-04 17:37:00'
where id = 5;
update CCASH_ACCOUNT_CONFIGURATION
set LAST_DATE_BALANCE_SELECTED = '2024-11-21 07:09:44'
where id = 7; Em gửi anh thông tin database ạ jdbc:mysql://vinpay-sql-lp-master.int.vinid.net:3306/ops_pay_service</t>
  </si>
  <si>
    <t>[OMC][Loyalty][PROD] Create index for table serial_task_item</t>
  </si>
  <si>
    <t>2025-02-17T13:00:24.657+0700</t>
  </si>
  <si>
    <t>2025-02-17T13:00:49.350+0700</t>
  </si>
  <si>
    <t>Hi team, Hiện tại team Voucher thuộc domain Loyalty đang có một số câu query chậm do chưa đánh index. Nhờ team hỗ trợ đánh index giúp em với thông tin như sau ạ: GCP project : vinid-loyalty-prod Instance name : voucher-distribution Instance IP : 172.31.4.82 Database name : b2b_voucher_distribution Query: ALTER TABLE b2b_voucher_distribution.serial_task_item
    ADD INDEX idx_serial_task_id (serial_task_id), ALGORITHM=INPLACE, LOCK=NONE;   Em cảm ơn!</t>
  </si>
  <si>
    <t xml:space="preserve">[OMC] [New Retail][PROD] Chạy câu lệnh SQL </t>
  </si>
  <si>
    <t>2025-02-17T12:55:06.761+0700</t>
  </si>
  <si>
    <t>2025-02-17T12:55:19.165+0700</t>
  </si>
  <si>
    <t>Dear anh Dũng, Nhờ anh chạy các câu lệnh sql dưới đây giúp team do cần update thông tin đơn hàng ạ Project: vincart-prod
IP: 172.31.1.41
Database: vincart_mm_order
SQL: Chạy câu lệnh
Thời gian chạy: 12h15</t>
  </si>
  <si>
    <t>[OMC][PROD][Ps2-GL] Hỗ trợ phân quyền update bảng general_ledger_job_detail DB TiDB</t>
  </si>
  <si>
    <t>2025-02-17T12:54:17.660+0700</t>
  </si>
  <si>
    <t>2025-02-17T12:54:28.701+0700</t>
  </si>
  <si>
    <t>Dear các anh team DBA, Do nhu cầu hỗ trợ vận hành team IT247 cần xin quyền update bảng  general_ledger_job_detail Thông tin DB: host:  tidb.int.onemount.com schema:  vinpay_vinpay_prod_saas_ps2_general_ledger Danh sách user: nhatntt@onemount.com trungdv7@ onemount.com thanhdv19@ onemount.com dungnt96@ onemount.com huong.le3@ onemount.com tung.hoang2@ onemount.com kien.nguyen12@ onemount.com hoang.phan@ onemount.com cuong.nguyen8@ onemount.com Em cảm ơn !</t>
  </si>
  <si>
    <t>[OMC][Ps2-GL][PROD] Hỗ trợ update db</t>
  </si>
  <si>
    <t>2025-02-17T12:53:11.564+0700</t>
  </si>
  <si>
    <t>2025-02-17T12:53:24.824+0700</t>
  </si>
  <si>
    <t>Hi anh, em cần update thông tin database, thông tin cụ thể như sau: host:  tidb.int.onemount.com schema:  vinpay_vinpay_prod_saas_ps2_general_ledger script:  update general_ledger_job_detail set status = 'FAILED' where accounting_period = '2025-02-06'</t>
  </si>
  <si>
    <t>[OMC][VINPAY][TPAY][SOUNDBOX][PROD] Update dữ liệu bảng tcb_device</t>
  </si>
  <si>
    <t>2025-02-17T12:51:21.264+0700</t>
  </si>
  <si>
    <t>2025-02-17T12:51:28.711+0700</t>
  </si>
  <si>
    <t>Hi các anh DBA, Hiện tại em cần update data trên prod bảng tcb_device, nhờ các anh review và approve giúp em, Thông tin database  saas_tpay: jdbc:mysql://pay-tidb.int.onemount.com:4000/saas_tpay UPDATE TCB_DEVICE t SET t.device_status='ASSIGNED' WHERE t.device_serial_number = 'SDLTCBY66A1223240392';
UPDATE TCB_DEVICE t SET t.device_status='ASSIGNED' WHERE t.device_serial_number = 'SDLTCBY66A1223242027';
UPDATE TCB_DEVICE t SET t.device_status='ASSIGNED' WHERE t.device_serial_number = 'SDLTCBY66A1223241395';
UPDATE TCB_DEVICE t SET t.device_status='ASSIGNED' WHERE t.device_serial_number = 'SDLTCBY66A1223242074';
UPDATE TCB_DEVICE t SET t.device_status='ASSIGNED' WHERE t.device_serial_number = 'SDLTCBY66A1223241151';
UPDATE TCB_DEVICE t SET t.device_status='ASSIGNED' WHERE t.device_serial_number = 'SDLTCBY66A1223241221'; Thanks kiuuu các anh,</t>
  </si>
  <si>
    <t>2025-02-17T12:49:24.321+0700</t>
  </si>
  <si>
    <t>2025-02-17T12:49:38.897+0700</t>
  </si>
  <si>
    <t>Hi team, Các anh giúp em chạy script với thông tin như bên dưới nhé ạ Thông tin database  saas_tpay: jdbc:mysql://pay-tidb.int.onemount.com:4000/saas_tpay Script em để trong file đính kèm ạ SOUNDBOX_MERCHANT UPDATE SOUNDBOX_MERCHANT
SET CUSTOMER_NAME = 'NGUYỄN THỊ LỆ HUYỀN'
AND CITIZEN_ID = '067186002317'
WHERE MERCHANT_CODE = 'MA_5b733752596a45ac8';</t>
  </si>
  <si>
    <t>[OMC][VINPAY][PROD] [SOUNDBOX] Thay đổi thông tin update request maker</t>
  </si>
  <si>
    <t>2025-02-17T12:42:57.433+0700</t>
  </si>
  <si>
    <t>2025-02-17T12:43:09.358+0700</t>
  </si>
  <si>
    <t>nhờ các anh chạy giúp enh lệnh dưới với ạ UPDATE REQUEST_MASTER
SET STATUS='CANCELED'
WHERE OBJECT_ID in ('14824' , '14809', '14800', '14750', '14239', '14032'); thông tin db  jdbc:mysql://vinpay-sql-saas-master.int.vinid.net:3306/saas_maker_checker</t>
  </si>
  <si>
    <t>[OMC][MTP][PROD] Hỗ trợ cập nhật DB</t>
  </si>
  <si>
    <t>2025-02-17T12:42:03.682+0700</t>
  </si>
  <si>
    <t>2025-02-17T12:42:13.290+0700</t>
  </si>
  <si>
    <t xml:space="preserve">Dear a  @Nguyễn Văn Dũng   nhờ a cập nhật DB giúp team em với ạ  DB host : tidb.int.onemount.com:4000 / DB name : omc_mtp_user_profile
1.
Update identified_profile set is_dien_may_xanh = true where uid = '13087679' and destination = 'VINID';
Update identified_profile set is_dien_may_xanh = true where uid = '20384657' and destination = 'VINID';
2.
INSERT INTO identified_profile 
(id, uid, destination, tcb_user_status, is_linking, extra_data, om_referral_id, is_dien_may_xanh) 
VALUES 
(UUID(), '13185209', 'VINID', '', 0, null, '', 1);
INSERT INTO identified_profile 
(id, uid, destination, tcb_user_status, is_linking, extra_data, om_referral_id, is_dien_may_xanh) 
VALUES 
(UUID(), '13082441', 'VINID', '', 0, null, '', 1);
INSERT INTO identified_profile 
(id, uid, destination, tcb_user_status, is_linking, extra_data, om_referral_id, is_dien_may_xanh) 
VALUES 
(UUID(), '2264573', 'VINID', '', 0, null, '', 1);
INSERT INTO identified_profile 
(id, uid, destination, tcb_user_status, is_linking, extra_data, om_referral_id, is_dien_may_xanh) 
VALUES 
(UUID(), '20350675', 'VINID', '', 0, null, '', 1);
INSERT INTO identified_profile 
(id, uid, destination, tcb_user_status, is_linking, extra_data, om_referral_id, is_dien_may_xanh) 
VALUES 
(UUID(), '20386061', 'VINID', '', 0, null, '', 1);
INSERT INTO identified_profile 
(id, uid, destination, tcb_user_status, is_linking, extra_data, om_referral_id, is_dien_may_xanh) 
VALUES 
(UUID(), '13082750', 'VINID', '', 0, null, '', 1);
INSERT INTO identified_profile 
(id, uid, destination, tcb_user_status, is_linking, extra_data, om_referral_id, is_dien_may_xanh) 
VALUES 
(UUID(), '20378662', 'VINID', '', 0, null, '', 1);
INSERT INTO identified_profile 
(id, uid, destination, tcb_user_status, is_linking, extra_data, om_referral_id, is_dien_may_xanh) 
VALUES 
(UUID(), '13085665', 'VINID', '', 0, null, '', 1);
INSERT INTO identified_profile 
(id, uid, destination, tcb_user_status, is_linking, extra_data, om_referral_id, is_dien_may_xanh) 
VALUES 
(UUID(), '13102460', 'VINID', '', 0, null, '', 1);
INSERT INTO identified_profile 
(id, uid, destination, tcb_user_status, is_linking, extra_data, om_referral_id, is_dien_may_xanh) 
VALUES 
(UUID(), '13082587', 'VINID', '', 0, null, '', 1);
INSERT INTO identified_profile 
(id, uid, destination, tcb_user_status, is_linking, extra_data, om_referral_id, is_dien_may_xanh) 
VALUES 
(UUID(), '3158711', 'VINID', '', 0, null, '', 1);
INSERT INTO identified_profile 
(id, uid, destination, tcb_user_status, is_linking, extra_data, om_referral_id, is_dien_may_xanh) 
VALUES 
(UUID(), '6063779', 'VINID', '', 0, null, '', 1);
INSERT INTO identified_profile 
(id, uid, destination, tcb_user_status, is_linking, extra_data, om_referral_id, is_dien_may_xanh) 
VALUES 
(UUID(), '6974888', 'VINID', '', 0, null, '', 1);
INSERT INTO identified_profile 
(id, uid, destination, tcb_user_status, is_linking, extra_data, om_referral_id, is_dien_may_xanh) 
VALUES 
(UUID(), '3895062', 'VINID', '', 0, null, '', 1);
INSERT INTO identified_profile 
(id, uid, destination, tcb_user_status, is_linking, extra_data, om_referral_id, is_dien_may_xanh) 
VALUES 
(UUID(), '1313321', 'VINID', '', 0, null, '', 1);
INSERT INTO identified_profile 
(id, uid, destination, tcb_user_status, is_linking, extra_data, om_referral_id, is_dien_may_xanh) 
VALUES 
(UUID(), '6885231', 'VINID', '', 0, null, '', 1);
INSERT INTO identified_profile 
(id, uid, destination, tcb_user_status, is_linking, extra_data, om_referral_id, is_dien_may_xanh) 
VALUES 
(UUID(), '20228405', 'VINID', '', 0, null, '', 1);
INSERT INTO identified_profile 
(id, uid, destination, tcb_user_status, is_linking, extra_data, om_referral_id, is_dien_may_xanh) 
VALUES 
(UUID(), '20350641', 'VINID', '', 0, null, '', 1);
INSERT INTO identified_profile 
(id, uid, destination, tcb_user_status, is_linking, extra_data, om_referral_id, is_dien_may_xanh) 
VALUES 
(UUID(), '6838620', 'VINID', '', 0, null, '', 1);
</t>
  </si>
  <si>
    <t>[OMC][Voucher][PS2][PROD]Hỗ trợ update thông tin ticket các Voucher Promo GSF</t>
  </si>
  <si>
    <t>2025-02-17T12:40:46.115+0700</t>
  </si>
  <si>
    <t>2025-02-17T12:40:56.828+0700</t>
  </si>
  <si>
    <t>Dear anh Linh và  @Trần Mạnh Đức  support, Em cần update lại TnC của các ticket có trạng thái Claimed + Used của list sale code sau: VD_VC_1725528352811 VD_VC_1725528354156 VD_VC_1725528356392 VD_VC_1725528357600 VD_VC_1725528358615 VD_VC_1725528359683 VD_VC_1725528360889 VD_VC_1725528362016 VD_VC_1725528363024 VD_VC_1725528364043 VD_VC_1725528350761 VD_VC_1725528355341 Yêu cầu update từ BD:  https://chat.google.com/room/AAAAJGjzb3g/yBp5meOcrY8/yBp5meOcrY8?cls=10 Nhờ mn support giúp em ạ. Em cảm ơn!</t>
  </si>
  <si>
    <t>[OMRE][Agent][PROD] Cập nhật thông tin ekyc agent</t>
  </si>
  <si>
    <t>2025-02-17T12:39:35.124+0700</t>
  </si>
  <si>
    <t>2025-02-17T12:39:44.523+0700</t>
  </si>
  <si>
    <t>Dear team DBA. Nhờ mọi người run câu lệnh này giúp bên OMRE ạ. UPDATE ekyc SET dob = '18/10/1984',     expire_date = '18/10/2024',     issue_date = '23/07/2021' WHERE id = 8578; Thông tin DB: HOST = "172.31.4.83" PORT = 3306 DATABASE = "agent-platform"</t>
  </si>
  <si>
    <t>[OMC][VINPAY][PROD][OPS] update job status settlement cho merchant VINFAST</t>
  </si>
  <si>
    <t>2025-02-17T12:38:39.654+0700</t>
  </si>
  <si>
    <t>2025-02-17T12:38:56.146+0700</t>
  </si>
  <si>
    <t>Dear team,  Em cần support câu lệnh sau để update job status settlement cho merchant VINFAST. thời gian thực hiện: thực hiện sau khi ticket được approved. thông tin db: DB OPS: project: vinpay-prod Instance: low-performance Master IP: 172.31.1.149 Slave IP: 172.31.1.179 DB: ops_pay_service   UPDATE ops_pay_service.SETTLEMENT_MASTER t
SET t.STATUS         = 'FAILED',
    t.PROCESS_STATUS = 'FAILED'
WHERE t.SETTLEMENT_ID = 2274913;</t>
  </si>
  <si>
    <t xml:space="preserve">[OMRE][Agent][PROD] Cập nhật thông tin ekyc agent </t>
  </si>
  <si>
    <t>2025-02-17T12:37:51.187+0700</t>
  </si>
  <si>
    <t>2025-02-17T12:38:00.838+0700</t>
  </si>
  <si>
    <t>Dear team DBA. Nhờ mọi người run câu lệnh này giúp bên OMRE ạ. INSERT INTO ekyc (     id, agent_code, agent_uuid, dob, expire_date, full_name, gender,     hometown_address, identity_number, identity_type, issue_date, issue_place,     mrz_line_1, mrz_line_2, mrz_line_3, nationality, old_identity_number,     permanent_address, status, created_by, last_modified_by, create_time, update_time ) VALUES (     8578, '1024813749', '893e3ec7-fc3b-42a3-a482-e9a75d99c343', '1984-10-18', '2024-10-18',     'NGUYỄN THỊ TRANG', 'NỮ', 'BÌNH MINH, THANH OAI, HÀ NỘI', '001184002790', 'CCCD',     '2021-07-23', 'CỤC TRƯỞNG CỤC CẢNH SÁT QUẢN LÝ HÀNH CHÍNH VỀ TRẬT TỰ XÃ HỘI',     NULL, NULL, NULL, 'VIỆT NAM', NULL, 'THÔN DỘC, BÌNH MINH, THANH OAI, HÀ NỘI',     'DOCUMENT_VERIFIED', '1024813749', '1024813749', '2024-07-24 21:07:35', '2024-07-24 21:07:35' ); Thông tin DB: HOST = "172.31.4.83" PORT = 3306 DATABASE = "agent-platform"</t>
  </si>
  <si>
    <t>[OMRE][OMRE][Agent][PROD] Nhờ hỗ trợ xóa bản ghi duplicate</t>
  </si>
  <si>
    <t>2025-02-17T12:37:08.498+0700</t>
  </si>
  <si>
    <t>2025-02-17T12:37:17.771+0700</t>
  </si>
  <si>
    <t>Dear team DBA. Nhờ mọi người run câu lệnh này giúp bên OMRE DELETE FROM ekyc WHERE agent_uuid LIKE '1eb517c4-4967-4e08-8931-bc4dc025c626' AND status = 'FACE_VERIFIED' LIMIT 1; Thông tin DB: HOST = "172.31.4.83" PORT = 3306 DATABASE = "agent-platform"</t>
  </si>
  <si>
    <t>[OMRE][Agent][PROD] Nhờ hỗ trợ xóa bản ghi duplicate</t>
  </si>
  <si>
    <t>2025-02-17T12:36:27.615+0700</t>
  </si>
  <si>
    <t>2025-02-17T12:36:36.546+0700</t>
  </si>
  <si>
    <t>DELETE FROM ekyc WHERE agent_uuid = '893e3ec7-fc3b-42a3-a482-e9a75d99c343' LIMIT 1;</t>
  </si>
  <si>
    <t>2025-02-17T12:34:24.344+0700</t>
  </si>
  <si>
    <t>2025-02-17T12:35:35.066+0700</t>
  </si>
  <si>
    <t>Dear team,  Team MTP có nhu cầu muốn cập nhật một field của một vài bàn ghi trên database prod, nhờ team chạy giúp em script sau ạ Thông tin db:  DB Mongo atlas:  https://cloud.mongodb.com/v2/5f75822d8cd502459f959495#/clusters/detail/OMC-MTP-Martech Collection:  notification-hubs-template Ref:    var templateCodes = [
   "VINID_PAY_EKYC_OPS_CREATE_FAIL",
   "VINID_PAY_EKYC_OPS_VERIFY_FAIL_REASON_WRONG_ID_TYPE",
   "VINID_PAY_EKYC_OPS_VERIFY_FAIL_REASON_INVALID_IMAGE",
   "VINID_PAY_EKYC_OPS_VERIFY_FAIL_REASON_USER_CHANGE_PHONE"
];
var deeplink = "one://superapp/pay/ekyc_nfc?ONLY_COLLECT_NFC=true";
templateCodes.forEach(function (templateCode) {
    print("Processing templateCode:", templateCode);
    var template = db.getCollection("template").findOne({ code: templateCode });
    if (!template) {
        print("Template not found with the given code:", templateCode);
        return;
    }
    // Lấy thông tin layout
    var layoutId = template.layoutId;
    var layout = db.getCollection("content_layout").findOne({ _id: new ObjectId(layoutId) });
    if (!layout) {
        print("Layout not found with the given layoutId for templateCode:", templateCode);
        return;
    }
    print("Found layout with layoutId:", layoutId, "for templateCode:", templateCode);
    // Kiếm element là deeplink
    var deeplinkElementId = null;
    var elementIds = layout.elementIds || [];
    for (var i = 0; i &lt; elementIds.length; i++) {
        var elementId = elementIds[i];
        var element = db.getCollection("content_element").findOne({ _id: new ObjectId(elementId) });
        if (element) {
            var name = element.name;
            if (name === "internal") {
                deeplinkElementId = element._id;
                break;
            } else if (name === "external" &amp;&amp; deeplinkElementId === null) {
                deeplinkElementId = element._id;
            }
        }
    }
    if (!deeplinkElementId) {
        print("No matching element found for 'internal' or 'external' in templateCode:", templateCode);
        return;
    }
    print("Found deeplinkElementId:", deeplinkElementId, "for templateCode:", templateCode);
    // Duyệt template creatives.content_layout
    var creativeIds = template.creativeIds || [];
    if (!creativeIds || creativeIds.length === 0) {
        print("No creativeIds found in the template for templateCode:", templateCode);
        return;
    }
    creativeIds.forEach(function (creativeId) {
        db.getCollection("template_creative").updateOne(
            { _id: new ObjectId(creativeId) },
            [
                {
                    $set: {
                        "contentLayout.elements": {
                            $map: {
                                input: "$contentLayout.elements",
                                as: "el",
                                in: {
                                    $mergeObjects: [
                                        "$$el",
                                        {
                                            // Duyệt vòng 1
                                            value: {
                                                $cond: [
                                                    { $eq: ["$$el._id", deeplinkElementId] },
                                                    deeplink,
                                                    "$$el.value"
                                                ]
                                            },
                                            // Duyệt nested
                                            elements: {
                                                $cond: [
                                                    { $isArray: "$$el.elements" },
                                                    {
                                                        $map: {
                                                            input: "$$el.elements",
                                                            as: "subel",
                                                            in: {
                                                                $mergeObjects: [
                                                                    "$$subel",
                                                                    {
                                                                        value: {
                                                                            $cond: [
                                                                                { $eq: ["$$subel._id", deeplinkElementId] },
                                                                                deeplink,
                                                                                "$$subel.value"
                                                                            ]
                                                                        }
                                                                    }
                                                                ]
                                                            }
                                                        }
                                                    },
                                                    "$$el.elements"
                                                ]
                                            }
                                        }
                                    ]
                                }
                            }
                        }
                    }
                }
            ]
        );
    });
}); Em cảm ơn ạ. Best regards, Thành An.</t>
  </si>
  <si>
    <t>2025-02-17T12:33:27.431+0700</t>
  </si>
  <si>
    <t>2025-02-17T12:33:46.494+0700</t>
  </si>
  <si>
    <t>Hi team, Các anh giúp em chạy script với thông tin như bên dưới nhé ạ Script này nhờ các anh chạy luôn trong giờ giúp em với ạ. Thông tin database  saas_tpay : jdbc:mysql://pay-tidb.int.onemount.com:4000/saas_tpay SYSTEM_CONFIGURATION UPDATE SYSTEM_CONFIGURATION SET SYSTEM_PARAM_VALUE = 'false' WHERE SYSTEM_PARAM_CODE = 'IS_CHECK_LATEST_AUTO_SETTLEMENT_JOB'; AUTO_SETTLEMENT UPDATE AUTO_SETTLEMENT SET charge_code = 'DN15727'
WHERE fee_period_from = '2025-01-01 00:00:00'
  AND fee_period_to = '2025-01-31 23:59:59'
  AND status = 'FAIL'
  AND merchant_code NOT IN ('VINIDPAY'); SOUNDBOX_MERCHANT UPDATE SOUNDBOX_MERCHANT SET CITIZEN_ID = '001181006802' WHERE ID = 4;
UPDATE SOUNDBOX_MERCHANT SET CUSTOMER_NAME = 'PHẠM ANH TUẤN' WHERE ID = 610;
UPDATE SOUNDBOX_MERCHANT SET CUSTOMER_NAME = 'VO HOANG MINH TIEN' WHERE ID = 1855;
UPDATE SOUNDBOX_MERCHANT SET CUSTOMER_NAME = 'NGUYEN THI HUONG' WHERE ID = 1547; ================ Thông tin database  ops : project: vinpay-prod Instance: low-performance Master IP: 172.31.1.149 Slave IP: 172.31.1.179 DB: ops_pay_service VIRTUAL_ACCOUNT UPDATE ops_pay_service.VIRTUAL_ACCOUNT t
SET t.ACCOUNT_NAME = 'PHAM ANH TUAN'
WHERE t.VIRTUAL_ACCOUNT_NUMBER = 'M22623755799599';
UPDATE ops_pay_service.VIRTUAL_ACCOUNT t
SET t.ACCOUNT_NAME = 'VO HOANG MINH TIEN'
WHERE t.VIRTUAL_ACCOUNT_NUMBER = 'M22629766323965';
UPDATE ops_pay_service.VIRTUAL_ACCOUNT t
SET t.ACCOUNT_NAME = 'NGUYEN THI HUONG'
WHERE t.VIRTUAL_ACCOUNT_NUMBER = 'M22629798746432';</t>
  </si>
  <si>
    <t>2025-02-17T12:32:36.554+0700</t>
  </si>
  <si>
    <t>2025-02-17T12:32:48.292+0700</t>
  </si>
  <si>
    <t>Hi các anh DBA, Hiện tại em cần update data trên prod bảng tcb_device, nhờ các anh review và approve giúp em, Thông tin database  saas_tpay: jdbc:mysql://pay-tidb.int.onemount.com:4000/saas_tpay UPDATE TCB_DEVICE t SET t.device_status = 'DEVICE_IMPORTED' WHERE t.device_id ='SB_SDLink_Y66A_SDLTCBY66A1223242018' and t.device_serial_number='SDLTCBY66A1223242018';
UPDATE SOUNDBOX_DEVICE_MAPPING t SET t.MERCHANT_CODE = null, t.MC_VA_ACCOUNT = null, t.STATUS = 'ACTIVE', t.LINK_DEVICE_AT = null, t.UNLINK_DEVICE_AT = null, t.DEVICE_BROKEN_AT = null, t.FILE_ID = null WHERE t.DEVICE_ID = 'SB_SDLink_Y66A_SDLTCBY66A1223241686';
UPDATE SOUNDBOX_DEVICE_MAPPING t SET t.MERCHANT_CODE = null, t.MC_VA_ACCOUNT = null, t.STATUS = 'ACTIVE', t.LINK_DEVICE_AT = null, t.UNLINK_DEVICE_AT = null, t.DEVICE_BROKEN_AT = null, t.FILE_ID = null WHERE t.DEVICE_ID = 'SB_SDLink_Y66A_SDLTCBY66A1223242018'; Thanks kiuuu các anh,</t>
  </si>
  <si>
    <t>2025-02-17T12:31:38.738+0700</t>
  </si>
  <si>
    <t>2025-02-17T12:31:57.125+0700</t>
  </si>
  <si>
    <t>Dear team DBA, Theo thread trao đổi:  https://chat.google.com/room/AAAAbcTWvJQ/uN5bnfzUtAg/uN5bnfzUtAg?cls=10   Hiện user bị gãy luồng, nên team cần thực hiện update record để đảm bảo luồng của user UID 1075941 trước đây có sđt cũ 0903416299 thực hiện request link account và lỗi.
 Sau đó đổi sđt sang 0928421234 và thực hiện liên kết nên hệ thống báo lỗi uid đã tồn tại bản ghi LA Nhờ team thực hiện query: Instance ID:  https://console.cloud.google.com/sql/instances/postgres-01/overview?authuser=1&amp;project=vinid-service-platform-prod Database name:  sp_postgres_link_account Câu lệnh SQL: UPDATE linkages SET active = false
WHERE user_id = 1075941</t>
  </si>
  <si>
    <t>2025-02-17T12:29:00.936+0700</t>
  </si>
  <si>
    <t>2025-02-17T12:29:12.442+0700</t>
  </si>
  <si>
    <t>Dear team DBA, Theo thread trao đổi:  https://chat.google.com/room/AAAAbcTWvJQ/qhjSraGreAE/qhjSraGreAE?cls=10   Hiện user bị gãy luồng, nên team cần thực hiện update record để đảm bảo luồng của user UID 129600 trước đây có sđt cũ 0938886248 thực hiện request link account và lỗi.
 Sau đó đổi sđt sang 0943397072 và thực hiện liên kết nên hệ thống báo lỗi uid đã tồn tại bản ghi LA Nhờ team thực hiện query: Instance ID:  https://console.cloud.google.com/sql/instances/postgres-01/overview?authuser=1&amp;project=vinid-service-platform-prod Database name:  sp_postgres_link_account Câu lệnh SQL: UPDATE linkages SET active = false
WHERE user_id = 129600</t>
  </si>
  <si>
    <t>[OMC][VINPAY][PROD] Update config VA DB ops_pay_service và saas_tpay</t>
  </si>
  <si>
    <t>2025-02-17T12:28:23.179+0700</t>
  </si>
  <si>
    <t>2025-02-17T12:28:37.205+0700</t>
  </si>
  <si>
    <t>Nhờ anh DBA  cập nhật giúp em DB theo lệnh sau ạ: project: vinpay-prod  Instance: low-performance  Master IP: 172.31.1.149  Slave IP: 172.31.1.179  DB: ops_pay_service update VIRTUAL_ACCOUNT set IS_ACTIVE = true where SERVICE_TYPE='TCB_SOUNDBOX' and VIRTUAL_ACCOUNT_NUMBER='M22626978594572'; TiDB: database: saas_tpay  ip/domain: tidb.int.onemount.com update SOUNDBOX_VA set IS_ACTIVE = true where VIRTUAL_ACCOUNT_NUMBER='M22626978594572';</t>
  </si>
  <si>
    <t>[OMC][NRs][PROD] Update tồn voucher &amp; logo merchant</t>
  </si>
  <si>
    <t>2025-02-17T12:27:35.062+0700</t>
  </si>
  <si>
    <t>2025-02-17T12:27:50.318+0700</t>
  </si>
  <si>
    <t>Hi team. Do vận hành thực hiện thu hồi voucher nên xảy ra tình trạng lệch tồn giữa ONEVC và VMM, nhưng do chưa có cơ chế sync tồn tự động nên cần chạy script update lại tồn của VMM. Vận hành đã tiến hành inactive voucher để thực hiện update nên ko ảnh hưởng đến người dùng Nhờ team chạy giúp em câu lệnh sau ạ Chạy ngay khi được approve project: vincart-prod DB: vincart_mm_product instance: main ip: 172.31.1.41 start transaction;
update inventories set total_stock = 12301, on_hand = 9283, committed = 0, available = 9283 where variant_code = 'VD_VC_1726566039752' and channel_code = 'INIT';
update inventories set total_stock = 4200, on_hand = 4161, committed = 0, available = 4161 where variant_code = 'VD_VC_1736331205800' and channel_code = 'INIT';
update inventories set total_stock = 700, on_hand = 218, committed = 0, available = 218 where variant_code = 'VD_VC_1735209825788' and channel_code = 'INIT';
commit ; Do tính năng update logo của merchant qua tết mới có thể golive nên cần chạy script sau để update lại logo của merchant ạ. Script này ko ảnh hưởng đến người dùng ạ. Join 2 bảng  entity_attributes_values  trong  vincart_mm_product  và bảng  merchants  trong  vincart_mm_merchant START TRANSACTION;
update vincart_mm_product.entity_attributes_values a
    JOIN vincart_mm_merchant.merchants m ON
        REPLACE(JSON_EXTRACT(a.value, '$[1].merchant_code'), '"', '') = m.code
set value = JSON_SET(a.value, '$[1].logo_url', m.logo_url)
WHERE a.name = 'voucher_accepted_merchants' and json_length(JSON_EXTRACT(a.value, '$[*].merchant_code')) &gt; 1;
update vincart_mm_product.entity_attributes_values a
    JOIN vincart_mm_merchant.merchants m ON
        REPLACE(JSON_EXTRACT(a.value, '$[2].merchant_code'), '"', '') = m.code
set value = JSON_SET(a.value, '$[2].logo_url', m.logo_url)
WHERE a.name = 'voucher_accepted_merchants' and json_length(JSON_EXTRACT(a.value, '$[*].merchant_code')) &gt; 2;
COMMIT;</t>
  </si>
  <si>
    <t>[OMC][PROD] [NewRetail] Migrate Segment</t>
  </si>
  <si>
    <t>2025-02-17T12:27:03.837+0700</t>
  </si>
  <si>
    <t>2025-02-17T12:27:11.285+0700</t>
  </si>
  <si>
    <t>Dear a/e DBA Nhờ a/e support chạy giúp insert  segments.  Thời gian chạy: 14h30 24/01/2025 Thông tin Database MySQL IP: 172.31.4.9 
Database: ecom_promotion Script: INSERT INTO segments (id,name, source, reference_id)
VALUES (17,'Điện Máy Xanh', 'MTP', '1db0edd6a0a64c47b46f3bde27414834');</t>
  </si>
  <si>
    <t>[OMC][MTP][PROD] Hỗ trợ golive, cập nhật database</t>
  </si>
  <si>
    <t>2025-02-17T12:26:13.109+0700</t>
  </si>
  <si>
    <t>2025-02-17T12:26:24.172+0700</t>
  </si>
  <si>
    <t>Dear a  @Nguyễn Văn Dũng  nhờ a cập nhật DB giúp em để team thực hiện golive ạ, DB host : tidb.int.onemount.com:4000 / DB name : omc_mtp_user_profile
Script :
1. alter table identified_profile
    add is_dien_may_xanh tinyint(1) default false null;
2. 
INSERT INTO identified_profile 
(id, uid, destination, tcb_user_status, is_linking, extra_data, om_referral_id, is_dien_may_xanh) 
VALUES 
(UUID(), '3751655', 'VINID', '', 0, null, '', 1);
INSERT INTO identified_profile 
(id, uid, destination, tcb_user_status, is_linking, extra_data, om_referral_id, is_dien_may_xanh) 
VALUES 
(UUID(), '3166935', 'VINID', '', 0, null, '', 1);
INSERT INTO identified_profile 
(id, uid, destination, tcb_user_status, is_linking, extra_data, om_referral_id, is_dien_may_xanh) 
VALUES 
(UUID(), '12445821', 'VINID', '', 0, null, '', 1);
INSERT INTO identified_profile 
(id, uid, destination, tcb_user_status, is_linking, extra_data, om_referral_id, is_dien_may_xanh) 
VALUES 
(UUID(), '10421849', 'VINID', '', 0, null, '', 1);
INSERT INTO identified_profile 
(id, uid, destination, tcb_user_status, is_linking, extra_data, om_referral_id, is_dien_may_xanh) 
VALUES 
(UUID(), '6053589', 'VINID', '', 0, null, '', 1);
INSERT INTO identified_profile 
(id, uid, destination, tcb_user_status, is_linking, extra_data, om_referral_id, is_dien_may_xanh) 
VALUES 
(UUID(), '6076870', 'VINID', '', 0, null, '', 1);
INSERT INTO identified_profile 
(id, uid, destination, tcb_user_status, is_linking, extra_data, om_referral_id, is_dien_may_xanh) 
VALUES 
(UUID(), '8328563', 'VINID', '', 0, null, '', 1);
INSERT INTO identified_profile 
(id, uid, destination, tcb_user_status, is_linking, extra_data, om_referral_id, is_dien_may_xanh) 
VALUES 
(UUID(), '5011376', 'VINID', '', 0, null, '', 1);
INSERT INTO identified_profile 
(id, uid, destination, tcb_user_status, is_linking, extra_data, om_referral_id, is_dien_may_xanh) 
VALUES 
(UUID(), '20228170', 'VINID', '', 0, null, '', 1);
INSERT INTO identified_profile 
(id, uid, destination, tcb_user_status, is_linking, extra_data, om_referral_id, is_dien_may_xanh) 
VALUES 
(UUID(), '627241', 'VINID', '', 0, null, '', 1);
INSERT INTO identified_profile 
(id, uid, destination, tcb_user_status, is_linking, extra_data, om_referral_id, is_dien_may_xanh) 
VALUES 
(UUID(), '13218836', 'VINID', '', 0, null, '', 1);
INSERT INTO identified_profile 
(id, uid, destination, tcb_user_status, is_linking, extra_data, om_referral_id, is_dien_may_xanh) 
VALUES 
(UUID(), '20095323', 'VINID', '', 0, null, '', 1);
INSERT INTO identified_profile 
(id, uid, destination, tcb_user_status, is_linking, extra_data, om_referral_id, is_dien_may_xanh) 
VALUES 
(UUID(), '13083062', 'VINID', '', 0, null, '', 1);
3. 
Update identified_profile set is_dien_may_xanh = true where uid = '8333934' and destination = 'VINID';
Update identified_profile set is_dien_may_xanh = true where uid = '213675' and destination = 'VINID';
Update identified_profile set is_dien_may_xanh = true where uid = '164706' and destination = 'VINID';
 MYSQL_ADDRESS: 172.31.1.21:3306
MYSQL_DATABASE: mtp_martech_profile
INSERT INTO `mtp_anonymous_profile_segmentation_job` (`id`, `segmentation_id`, `status`, `hash`, `properties`, `created_at`, `display_name`, `display_order`) VALUES ('1db0edd6a0a64c47b46f3bde27414834', 'f83a1b2542cd4e7b9a8c7fd638e2b56f', NULL, '1570475746599908168', '{\"is_dien_may_xanh\":{\"$equal\":true}}', '2024-03-06 14:59:49', 'Điện máy xanh', '1') Note: khi nào cần chạy cript em sẽ nhắn lại a ạ .  Thanks!</t>
  </si>
  <si>
    <t>2025-02-17T12:25:33.185+0700</t>
  </si>
  <si>
    <t>2025-02-17T12:25:43.154+0700</t>
  </si>
  <si>
    <t>Dear team DBA, Theo thread trao đổi:  https://chat.google.com/room/AAAARoj0WGQ/R6UEhCEfyb0/R6UEhCEfyb0?cls=10   Hiện user bị gãy luồng, nên team cần thực hiện update record để đảm bảo luồng của user UID 345323 trước đây có sđt 0976674641 thực hiện request link account và thành công.
 Sau đó Kh Unlinked và đổi sđt sang 0349698689 bên app TCB và thực hiện liên kết nên hệ thống báo lỗi  Nhờ team thực hiện query: Instance ID:  https://console.cloud.google.com/sql/instances/postgres-01/overview?authuser=1&amp;project=vinid-service-platform-prod Database name:  sp_postgres_link_account Câu lệnh SQL: UPDATE linkages SET active = false
WHERE user_id = 345323</t>
  </si>
  <si>
    <t>[OMC][MTP] [PROD] Truy xuất dữ liệu production template SMS</t>
  </si>
  <si>
    <t>2025-02-17T12:24:29.956+0700</t>
  </si>
  <si>
    <t>2025-02-17T12:25:08.431+0700</t>
  </si>
  <si>
    <t>Dear team, Em có nhu cầu lấy dữ liệu template SMS trên môi trường production. Nhờ team truy vấn giúp em dữ liệu trên production ở database:  172.31.1.17 notification_center với câu truy vấn sau ạ, nhờ team xuất csv hoặc excel giúp em. select * from sms_template; Em cảm ơn team. Best regards, Thành An.</t>
  </si>
  <si>
    <t>[OMC][NEWRETAIL][Prod] Update infor order for VMM</t>
  </si>
  <si>
    <t>2025-02-17T12:23:43.190+0700</t>
  </si>
  <si>
    <t>2025-02-17T12:23:59.051+0700</t>
  </si>
  <si>
    <t>Do cần update lại thông tin thời gian của order VMM nên nhờ các anh DBA hỗ chạy scipt dưới đây: Project: vincart-prod Instance: main IP: 172.31.1.41 Database: vincart_mm_order UPDATE orders SET finished_at = '2025-01-22 03:34:48', updated_at = '2025-01-22 03:34:48', finalized_at = '2025-01-22 03:34:44' WHERE code = 'MQB349Y';
UPDATE orders SET finished_at = '2025-01-22 03:34:09', updated_at = '2025-01-22 03:34:09', finalized_at = '2025-01-22 03:34:04' WHERE code = 'MV5D75E';
UPDATE fulfillments SET shipped_at = '2025-01-22 03:34:48', updated_at = '2025-01-22 03:34:48', packed_at = '2025-01-22 03:34:41', shipping_at = '2025-01-22 03:34:44' WHERE order_id IN (SELECT id FROM orders WHERE code = 'MQB349Y');
UPDATE fulfillments SET shipped_at = '2025-01-22 03:34:08', updated_at = '2025-01-22 03:34:48', packed_at = '2025-01-22 03:33:59', shipping_at = '2025-01-22 03:34:03' WHERE order_id IN (SELECT id FROM orders WHERE code = 'MV5D75E');
 Ref:  https://chat.google.com/room/AAAAWjFS9qw/owuQfcjNAYM/owuQfcjNAYM?cls=10</t>
  </si>
  <si>
    <t>2025-02-17T12:22:50.563+0700</t>
  </si>
  <si>
    <t>2025-02-17T12:23:07.096+0700</t>
  </si>
  <si>
    <t>Hi team, Các anh giúp em chạy script với thông tin như bên dưới nhé ạ Thông tin database saas_tpay: jdbc:mysql://pay-tidb.int.onemount.com:4000/saas_tpay Script này nhờ các anh chạy luôn trong giờ giúp em với ạ. SOUNDBOX_MERCHANT UPDATE SOUNDBOX_MERCHANT SET CUSTOMER_NAME = 'TRẦN THỊ THÙY LINH' WHERE ID = 608;</t>
  </si>
  <si>
    <t>[OMC][NEWRETAIL][PROD] Chạy câu lệnh SQL</t>
  </si>
  <si>
    <t>2025-02-17T12:21:52.084+0700</t>
  </si>
  <si>
    <t>2025-02-17T12:22:08.246+0700</t>
  </si>
  <si>
    <t>Dear anh Dũng, Nhờ anh hỗ trợ team chạy câu lệnh SQL với các thông tin dưới đây ạ Project: vincart-prod
IP: 172.31.1.41
DB name: booking_transportation Câu lệnh SQL: START TRANSACTION;
UPDATE `trips`
SET `status` = 'FINISHED', `previous_status` = 'JOURNEY'
WHERE `id` in (22028, 23182);
COMMIT;</t>
  </si>
  <si>
    <t>[OMC][GAMI][PS2][Prod] Hỗ trợ turning database cho campaign gamification TCB</t>
  </si>
  <si>
    <t>2025-02-17T12:20:54.068+0700</t>
  </si>
  <si>
    <t>2025-02-17T12:21:07.654+0700</t>
  </si>
  <si>
    <t>Hỗ trợ turning database cho campaign gamification TCB, thực hiện tạo index sau: alter table rule_logs add index idx_campaignid_status_reward (campaign_id,status,reward_type), ALGORITHM=INPLACE, LOCK=NONE;</t>
  </si>
  <si>
    <t>2025-02-17T12:15:42.474+0700</t>
  </si>
  <si>
    <t>2025-02-17T12:15:55.350+0700</t>
  </si>
  <si>
    <t>Hi các anh DBA, Hiện tại em cần update data trên prod bảng tcb_device, nhờ các anh review và approve giúp em, Thông tin database  saas_tpay: jdbc:mysql://pay-tidb.int.onemount.com:4000/saas_tpay Câu lệnh update đính kèm trong file ạ. Thanks kiuuu các anh,</t>
  </si>
  <si>
    <t>2025-02-17T12:14:55.283+0700</t>
  </si>
  <si>
    <t>2025-02-17T12:15:06.002+0700</t>
  </si>
  <si>
    <t>Hi các anh DBA, Hiện tại em cần update data trên prod bảng tcb_device, nhờ các anh review và approve giúp em, Thông tin database  saas_tpay: jdbc:mysql://pay-tidb.int.onemount.com:4000/saas_tpay UPDATE TCB_DEVICE t SET t.device_status = 'DEVICE_IMPORTED' WHERE t.device_id = 'SB_SDLink_Y66A_SDLTCBY66A1223241686'; Thanks kiuuu các anh,</t>
  </si>
  <si>
    <t>2025-02-17T12:13:50.132+0700</t>
  </si>
  <si>
    <t>2025-02-17T12:13:58.951+0700</t>
  </si>
  <si>
    <t>Dear team, Nhờ team export data collection  perf_tracking  của database  onehs_user_tracking_data  1Housing để team thực hiện đánh giá.</t>
  </si>
  <si>
    <t>[OMC][AuthenSDK][PROD] Export thông tin config trên db omc-authentication</t>
  </si>
  <si>
    <t>2025-02-17T12:12:47.765+0700</t>
  </si>
  <si>
    <t>2025-02-17T12:13:00.010+0700</t>
  </si>
  <si>
    <t>Dear DBA team, Hiện tại dev team mong muốn export thông tin config url trong authenSDK, nhờ  DBA team export thông tin dựa trên câu SQL query phía dưới  Thông tin database: Instance ID:  https://console.cloud.google.com/sql/instances/omc-authentication/overview?authuser=1&amp;hl=en&amp;inv=1&amp;invt=AbnUQQ&amp;project=omc-base-platform-prod Database name: omc_bp_authentication PORT:  5432 Câu lệnh SQL query select *
from base_url_config;</t>
  </si>
  <si>
    <t>[OMC][VINPAY][TPAY][PROD] Tác động database - update soundbox</t>
  </si>
  <si>
    <t>2025-02-17T12:11:19.733+0700</t>
  </si>
  <si>
    <t>2025-02-17T12:11:29.172+0700</t>
  </si>
  <si>
    <t>SOUNDBOX_MERCHANT UPDATE SOUNDBOX_MERCHANT
SET CUSTOMER_NAME = 'PHAN THU HÀ'
WHERE MERCHANT_CODE = 'MA_ab3d2c7bea2045f58';</t>
  </si>
  <si>
    <t>[OMC][GAMI][PS2][Prod] Hỗ trợ thu hồi lượt chơi campaign gamification TCB</t>
  </si>
  <si>
    <t>2025-02-17T12:10:30.052+0700</t>
  </si>
  <si>
    <t>2025-02-17T12:10:37.053+0700</t>
  </si>
  <si>
    <t xml:space="preserve">Để phục vụ cho việc thu hồi lượt chơi và đồng bộ lịch sử lượt chơi cho campaign “Anh trai vượt ngàn chông gai 3“ Các phần công việc cần thực hiện: Thực hiện thu hồi lượt của user ở campaign code  ANHTRAIDAY3 , campaign ID:  20 DB Lệnh SQL Note Host:  172.31.4.75 DB:  promo_mysterybox UPDATE `user_turns` SET `turn_left` = 0, updated_at = NOW() WHERE campaign_id = 20 and customer_id = 'xxx'; Thực hiện chạy từng user với script sẵn Theo file exel sau :    Thực hiện xóa lịch sử giao dịch lượt chơi bị phát dư DB Lệnh SQL Note Host:  172.31.4.75 DB:  promo_mysterybox DELETE FROM `turn_histories` WHERE campaign_id = 20 &amp;&amp; customer_id ='xxx'; Thực hiện chạy từng user với script sẵn Theo file exel sau :    cc: anh  @Đỗ Viết Sơn   @Former user  </t>
  </si>
  <si>
    <t>2025-02-17T12:09:48.167+0700</t>
  </si>
  <si>
    <t>2025-02-17T12:10:01.371+0700</t>
  </si>
  <si>
    <t>Dear team DBA, Theo thread trao đổi:  https://chat.google.com/room/AAAAbcTWvJQ/wnoiEt5nF4M/wnoiEt5nF4M?cls=10   Hiện user bị gãy luồng, nên team cần thực hiện update record để đảm bảo luồng của user UID 11589385 trước đây có sđt 0356485675 thực hiện request link account và lỗi.
 Sau đó đổi sđt sang 0773008678 và thực hiện liên kết nên hệ thống báo lỗi uid đã tồn tại bản ghi LA.. Nhờ team thực hiện query: Instance ID:  https://console.cloud.google.com/sql/instances/postgres-01/overview?authuser=1&amp;project=vinid-service-platform-prod Database name:  sp_postgres_link_account Câu lệnh SQL: UPDATE linkages SET active = false
WHERE user_id = 11589385</t>
  </si>
  <si>
    <t>[OMRE] [PROD] Thực hiện chạy lệnh SQL để cập nhật DB Prod</t>
  </si>
  <si>
    <t>2025-02-17T12:09:09.250+0700</t>
  </si>
  <si>
    <t>2025-02-17T12:09:21.744+0700</t>
  </si>
  <si>
    <t>Hi team, bên em cần xử lý 1 vấn đề trên prod do nghiệp vụ, cần thực hiện 1 lệnh SQL, nhờ team hỗ trợ giúp em với ạ Lệnh: UPDATE BATCHES SET status = 'NEW' WHERE id = 'BAB.F7Y7U8'; IP: omre-onehs-mysql-main.int.onemount.com:3306 Schema:  onehs_housing_dictionary</t>
  </si>
  <si>
    <t>[OMC][ChatSDK][PROD] Update data trên môi trường production</t>
  </si>
  <si>
    <t>2025-02-17T12:07:29.516+0700</t>
  </si>
  <si>
    <t>2025-02-17T12:07:37.550+0700</t>
  </si>
  <si>
    <t>Dear team DBA, liên quan đến việc golive , nhờ team hỗ trợ chạy  command đính kèm phía dưới để update dữ liệu  trên database ChatSDK môi trường prod thông tin DB: IP DB: omc-ce-chatserivce.8j11t.mongodb.net:27017
Schema: chat_service Câu lệnh command tương ứng: db.app.insertOne({
  id: "b29f1e4a-5320-488a-9d9c-f6dad85014bd",
  app_name: "vinshop",
  api_key: "b29f1e4a-5320-488a-9d9c-f6dad85014bd",
  created_at: new Date().getTime()
})</t>
  </si>
  <si>
    <t>[OMC][VINPAY][TPAY][SOUNDBOX] Update dữ liệu bảng tcb_device</t>
  </si>
  <si>
    <t>2025-02-17T12:06:34.626+0700</t>
  </si>
  <si>
    <t>2025-02-17T12:06:47.202+0700</t>
  </si>
  <si>
    <t>Hi các anh DBA, Hiện tại em cần update data trên prod bảng tcb_device, nhờ các anh review và approve giúp em, Thông tin database  saas_tpay: jdbc:mysql://pay-tidb.int.onemount.com:4000/saas_tpay UPDATE TCB_DEVICE t SET t.device_hub_code = 'QNH', t.device_hub = 'Quảng Ninh' WHERE t.device_hub_code = 'QNN'; Thanks kiuuu các anh,</t>
  </si>
  <si>
    <t xml:space="preserve">[OMC][MTP][PROD] Migrate dữ liệu tracking email events </t>
  </si>
  <si>
    <t>2025-02-17T12:05:14.298+0700</t>
  </si>
  <si>
    <t>2025-02-17T12:05:24.597+0700</t>
  </si>
  <si>
    <t>Dear team,  Bên em đang có task thực hiện migrate dữ liệu email events từ bảng cũ  mtp_tracking_email_events_1 sang bảng mới  mtp_tracking_email_events  ạ. Nhờ team hỗ trợ em insert bằng script dưới. Database:  TIDB   omc_mtp_tracking_events INSERT IGNORE INTO mtp_tracking_email_events (email, event_timestamp, event, smtp_id, user_agent, ip, sg_event_id, sg_message_id, message_id, reason, status, response, url, category, asm_group_id, campaign_id, campaign_name, attempt, pool, sg_machine_open, bounce_classification, event_type, created_at, created_date, tls) SELECT email, CONVERT_TZ(event_timestamp, '+00:00', '+07:00') AS event_timestamp, event, smtp_id, user_agent, ip, sg_event_id, sg_message_id, message_id, reason, status, response, url, category, asm_group_id, campaign_id, campaign_name, attempt, pool, sg_machine_open, bounce_classification, event_type, created_at, created_date, tls FROM mtp_tracking_email_events_1 where created_date &gt;= '2024-12-01 00-00-00' and created_date &lt; '2024-12-02 00-00-00';
INSERT IGNORE INTO mtp_tracking_email_events (email, event_timestamp, event, smtp_id, user_agent, ip, sg_event_id, sg_message_id, message_id, reason, status, response, url, category, asm_group_id, campaign_id, campaign_name, attempt, pool, sg_machine_open, bounce_classification, event_type, created_at, created_date, tls) SELECT email, CONVERT_TZ(event_timestamp, '+00:00', '+07:00') AS event_timestamp, event, smtp_id, user_agent, ip, sg_event_id, sg_message_id, message_id, reason, status, response, url, category, asm_group_id, campaign_id, campaign_name, attempt, pool, sg_machine_open, bounce_classification, event_type, created_at, created_date, tls FROM mtp_tracking_email_events_1 where created_date &gt;= '2024-12-02 00-00-00' and created_date &lt; '2024-12-03 00-00-00';
INSERT IGNORE INTO mtp_tracking_email_events (email, event_timestamp, event, smtp_id, user_agent, ip, sg_event_id, sg_message_id, message_id, reason, status, response, url, category, asm_group_id, campaign_id, campaign_name, attempt, pool, sg_machine_open, bounce_classification, event_type, created_at, created_date, tls) SELECT email, CONVERT_TZ(event_timestamp, '+00:00', '+07:00') AS event_timestamp, event, smtp_id, user_agent, ip, sg_event_id, sg_message_id, message_id, reason, status, response, url, category, asm_group_id, campaign_id, campaign_name, attempt, pool, sg_machine_open, bounce_classification, event_type, created_at, created_date, tls FROM mtp_tracking_email_events_1 where created_date &gt;= '2024-12-03 00-00-00' and created_date &lt; '2024-12-04 00-00-00';
INSERT IGNORE INTO mtp_tracking_email_events (email, event_timestamp, event, smtp_id, user_agent, ip, sg_event_id, sg_message_id, message_id, reason, status, response, url, category, asm_group_id, campaign_id, campaign_name, attempt, pool, sg_machine_open, bounce_classification, event_type, created_at, created_date, tls) SELECT email, CONVERT_TZ(event_timestamp, '+00:00', '+07:00') AS event_timestamp, event, smtp_id, user_agent, ip, sg_event_id, sg_message_id, message_id, reason, status, response, url, category, asm_group_id, campaign_id, campaign_name, attempt, pool, sg_machine_open, bounce_classification, event_type, created_at, created_date, tls FROM mtp_tracking_email_events_1 where created_date &gt;= '2024-12-04 00-00-00' and created_date &lt; '2024-12-05 00-00-00';
INSERT IGNORE INTO mtp_tracking_email_events (email, event_timestamp, event, smtp_id, user_agent, ip, sg_event_id, sg_message_id, message_id, reason, status, response, url, category, asm_group_id, campaign_id, campaign_name, attempt, pool, sg_machine_open, bounce_classification, event_type, created_at, created_date, tls) SELECT email, CONVERT_TZ(event_timestamp, '+00:00', '+07:00') AS event_timestamp, event, smtp_id, user_agent, ip, sg_event_id, sg_message_id, message_id, reason, status, response, url, category, asm_group_id, campaign_id, campaign_name, attempt, pool, sg_machine_open, bounce_classification, event_type, created_at, created_date, tls FROM mtp_tracking_email_events_1 where created_date &gt;= '2024-12-05 00-00-00' and created_date &lt; '2024-12-06 00-00-00';
INSERT IGNORE INTO mtp_tracking_email_events (email, event_timestamp, event, smtp_id, user_agent, ip, sg_event_id, sg_message_id, message_id, reason, status, response, url, category, asm_group_id, campaign_id, campaign_name, attempt, pool, sg_machine_open, bounce_classification, event_type, created_at, created_date, tls) SELECT email, CONVERT_TZ(event_timestamp, '+00:00', '+07:00') AS event_timestamp, event, smtp_id, user_agent, ip, sg_event_id, sg_message_id, message_id, reason, status, response, url, category, asm_group_id, campaign_id, campaign_name, attempt, pool, sg_machine_open, bounce_classification, event_type, created_at, created_date, tls FROM mtp_tracking_email_events_1 where created_date &gt;= '2024-12-06 00-00-00' and created_date &lt; '2024-12-07 00-00-00';
INSERT IGNORE INTO mtp_tracking_email_events (email, event_timestamp, event, smtp_id, user_agent, ip, sg_event_id, sg_message_id, message_id, reason, status, response, url, category, asm_group_id, campaign_id, campaign_name, attempt, pool, sg_machine_open, bounce_classification, event_type, created_at, created_date, tls) SELECT email, CONVERT_TZ(event_timestamp, '+00:00', '+07:00') AS event_timestamp, event, smtp_id, user_agent, ip, sg_event_id, sg_message_id, message_id, reason, status, response, url, category, asm_group_id, campaign_id, campaign_name, attempt, pool, sg_machine_open, bounce_classification, event_type, created_at, created_date, tls FROM mtp_tracking_email_events_1 where created_date &gt;= '2024-12-07 00-00-00' and created_date &lt; '2024-12-08 00-00-00';
INSERT IGNORE INTO mtp_tracking_email_events (email, event_timestamp, event, smtp_id, user_agent, ip, sg_event_id, sg_message_id, message_id, reason, status, response, url, category, asm_group_id, campaign_id, campaign_name, attempt, pool, sg_machine_open, bounce_classification, event_type, created_at, created_date, tls) SELECT email, CONVERT_TZ(event_timestamp, '+00:00', '+07:00') AS event_timestamp, event, smtp_id, user_agent, ip, sg_event_id, sg_message_id, message_id, reason, status, response, url, category, asm_group_id, campaign_id, campaign_name, attempt, pool, sg_machine_open, bounce_classification, event_type, created_at, created_date, tls FROM mtp_tracking_email_events_1 where created_date &gt;= '2024-12-08 00-00-00' and created_date &lt; '2024-12-09 00-00-00';
INSERT IGNORE INTO mtp_tracking_email_events (email, event_timestamp, event, smtp_id, user_agent, ip, sg_event_id, sg_message_id, message_id, reason, status, response, url, category, asm_group_id, campaign_id, campaign_name, attempt, pool, sg_machine_open, bounce_classification, event_type, created_at, created_date, tls) SELECT email, CONVERT_TZ(event_timestamp, '+00:00', '+07:00') AS event_timestamp, event, smtp_id, user_agent, ip, sg_event_id, sg_message_id, message_id, reason, status, response, url, category, asm_group_id, campaign_id, campaign_name, attempt, pool, sg_machine_open, bounce_classification, event_type, created_at, created_date, tls FROM mtp_tracking_email_events_1 where created_date &gt;= '2024-12-09 00-00-00' and created_date &lt; '2024-12-10 00-00-00';
INSERT IGNORE INTO mtp_tracking_email_events (email, event_timestamp, event, smtp_id, user_agent, ip, sg_event_id, sg_message_id, message_id, reason, status, response, url, category, asm_group_id, campaign_id, campaign_name, attempt, pool, sg_machine_open, bounce_classification, event_type, created_at, created_date, tls) SELECT email, CONVERT_TZ(event_timestamp, '+00:00', '+07:00') AS event_timestamp, event, smtp_id, user_agent, ip, sg_event_id, sg_message_id, message_id, reason, status, response, url, category, asm_group_id, campaign_id, campaign_name, attempt, pool, sg_machine_open, bounce_classification, event_type, created_at, created_date, tls FROM mtp_tracking_email_events_1 where created_date &gt;= '2024-12-10 00-00-00' and created_date &lt; '2024-12-11 00-00-00';
INSERT IGNORE INTO mtp_tracking_email_events (email, event_timestamp, event, smtp_id, user_agent, ip, sg_event_id, sg_message_id, message_id, reason, status, response, url, category, asm_group_id, campaign_id, campaign_name, attempt, pool, sg_machine_open, bounce_classification, event_type, created_at, created_date, tls) SELECT email, CONVERT_TZ(event_timestamp, '+00:00', '+07:00') AS event_timestamp, event, smtp_id, user_agent, ip, sg_event_id, sg_message_id, message_id, reason, status, response, url, category, asm_group_id, campaign_id, campaign_name, attempt, pool, sg_machine_open, bounce_classification, event_type, created_at, created_date, tls FROM mtp_tracking_email_events_1 where created_date &gt;= '2024-12-11 00-00-00' and created_date &lt; '2024-12-12 00-00-00';
INSERT IGNORE INTO mtp_tracking_email_events (email, event_timestamp, event, smtp_id, user_agent, ip, sg_event_id, sg_message_id, message_id, reason, status, response, url, category, asm_group_id, campaign_id, campaign_name, attempt, pool, sg_machine_open, bounce_classification, event_type, created_at, created_date, tls) SELECT email, CONVERT_TZ(event_timestamp, '+00:00', '+07:00') AS event_timestamp, event, smtp_id, user_agent, ip, sg_event_id, sg_message_id, message_id, reason, status, response, url, category, asm_group_id, campaign_id, campaign_name, attempt, pool, sg_machine_open, bounce_classification, event_type, created_at, created_date, tls FROM mtp_tracking_email_events_1 where created_date &gt;= '2024-12-12 00-00-00' and created_date &lt; '2024-12-13 00-00-00';
INSERT IGNORE INTO mtp_tracking_email_events (email, event_timestamp, event, smtp_id, user_agent, ip, sg_event_id, sg_message_id, message_id, reason, status, response, url, category, asm_group_id, campaign_id, campaign_name, attempt, pool, sg_machine_open, bounce_classification, event_type, created_at, created_date, tls) SELECT email, CONVERT_TZ(event_timestamp, '+00:00', '+07:00') AS event_timestamp, event, smtp_id, user_agent, ip, sg_event_id, sg_message_id, message_id, reason, status, response, url, category, asm_group_id, campaign_id, campaign_name, attempt, pool, sg_machine_open, bounce_classification, event_type, created_at, created_date, tls FROM mtp_tracking_email_events_1 where created_date &gt;= '2024-12-13 00-00-00' and created_date &lt; '2024-12-14 00-00-00';
INSERT IGNORE INTO mtp_tracking_email_events (email, event_timestamp, event, smtp_id, user_agent, ip, sg_event_id, sg_message_id, message_id, reason, status, response, url, category, asm_group_id, campaign_id, campaign_name, attempt, pool, sg_machine_open, bounce_classification, event_type, created_at, created_date, tls) SELECT email, CONVERT_TZ(event_timestamp, '+00:00', '+07:00') AS event_timestamp, event, smtp_id, user_agent, ip, sg_event_id, sg_message_id, message_id, reason, status, response, url, category, asm_group_id, campaign_id, campaign_name, attempt, pool, sg_machine_open, bounce_classification, event_type, created_at, created_date, tls FROM mtp_tracking_email_events_1 where created_date &gt;= '2024-12-14 00-00-00' and created_date &lt; '2024-12-15 00-00-00';
INSERT IGNORE INTO mtp_tracking_email_events (email, event_timestamp, event, smtp_id, user_agent, ip, sg_event_id, sg_message_id, message_id, reason, status, response, url, category, asm_group_id, campaign_id, campaign_name, attempt, pool, sg_machine_open, bounce_classification, event_type, created_at, created_date, tls) SELECT email, CONVERT_TZ(event_timestamp, '+00:00', '+07:00') AS event_timestamp, event, smtp_id, user_agent, ip, sg_event_id, sg_message_id, message_id, reason, status, response, url, category, asm_group_id, campaign_id, campaign_name, attempt, pool, sg_machine_open, bounce_classification, event_type, created_at, created_date, tls FROM mtp_tracking_email_events_1 where created_date &gt;= '2024-12-15 00-00-00' and created_date &lt; '2024-12-16 00-00-00';
INSERT IGNORE INTO mtp_tracking_email_events (email, event_timestamp, event, smtp_id, user_agent, ip, sg_event_id, sg_message_id, message_id, reason, status, response, url, category, asm_group_id, campaign_id, campaign_name, attempt, pool, sg_machine_open, bounce_classification, event_type, created_at, created_date, tls) SELECT email, CONVERT_TZ(event_timestamp, '+00:00', '+07:00') AS event_timestamp, event, smtp_id, user_agent, ip, sg_event_id, sg_message_id, message_id, reason, status, response, url, category, asm_group_id, campaign_id, campaign_name, attempt, pool, sg_machine_open, bounce_classification, event_type, created_at, created_date, tls FROM mtp_tracking_email_events_1 where created_date &gt;= '2024-12-16 00-00-00' and created_date &lt; '2024-12-17 00-00-00';
INSERT IGNORE INTO mtp_tracking_email_events (email, event_timestamp, event, smtp_id, user_agent, ip, sg_event_id, sg_message_id, message_id, reason, status, response, url, category, asm_group_id, campaign_id, campaign_name, attempt, pool, sg_machine_open, bounce_classification, event_type, created_at, created_date, tls) SELECT email, CONVERT_TZ(event_timestamp, '+00:00', '+07:00') AS event_timestamp, event, smtp_id, user_agent, ip, sg_event_id, sg_message_id, message_id, reason, status, response, url, category, asm_group_id, campaign_id, campaign_name, attempt, pool, sg_machine_open, bounce_classification, event_type, created_at, created_date, tls FROM mtp_tracking_email_events_1 where created_date &gt;= '2024-12-17 00-00-00' and created_date &lt; '2024-12-18 00-00-00';
INSERT IGNORE INTO mtp_tracking_email_events (email, event_timestamp, event, smtp_id, user_agent, ip, sg_event_id, sg_message_id, message_id, reason, status, response, url, category, asm_group_id, campaign_id, campaign_name, attempt, pool, sg_machine_open, bounce_classification, event_type, created_at, created_date, tls) SELECT email, CONVERT_TZ(event_timestamp, '+00:00', '+07:00') AS event_timestamp, event, smtp_id, user_agent, ip, sg_event_id, sg_message_id, message_id, reason, status, response, url, category, asm_group_id, campaign_id, campaign_name, attempt, pool, sg_machine_open, bounce_classification, event_type, created_at, created_date, tls FROM mtp_tracking_email_events_1 where created_date &gt;= '2024-12-18 00-00-00' and created_date &lt; '2024-12-19 00-00-00';
INSERT IGNORE INTO mtp_tracking_email_events (email, event_timestamp, event, smtp_id, user_agent, ip, sg_event_id, sg_message_id, message_id, reason, status, response, url, category, asm_group_id, campaign_id, campaign_name, attempt, pool, sg_machine_open, bounce_classification, event_type, created_at, created_date, tls) SELECT email, CONVERT_TZ(event_timestamp, '+00:00', '+07:00') AS event_timestamp, event, smtp_id, user_agent, ip, sg_event_id, sg_message_id, message_id, reason, status, response, url, category, asm_group_id, campaign_id, campaign_name, attempt, pool, sg_machine_open, bounce_classification, event_type, created_at, created_date, tls FROM mtp_tracking_email_events_1 where created_date &gt;= '2024-12-19 00-00-00' and created_date &lt; '2024-12-20 00-00-00';
INSERT IGNORE INTO mtp_tracking_email_events (email, event_timestamp, event, smtp_id, user_agent, ip, sg_event_id, sg_message_id, message_id, reason, status, response, url, category, asm_group_id, campaign_id, campaign_name, attempt, pool, sg_machine_open, bounce_classification, event_type, created_at, created_date, tls) SELECT email, CONVERT_TZ(event_timestamp, '+00:00', '+07:00') AS event_timestamp, event, smtp_id, user_agent, ip, sg_event_id, sg_message_id, message_id, reason, status, response, url, category, asm_group_id, campaign_id, campaign_name, attempt, pool, sg_machine_open, bounce_classification, event_type, created_at, created_date, tls FROM mtp_tracking_email_events_1 where created_date &gt;= '2024-12-20 00-00-00' and created_date &lt; '2024-12-21 00-00-00';
INSERT IGNORE INTO mtp_tracking_email_events (email, event_timestamp, event, smtp_id, user_agent, ip, sg_event_id, sg_message_id, message_id, reason, status, response, url, category, asm_group_id, campaign_id, campaign_name, attempt, pool, sg_machine_open, bounce_classification, event_type, created_at, created_date, tls) SELECT email, CONVERT_TZ(event_timestamp, '+00:00', '+07:00') AS event_timestamp, event, smtp_id, user_agent, ip, sg_event_id, sg_message_id, message_id, reason, status, response, url, category, asm_group_id, campaign_id, campaign_name, attempt, pool, sg_machine_open, bounce_classification, event_type, created_at, created_date, tls FROM mtp_tracking_email_events_1 where created_date &gt;= '2024-12-21 00-00-00' and created_date &lt; '2024-12-22 00-00-00';
INSERT IGNORE INTO mtp_tracking_email_events (email, event_timestamp, event, smtp_id, user_agent, ip, sg_event_id, sg_message_id, message_id, reason, status, response, url, category, asm_group_id, campaign_id, campaign_name, attempt, pool, sg_machine_open, bounce_classification, event_type, created_at, created_date, tls) SELECT email, CONVERT_TZ(event_timestamp, '+00:00', '+07:00') AS event_timestamp, event, smtp_id, user_agent, ip, sg_event_id, sg_message_id, message_id, reason, status, response, url, category, asm_group_id, campaign_id, campaign_name, attempt, pool, sg_machine_open, bounce_classification, event_type, created_at, created_date, tls FROM mtp_tracking_email_events_1 where created_date &gt;= '2024-12-22 00-00-00' and created_date &lt; '2024-12-23 00-00-00';
INSERT IGNORE INTO mtp_tracking_email_events (email, event_timestamp, event, smtp_id, user_agent, ip, sg_event_id, sg_message_id, message_id, reason, status, response, url, category, asm_group_id, campaign_id, campaign_name, attempt, pool, sg_machine_open, bounce_classification, event_type, created_at, created_date, tls) SELECT email, CONVERT_TZ(event_timestamp, '+00:00', '+07:00') AS event_timestamp, event, smtp_id, user_agent, ip, sg_event_id, sg_message_id, message_id, reason, status, response, url, category, asm_group_id, campaign_id, campaign_name, attempt, pool, sg_machine_open, bounce_classification, event_type, created_at, created_date, tls FROM mtp_tracking_email_events_1 where created_date &gt;= '2024-12-23 00-00-00' and created_date &lt; '2024-12-24 00-00-00';
INSERT IGNORE INTO mtp_tracking_email_events (email, event_timestamp, event, smtp_id, user_agent, ip, sg_event_id, sg_message_id, message_id, reason, status, response, url, category, asm_group_id, campaign_id, campaign_name, attempt, pool, sg_machine_open, bounce_classification, event_type, created_at, created_date, tls) SELECT email, CONVERT_TZ(event_timestamp, '+00:00', '+07:00') AS event_timestamp, event, smtp_id, user_agent, ip, sg_event_id, sg_message_id, message_id, reason, status, response, url, category, asm_group_id, campaign_id, campaign_name, attempt, pool, sg_machine_open, bounce_classification, event_type, created_at, created_date, tls FROM mtp_tracking_email_events_1 where created_date &gt;= '2024-12-24 00-00-00' and created_date &lt; '2024-12-25 00-00-00';
INSERT IGNORE INTO mtp_tracking_email_events (email, event_timestamp, event, smtp_id, user_agent, ip, sg_event_id, sg_message_id, message_id, reason, status, response, url, category, asm_group_id, campaign_id, campaign_name, attempt, pool, sg_machine_open, bounce_classification, event_type, created_at, created_date, tls) SELECT email, CONVERT_TZ(event_timestamp, '+00:00', '+07:00') AS event_timestamp, event, smtp_id, user_agent, ip, sg_event_id, sg_message_id, message_id, reason, status, response, url, category, asm_group_id, campaign_id, campaign_name, attempt, pool, sg_machine_open, bounce_classification, event_type, created_at, created_date, tls FROM mtp_tracking_email_events_1 where created_date &gt;= '2024-12-25 00-00-00' and created_date &lt; '2024-12-26 00-00-00';
INSERT IGNORE INTO mtp_tracking_email_events (email, event_timestamp, event, smtp_id, user_agent, ip, sg_event_id, sg_message_id, message_id, reason, status, response, url, category, asm_group_id, campaign_id, campaign_name, attempt, pool, sg_machine_open, bounce_classification, event_type, created_at, created_date, tls) SELECT email, CONVERT_TZ(event_timestamp, '+00:00', '+07:00') AS event_timestamp, event, smtp_id, user_agent, ip, sg_event_id, sg_message_id, message_id, reason, status, response, url, category, asm_group_id, campaign_id, campaign_name, attempt, pool, sg_machine_open, bounce_classification, event_type, created_at, created_date, tls FROM mtp_tracking_email_events_1 where created_date &gt;= '2024-12-26 00-00-00' and created_date &lt; '2024-12-27 00-00-00'; Em cảm ơn ạ. Best regards,  Thành An.</t>
  </si>
  <si>
    <t>[OMRE][Agent][PROD] Cập nhật thông tin prefill hợp đồng</t>
  </si>
  <si>
    <t>2025-02-17T12:04:35.409+0700</t>
  </si>
  <si>
    <t>2025-02-17T12:04:43.641+0700</t>
  </si>
  <si>
    <t>Dear team DBA. Nhờ mọi người run câu lệnh này giúp bên OMRE UPDATE `template_attribute` SET `type` = 'Date' WHERE `template_attribute`.`id` = 1109 Thông tin DB: HOST = "172.31.4.83" PORT = 3306 DATABASE = "agent-platform"</t>
  </si>
  <si>
    <t>[OMC][VINPAY][PROD] Xin phân quyền xuất dữ liệu trong bảng data SOUNDBOX</t>
  </si>
  <si>
    <t>2025-02-17T12:03:48.210+0700</t>
  </si>
  <si>
    <t>2025-02-17T12:03:57.518+0700</t>
  </si>
  <si>
    <t>Để phục vụ công việc cho dự án Soundbox - TCB, VH cần được phân quyền vào bảng data bên dưới để export 1 số thông tin phục vụ việc onboard merchant lên hệ thống MP OPS. Nhờ Team phân quyền vào bảng: "tidb_ods"."saas_tpay"."SOUNDBOX_MERCHANT" cho group:  dremio.vhmc-group Cảm ơn Team!</t>
  </si>
  <si>
    <t>[OMRE][PROD] Update data config Production</t>
  </si>
  <si>
    <t>2025-02-17T12:02:33.945+0700</t>
  </si>
  <si>
    <t>2025-02-17T12:02:47.514+0700</t>
  </si>
  <si>
    <t>Dear các anh. Nhờ các anh chạy giúp câu lệnh sql trên prod giúp em. DELETE FROM `contract_prefill_value` WHERE `contract_prefill_value`.`entity_name` = 'leads';
INSERT INTO `contract_prefill_value` (`entity_name`, `field_name`, `input_type`, `es_path`, `pre_define_value`, `field_type`, `field_format`, `display_name`, `status`, `created_by`)
VALUES
    ('leads', 'name', NULL, NULL, NULL, 'java.lang.String', NULL, 'Tên của Khách hàng', 'ACTIVE', NULL),
    ('leads', 'phone_number', NULL, NULL, NULL, 'java.lang.String', NULL, 'SĐT của Khách hàng', 'ACTIVE', NULL),
    ('leads', 'email', NULL, NULL, NULL, 'java.lang.String', NULL, 'Email của Khách hàng', 'ACTIVE', NULL),
    ('leads', 'inventory_property.property.property_legal_infos.land_use_right_certificate_code', NULL, NULL, NULL, 'java.lang.String', '', 'Số GCN', 'ACTIVE', 'phuc.bui2@onemount.com'),
    ('leads', 'inventory_property.property.property_legal_infos.address_level4', NULL, NULL, NULL, 'java.lang.String', '', 'Địa chỉ căn trên GCN', 'ACTIVE', 'phuc.bui2@onemount.com'),
    ('leads', 'inventory_property.property.residential_property.real_estate_type_code', NULL, NULL, NULL, 'java.lang.String', '', 'Loại BĐS', 'ACTIVE', 'phuc.bui2@onemount.com'),
    ('leads', 'inventory_property.property.residential_property.map_number_new', NULL, NULL, NULL, 'java.lang.String', '', 'Số tờ', 'ACTIVE', 'phuc.bui2@onemount.com'),
    ('leads', 'inventory_property.property.residential_property.land_number_new', NULL, NULL, NULL, 'java.lang.String', '', 'Số thửa', 'ACTIVE', 'phuc.bui2@onemount.com'),
    ('leads', 'inventory_property.property.property_legal_infos.sale_contract_number', NULL, NULL, NULL, 'java.lang.String', '', 'số HĐMB', 'ACTIVE', 'phuc.bui2@onemount.com'),
    ('leads', 'nationality', NULL, NULL, NULL, 'java.lang.String', '', 'Quốc tịch KH', 'ACTIVE', 'phuc.bui2@onemount.com'),
    ('leads', 'dob', NULL, NULL, NULL, 'java.lang.String', '', 'Ngày sinh KH', 'ACTIVE', 'phuc.bui2@onemount.com'),
    ('leads', 'job_type.name', NULL, NULL, NULL, 'java.lang.String', '', 'Nghề nghiệp KH', 'ACTIVE', 'phuc.bui2@onemount.com'),
    ('leads', 'job_position_type_code', NULL, NULL, NULL, 'java.lang.String', '', 'Chức vụ KH', 'ACTIVE', 'phuc.bui2@onemount.com'),
    ('leads', 'identify_issue_place', NULL, NULL, NULL, 'java.lang.String', '', 'Nơi cấp CCCD KH', 'ACTIVE', 'phuc.bui2@onemount.com'),
    ('leads', 'id_document_issue_date', NULL, NULL, NULL, 'java.lang.String', '', 'Ngày cấp CCCD KH', 'ACTIVE', 'phuc.bui2@onemount.com'),
    ('leads', 'identify_number', NULL, NULL, NULL, 'java.lang.String', '', 'Số CCCD KH', 'ACTIVE', 'phuc.bui2@onemount.com'),
    ('leads', 'pa_address.street', NULL, NULL, NULL, 'java.lang.String', '', 'Hộ khẩu thường trú KH', 'ACTIVE', 'phuc.bui2@onemount.com'),
    ('leads', 'street', NULL, NULL, NULL, 'java.lang.String', NULL, 'Địa chỉ liên hệ của KH', 'ACTIVE', NULL),
    ('leads', 'combined_address', NULL, NULL, NULL, 'java.lang.String', '', 'Địa chỉ căn theo hiện trạng thực tế', 'ACTIVE', 'phuc.bui2@onemount.com'),
    ('leads', 'inventory_property.reference_selling_price_gross', NULL, NULL, NULL, 'java.lang.String', '', 'Giá chào bán', 'ACTIVE', 'phuc.bui2@onemount.com'); Thông tin DB : HOST =  omre-onehs-mysql-main.int.onemount.com PORT = 3306 DATABASE = "agent-platform"</t>
  </si>
  <si>
    <t>[OMRE] [PROD] Deactive data HD trùng thuộc tính tọa độ và các polygon không xác định</t>
  </si>
  <si>
    <t>2025-02-17T12:01:33.972+0700</t>
  </si>
  <si>
    <t>2025-02-17T12:01:42.769+0700</t>
  </si>
  <si>
    <t>Dear team DBA, Nhằm mục đích support vận hành deactive những tài sản user import nhầm, nhờ team DBA hỗ trợ deactive data theo thông tin sau: Thông tin Database: Server: 172.31.4.83
onehs_hd_residential_house Deactive theo câu lệnh sau: CREATE TABLE TMP_PROPERTY_CODE (
    id INT AUTO_INCREMENT PRIMARY KEY,
    property_code VARCHAR(100) NOT NULL
);
UPDATE RESIDENTIAL_PROPERTY
SET RESIDENTIAL_PROPERTY.is_active = 0
WHERE RESIDENTIAL_PROPERTY.property_code IN (SELECT property_code FROM TMP_PROPERTY_CODE) Danh sách property_code cần deactive và câu lệnh insert theo file đính kèm Ticket:    Dự kiến thời gian chạy: 22h ngày 20/01/2025 Em cảm ơn ạ</t>
  </si>
  <si>
    <t>[OMRE][PROD] Chạy lệnh SQL cập nhật hỗ trợ cho việc thay đổi access token</t>
  </si>
  <si>
    <t>2025-02-17T12:00:36.998+0700</t>
  </si>
  <si>
    <t>2025-02-17T12:00:45.890+0700</t>
  </si>
  <si>
    <t>Hi team, do phía em có nghiệp vụ cần cập nhật scope của access token được lưu trong database nên cần chạy lệnh thay đổi dữ liệu, nhờ team hỗ trợ giúp em ạ Lệnh thực hiện:  UPDATE google_auths SET access_token = 'ya29.a0ARW5m75PqGvxhKXLpne7L1Q5lGFN7uB6IghJMgkPUBFuZyuCtAExFFUQJczyP4YIZjAX-qB9x5EGZPX8Uk6FG8NMlstaasvB3pYAwFAih0kg1FlS0fhbV0vd7-IjvyxvG8QAEatmyhSpnKLYm17MBL0a3FOohKdv-SomkhheaCgYKAXoSARESFQHGX2Mi2baUH9K4IAgV0YlJSp1YUQ0175', refresh_token = '1//0eiYcrbYDlUzMCgYIARAAGA4SNwF-L9IrmpYrfyGWrqLIex1TURKOAjUwUdVfapg7YkZP4S5wzMtGaCeEEU3YB-OXA5Mm8_T5qWc', expiration_time_milliseconds = 1737370546265 WHERE  key  = 'user'; Database:  omre-onehs-mysql-main.int.onemount.com Table:  common_workflow</t>
  </si>
  <si>
    <t>[OMC][MTP][PROD] Đánh thêm chỉ mục trên bảng tracking email events</t>
  </si>
  <si>
    <t>2025-02-17T11:59:50.485+0700</t>
  </si>
  <si>
    <t>2025-02-17T11:59:59.585+0700</t>
  </si>
  <si>
    <t>Dear team,  Bên em đang muốn đánh thêm chỉ mục cho cặp field  campaign_id  và  event  trên bảng  mtp_tracking_email_events   TIDB  để phục vụ truy vấn dữ liệu ạ. Database:  omc_mtp_tracking_events Câu tạo chỉ mục: CREATE INDEX idx_cp_ev
ON mtp_tracking_email_events (campaign_id, event); Em cảm ơn ạ. Best regards, Thành An.</t>
  </si>
  <si>
    <t>[OMC][Vinpay][NONPROD] Tạo schema cho EMQX server</t>
  </si>
  <si>
    <t>2025-02-17T11:57:23.651+0700</t>
  </si>
  <si>
    <t>2025-02-17T11:57:33.280+0700</t>
  </si>
  <si>
    <t xml:space="preserve">Do EMQX server cần database để lưu user’s settings nên nhờ team DBA setup schema MySQL cho service ạ: Link GCP:  https://console.cloud.google.com/sql/instances/vinpay-main/overview?inv=1&amp;invt=AbnVzw&amp;project=vinid-app-common-dev Thông tin cần cung cấp: Server URI Database name Username Password Tài liệu tham khảo:    SAD:   </t>
  </si>
  <si>
    <t>[OM][PROD]Tạo external table dremio cho bảng ở db residential</t>
  </si>
  <si>
    <t>2025-02-17T11:55:04.123+0700</t>
  </si>
  <si>
    <t>2025-02-17T11:55:22.473+0700</t>
  </si>
  <si>
    <t>Dear team DBA. Em đang có nhu cầu tạo external table dremio cho database residential. Nhờ team hỗ trợ tạo external table dremio cho bảng ạ. Thông tin về DB và bảng như sau host= ' 172.31.3.66 ', port=5432, database= ' residential ' table: residential .ldp_geospatial Thanks and regards!</t>
  </si>
  <si>
    <t>[OMC][GAMI][PROD][PS2] Hỗ trợ xuất data phục vụ comms khách hàng cho campaign Triệu Quà Mê Xoay</t>
  </si>
  <si>
    <t>2025-02-17T11:54:13.757+0700</t>
  </si>
  <si>
    <t>2025-02-17T11:54:21.835+0700</t>
  </si>
  <si>
    <t>Hỗ trợ xuất data phục vụ comms khách hàng cho campaign Triệu Quà Mê Xoay Database promo_gamezone:  SELECT DISTINCT(user_id), customer_id FROM   rule_logs WHERE  campaign_id = 16; SELECT DISTINCT(user_id), customer_id FROM   transactions WHERE  campaign_id = 16; Database promo_mysterybox SELECT customer_id, user_id, turn_left FROM user_turns WHERE campaign_id = 16 &amp;&amp; turn_left &gt;0;</t>
  </si>
  <si>
    <t xml:space="preserve">[OMC][VINPAY][TPAY][PROD] Tác động database - selfonboard </t>
  </si>
  <si>
    <t>2025-02-17T11:53:24.238+0700</t>
  </si>
  <si>
    <t>2025-02-17T11:53:33.185+0700</t>
  </si>
  <si>
    <t>Hi team, Các anh giúp em chạy script với thông tin như bên dưới nhé ạ Thông tin database  saas_tpay: jdbc:mysql://pay-tidb.int.onemount.com:4000/saas_tpay Script em để trong file đính kèm ạ.  Chạy luôn khi được approval  SESSION_CONTRACT INSERT INTO SESSION_CONTRACT
(session_id, file_id, file_code, file_name, file_location, signed_file_id, signed_file_name, signed_file_location, gcs_uri, gcs_link, type, number_sic_web, number_retry_signing_result, created_at)
VALUES ('606b237a994f4f13b2b27469b7da22d0', '606b237a994f4f13b2b27469b7da22d0', 8886721792357022528, '606b237a994f4f13b2b27469b7da22d0', null, null, null, null, 'self_onboard/contract/606b237a994f4f13b2b27469b7da22d0/self-onboard-contract.pdf', 'https://storage.googleapis.com/vinpay-softpos-onboard-prod/self_onboard/contract/606b237a994f4f13b2b27469b7da22d0/self-onboard-contract.pdf', 'main', 0, 0, CURRENT_TIMESTAMP);</t>
  </si>
  <si>
    <t>[OMC][MTP][PROD] Truncate dữ liệu tháng 11 của MTP Tracking</t>
  </si>
  <si>
    <t>2025-02-17T11:52:29.851+0700</t>
  </si>
  <si>
    <t>2025-02-17T11:52:39.600+0700</t>
  </si>
  <si>
    <t>Dear anh  @Nguyễn Văn Dũng  , nhờ anh truncate giúp em dữ liệu tracking T11/2024. DB:  tidb.int.onemount.com Schema:  omc_mtp_tracking_events Table:  mtp_tracking_events Best regards Dinh Quang Nguyen</t>
  </si>
  <si>
    <t>[OMC][AuthenSDK][PROD] Tạo Tài khoản quyền read only trên db omc-authentication</t>
  </si>
  <si>
    <t>2025-02-17T11:51:25.768+0700</t>
  </si>
  <si>
    <t>2025-02-17T11:51:37.017+0700</t>
  </si>
  <si>
    <t>Dear DBA team, Để tiện hỗ trợ các issue trên production của domain AuthenSDK. Dev team mong muốn tạo ra 1 tài khoản readonly trên database  omc-authentication  để tiện xử lý.  Thông tin database: Instance ID:  https://console.cloud.google.com/sql/instances/omc-authentication/overview?authuser=1&amp;hl=en&amp;inv=1&amp;invt=AbnUQQ&amp;project=omc-base-platform-prod Database name: omc_bp_authentication PORT:  5432 read all tables trong các database thuộc Host này never expire</t>
  </si>
  <si>
    <t>[OMC][VINPAY][PROD]Update name VA</t>
  </si>
  <si>
    <t>2025-02-17T11:50:41.366+0700</t>
  </si>
  <si>
    <t>2025-02-17T11:50:52.929+0700</t>
  </si>
  <si>
    <t>DB: ops-pay-service UPDATE ops_pay_service.VIRTUAL_ACCOUNT t SET t.ACCOUNT_NAME = 'PHAN THI THUY QUYNH' WHERE t.VIRTUAL_ACCOUNT_NUMBER = 'M22625592754772';</t>
  </si>
  <si>
    <t>[OMRE][PROD]Yêu cầu chạy migrate data trên môi trường product</t>
  </si>
  <si>
    <t>2025-02-17T11:49:52.704+0700</t>
  </si>
  <si>
    <t>2025-02-17T11:50:01.026+0700</t>
  </si>
  <si>
    <t>Team Customer Process go live  Sprint 2025.02 - 10/1/2025 - 23/1/2025 Nhờ team thực hiện migrate data table onehs_avm_usecase UPDATE onehs_avm_usecase.rate_limitations SET budget = 3</t>
  </si>
  <si>
    <t>2025-02-17T11:48:55.916+0700</t>
  </si>
  <si>
    <t>2025-02-17T11:49:06.941+0700</t>
  </si>
  <si>
    <t>Hi các anh DBA, Hiện tại em cần update data trên prod bảng tcb_device, nhờ các anh review và approve giúp em, Thông tin database  saas_tpay: jdbc:mysql://pay-tidb.int.onemount.com:4000/saas_tpay UPDATE TCB_DEVICE t SET t.warranty_expired_at = '2026-02-16 00:00:00.000' WHERE t.device_hub_code in ('BHD','DNG','QNN','WLN'); Thanks kiuuu các anh,</t>
  </si>
  <si>
    <t>[OMRE][OneHS - Agent][PROD] Delete data trên MySQL PROD</t>
  </si>
  <si>
    <t>2025-02-17T11:47:50.080+0700</t>
  </si>
  <si>
    <t>2025-02-17T11:48:02.884+0700</t>
  </si>
  <si>
    <t>Nhờ team chạy giúp em câu lệnh DELETE sau trên MySQL Production ạ: Database:  mysql://omre-onehs-mysql-main.int.onemount.com:3306/crm_deposit Query:  DELETE FROM deposit_accounts WHERE id=2218</t>
  </si>
  <si>
    <t>2025-02-17T11:46:00.332+0700</t>
  </si>
  <si>
    <t>2025-02-17T11:46:09.664+0700</t>
  </si>
  <si>
    <t>[OMC][VINPAY][TPAY] Tác động database - golive soundbox</t>
  </si>
  <si>
    <t>2025-02-17T11:44:25.826+0700</t>
  </si>
  <si>
    <t>2025-02-17T11:44:38.215+0700</t>
  </si>
  <si>
    <t>Hi team, Các anh giúp em chạy script với thông tin như bên dưới nhé ạ Thông tin database  saas_tpay: jdbc:mysql://pay-tidb.int.onemount.com:4000/saas_tpay Script em để trong file đính kèm ạ Thực hiện:  23:59 18-01-2025 , khi team thông báo 1. SYSTEM_CONFIGURATION INSERT INTO SYSTEM_CONFIGURATION (SYSTEM_PARAM_CODE, SYSTEM_PARAM_NAME, SYSTEM_PARAM_VALUE, IS_ACTIVE, CREATED_DATE) VALUES ('SOUNDBOX_UPDATE_MERCHANT_CHECKER_PERMISSION', 'SOUNDBOX_UPDATE_MERCHANT_CHECKER_PERMISSION', 'approve:update_soundbox_merchant', 1, CURRENT_TIMESTAMP); 
INSERT INTO SYSTEM_CONFIGURATION (SYSTEM_PARAM_CODE, SYSTEM_PARAM_NAME, SYSTEM_PARAM_VALUE, IS_ACTIVE, CREATED_DATE) VALUES ('EXPORT_LIST_SOUNDBOX_MERCHANT_MAX_RECORD', 'EXPORT_LIST_SOUNDBOX_MERCHANT_MAX_RECORD', '20000', 1, CURRENT_TIMESTAMP);
INSERT INTO SYSTEM_CONFIGURATION (SYSTEM_PARAM_CODE, SYSTEM_PARAM_NAME, SYSTEM_PARAM_VALUE, IS_ACTIVE, CREATED_DATE) VALUES ('EMAIL_TEMPLATE_APPROVE_UPDATE_SOUNDBOX_REQUEST', 'EMAIL_TEMPLATE_APPROVE_UPDATE_SOUNDBOX_REQUEST', 'd-9ce4e676a80d49378fda1bf3631553cdfbd2455', 1, CURRENT_TIMESTAMP);
INSERT INTO SYSTEM_CONFIGURATION (SYSTEM_PARAM_CODE, SYSTEM_PARAM_NAME, SYSTEM_PARAM_VALUE, IS_ACTIVE) VALUES ('EXPORT_LIST_SOUNDBOX_DEVICE_MAX_RECORD', 'EXPORT_LIST_SOUNDBOX_DEVICE_MAX_RECORD', '100000', 1);</t>
  </si>
  <si>
    <t>[OMC][MTP][PROD] Request chạy script</t>
  </si>
  <si>
    <t>2025-02-17T11:42:35.522+0700</t>
  </si>
  <si>
    <t>2025-02-17T11:42:46.930+0700</t>
  </si>
  <si>
    <t>Nhờ anh chạy giúp em các script sau phục vụ golive:    1. DB Audience IP:  172.31.1.21:3306 DB:  martech_audience_prod Tạo bảng config query active user cho từng data source create table reachable_audience_source_config
(
    data_source_id int          not null,
    channel        varchar(10)  not null,
    dremio_table   varchar(255) null,
    constraint reachable_audience_source_config_pk
        primary key (data_source_id, channel)
);
INSERT INTO martech_audience_uat.reachable_audience_source_config (data_source_id, channel, dremio_table) VALUES 
(2, 'PUSH', 'mtp.notification.oneu_active_user_id'),
(6, 'PUSH', 'mtp.notification.omre_agents_active_user_id'); 2. DB Campaign IP:  172.31.1.21:3306 DB:  martech_campaign_prod Thêm cột cho bảng campaign: alter table campaign
    add column exclude_unreachable_user tinyint(1) default 0 null;</t>
  </si>
  <si>
    <t>2025-02-17T11:38:27.607+0700</t>
  </si>
  <si>
    <t>2025-02-17T11:38:44.808+0700</t>
  </si>
  <si>
    <t>Hi team, Các anh giúp em chạy script với thông tin như bên dưới nhé ạ Thông tin database  saas_tpay: jdbc:mysql://pay-tidb.int.onemount.com:4000/saas_tpay Thực hiện: 17h ngày 16/1/2025 SOUNDBOX_NOTIFICATION_HISTORY CREATE TABLE `SOUNDBOX_NOTIFICATION_HISTORY`
(
    `ID`               bigint NOT NULL AUTO_INCREMENT,
    `TRANSACTION_NO`   varchar(125) COLLATE utf8mb4_unicode_ci DEFAULT NULL,
    `TO_ACCOUNT_ID`    varchar(255) COLLATE utf8mb4_unicode_ci DEFAULT NULL,
    `AMOUNT`           decimal(20, 0)                          DEFAULT NULL,
    `STATUS`           varchar(20) COLLATE utf8mb4_unicode_ci  DEFAULT NULL,
    `NOTI_CODE_RES`    varchar(100) COLLATE utf8mb4_unicode_ci DEFAULT NULL,
    `NOTI_FAIL_REASON` varchar(500) COLLATE utf8mb4_unicode_ci DEFAULT NULL,
    `REQUEST_ID`       varchar(100) COLLATE utf8mb4_unicode_ci  DEFAULT NULL,
    `RETRY_TIMES`      int                                     DEFAULT 0,
    `CREATED_DATE`     timestamp NULL DEFAULT NULL,
    `CREATED_BY`       varchar(100) COLLATE utf8mb4_unicode_ci DEFAULT NULL,
    `UPDATED_DATE`     timestamp NULL DEFAULT NULL,
    `UPDATED_BY`       timestamp NULL DEFAULT NULL,
    PRIMARY KEY (`ID`)
) ENGINE=InnoDB DEFAULT CHARSET=utf8mb4 COLLATE=utf8mb4_unicode_ci;
CREATE INDEX IDX_TRANSACTION_NO ON SOUNDBOX_NOTIFICATION_HISTORY(TRANSACTION_NO);
CREATE INDEX IDX_STATUS ON SOUNDBOX_NOTIFICATION_HISTORY(STATUS);
CREATE INDEX IDX_RETRY_TIMES ON SOUNDBOX_NOTIFICATION_HISTORY(RETRY_TIMES); Em cảm ơn</t>
  </si>
  <si>
    <t>[OMC][VINPAY][PROD]Export giao dịch SoundBox</t>
  </si>
  <si>
    <t>2025-02-17T11:37:46.620+0700</t>
  </si>
  <si>
    <t>2025-02-17T11:37:56.625+0700</t>
  </si>
  <si>
    <t>Nhờ team dba chạy giúp em script sau và export kết quả ra file excel để vận hành đối soát giao dịch ngày golive: -- Giao dich VA SELECT  *  FROM  VIRTUAL_ACCOUNT  va   WHERE   va .SERVICE_TYPE =  'TCB_SOUNDBOX'   and  CREATED_DATE &gt;=  '2025-01-12'   and  CREATED_DATE &lt;  '2025-01-13' ; -- Giao dich H2H SELECT  *  FROM  AUTO_PAYMENT_INTEGRATION  api   WHERE   api .SERVICE_CODE =  'TCB_SOUNDBOX'   and  CREATED_DATE &gt;=  '2025-01-12'   and  CREATED_DATE &lt;  '2025-01-13' ;</t>
  </si>
  <si>
    <t>[OMC][PROD] Chạy câu lệnh SQL</t>
  </si>
  <si>
    <t>2025-02-17T11:36:49.791+0700</t>
  </si>
  <si>
    <t>2025-02-17T11:36:58.528+0700</t>
  </si>
  <si>
    <t>Dear anh Dũng, Nhờ anh hỗ trợ team thực hiện câu lệnh SQL với thông tin dưới đây Project: serive platform
IP: 172.31.1.102
DB name: user_inventory_service  SQL: Backup bảng  inventory_item Sau đó thực hiện câu lệnh dưới đây UPDATE inventory_item it 
SET 
    deep_link = REPLACE(it.deep_link,
        'vinid.net/ticket_detail',
        'mnminiapp.com?url=https://ticketing-webapp.web.app/ticket/ticket-view')
WHERE
    category_id = 2;</t>
  </si>
  <si>
    <t>[OMC][MTP][PROD] Tạo index cho bảng mtp_tracking_events_context</t>
  </si>
  <si>
    <t>2025-02-17T11:35:53.762+0700</t>
  </si>
  <si>
    <t>2025-02-17T11:36:03.255+0700</t>
  </si>
  <si>
    <t>Dear anh  @Nguyễn Văn Dũng , nhờ anh tạo giúp em index cho bảng  mtp_tracking_events_context IP:  tidb.int.onemount.com Schema: omc_mtp_tracking_events alter table mtp_tracking_events_context add index idx_name_device_app_build_create (namespace,device_id,app_version,build_number,created_at), ALGORITHM=INPLACE, LOCK=NONE; Best regards Dinh Quang Nguyen</t>
  </si>
  <si>
    <t>[OMC][VINPAY][TPAY][SOUNDBOX][PROD] Xoa dữ liệu</t>
  </si>
  <si>
    <t>2025-02-17T11:35:04.371+0700</t>
  </si>
  <si>
    <t>2025-02-17T11:35:15.419+0700</t>
  </si>
  <si>
    <t>Hi các anh DBA, Hiện tại em cần xóa các data test trên prod, nhờ các anh review và approve giúp em, Thông tin database  saas_tpay: jdbc:mysql://pay-tidb.int.onemount.com:4000/saas_tpay truncate table SOUNDBOX_MERCHANT;
truncate table TCB_DEVICE;
truncate table SOUNDBOX_DEVICE_MAPPING;
truncate table SOUNDBOX_DEVICE_SALES;
truncate table SOUNDBOX_FILE; Thanks kiuuu,</t>
  </si>
  <si>
    <t>[OMC][GAMI][PS2] Hỗ trợ xuất data phục vụ comms khách hàng cho campaign Triệu Quà Mê Xoay</t>
  </si>
  <si>
    <t>2025-02-17T11:34:12.989+0700</t>
  </si>
  <si>
    <t>2025-02-17T11:34:22.935+0700</t>
  </si>
  <si>
    <t>Hỗ trợ xuất data phục vụ comms khách hàng cho campaign Triệu Quà Mê Xoay SELECT DISTINCT(user_id), customer_id FROM   rule_logs WHERE  campaign_id = 16; SELECT DISTINCT(user_id), customer_id FROM   transactions WHERE  campaign_id = 16;</t>
  </si>
  <si>
    <t>[OMC][VINPAY][PROD] Update công nợ phí merchant VINFAST</t>
  </si>
  <si>
    <t>2025-02-17T11:32:25.938+0700</t>
  </si>
  <si>
    <t>2025-02-17T11:32:39.829+0700</t>
  </si>
  <si>
    <t>Dear team,  Em cần support câu lệnh sau để Update công nợ phí merchant . thời gian thực hiện: thực hiện sau khi ticket được approved. thông tin db: DB OPS: project: vinpay-prod Instance: low-performance Master IP: 172.31.1.149 Slave IP: 172.31.1.179 DB: ops_pay_service script: UPDATE ops_pay_service.FEE_DEBT_MASTER t
SET t.DEBT_END_PERIOD = 0
WHERE t.FEE_DEBT_MASTER_ID = 2696</t>
  </si>
  <si>
    <t>2025-02-17T11:31:16.834+0700</t>
  </si>
  <si>
    <t>2025-02-17T11:31:43.610+0700</t>
  </si>
  <si>
    <t>Dear team DBA, Theo thread trao đổi:  https://chat.google.com/room/AAAAbcTWvJQ/wnoiEt5nF4M/wnoiEt5nF4M?cls=10 Hiện user bị gãy luồng, nên team cần thực hiện update record để đảm bảo luồng của user UID 11589385 trước đây có sđt 0356485675 thực hiện request link account và lỗi.
 Sau đó đổi sđt sang 0773008678 và thực hiện liên kết nên hệ thống báo lỗi uid đã tồn tại bản ghi LA.. Nhờ team thực hiện query: Instance ID:  https://console.cloud.google.com/sql/instances/postgres-01/overview?authuser=1&amp;project=vinid-service-platform-prod Database name:  sp_postgres_link_account Câu lệnh SQL: UPDATE linkages SET active = false
WHERE user_id = 11589385</t>
  </si>
  <si>
    <t>[OMC][VinPAY][OSC] [PROD] Xin hỗ trợ update dữ liệu cho database osc</t>
  </si>
  <si>
    <t>2025-02-17T11:28:55.660+0700</t>
  </si>
  <si>
    <t>2025-02-17T11:29:03.625+0700</t>
  </si>
  <si>
    <t>Hi các anh DBA, Hiện tại bên em cần tạo master data dữ liệu của VNA theo yêu cầu của Loyalty, nhờ các anh chạy giúp em lệnh trên với ạ. https://chat.google.com/room/AAAAlm9yvKU/sI8ROSGvIcw/sI8ROSGvIcw?cls=10 INSERT INTO MERCHANT_KEY_CONFIG (id, merchant_id,key_id,name,public_key,enable) VALUES (9, 'VNA','546ce7fc-e4f4-42f4-bb4d-d27eba1b007c','VNAKEY','LS0tLS1CRUdJTiBQVUJMSUMgS0VZLS0tLS0KTUlJQklqQU5CZ2txaGtpRzl3MEJBUUVGQUFPQ0FROEFNSUlCQ2dLQ0FRRUF6VE9CWFBFYVRpWFJQbTkwTFpHUwp6b1RyV29ucm5YNTIrR2JVQWN6UnhaUUtjemVkbmVtV1JIOW5STXJnaS9IeFBZU1V1VWNucFJjbEVtMWJBcmlDCnNYMmptdlB1eW1FNFI4bVBVTzloNE1pdXZHV1FXQ0ZnTmpXbmREWTNndXd6MDNHNnJCVjR6OGwwSVJvMUF0dmIKQngwcno4UDU0NFhJdWwxQjdpY2NBV2gvUFdVQ0o3Rkt6VVFjb0NjTUpDODNuSEoxc0ZncUdmVlRsUWNOS1FveQpuNnN5VTdrOUxsOUFUOFZ2aUwwLzMvQlk1VVZ5QU9rSVBHN09zMUIvdXFQb0V5aWRSNlpaYkQrenUvRGZlWjlCClUwRjlEUWRjcHNNQk00bS9KMEJuakJCa3pRMGpRVUIxZm1kVkg1SmxOb2JkT1JDMVJHR3haTm9COHAvVEl5M3AKeXdJREFRQUIKLS0tLS1FTkQgUFVCTElDIEtFWS0tLS0t',1);
INSERT INTO MERCHANT_AUTHEN_CONFIG(id, merchant_id,client_id,enable) VALUES (4, 'VNA','XqMufaofsTDIAnUIdvVbzDMGixFWRGII',1);
INSERT INTO OSC_MERCHANT (id, merchant_id,request_ttl,active) VALUES (3,  'VNA',300,1); Thanks teams,</t>
  </si>
  <si>
    <t>[OMC][MTP][PROD] Hỗ trợ lấy dữ liệu truy vấn phục vụ report</t>
  </si>
  <si>
    <t>2025-02-17T11:28:18.771+0700</t>
  </si>
  <si>
    <t>2025-02-17T11:28:27.269+0700</t>
  </si>
  <si>
    <t>Dear team,  Bên phía MTP em đang muốn truy vấn một số dữ liệu để làm report, cần truy vấn trên CSDL Mysql  Notification Hubs: 172.31.4.192 Câu query: -- vin-id
SELECT count(id) FROM "vinid_push_notification" 
WHERE created_at BETWEEN '2024-01-01' AND '2024-12-31' GROUP BY client_id;
SELECT count(id) FROM "vinid_push_notification" 
WHERE created_at BETWEEN '2024-01-01' AND '2024-12-31' AND campaign_id is null GROUP BY client_id;
-- omre-agent
SELECT count(id) FROM "omre_agent_push_notification" 
WHERE created_at BETWEEN '2024-01-01' AND '2024-12-31' GROUP BY client_id;
SELECT count(id) FROM "omre_agent_push_notification"
WHERE created_at BETWEEN '2024-01-01' AND '2024-12-31' AND campaign_id is null GROUP BY client_id;
-- omre-free agent
SELECT count(id) FROM "omre_free_agent_push_notification" 
WHERE created_at BETWEEN '2024-01-01' AND '2024-12-31' GROUP BY client_id;
SELECT count(id) FROM "omre_free_agent_push_notification"
WHERE created_at BETWEEN '2024-01-01' AND '2024-12-31' AND campaign_id is null GROUP BY client_id;
-- softpos
SELECT count(id) FROM "softpos_push_notification" 
WHERE created_at BETWEEN '2024-01-01' AND '2024-12-31' GROUP BY client_id;
SELECT count(id) FROM "softpos_push_notification"
WHERE created_at BETWEEN '2024-01-01' AND '2024-12-31' AND campaign_id is null GROUP BY client_id;
-- softpos
SELECT count(id) FROM "quet_push_notification" 
WHERE created_at BETWEEN '2024-01-01' AND '2024-12-31' GROUP BY client_id;
SELECT count(id) FROM "quet_push_notification"
WHERE created_at BETWEEN '2024-01-01' AND '2024-12-31' AND campaign_id is null GROUP BY client_id;
 Em cảm ơn ạ. Best regards, Thanh An.</t>
  </si>
  <si>
    <t>2025-02-17T11:27:32.649+0700</t>
  </si>
  <si>
    <t>2025-02-17T11:27:44.942+0700</t>
  </si>
  <si>
    <t>Dear team DBA, Theo thread trao đổi:  https://chat.google.com/room/AAAARoj0WGQ/R6UEhCEfyb0/R6UEhCEfyb0?cls=10 Hiện user bị gãy luồng, nên team cần thực hiện update record để đảm bảo luồng của user team LA check thì do UID 6772156 trước đây có sđt 0973374209
thực hiện request link account và lỗi. 
Sau đó đổi sđt sang 0937038799 và thực hiện liên kết nên hệ thống báo lỗi uid đã tồn tại bản ghi LA. Nhờ team thực hiện query: Instance ID:  https://console.cloud.google.com/sql/instances/postgres-01/overview?authuser=1&amp;project=vinid-service-platform-prod Database name:  sp_postgres_link_account Câu lệnh SQL: UPDATE linkages SET active = false
WHERE user_id = 6772156</t>
  </si>
  <si>
    <t>[OMRE][Agent][PROD] Xóa bản ghi bị trùng lặp</t>
  </si>
  <si>
    <t>2025-02-17T11:26:55.009+0700</t>
  </si>
  <si>
    <t>2025-02-17T11:27:05.630+0700</t>
  </si>
  <si>
    <t>Dear team DBA. Nhờ mọi người run câu lệnh này giúp bên OMRE DELETE FROM `ekyc` WHERE status = 'UNVERIFIED' AND agent_uuid = 'c1796af7-f093-44a2-af6a-23ade428c91a' Thông tin DB: HOST = "172.31.4.83" PORT = 3306 DATABASE = "agent-platform" Trước khi run nhờ team chạy select giúp team, nếu ra đúng 2 bản ghi thì thực hiện run ạ</t>
  </si>
  <si>
    <t>[OMD][NONPROD]Xin account truy cập ODS</t>
  </si>
  <si>
    <t>2025-02-17T11:25:42.216+0700</t>
  </si>
  <si>
    <t>2025-02-17T11:25:53.388+0700</t>
  </si>
  <si>
    <t xml:space="preserve">Hi team, Nhờ team support em với ạ Để phục vụ mục đích lấy thông tin chỉ số Pricing Control, squad SCT của OMD cần xin account truy cập ODS với thông tin như sau: Table:  omd_dp_basedata.bau_omd_product_pricing User:  omd_pcm_pricing_control Quyền:  READ Link tài liệu liên quan:     </t>
  </si>
  <si>
    <t xml:space="preserve">[OMC][VINPAY][PROD] update category bảng VA configuration với service type ETL và Update công nợ phí merchant </t>
  </si>
  <si>
    <t>2025-02-17T11:24:30.950+0700</t>
  </si>
  <si>
    <t>2025-02-17T11:24:53.037+0700</t>
  </si>
  <si>
    <t xml:space="preserve">Dear team,  Em cần support câu lệnh sau để điều chỉnh category luồng va với service type ETL hạch toán dưới fs core và Update công nợ phí merchant . thời gian thực hiện: thực hiện sau khi ticket được approved. thông tin db: DB OPS: project: vinpay-prod Instance: low-performance Master IP: 172.31.1.149 Slave IP: 172.31.1.179 DB: ops_pay_service config va: UPDATE ops_pay_service.VIRTUAL_ACCOUNT_CONFIGURATION t
SET t.ACCOUNTING_CORE = 'VA',
    t.CATEGORY = 1031,
    t.VA_CIF = 'USE_CASE'
WHERE t.SERVICE_TYPE = 'ETL';  Update công nợ phí merchant : UPDATE ops_pay_service.FEE_DEBT_MASTER t
SET t.DEBT_END_PERIOD = 0
WHERE t.FEE_DEBT_MASTER_ID IN (
    2671, 1482, 2182, 2018, 132, 1584, 
    1955, 1889, 2624, 1491, 1771, 
    1398, 1898, 1890, 2099, 2284, 
    1101, 414, 136, 1243, 496, 
    1041, 1240
);
</t>
  </si>
  <si>
    <t>[OMD][saletools]Xin phân quyền vào db trong ODS</t>
  </si>
  <si>
    <t>2025-02-17T11:23:43.658+0700</t>
  </si>
  <si>
    <t>2025-02-17T11:23:54.619+0700</t>
  </si>
  <si>
    <t>Nhờ các sếp phân quyền giúp vào tidb_ods.omd_vinid_integration_prod_main_sales_tools  cho 2 acc để build dashboard và publish ở powerbi PBI application user local.dremio.powerbi.odbc.omd User dang.nguyen2</t>
  </si>
  <si>
    <t>2025-02-17T11:22:12.005+0700</t>
  </si>
  <si>
    <t>2025-02-17T11:22:23.538+0700</t>
  </si>
  <si>
    <t>Dear DBA team, Nhờ team thực hiện cập nhật thông tin Agent cho OMRE nhé UPDATE ekyc SET dob = '09/06/1992', gender = 'NỮ' WHERE agent_code = '1049407138' UPDATE agents SET gender = 'FEMALE', dob = '1992-06-09' WHERE code = '1049407138' Thông tin DB : HOST = " 172.31.4.83 " PORT = 3306 DATABASE = "agent-platform"</t>
  </si>
  <si>
    <t>[OMC][BASEPLATFOM][Affiliate] Đánh index cho bảng Hydra</t>
  </si>
  <si>
    <t>2025-02-17T11:20:54.446+0700</t>
  </si>
  <si>
    <t>2025-02-17T11:21:04.823+0700</t>
  </si>
  <si>
    <t>Dear anh  @Nguyễn Văn Dũng ,  nhờ anh đánh giúp em index cho bảng sau. DB:  172.31.3.55 Schema:  mobile_next_authen Script:  CREATE INDEX CONCURRENTLY idx_hoa_signature_requested_at ON public.hydra_oauth2_access (signature,requested_at ); Best regards Dinh Quang Nguyen</t>
  </si>
  <si>
    <t xml:space="preserve">[OMRE][Non-Prod] Xin hỗ trợ tạo database </t>
  </si>
  <si>
    <t>2025-02-17T11:19:58.276+0700</t>
  </si>
  <si>
    <t>2025-02-17T11:20:05.997+0700</t>
  </si>
  <si>
    <t xml:space="preserve">Description Repo:  https://gitlab.id.vin/1housing/crm/workflow-service Em chào anh chị, Anh chị hỗ trợ tạo giúp em database cho môi trường qc/uat cho history service này giúp em với ạ. Tên database: onehs_wf_history_camunda_uat  Do lượng data lưu trữ lớn nên service này lưu history vào database history riêng, hiện trên uat đã có database chính rồi, team em muốn xin tạo database lưu history ạ </t>
  </si>
  <si>
    <t>2025-02-17T11:19:14.392+0700</t>
  </si>
  <si>
    <t>2025-02-17T11:19:24.431+0700</t>
  </si>
  <si>
    <t>Hi team, Các anh giúp em chạy script với thông tin như bên dưới nhé ạ Thông tin database  saas_tpay: jdbc:mysql://pay-tidb.int.onemount.com:4000/saas_tpay Script em để trong file đính kèm ạ Thực hiện:  23:59 11-01-2025 , khi team thông báo SOUNDBOX_DEVICE_MAPPING create table SOUNDBOX_DEVICE_MAPPING
(
    ID                bigint auto_increment
        primary key,
    DEVICE_ID         varchar(500) null,
    SERVICE           varchar(500) null,
    VENDOR_CODE       varchar(500) null,
    DEVICE_TOKEN      varchar(500) null,
    MERCHANT_CODE     varchar(500) null,
    TCB_MERCHANT_ID   varchar(500) null,
    TCB_STORE_ID      varchar(500) null,
    TCB_TERMINAL_ID   varchar(500) null,
    OM_VA_ACCOUNT     varchar(500) null,
    MC_VA_ACCOUNT     varchar(500) null,
    MC_MASTER_ACCOUNT varchar(500) null,
    STATUS            varchar(250) null,
    CREATED_AT        timestamp    null,
    CREATED_BY        varchar(500) null,
    UPDATED_AT        timestamp    null,
    UPDATED_BY        varchar(500) null,
    LINK_DEVICE_AT    timestamp    null,
    UNLINK_DEVICE_AT  timestamp    null,
    DEVICE_BROKEN_AT  timestamp    null,
    EXTRA_DATA        json         null,
    FILE_ID           bigint       null
) AUTO_ID_CACHE 1;
create index SOUNDBOX_DEVICE_MAPPING_DEVICE_ID_index
    on SOUNDBOX_DEVICE_MAPPING (DEVICE_ID);
CREATE INDEX IDX_OM_VA_ACCOUNT ON SOUNDBOX_DEVICE_MAPPING (OM_VA_ACCOUNT); SOUNDBOX_FILE create table SOUNDBOX_FILE
(
    id            bigint auto_increment
        primary key,
    merchant_code varchar(64)                        null,
    ticket_id     varchar(64)                        null comment 'is object_id when request maker checker',
    status        varchar(32)                        null comment 'INIT || PUBLISH || DELETED',
    file_code     bigint                             null,
    type          varchar(128)                       null,
    uri           text                               null,
    link          text                               null,
    created_by    varchar(128)                       null,
    created_at    datetime default CURRENT_TIMESTAMP not null,
    updated_at    datetime default CURRENT_TIMESTAMP not null on update CURRENT_TIMESTAMP
);
create index idx_file_code on SOUNDBOX_FILE (file_code);
create index idx_merchant_code on SOUNDBOX_FILE (merchant_code);
create index idx_ticket_id on SOUNDBOX_FILE (ticket_id); SOUNDBOX_MERCHANT 
create table SOUNDBOX_MERCHANT
(
    ID                              bigint auto_increment
        primary key,
    MERCHANT_CODE                   varchar(32)  null,
    VIRTUAL_ACCOUNT_NUMBER          varchar(64)  null,
    CUSTOMER_NAME                   varchar(255) null,
    CITIZEN_ID                      varchar(12)  null,
    BUSINESS_LINE                   varchar(64)  null,
    BUSINESS_LINE_NAME              varchar(256) null,
    CITIZEN_ID_ISSUE_DATE           date         null,
    CITIZEN_ID_ISSUE_AGENCY         varchar(256) null,
    PHONE_NUMBER                    varchar(15)  null,
    STORE                           varchar(256) null,
    STORE_ADDRESS                   varchar(512) null,
    PERSON_IN_CHARGE                varchar(128) null,
    BRANCH                          varchar(128) null,
    BRANCH_NAME                     varchar(512) null,
    STATUS                          varchar(32)  null,
    DEVICE_TRANSFER_DOCUMENT_STATUS varchar(50)  null,
    APPROVED_AT                     timestamp    null,
    APPROVED_BY                     varchar(128) null,
    CREATED_AT                      timestamp    null,
    CREATED_BY                      varchar(128) null,
    UPDATED_AT                      timestamp    null,
    UPDATED_BY                      varchar(128) null
) AUTO_ID_CACHE 1;
create index idx_citizen_id on SOUNDBOX_MERCHANT (CITIZEN_ID);
create index idx_date_creator on SOUNDBOX_MERCHANT (CREATED_AT);
create index idx_merchant_code on SOUNDBOX_MERCHANT (MERCHANT_CODE);
create index idx_person_in_charge on SOUNDBOX_MERCHANT (PERSON_IN_CHARGE);
create index idx_phone_number on SOUNDBOX_MERCHANT (PHONE_NUMBER);
create index idx_virtual_account_number on SOUNDBOX_MERCHANT (VIRTUAL_ACCOUNT_NUMBER); SOUNDBOX_VA_TRANSACTION CREATE TABLE `SOUNDBOX_VA_TRANSACTION` (
  `ID` bigint NOT NULL AUTO_INCREMENT,
  `VIRTUAL_ACCOUNT_NUMBER` varchar(50) COLLATE utf8mb4_unicode_ci DEFAULT NULL,
  `VIRTUAL_ACCOUNT_NAME` varchar(500) COLLATE utf8mb4_unicode_ci DEFAULT NULL,
  `MAIN_VIRTUAL_ACCOUNT` varchar(50) COLLATE utf8mb4_unicode_ci DEFAULT NULL,
  `SENDER_ACCOUNT_NUMBER` varchar(100) COLLATE utf8mb4_unicode_ci DEFAULT NULL,
  `SENDER_ACCOUNT_NAME` varchar(500) COLLATE utf8mb4_unicode_ci DEFAULT NULL,
  `BANK_CODE` varchar(50) COLLATE utf8mb4_unicode_ci DEFAULT NULL,
  `AMOUNT` decimal(20,0) DEFAULT NULL,
  `TRANSACTION_DATE` timestamp NULL DEFAULT NULL,
  `TRANSACTION_NO` varchar(255) COLLATE utf8mb4_unicode_ci DEFAULT NULL,
  `STATUS` varchar(20) COLLATE utf8mb4_unicode_ci DEFAULT NULL,
  `MESSAGE` varchar(1024) COLLATE utf8mb4_unicode_ci DEFAULT NULL,
  `EXTRACT_DATA` text COLLATE utf8mb4_unicode_ci DEFAULT NULL,
  `CREATED_DATE` timestamp NULL DEFAULT NULL,
  `CREATED_BY` varchar(100) COLLATE utf8mb4_unicode_ci DEFAULT NULL,
  `UPDATED_DATE` timestamp NULL DEFAULT NULL,
  `UPDATED_BY` timestamp NULL DEFAULT NULL,
  PRIMARY KEY (`ID`) /*T![clustered_index] CLUSTERED */
)AUTO_ID_CACHE 1 ENGINE=InnoDB DEFAULT CHARSET=utf8mb4 COLLATE=utf8mb4_unicode_ci;
CREATE INDEX IDX_VA_ACCOUNT ON SOUNDBOX_VA_TRANSACTION (VIRTUAL_ACCOUNT_NUMBER);
CREATE INDEX IDX_TXN_NO ON SOUNDBOX_VA_TRANSACTION (TRANSACTION_NO); SOUNDBOX_VA_TRANSACTION_H2H 
CREATE TABLE `SOUNDBOX_VA_TRANSACTION_H2H` (
  `ID` bigint NOT NULL AUTO_INCREMENT,
  `VIRTUAL_ACCOUNT_NUMBER` varchar(50) COLLATE utf8mb4_unicode_ci DEFAULT NULL,
  `MERCHANT_CODE` varchar(50) COLLATE utf8mb4_unicode_ci DEFAULT NULL,
  `TRANSACTION_NO` varchar(125) COLLATE utf8mb4_unicode_ci DEFAULT NULL,
  `PARTNER_CODE` varchar(255) COLLATE utf8mb4_unicode_ci DEFAULT NULL,
  `PARTNER_ID` varchar(255) COLLATE utf8mb4_unicode_ci DEFAULT NULL,
  `FROM_ACCOUNT_ID` varchar(500) COLLATE utf8mb4_unicode_ci DEFAULT NULL,
  `FROM_ACCOUNT_TITLE` varchar(500) COLLATE utf8mb4_unicode_ci DEFAULT NULL,
  `TO_ACCOUNT_ID` varchar(255) COLLATE utf8mb4_unicode_ci DEFAULT NULL,
  `TO_ACCOUNT_TITLE` varchar(500) COLLATE utf8mb4_unicode_ci DEFAULT NULL,
  `TO_ACCOUNT_BANK_CODE` varchar(255) COLLATE utf8mb4_unicode_ci DEFAULT NULL,
  `TO_ACCOUNT_BANK_NAME` varchar(500) COLLATE utf8mb4_unicode_ci DEFAULT NULL,
  `AMOUNT` decimal(20,0) DEFAULT NULL,
  `TRANSACTION_DATE` timestamp NULL DEFAULT NULL,
  `TRANSACTION_TYPE` varchar(50) COLLATE utf8mb4_unicode_ci DEFAULT NULL,
  `SERVICE_CODE` varchar(50) COLLATE utf8mb4_unicode_ci DEFAULT NULL,
  `STATUS` varchar(20) COLLATE utf8mb4_unicode_ci DEFAULT NULL,
  `REF_H2H_ID` varchar(50) COLLATE utf8mb4_unicode_ci DEFAULT NULL,
  `REASON_FAIL` text COLLATE utf8mb4_unicode_ci DEFAULT NULL,
  `MESSAGE` varchar(1024) COLLATE utf8mb4_unicode_ci DEFAULT NULL,
  `NOTI_CODE_RES` varchar(100) COLLATE utf8mb4_unicode_ci DEFAULT NULL,
  `NOTI_FAIL_REASON` varchar(500) COLLATE utf8mb4_unicode_ci DEFAULT NULL,
  `CREATED_DATE` timestamp NULL DEFAULT NULL,
  `CREATED_BY` varchar(100) COLLATE utf8mb4_unicode_ci DEFAULT NULL,
  `UPDATED_DATE` timestamp NULL DEFAULT NULL,
  `UPDATED_BY` timestamp NULL DEFAULT NULL,
  PRIMARY KEY (`ID`)
) AUTO_ID_CACHE 1 ENGINE=InnoDB DEFAULT CHARSET=utf8mb4 COLLATE=utf8mb4_unicode_ci;
CREATE INDEX IDX_VA_ACCOUNT ON SOUNDBOX_VA_TRANSACTION_H2H (VIRTUAL_ACCOUNT_NUMBER);
CREATE INDEX IDX_TXN_NO ON SOUNDBOX_VA_TRANSACTION_H2H (TRANSACTION_NO);
CREATE INDEX IDX_REF_H2H ON SOUNDBOX_VA_TRANSACTION_H2H (REF_H2H_ID); TCB_DEVICE create table TCB_DEVICE
(
    id                   bigint auto_increment
        primary key,
    device_id            varchar(255)                        not null,
    service              varchar(30)                         null,
    vendor_code          varchar(30)                         null,
    device_model         varchar(100)                        null,
    device_edition       varchar(100)                        null,
    device_serial_number varchar(100)                        null,
    device_status        varchar(100)                        null,
    enable               tinyint(1)                          null,
    extra_data           json                                null,
    created_at           timestamp default CURRENT_TIMESTAMP null,
    created_by           varchar(30)                         null,
    updated_at           timestamp default CURRENT_TIMESTAMP null,
    updated_by           varchar(30)                         null,
    production_at        timestamp                           null,
    warranty_expired_at  timestamp                           null,
    qr_assign_at         timestamp                           null,
    device_hub           varchar(100)                        null,
    device_hub_code      varchar(100)                        null,
    device_broken_at     timestamp                           null
) AUTO_ID_CACHE 1;
create index TCB_DEVICE_DEVICE_ID_INDEX
    on TCB_DEVICE (device_id);
create index TCB_DEVICE_DEVICE_SERIAL_NUMBER_INDEX
    on TCB_DEVICE (device_serial_number);
create index TCB_DEVICE_VENDOR_CODE_INDEX
    on TCB_DEVICE (vendor_code); TCB_DEVICE_HISTORY create table TCB_DEVICE_HISTORY
(
    device_id            varchar(100) not null,
    service              varchar(20)  null,
    vendor_code          varchar(30)  null,
    device_model         varchar(30)  null,
    device_edition       varchar(30)  null,
    device_serial_number varchar(100) null,
    device_status        varchar(30)  null,
    enable               tinyint(1)   null,
    extra_data           json         null,
    created_at           timestamp    null,
    created_by           varchar(100) null,
    updated_at           timestamp    null,
    updated_by           varchar(100) null,
    production_at        timestamp    null,
    warranty_expired_at  timestamp    null,
    va_code              varchar(100) null,
    qr_assign_at         timestamp    null,
    sales_assign_at      timestamp    null,
    link_device_at       timestamp    null,
    unlink_device_at     timestamp    null,
    device_broken_at     timestamp    null,
    device_sales         varchar(100) null,
    device_hub           varchar(100) null,
    version              bigint       null,
    device_hub_code      varchar(100) null
) AUTO_ID_CACHE 1; TCB_DEVICE_MODEL create table TCB_DEVICE_MODEL
(
    ID                   bigint auto_increment
        primary key,
    VENDOR_CODE          varchar(500) null,
    DEVICE_MODEL         int          null,
    DEVICE_PROVIDER_CODE varchar(500) null,
    DEVICE_INFO          json         null,
    CREATED_AT           timestamp    null,
    CREATED_BY           varchar(500) null,
    UPDATED_AT           timestamp    null,
    UPDATED_BY           varchar(500) null
) AUTO_ID_CACHE 1; SYSTEM_CONFIGURATION 
INSERT INTO SYSTEM_CONFIGURATION (SYSTEM_PARAM_CODE, SYSTEM_PARAM_NAME, SYSTEM_PARAM_VALUE, IS_ACTIVE, CREATED_DATE) VALUES ('SOUNDBOX_MERCHANT_CHECKER_PERMISSION', 'SOUNDBOX_MERCHANT_CHECKER_PERMISSION', 'approve:soundbox_merchant', 1, CURRENT_TIMESTAMP);
INSERT INTO SYSTEM_CONFIGURATION (SYSTEM_PARAM_CODE, SYSTEM_PARAM_NAME, SYSTEM_PARAM_VALUE, IS_ACTIVE, CREATED_DATE) VALUES ('EMAIL_DEEPLINK_SOUNDBOX_MERCHANT', 'EMAIL_DEEPLINK_SOUNDBOX_MERCHANT', 'https://tcb-payment.ops.onemount.com/sound-box/merchant/view-request/', 1, CURRENT_TIMESTAMP);
INSERT INTO SYSTEM_CONFIGURATION (SYSTEM_PARAM_CODE, SYSTEM_PARAM_NAME, SYSTEM_PARAM_VALUE, IS_ACTIVE, CREATED_DATE) VALUES ('EMAIL_TEMPLATE_INIT_SOUNDBOX_REQUEST', 'EMAIL_TEMPLATE_INIT_SOUNDBOX_REQUEST', 'd-66af0e82400d44248409fdbacde1b9bc', 1, CURRENT_TIMESTAMP);
INSERT INTO SYSTEM_CONFIGURATION (SYSTEM_PARAM_CODE, SYSTEM_PARAM_NAME, SYSTEM_PARAM_VALUE, IS_ACTIVE, CREATED_DATE) VALUES ('EMAIL_TEMPLATE_REJECT_SOUNDBOX_REQUEST', 'EMAIL_TEMPLATE_REJECT_SOUNDBOX_REQUEST', 'd-d95f4619f5ab496a945ff995962f94e2', 1, CURRENT_TIMESTAMP);
INSERT INTO SYSTEM_CONFIGURATION (SYSTEM_PARAM_CODE, SYSTEM_PARAM_NAME, SYSTEM_PARAM_VALUE, IS_ACTIVE, CREATED_DATE) VALUES ('EMAIL_TEMPLATE_REQUEST_EDIT_SOUNDBOX_REQUEST', 'EMAIL_TEMPLATE_REQUEST_EDIT_SOUNDBOX_REQUEST', 'd-bee2c0cb99964789a7b62f524a8113c1', 1, CURRENT_TIMESTAMP);
INSERT INTO SYSTEM_CONFIGURATION (SYSTEM_PARAM_CODE, SYSTEM_PARAM_NAME, SYSTEM_PARAM_VALUE, IS_ACTIVE, CREATED_DATE) VALUES ('EMAIL_TEMPLATE_APPROVE_ONBOARD_SOUNDBOX_REQUEST', 'EMAIL_TEMPLATE_APPROVE_ONBOARD_SOUNDBOX_REQUEST', 'd-89a65e048e9a4fddadad81636b7cd81b', 1, CURRENT_TIMESTAMP);
INSERT INTO SYSTEM_CONFIGURATION (SYSTEM_PARAM_CODE, SYSTEM_PARAM_NAME, SYSTEM_PARAM_VALUE, IS_ACTIVE, CREATED_DATE) VALUES ('EMAIL_TEMPLATE_APPROVE_SOUNDBOX_CHANGE_DEVICE', 'EMAIL_TEMPLATE_APPROVE_SOUNDBOX_CHANGE_DEVICE', 'd-2939f8622d9c4482bddce36802d14a1a', 1, CURRENT_TIMESTAMP);
INSERT INTO SYSTEM_CONFIGURATION (SYSTEM_PARAM_CODE, SYSTEM_PARAM_NAME, SYSTEM_PARAM_VALUE, IS_ACTIVE, CREATED_DATE) VALUES ('BUSINESS_LINES_CONFIG', 'BUSINESS_LINES_CONFIG', '[{"id":1,"name":"Khác","code":"1"},{"id":2,"name":"Cửa hàng thực phẩm, tạp hoá, thời trang &amp; Siêu thị tiện lợi","code":"2"},{"id":3,"name":"Thuốc &amp; Thiết bị y tế","code":"3"},{"id":4,"name":"Thiết bị điện, viễn thông và công nghệ thông tin","code":"4"},{"id":5,"name":"Vật liệu xây dựng và trang trí nội thất","code":"5"},{"id":6,"name":"Ô tô, xe máy và phương tiện vận tải","code":"6"},{"id":7,"name":"Nhà hàng, Khách sạn &amp; Du lịch","code":"7"},{"id":8,"name":"Giáo dục","code":"8"},{"id":9,"name":"Dịch vụ khám chữa bệnh &amp; Thẩm mỹ","code":"9"},{"id":10,"name":"Bất động sản","code":"10"},{"id":11,"name":"Xây dựng &amp; Xây lắp nhà ở","code":"11"},{"id":12,"name":"Tư vấn và hỗ trợ chuyên môn","code":"12"},{"id":13,"name":"Vận chuyển hành khách và hàng hoá","code":"13"}]', 1, CURRENT_TIMESTAMP);
INSERT INTO SYSTEM_CONFIGURATION (SYSTEM_PARAM_CODE, SYSTEM_PARAM_NAME, SYSTEM_PARAM_VALUE, IS_ACTIVE, CREATED_DATE) VALUES ('EMAIL_FROM_SYSTEM_PARAM_CODE', 'EMAIL_FROM_SYSTEM_PARAM_CODE', 'portal.merchant@techcombank.com.vn', 1, CURRENT_TIMESTAMP);
INSERT INTO SYSTEM_CONFIGURATION (SYSTEM_PARAM_CODE, SYSTEM_PARAM_NAME, SYSTEM_PARAM_VALUE, IS_ACTIVE, CREATED_DATE) VALUES ('EMAIL_TEMPLATE_ID_SYSTEM_PARAM_CODE', 'EMAIL_TEMPLATE_ID_SYSTEM_PARAM_CODE', 'd-d43752af108e49a19bb7428c5ab12e44', 1, CURRENT_TIMESTAMP);
INSERT INTO SYSTEM_CONFIGURATION (SYSTEM_PARAM_CODE, SYSTEM_PARAM_NAME, SYSTEM_PARAM_VALUE, IS_ACTIVE, CREATED_DATE) VALUES ('ASSIGN_SALE_MAIL_TEMPLATE_SUBJECT', 'ASSIGN_SALE_MAIL_TEMPLATE_SUBJECT', 'Thông báo phân công thiết bị Soundbox cho người phụ trách', 1, CURRENT_TIMESTAMP);
INSERT INTO SYSTEM_CONFIGURATION (SYSTEM_PARAM_CODE, SYSTEM_PARAM_NAME, SYSTEM_PARAM_VALUE, IS_ACTIVE, CREATED_DATE) VALUES ('ASSIGN_SALE_URL_PARAM_CODE', 'ASSIGN_SALE_URL_PARAM_CODE', 'https://tcb-payment.ops.onemount.com/sound-box/sound-box-device?page_size=10&amp;page=0&amp;device_status=ASSIGNED&amp;tab=available', 1, CURRENT_TIMESTAMP);</t>
  </si>
  <si>
    <t>[OMC][MTP][PROD] Cập nhật table trên TiDB ODS và hỗ trợ golive 09/01</t>
  </si>
  <si>
    <t>2025-02-17T11:18:08.894+0700</t>
  </si>
  <si>
    <t>2025-02-17T11:18:23.219+0700</t>
  </si>
  <si>
    <t xml:space="preserve">Dear anh Dũng, team MTP chuẩn bị golive tính năng mới vào ngày 09/01, khi golive cần hỗ trợ các đầu việc sau  : TIDB TiDB URI:  tidb.int.onemount.com:4000 DB:  omc_mtp_tracking_events Query: ALTER TABLE mtp_custom_event_fields
RENAME mtp_custom_event_fields_01;
create table mtp_custom_event_fields
(
    id         varchar(36)                         not null
        primary key,
    event_id   varchar(36)                         null,
    path       varchar(255)                        null,
    type       varchar(255)                        null,
    `require`  tinyint(1)                          null,
    created_at timestamp default CURRENT_TIMESTAMP null,
    constraint unique_ev_path
        unique (event_id, path)
);
create index idx_ev_path
    on mtp_custom_event_fields (event_id, path);
create index idx_path_type
    on mtp_custom_event_fields (path, type);
</t>
  </si>
  <si>
    <t>[OMD] - ODS - Pricing Control  - V2</t>
  </si>
  <si>
    <t>2025-02-17T11:17:12.033+0700</t>
  </si>
  <si>
    <t>2025-02-17T11:17:33.294+0700</t>
  </si>
  <si>
    <t xml:space="preserve">Hi Team DBA Nhờ team hỗ trợ giúp mình vụ này nhé  </t>
  </si>
  <si>
    <t>[OMC][NEW-RETAIL][PROD] Chạy câu lệnh SQL</t>
  </si>
  <si>
    <t>2025-02-17T11:16:05.591+0700</t>
  </si>
  <si>
    <t>2025-02-17T11:16:14.167+0700</t>
  </si>
  <si>
    <t>Hi team. Nhờ các anh chạy giúp em câu lệnh sau Chạy ngay khi được approve project: vincart-prod DB: vincart_mm_order instance: main ip: 172.31.1.41 UPDATE `orders` SET STATUS = 'CANCELLED' AND cancel_reason = 'REVOKE_VOUCHER' WHERE code = 'MY9L8DL';
UPDATE `fulfillments` SET STATUS = 'CANCELLED' AND cancel_reason = 'REVOKE_VOUCHER' WHERE order_id = 925128;</t>
  </si>
  <si>
    <t>[OMC][BASE-PLATFOM][Affiliate] Dump cấu trúc bảng Authentication Hydra</t>
  </si>
  <si>
    <t>2025-02-17T11:15:00.954+0700</t>
  </si>
  <si>
    <t>2025-02-17T11:15:14.301+0700</t>
  </si>
  <si>
    <t>Dear anh @Nguyễn Văn Dũng,
team cần thực hiện tách deployments cho Hydra. Do vậy nhờ anh dump giúp em các bảng sau trên môi trường Prod về Non-prod để team thực hiện kiểm thử.
DB: 172.31.3.55
Schema: mobile_next_authen
#Danh sách các bảng cần dump
schema_migration
networks
hydra_oauth2_access &lt;- Chỉ lấy dữ liệu 1 tháng của bảng này
hydra_oauth2_code
hydra_oauth2_jti_blacklist
hydra_oauth2_logout_request
hydra_oauth2_obfuscated_authentication_session
hydra_oauth2_oidc
hydra_oauth2_pkce
hydra_oauth2_refresh
hydra_jwk
hydra_oauth2_trusted_jwt_bearer_issuer
hydra_oauth2_flow
hydra_oauth2_authentication_session
hydra_client
Best regards
Dinh Quang Nguyen</t>
  </si>
  <si>
    <t>2025-02-17T11:13:46.768+0700</t>
  </si>
  <si>
    <t>2025-02-17T11:13:54.704+0700</t>
  </si>
  <si>
    <t>Dear team DBA, Theo thread trao đổi:  https://chat.google.com/room/AAAARoj0WGQ/TwLIonWQlpk/YJJBdB77KE4?cls=10 Hiện user bị gãy luồng, do tài khoản OneU đổi từ số điện thoại 0934361289 sang 0933314768  Nhờ team thực hiện query: Instance ID:  https://console.cloud.google.com/sql/instances/postgres-01/overview?authuser=1&amp;project=vinid-service-platform-prod Database name:  sp_postgres_link_account Câu lệnh SQL: UPDATE linkages SET active = false
WHERE user_id = 12800762</t>
  </si>
  <si>
    <t xml:space="preserve">[OMC][VINPAY][PROD]Update config GL </t>
  </si>
  <si>
    <t>2025-02-17T11:12:21.025+0700</t>
  </si>
  <si>
    <t>2025-02-17T11:12:32.384+0700</t>
  </si>
  <si>
    <t>Nhờ các anh DBA chạy câu lệnh trong file đính kèm để update config cho GL Thông tin DB: tidb.int.onemount.com:4000/vinpay_vinpay_prod_saas_ps2_general_ledger update gl_aggregate_account_config agg set agg.aggregate_type = 'burning_point_point_exchange_cost' where agg.aggregate_type = 'burning_point_exchange_cost';</t>
  </si>
  <si>
    <t>2025-02-17T11:10:46.799+0700</t>
  </si>
  <si>
    <t>2025-02-17T11:11:03.175+0700</t>
  </si>
  <si>
    <t>Dear team DBA, Theo thread trao đổi:  https://chat.google.com/room/AAAARoj0WGQ/TwLIonWQlpk/YJJBdB77KE4?cls=10 Hiện user bị gãy luồng, do tài khoản OneU đổi từ số điện thoại 0933828986 sang 0934438883  Nhờ team thực hiện query: Instance ID:  https://console.cloud.google.com/sql/instances/postgres-01/overview?authuser=1&amp;project=vinid-service-platform-prod Database name:  sp_postgres_link_account Câu lệnh SQL: UPDATE linkages SET active = false
WHERE user_id = 305159</t>
  </si>
  <si>
    <t>[OMC][VINPAY][PROD] Tác động database Tpay - Biểu phí tháng 12</t>
  </si>
  <si>
    <t>2025-02-17T11:10:00.058+0700</t>
  </si>
  <si>
    <t>2025-02-17T11:10:09.557+0700</t>
  </si>
  <si>
    <t>Hi team, Các anh giúp em chạy script với thông tin như bên dưới nhé ạ Thông tin database saas_tpay:  jdbc:mysql://pay-tidb.int.onemount.com:4000/saas_tpay Ticket này chạy trong giờ luôn ạ UPDATE AUTO_SETTLEMENT SET charge_code = 'DN15727'
WHERE fee_period_from = '2024-12-01 00:00:00'
  AND fee_period_to = '2024-12-31 23:59:59'
  AND status = 'FAIL'
  AND merchant_code NOT IN ('VINIDPAY');</t>
  </si>
  <si>
    <t>2025-02-17T11:08:51.132+0700</t>
  </si>
  <si>
    <t>2025-02-17T11:09:14.817+0700</t>
  </si>
  <si>
    <t>Dear team DBA, Theo thread trao đổi:  https://chat.google.com/room/AAAAgbfeTbA/Qibsfc2tv7c/Qibsfc2tv7c?cls=10 Hiện user bị gãy luồng, nên team cần thực hiện update record để đảm bảo luồng của user Nhờ team thực hiện query: Instance ID:  https://console.cloud.google.com/sql/instances/postgres-01/overview?authuser=1&amp;project=vinid-service-platform-prod Database name:  sp_postgres_link_account Câu lệnh SQL: UPDATE linkages SET active = false
WHERE user_id = 6459292</t>
  </si>
  <si>
    <t>[OMRE][Agent][PROD] Nhờ hỗ trợ cập nhật thông tin agent</t>
  </si>
  <si>
    <t>2025-02-17T11:08:02.037+0700</t>
  </si>
  <si>
    <t>2025-02-17T11:08:20.390+0700</t>
  </si>
  <si>
    <t>Dear team DBA. Nhờ mọi người run câu lệnh này giúp bên OMRE UPDATE `agents` SET `gender` = 'FEMALE' WHERE `agents`.`code` = 1025564334 Thông tin DB: HOST = "172.31.4.83" PORT = 3306 DATABASE = "agent-platform"</t>
  </si>
  <si>
    <t>2025-02-17T11:06:40.982+0700</t>
  </si>
  <si>
    <t>2025-02-17T11:06:48.764+0700</t>
  </si>
  <si>
    <t>Dear team DBA, Theo thread trao đổi:  https://chat.google.com/room/AAAARoj0WGQ/MSp67u6DKn0/MSp67u6DKn0?cls=10 Hiện user bị gãy luồng, nên team cần thực hiện update record để đảm bảo luồng của user Nhờ team thực hiện query: Instance ID:  https://console.cloud.google.com/sql/instances/postgres-01/overview?authuser=1&amp;project=vinid-service-platform-prod Database name:  sp_postgres_link_account Câu lệnh SQL: UPDATE linkages SET active = false
WHERE partner_customer_id = '1002873332'</t>
  </si>
  <si>
    <t>2025-02-17T11:05:42.304+0700</t>
  </si>
  <si>
    <t>2025-02-17T11:06:00.514+0700</t>
  </si>
  <si>
    <t>Dear team DBA, Hiện user bị gãy luồng, nên team cần thực hiện update record để đảm bảo luồng của user Nhờ team thực hiện query: Instance ID:  https://console.cloud.google.com/sql/instances/postgres-01/overview?authuser=1&amp;project=vinid-service-platform-prod Database name:  sp_postgres_link_account Câu lệnh SQL: UPDATE linkages SET active = false
WHERE user_id = 7034</t>
  </si>
  <si>
    <t>[OMC][MTP][MySQ] Request chạy script thêm email sender cho OneHousing</t>
  </si>
  <si>
    <t>2025-02-17T11:04:55.548+0700</t>
  </si>
  <si>
    <t>2025-02-17T11:05:04.243+0700</t>
  </si>
  <si>
    <t>Nhờ team chạy giúp e script để thêm SMS Sender và Email Sender OneU mới ạ   IP:  172.31.1.21:3306 DB:  martech_campaign_prod INSERT INTO email_sender (sender, sender_name, group_id, is_default) VALUES 
('yourhome@mtp.onehousing.vn', 'OneHousing', 18431, 0), 
('offering@mtp.onehousing.vn','OneHousing',18431, 0),
('kyguinha@mtp.onehousing.vn','OneHousing',18431, 0),
('mpi@mtp.onehousing.vn','OneHousing',18431, 0),
('blog@mtp.onehousing.vn','OneHousing',18431, 0);</t>
  </si>
  <si>
    <t>[OMC][PROD]Update lại thông tin bill profile sau ảnh hưởng incident 3/1/2025</t>
  </si>
  <si>
    <t>2025-02-17T11:03:59.255+0700</t>
  </si>
  <si>
    <t>2025-02-17T11:04:14.668+0700</t>
  </si>
  <si>
    <t>Dear anh Dũng, Liên quan đến issue 3/1 nghi là có cache lại cloudflare token của các user Nguyễn Quốc Bảo Hệ thống billpay ảnh hưởng dẫn đến insert hàng loạt các bill của user vào hệ thống của hai mã  'OPS2081128' và  'TK13111' Nhờ các anh update câu dưới đây để disable hiển thị của user bị impact Em cảm ơn project: vinid-billservice-prod database: bill_service private ip: 172.31.1.225 UPDATE billing_user_profiles SET is_display = 0 where customer_code IN ('OPS2081128', 'TK13111') 
and created_at between ‘2025-01-03 00:00:00' AND ‘2025-01-03 23:59:59';</t>
  </si>
  <si>
    <t>[OMRE][OneHS - Agent][PROD] Update data trên PROD</t>
  </si>
  <si>
    <t>2025-02-17T11:02:38.880+0700</t>
  </si>
  <si>
    <t>2025-02-17T11:02:51.568+0700</t>
  </si>
  <si>
    <t>Nhờ team chạy các lệnh UPDATE trên MySQL Production như sau ạ: URL:  mysql://omre-onehs-mysql-main.int.onemount.com:3306/onehs_dictionary Query: UPDATE  `INVENTORY_PROPERTIES`  set  status = "REVOKED", available_for_sale_status = "NOT_AVAILABLE", last_modified_date = "2024-12-24 16:52:33", last_modified_by = "master_data_admin" WHERE id = "983a857f-d5a7-420b-a4e7-dc365021dce9" INSERT  INTO `eav_attribute_json_values` (eav_attribute_id, entity_id, entity_id_v2, data_type, name, value, created_by, created_date, last_modified_by, last_modified_date)  VALUES  (( SELECT  eav_attribute_id FROM `eav_attributes` WHERE field_name = "updating_status_reason"), 0, "983a857f-d5a7-420b-a4e7-dc365021dce9", "PICKLIST_MULTI_SELECT", "updating_status_reason", '[ { "id": null, "gid": null, "code": "REPLACED_BY_ANOTHER", "name": "Bị thay thế bởi hàng khác", "uuid": null, "dname": null, "gcode": null, "gname": null, "order": null, "sector_id": null } ]', "master_data_admin", "2024-12-24 16:52:33", "master_data_admin", "2024-12-24 16:52:33") INSERT  INTO `eav_attribute_text_values` (eav_attribute_id, entity_id, entity_id_v2, data_type, name, value, created_by, created_date, last_modified_by, last_modified_date)  VALUES  (( SELECT  eav_attribute_id FROM `eav_attributes` WHERE field_name = "inventory_replacement_code"), 0, "f6290042-09fb-40a1-bcb2-5c7da40a67cd", "TEXT", "inventory_replacement_code", "INV.91R9S6", "master_data_admin", "2024-12-24 16:52:33", "master_data_admin", "2024-12-24 16:52:33")</t>
  </si>
  <si>
    <t>[OMRE][OneHS - Agent][PROD] Chạy lệnh SELECT trên MySQL Production</t>
  </si>
  <si>
    <t>2025-02-17T10:59:10.249+0700</t>
  </si>
  <si>
    <t>2025-02-17T10:59:24.245+0700</t>
  </si>
  <si>
    <t>Nhờ team lấy giúp em kết quả của câu lệnh SELECT sau ạ: URL:  mysql://omre-onehs-mysql-camunda.int.onemount.com:3306/camunda Query:  SELECT * FROM `ACT_HI_PROCINST` WHERE PROC_DEF_KEY_ = 'Lead_Workflow' AND DATE(END_TIME_) = '2024-12-17'</t>
  </si>
  <si>
    <t>[OMC][VINPAY][PROD] [PGW] Gia hạn API-Key, API-Secret cho service cổng thanh toán</t>
  </si>
  <si>
    <t>2025-02-17T10:57:14.979+0700</t>
  </si>
  <si>
    <t>2025-02-17T10:57:29.844+0700</t>
  </si>
  <si>
    <t>HI anh. Nhờ anh chạy giúp em script này để gia hạn API-Key, API-Secret cho service cổng thanh toán ạ Thông tin database: mysql://vinpay-sql-onehub-master.int.vinid.net:3306/pay_payment_gateway Script:    update API_KEY
    set end_effective_date = '2050-01-01'</t>
  </si>
  <si>
    <t>[OMD][Kafka][Prod] Tạo kafka topic cho các bảng của Control Tower</t>
  </si>
  <si>
    <t>2025-02-17T10:55:59.374+0700</t>
  </si>
  <si>
    <t>2025-02-17T14:15:52.208+0700</t>
  </si>
  <si>
    <t>Hiện tại OMD có nhu cầu kéo thêm bảng ở db control_tower phục vụ cho mục tiêu back up dữ liệu lên product cho các lực lượng bán OMD. Nhờ anh và team tạo giúp em kafka topic ở PROD giúp em theo thông tin bên dưới ạ. PROD: IP: 172.31.4.48:3306 DB: control_tower Tables list: rtb_daily_sa_tele_engagement_zone
rtb_f_telecall_force
rtb_telesale_daily_call
r_sa_visit_gt_frequency
gt_visit_rtm_1seal
rtb_telesale_dailycall_to_caresoft Thanks and regards! cong.do1</t>
  </si>
  <si>
    <t>[OMC][VINPAY][PROD] migrate redis services nội bộ OM từ vm lên memstore</t>
  </si>
  <si>
    <t>2025-02-17T10:27:05.203+0700</t>
  </si>
  <si>
    <t>2025-02-22T17:02:37.729+0700</t>
  </si>
  <si>
    <t>Hiện hệ thống redis cluster của vinpay service nội bộ OM redis-cluster-01 redis-cluster-02 redis-cluster-03 redis-cluster-04 redis-cluster-05 redis-cluster-06   đang là redis vm với size là 4 GB/node cần migrate lên memstore với cấu hình redis standard size 2GB mem anh  @Vương Đình Dũng   ntt anh nhé</t>
  </si>
  <si>
    <t>2025-02-15T11:53:46.265+0700</t>
  </si>
  <si>
    <t>2025-02-15T11:59:34.554+0700</t>
  </si>
  <si>
    <t>CLONE - Nhờ DBA review performance ở Database OutSystems Non-prod</t>
  </si>
  <si>
    <t>2025-02-15T11:36:10.237+0700</t>
  </si>
  <si>
    <t>2025-03-04T11:02:18.362+0700</t>
  </si>
  <si>
    <t>Nhờ DBA hỗ trợ team review performance ở Database OutSystems DEV, UAT và hỗ trợ add index cho các table của Platform nếu cần thiết https://docs.google.com/spreadsheets/d/1NQNkzgyyt-CMFjsMRSvvc4H_y6v_ffubD22dUOrWCmE/edit?gid=0#gid=0</t>
  </si>
  <si>
    <t>[OMD][TMS][PROD] V/v config database flags basic cho database instance tms-mysql-01 thuộc project onedc-tms-prod</t>
  </si>
  <si>
    <t>2025-02-15T11:25:36.781+0700</t>
  </si>
  <si>
    <t>2025-02-20T14:37:31.065+0700</t>
  </si>
  <si>
    <t>Dear SRE team, Hiện tại database instance tms-mysql-01 trên project onedc-tms-prod đang thiếu các tham số cấu hình cơ bản cần phải có khi setup môi trường. link project:  onedc-tms-prod Team cần config các tham số cơ bản như sau: Parameter name Value Note Restarted required binlog_expire_logs_seconds 604800 Keep binlog 7 days N table_open_cache 2000 Number os tables MySQL keeps open N Hiện tại là chuẩn default của tất cả Clous SQL instance đang chạy trên môi trường PROD và các tham số phục vụ cho mục đích binlog expired date, Point in time recovery và tối ưu hiệu suất query trên hệ thống.</t>
  </si>
  <si>
    <t>2025-02-15T11:23:29.165+0700</t>
  </si>
  <si>
    <t>2025-02-15T12:13:29.823+0700</t>
  </si>
  <si>
    <t>[OMD CDP] Resync tiflash replica bảng DP_CUSTOMER_GT</t>
  </si>
  <si>
    <t>2025-02-15T09:43:28.201+0700</t>
  </si>
  <si>
    <t>2025-02-20T11:23:05.244+0700</t>
  </si>
  <si>
    <t>Context:  https://chat.google.com/room/AAAAHlDo664/Xt1ey4qTJt8/Xt1ey4qTJt8?cls=10 Hi team, Hiện tại team CDP đang gặp 1 câu query siêu chậm (35s), qua tìm hiểu qua thì thấy số lượng input row scan tiflash đang khá lớn (mvcc_input_rows:175771437, trong khi thực tế bảng chỉ có 346204 bản ghi). Trước đó, team đã request compact table nhưng số input rows vẫn không thay đổi (  ) Nhờ team plan resync lại tiflash replica của bảng DP_CUSTOMER_GT (database: omd_cdp_data_from_dp)</t>
  </si>
  <si>
    <t>2025-02-14T17:47:40.211+0700</t>
  </si>
  <si>
    <t>2025-02-14T18:02:17.401+0700</t>
  </si>
  <si>
    <t>Nhờ Team cấp quyền cho user thinhph1 quyền view data các collection của B2B-Promotion trên Mongo (host:  10.255.32.55 , user:  omd_b2b_promotion ) Thanks Team!</t>
  </si>
  <si>
    <t>2025-02-14T17:39:05.028+0700</t>
  </si>
  <si>
    <t>2025-02-14T17:46:14.844+0700</t>
  </si>
  <si>
    <t>Do vận hành thực hiện thu hồi voucher nên xảy ra tình trạng lệch tồn giữa ONEVC và VMM, nhưng do chưa có cơ chế sync tồn tự động nên cần chạy script update lại tồn của VMM. Vận hành đã tiến hành inactive voucher để thực hiện update nên ko ảnh hưởng đến người dùng   Nhờ team chạy giúp em câu lệnh sau ạ Chạy ngay khi được approve   project: vincart-prod DB: vincart_mm_product instance: main ip: 172.31.1.41 start transaction ;
update inventories set total_stock = 70, on_hand = 57, committed = 0, available = 57 where variant_code = 'MEIWEI_14062024_SF5054_UPoint' and channel_code = 'INIT';
update inventories set total_stock = 69, on_hand = 0, committed = 0, available = 0 where variant_code = 'WULAO_14062024_SF5058_UPoint' and channel_code = 'INIT';
update inventories set total_stock = 21251, on_hand = 8713, committed = 0, available = 8713 where variant_code = 'VD_VC_1732870397089' and channel_code = 'INIT';
update inventories set total_stock = 70, on_hand = 31, committed = 0, available = 31 where variant_code = 'HOTPOTSTORY_14062024_SF5025_UPoint' and channel_code = 'INIT';
update inventories set total_stock = 620, on_hand = 620, committed = 0, available = 620 where variant_code = 'VD_VC_1736755897791' and channel_code = 'INIT';
update inventories set total_stock = 548, on_hand = 349, committed = 0, available = 349 where variant_code = 'VD_VC_1734346012273' and channel_code = 'INIT';
update inventories set total_stock = 1276, on_hand = 0, committed = 0, available = 0 where variant_code = 'VD_VC_1728899076870' and channel_code = 'INIT';
update inventories set total_stock = 45308, on_hand = 27282, committed = 0, available = 27282 where variant_code = 'VD_VC_1732870399699' and channel_code = 'INIT';
update inventories set total_stock = 66, on_hand = 58, committed = 0, available = 58 where variant_code = 'MEIWEI_14062024_SF5053_UPoint' and channel_code = 'INIT';
update inventories set total_stock = 685, on_hand = 349, committed = 0, available = 349 where variant_code = 'VD_VC_1734346016024' and channel_code = 'INIT';
update inventories set total_stock = 352, on_hand = 350, committed = 0, available = 350 where variant_code = 'VD_VC_1736755903527' and channel_code = 'INIT';
update inventories set total_stock = 627, on_hand = 620, committed = 0, available = 620 where variant_code = 'VD_VC_1736755906856' and channel_code = 'INIT';
update inventories set total_stock = 70, on_hand = 57, committed = 0, available = 57 where variant_code = 'KHAOLAO_14062024_SF5048_UPoint' and channel_code = 'INIT';
update inventories set total_stock = 70, on_hand = 65, committed = 0, available = 65 where variant_code = 'CAPRICCIOSA_14062024_SF5044_UPoint' and channel_code = 'INIT';
update inventories set total_stock = 63, on_hand = 52, committed = 0, available = 52 where variant_code = 'KHAOLAO_14062024_SF5047_UPoint' and channel_code = 'INIT';
update inventories set total_stock = 70, on_hand = 70, committed = 0, available = 70 where variant_code = 'SEOULGARDEN_14062024_SF5030_UPoint' and channel_code = 'INIT';
update inventories set total_stock = 70, on_hand = 64, committed = 0, available = 64 where variant_code = 'SEOULGARDEN_14062024_SF5029_UPoint' and channel_code = 'INIT';
update inventories set total_stock = 70, on_hand = 55, committed = 0, available = 55 where variant_code = 'SUSHIKEI_14062024_SF5040_UPoint' and channel_code = 'INIT';
update inventories set total_stock = 70, on_hand = 58, committed = 0, available = 58 where variant_code = 'CAPRICCIOSA_14062024_SF5043_UPoint' and channel_code = 'INIT';
update inventories set total_stock = 47046, on_hand = 27963, committed = 0, available = 27963 where variant_code = 'VD_VC_1732870398601' and channel_code = 'INIT';
update inventories set total_stock = 68, on_hand = 51, committed = 0, available = 51 where variant_code = 'HOTPOTSTORY_14062024_SF5026_UPoint' and channel_code = 'INIT';
update inventories set total_stock = 70, on_hand = 69, committed = 0, available = 69 where variant_code = 'SIZZLER_14062024_SF5050_UPoint' and channel_code = 'INIT';
update inventories set total_stock = 70, on_hand = 70, committed = 0, available = 70 where variant_code = 'SEOULGARDEN_14062024_SF5028_UPoint' and channel_code = 'INIT';
update inventories set total_stock = 67, on_hand = 44, committed = 0, available = 44 where variant_code = 'THAIEXPRESS_14062024_SF5057_UPoint' and channel_code = 'INIT';
update inventories set total_stock = 1058, on_hand = 614, committed = 0, available = 614 where variant_code = 'VD_VC_1734338722212' and channel_code = 'INIT';
update inventories set total_stock = 392, on_hand = 387, committed = 0, available = 387 where variant_code = 'MAA_SOIBIEN_25042024_SF4861_UPoint' and channel_code = 'ONEU';
update inventories set total_stock = 15000, on_hand = 9962, committed = 0, available = 9962 where variant_code = 'PV_VUANEM40P150724_150724' and channel_code = 'INIT';
update inventories set total_stock = 69, on_hand = 46, committed = 0, available = 46 where variant_code = 'MEIWEI_14062024_SF5052_UPoint' and channel_code = 'INIT';
update inventories set total_stock = 70, on_hand = 50, committed = 0, available = 50 where variant_code = 'SUSHIKEI_14062024_SF5042_UPoint' and channel_code = 'INIT';
update inventories set total_stock = 69, on_hand = 64, committed = 0, available = 64 where variant_code = 'SIZZLER_14062024_SF5051_UPoint' and channel_code = 'INIT';
update inventories set total_stock = 1239, on_hand = 363, committed = 0, available = 363 where variant_code = 'VD_VC_1728899081889' and channel_code = 'INIT';
update inventories set total_stock = 70, on_hand = 69, committed = 0, available = 69 where variant_code = 'BUKBUK_14062024_SF5037_UPoint' and channel_code = 'INIT';
update inventories set total_stock = 70, on_hand = 70, committed = 0, available = 70 where variant_code = 'SIZZLER_14062024_SF5049_UPoint' and channel_code = 'INIT';
update inventories set total_stock = 1260, on_hand = 984, committed = 0, available = 984 where variant_code = 'VD_VC_1727336379106' and channel_code = 'INIT';
update inventories set total_stock = 68, on_hand = 55, committed = 0, available = 55 where variant_code = 'TASAKIBBQ_14062024_SF5033_UPoint' and channel_code = 'INIT';
update inventories set total_stock = 354, on_hand = 350, committed = 0, available = 350 where variant_code = 'VD_VC_1736755908089' and channel_code = 'INIT';
update inventories set total_stock = 68, on_hand = 56, committed = 0, available = 56 where variant_code = 'SUSHIKEI_14062024_SF5041_UPoint' and channel_code = 'INIT';
update inventories set total_stock = 1399, on_hand = 950, committed = 0, available = 950 where variant_code = 'VD_VC_1727172951860' and channel_code = 'INIT';
update inventories set total_stock = 1266, on_hand = 489, committed = 0, available = 489 where variant_code = 'VD_VC_1728899083027' and channel_code = 'INIT';
update inventories set total_stock = 62, on_hand = 46, committed = 0, available = 46 where variant_code = 'THAIEXPRESS_14062024_SF5056_UPoint' and channel_code = 'INIT';
update inventories set total_stock = 70, on_hand = 66, committed = 0, available = 66 where variant_code = 'BUKBUK_14062024_SF5039_UPoint' and channel_code = 'INIT';
update inventories set total_stock = 3296, on_hand = 2305, committed = 0, available = 2305 where variant_code = 'KHRUABAANTHAI_17072024_SF5157' and channel_code = 'INIT';
update inventories set total_stock = 70, on_hand = 37, committed = 0, available = 37 where variant_code = 'KHAOLAO_14062024_SF5046_UPoint' and channel_code = 'INIT';
update inventories set total_stock = 626, on_hand = 620, committed = 0, available = 620 where variant_code = 'VD_VC_1736755905052' and channel_code = 'INIT';
update inventories set total_stock = 50, on_hand = 50, committed = 0, available = 50 where variant_code = 'MENARD_01062024_SF4939' and channel_code = 'INIT';
update inventories set total_stock = 390, on_hand = 383, committed = 0, available = 383 where variant_code = 'MAA_SOIBIEN_25042024_SF4862_UPoint' and channel_code = 'ONEU';
update inventories set total_stock = 647, on_hand = 613, committed = 0, available = 613 where variant_code = 'VD_VC_1736755891122' and channel_code = 'INIT';
update inventories set total_stock = 69, on_hand = 41, committed = 0, available = 41 where variant_code = 'HOTPOTSTORY_14062024_SF5024_UPoint' and channel_code = 'INIT';
update inventories set total_stock = 874, on_hand = 619, committed = 0, available = 619 where variant_code = 'VD_VC_1734338723905' and channel_code = 'INIT';
update inventories set total_stock = 352, on_hand = 350, committed = 0, available = 350 where variant_code = 'VD_VC_1736755893036' and channel_code = 'INIT';
update inventories set total_stock = 1449, on_hand = 963, committed = 0, available = 963 where variant_code = 'VD_VC_1727336377039' and channel_code = 'INIT';
update inventories set total_stock = 1348, on_hand = 0, committed = 0, available = 0 where variant_code = 'VD_VC_1724886424378' and channel_code = 'INIT';
update inventories set total_stock = 70, on_hand = 65, committed = 0, available = 65 where variant_code = 'TASAKIBBQ_14062024_SF5031_UPoint' and channel_code = 'INIT';
update inventories set total_stock = 777, on_hand = 345, committed = 0, available = 345 where variant_code = 'VD_VC_1734346014399' and channel_code = 'INIT';
update inventories set total_stock = 70, on_hand = 61, committed = 0, available = 61 where variant_code = 'CAPRICCIOSA_14062024_SF5045_UPoint' and channel_code = 'INIT';
update inventories set total_stock = 70, on_hand = 70, committed = 0, available = 70 where variant_code = 'BUKBUK_14062024_SF5038_UPoint' and channel_code = 'INIT';
update inventories set total_stock = 2218, on_hand = 1993, committed = 0, available = 1993 where variant_code = 'VD_VC_1726114035610' and channel_code = 'INIT';
update inventories set total_stock = 70, on_hand = 31, committed = 0, available = 31 where variant_code = 'THAIEXPRESS_14062024_SF5055_UPoint' and channel_code = 'INIT';
update inventories set total_stock = 70, on_hand = 65, committed = 0, available = 65 where variant_code = 'TASAKIBBQ_14062024_SF5032_UPoint' and channel_code = 'INIT';
commit ;</t>
  </si>
  <si>
    <t>[B2B][OMD] Tuning performance query thuộc database b2b_promotion_prod dự án b2b-commerce</t>
  </si>
  <si>
    <t>2025-02-14T16:03:46.661+0700</t>
  </si>
  <si>
    <t>2025-02-14T16:32:23.062+0700</t>
  </si>
  <si>
    <t>{
    "textPayload": "# Time: 2025-02-14T02:20:21.874732Z\n# User@Host: b2b_promotion_prod[b2b_promotion_prod] @  [172.21.99.132]  thread_id: 9308845  server_id: 1824327518\n# Query_time: 18.701648  Lock_time: 0.000003 Rows_sent: 20  Rows_examined: 2692520\nuse b2b_promotion_prod;\nSET timestamp=1739499603;\nselect distinct couponcode0_.id as id1_40_0_, voucher3_.id as id1_93_1_, couponcode0_.createdAt as createda2_40_0_, couponcode0_.createdBy as createdb3_40_0_, couponcode0_.deleted as deleted4_40_0_, couponcode0_.lastModifiedAt as lastmodi5_40_0_, couponcode0_.lastModifiedBy as lastmodi6_40_0_, couponcode0_.version as version7_40_0_, couponcode0_.applyStatus as applysta8_40_0_, couponcode0_.code as code9_40_0_, couponcode0_.coupon_id as coupon_16_40_0_, couponcode0_.customer as custome10_40_0_, couponcode0_.effectiveFrom as effecti11_40_0_, couponcode0_.effectiveTo as effecti12_40_0_, couponcode0_.generateTask_id as generat17_40_0_, couponcode0_.reservedAt as reserve13_40_0_, couponcode0_.soNumber as sonumbe14_40_0_, couponcode0_.status as status15_40_0_, couponcode0_.voucher_id as voucher18_40_0_, voucher3_.createdAt as createda2_93_1_, voucher3_.createdBy as createdb3_93_1_, voucher3_.deleted as deleted4_93_1_, voucher3_.lastModifiedAt as lastmodi5_93_1_, voucher3_.lastModifiedBy as lastmodi6_93_1_, voucher3_.version as version7_93_1_, voucher3_.amount as amount8_93_1_, voucher3_.distributor as distribu9_93_1_, voucher3_.distributorType as distrib10_93_1_, voucher3_.freeGift as freegif11_93_1_, voucher3_.issueAt as issueat12_93_1_, voucher3_.percentage as percent13_93_1_, voucher3_.quantity as quantit14_93_1_, voucher3_.threshold as thresho15_93_1_, voucher3_.type as type16_93_1_ from CouponCode couponcode0_ inner join Coupon coupon1_ on couponcode0_.coupon_id=coupon1_.id and (coupon1_.DTYPE='MultiCodeCoupon' and coupon1_.store_id=1) left outer join Voucher voucher3_ on couponcode0_.voucher_id=voucher3_.id where 1=1 order by couponcode0_.lastModifiedAt desc, couponcode0_.createdAt desc, couponcode0_.id desc limit 20;",
    "insertId": "2#1073976001795#6005214995683472362#slow#1739499621874732000#000000000029b673-0@a1",
    "resource": {
      "type": "cloudsql_database",
      "labels": {
        "project_id": "vinid-b2b-platform-prod",
        "region": "asia",
        "database_id": "vinid-b2b-platform-prod:b2b-commerce"
      }
    } SELECT DISTINCT
    couponcode0_.id AS id1_40_0_,
    voucher3_.id AS id1_93_1_,
    couponcode0_.createdAt AS createda2_40_0_,
    couponcode0_.createdBy AS createdb3_40_0_,
    couponcode0_.deleted AS deleted4_40_0_,
    couponcode0_.lastModifiedAt AS lastmodi5_40_0_,
    couponcode0_.lastModifiedBy AS lastmodi6_40_0_,
    couponcode0_.version AS version7_40_0_,
    couponcode0_.applyStatus AS applysta8_40_0_,
    couponcode0_.code AS code9_40_0_,
    couponcode0_.coupon_id AS coupon_16_40_0_,
    couponcode0_.customer AS custome10_40_0_,
    couponcode0_.effectiveFrom AS effecti11_40_0_,
    couponcode0_.effectiveTo AS effecti12_40_0_,
    couponcode0_.generateTask_id AS generat17_40_0_,
    couponcode0_.reservedAt AS reserve13_40_0_,
    couponcode0_.soNumber AS sonumbe14_40_0_,
    couponcode0_.status AS status15_40_0_,
    couponcode0_.voucher_id AS voucher18_40_0_,
    voucher3_.createdAt AS createda2_93_1_,
    voucher3_.createdBy AS createdb3_93_1_,
    voucher3_.deleted AS deleted4_93_1_,
    voucher3_.lastModifiedAt AS lastmodi5_93_1_,
    voucher3_.lastModifiedBy AS lastmodi6_93_1_,
    voucher3_.version AS version7_93_1_,
    voucher3_.amount AS amount8_93_1_,
    voucher3_.distributor AS distribu9_93_1_,
    voucher3_.distributorType AS distrib10_93_1_,
    voucher3_.freeGift AS freegif11_93_1_,
    voucher3_.issueAt AS issueat12_93_1_,
    voucher3_.percentage AS percent13_93_1_,
    voucher3_.quantity AS quantit14_93_1_,
    voucher3_.threshold AS thresho15_93_1_,
    voucher3_.type AS type16_93_1_
FROM
    CouponCode couponcode0_
        INNER JOIN
    Coupon coupon1_ ON couponcode0_.coupon_id = coupon1_.id
        AND (coupon1_.DTYPE = 'MultiCodeCoupon'
        AND coupon1_.store_id = 1)
        LEFT OUTER JOIN
    Voucher voucher3_ ON couponcode0_.voucher_id = voucher3_.id
WHERE
    1 = 1
ORDER BY couponcode0_.lastModifiedAt DESC , couponcode0_.createdAt DESC , couponcode0_.id DESC
LIMIT 20;</t>
  </si>
  <si>
    <t>[OMD CDP][Prod] Update CDP ingest config</t>
  </si>
  <si>
    <t>2025-02-14T14:34:50.442+0700</t>
  </si>
  <si>
    <t>2025-02-15T09:17:59.612+0700</t>
  </si>
  <si>
    <t>Nhờ team process execute sql script trong file đính kèm để update data cho CDP với nhé ạ Due date: 22h ngày 14/02/2025 Server: OMD TiDB at  omd-tidb.int.onemount.com:4000 Database:  omd_cdp_orchestration @Trần Trương Dương  Nhờ a bổ sung thêm mô tả ticket, chạy đoạn script này trước khi chạy đoạn script ở trên giúp e với nhé ạ ALTER TABLE omd_cdp_data_from_ingest.caresoft_call
    ADD COLUMN last_user_id bigint;
ALTER TABLE omd_cdp_data_from_ingest.caresoft_call
    ADD COLUMN dtmf VARCHAR(255);
ALTER TABLE omd_cdp_data_from_ingest.caresoft_call
    ADD COLUMN call_survey VARCHAR(255);
ALTER TABLE omd_cdp_data_from_ingest.caresoft_call
    ADD COLUMN call_survey_result VARCHAR(255); Script: UPDATE omd_cdp_orchestration.event SET code = 'CaresoftCallEvent', name = 'CaresoftCallEvent', description = null, data_retention_policy = null, ingest_transform_engine = 'JOLT', ingest_transform_spec = '[{"operation": "modify-overwrite-beta", "spec": {"payload": {"calls": {"*": {"agent_id1": "=toLong(@(1,agent_id))", "user_id1": "=toLong(@(1,user_id))"}}}}}, {"operation": "shift", "spec": {"payload": {"calls": {"*": {"@": "[&amp;1]", "call_id": "[&amp;1].caresoft_call_id"}}}}}]', storage_type = null, storage_entity_mapping = null, created_by = null, last_modified_by = null, created_at = '2024-12-02 11:27:36', last_modified_at = '2025-01-13 09:47:34', extra_data = null WHERE id = 24002;
UPDATE omd_cdp_orchestration.event_relation SET event_id = 24002, item_id = 1, relation_type = 'ONE_ONE', relation = 'actor', t</t>
  </si>
  <si>
    <t>[TMS][smartpos] Tạo database và thông tin user dự án vinpay-prod trên instance gini-tms-smartpos</t>
  </si>
  <si>
    <t>2025-02-14T11:58:14.790+0700</t>
  </si>
  <si>
    <t>2025-02-14T16:32:11.678+0700</t>
  </si>
  <si>
    <t>Nhờ team DBA tạo schema/database và username cho đối tác gini Project name:  vinpay-prod Instance name: gini-tms-smartpos Schema: Mặc định dbo Database name: tms-gini User: 2 user tms-gini-service : Setup cho service tms-gini tms-gini-admin : Setup cho admin của gini vào config hệ thống Thông tin phân quyền: tms-gini-service : Application Developer tms-gini-admin :  DB Developer</t>
  </si>
  <si>
    <t>[OMC][PS2][Loyalty][PROD] Insert data OLOYALTY.ATTRIBUTE_MASTER_DATA</t>
  </si>
  <si>
    <t>2025-02-14T11:36:00.759+0700</t>
  </si>
  <si>
    <t>2025-02-14T11:41:00.712+0700</t>
  </si>
  <si>
    <t xml:space="preserve">DBA support yêu cầu từ dự án, Insert data vào bảng OLOYALTY.ATTRIBUTE_MASTER_DATA, theo ticket  </t>
  </si>
  <si>
    <t>[Prod] Audit các DDL tác động đến cloudsql mysql database</t>
  </si>
  <si>
    <t>2025-02-12T13:56:57.760+0700</t>
  </si>
  <si>
    <t>2025-05-20T01:11:42.349+0700</t>
  </si>
  <si>
    <t xml:space="preserve">Audit các câu lệnh DDL tác động đến toàn bộ cloudsql mysql database môi trường Prod của toàn bộ OM     </t>
  </si>
  <si>
    <t>[OMC][PS2][Loyalty][PROD] Thực hiện archive dữ liệu history cho DB Loyalty - Tháng 2/2025 - phần 2</t>
  </si>
  <si>
    <t>2025-02-11T17:27:13.716+0700</t>
  </si>
  <si>
    <t>2025-02-18T15:27:45.295+0700</t>
  </si>
  <si>
    <t>Phần 1 đã thực hiện:    Tiếp tục thực hiện phần 2: POINT_TRANSACTION_ACCOUNT_BALANCE - Giữ data 6 tháng PAY_WITH_POINT_TRANSACTION_HISTORY  - Giữ nguyên các partition, chỉ xóa theo điều kiện where status = 'F' và thời gian đủ 3 tháng gần nhất TIER_HISTORY - Giữ data 6 tháng</t>
  </si>
  <si>
    <t>[OMC][PS2][Loyalty][PROD] - Thực hiện archive dữ liệu history cho DB Loyalty - Tháng 2/2025</t>
  </si>
  <si>
    <t>2025-01-24T16:28:22.692+0700</t>
  </si>
  <si>
    <t>2025-02-18T15:45:01.694+0700</t>
  </si>
  <si>
    <t xml:space="preserve">Team DBA cần thực hiện archive dữ liệu lịch sử của 1 số bảng lớn trong DB LOYALTY, để tối ưu dung lượng lưu trữ data , tránh để data lưu trữ quá lớn trong DB dẫn tới chi phí phần cứng tăng và giảm hiệu suất IO khi truy xuất data lớn. Quy định về thời gian lưu trữ data (dự án đã confirm với TCB qua email): Live data tier: không TTL expired bất kể dữ liệu nào Backup tier: Thực hiện backup full 2 lần/tuần và incremental các ngày còn lại Archiving tier:  Dữ liệu Archive được thực hiện 6 tháng/lần và store với retention là 365 days Kế hoạch thực hiện archive dữ liệu history của DB Loyalty , thực hiện trong tháng 2 năm 2025 Các bảng cần lưu trữ data và thực hiện xóa data history: Tables Partition column Life time Note KAFKA_AUDIT_TRAIL_PRODUCT_INFO CREATED_AT 1 month   KAFKA_AUDIT_TRAIL_CARD_INFO CREATED_AT 1 month   KAFKA_AUDIT_TRAIL_CUSTOMER_PROFILE CREATED_AT 1 month   KAFKA_AUDIT_TRAIL_EARN_TRANSACTION CREATED_AT 1 month   KAFKA_AUDIT_TRAIL_EARN_EVENT CREATED_AT 1 month   TRANSACTION_HISTORY_ATTRIBUTE CREATED_AT 6 month   Thời gian thực hiện archive data cho 6 bảng trên:  0h 25Jan25 \-- Bổ sung:  </t>
  </si>
  <si>
    <t>[vinid-promotion-engine-prod] migrate redis từ k8s lên memstore</t>
  </si>
  <si>
    <t>2025-01-20T13:43:59.993+0700</t>
  </si>
  <si>
    <t>2025-03-31T14:21:57.556+0700</t>
  </si>
  <si>
    <t>Hiện tại vinid-loyalty-prod đang có 2 database redis nằm trên k8s https://console.cloud.google.com/kubernetes/statefulset/asia-east1/main/default/redis-master/details?inv=1&amp;invt=AbmRjg&amp;project=vinid-promotion-engine-prod https://console.cloud.google.com/kubernetes/statefulset/asia-east1/main/default/redis-slave/details?inv=1&amp;invt=AbmRjg&amp;project=vinid-promotion-engine-prod Cần migrate instance này lên memstore để đảm bảo stable anh  @Nguyễn Thanh Phong   ntt nhé</t>
  </si>
  <si>
    <t>[vinid-loyalty-prod] migrate redis từ k8s lên memstore</t>
  </si>
  <si>
    <t>2025-01-20T13:40:46.020+0700</t>
  </si>
  <si>
    <t>2025-03-31T14:21:29.308+0700</t>
  </si>
  <si>
    <t>Hiện tại vinid-loyalty-prod đang có 1 database redis nằm trên k8s  https://console.cloud.google.com/kubernetes/deployment/asia-east1/main/promotion/redis-master/overview?inv=1&amp;invt=AbmQpA&amp;project=vinid-loyalty-prod   Cần migrate instance này lên memstore để đảm bảo stable anh  @Nguyễn Thanh Phong   ntt nhé</t>
  </si>
  <si>
    <t>[Prod] migrate redis from vm and k8s to memstore</t>
  </si>
  <si>
    <t>2025-01-20T13:36:36.807+0700</t>
  </si>
  <si>
    <t>2025-05-29T00:10:08.357+0700</t>
  </si>
  <si>
    <t>DBA team cần migrate toàn bộ các instance redis từ vm và k8s lên memstore https://docs.google.com/spreadsheets/d/1BmJSCCYt-gBVrM8huxtl9yZQR9e_YR-MZqE4pQ49yts/edit?gid=0#gid=0</t>
  </si>
  <si>
    <t>[OMC][Prod] monitor và tunning hệ thống TiDB OMC</t>
  </si>
  <si>
    <t>2025-01-18T08:47:26.743+0700</t>
  </si>
  <si>
    <t>2025-05-01T00:18:08.536+0700</t>
  </si>
  <si>
    <t xml:space="preserve">Monitor và tuning hệ thống TiDB OMC version 8.5.0 thời gian dự kiến : 7 ngày @Nguyễn Đình Quang  </t>
  </si>
  <si>
    <t>[OMC][Prod] sync data cho hệ thống TiDB OMC</t>
  </si>
  <si>
    <t>2025-01-18T08:47:00.690+0700</t>
  </si>
  <si>
    <t>2025-03-27T09:40:53.209+0700</t>
  </si>
  <si>
    <t>Sync data theo yêu cầu từ dự án đến hệ thống TiDB OMC version 8.5.0 thời gian dự kiến: 4 ngày @Nguyễn Đình Quang   https://docs.google.com/spreadsheets/d/1aRRdKXG9j42m7TLSA6uPVdqe_sO4Co1hxDzIKL2lHes/edit?gid=0#gid=0</t>
  </si>
  <si>
    <t>[OMC][Prod] cài đặt hệ thống TiDB OMC</t>
  </si>
  <si>
    <t>2025-01-18T08:46:34.620+0700</t>
  </si>
  <si>
    <t>2025-03-03T11:06:24.582+0700</t>
  </si>
  <si>
    <t xml:space="preserve">Cài đặt hệ thống TiDB version 8.5.0 sau khi có hạ tầng máy chủ. dự kiến trong 2 ngày @Nguyễn Đình Quang  </t>
  </si>
  <si>
    <t>[OMC][Prod] cài đặt hệ thống TiDB OMC version v8.5.1</t>
  </si>
  <si>
    <t>2025-01-18T08:45:55.872+0700</t>
  </si>
  <si>
    <t>2025-05-01T00:18:20.745+0700</t>
  </si>
  <si>
    <t>Cài đặt hệ thống TiDB OMC: SAD:    project node Resource size Quantity vinid-crm-salesforce-prod TiDB zone b vCPU: 4 RAM: 16 SSD: 100 GB (os) 2 vinid-crm-salesforce-prod PD zone b vCPU: 2 RAM: 4 SSD: 100 GB (os) 3 vinid-crm-salesforce-prod TiKV zone b vCPU: 8 RAM: 32 SSD: 100 GB (OS) SSD: 2000 GB (data store) 3 vinid-crm-salesforce-prod TiFlash zone b vCPU: 4 RAM: 16 SSD: 100 GB (OS) SSD: 800 GB (data store) 1 vinid-crm-salesforce-prod TiProxy zone b vCPU: 2 RAM: 4 SSD: 50 GB (OS) 2 vinid-crm-salesforce-prod Monitor zone b vCPU: 2 RAM: 4 SSD: 150GB 1 Firewall: mở theo SAD và mở từ jump host (VHUD) 10.255.24.55 tời các node trong cluster port TCP/22</t>
  </si>
  <si>
    <t>[OMC][VINPAY][PROD] migrate redis services saas_tpay từ VM lên memstore</t>
  </si>
  <si>
    <t>2025-01-17T14:41:32.952+0700</t>
  </si>
  <si>
    <t>2025-02-17T10:25:56.544+0700</t>
  </si>
  <si>
    <t>Hiện hệ thống redis cluster của vinpay redis-cluster-01 redis-cluster-02 redis-cluster-03 redis-cluster-04 redis-cluster-05 redis-cluster-06   đang là redis vm với size là 4 GB/node cần migrate lên memstore với cấu hình redis standard size 5GB mem anh  @Vương Đình Dũng   ntt anh nhé</t>
  </si>
  <si>
    <t>[OMC][CRM][PROD] migrate redis từ VM lên memstore</t>
  </si>
  <si>
    <t>2025-01-17T14:35:54.506+0700</t>
  </si>
  <si>
    <t>2025-03-04T12:08:32.240+0700</t>
  </si>
  <si>
    <t xml:space="preserve">Hiện 2  redis-master-1 ,  redis-slave-1  đang là redis vm với size là 80 GB cho master và 64 GB cho slave cần migrate lên memstore với cấu hình redis standard size 4GB mem @Nguyễn Đình Quang  </t>
  </si>
  <si>
    <t>[OMC][VINCARD][PROD] migrate redis từ VM lên memstore</t>
  </si>
  <si>
    <t>2025-01-17T11:35:49.116+0700</t>
  </si>
  <si>
    <t>2025-03-19T00:58:29.425+0700</t>
  </si>
  <si>
    <t>Hiện 2  redis-vmm-01 ,  redis-vmm-02  đang là redis vm với size là 12GB/ node và instance cache  redis-cache-01  8GB cần migrate  redis-vmm-01 ,  redis-vmm-02  lên memstore với cấu hình redis standard + 1 replica size 5GB mem + rdb (1 hours) redis-cache-01  lên memstore với cấu hình redis standard 2GB @Nguyễn Tá Lợi  ntt em nhé</t>
  </si>
  <si>
    <t>[CloudSQL] sizing/enable HA scope OMD</t>
  </si>
  <si>
    <t>2025-01-17T11:13:49.525+0700</t>
  </si>
  <si>
    <t>2025-03-01T10:11:19.347+0700</t>
  </si>
  <si>
    <t>EPIC xây dựng các đầu danh mục thuộc scope DBA phụ trách cần thiết sizing/nâng cấp/chuyển đổi để phục vụ các hệ thống services liên quan đến TCB, nhằm cung cấp khả năng ổn định/hiệu suất hơn trong 2025 Bối cảnh Với mục tiêu cung cấp dịch vụ ổn định, đạt hiệu năng cho đối tác TCB, cần rà soát đánh giá khả năng đáp ứng tải, đáp ứng tính ổn định của các component liên quan, nhằm sizing phù hợp để đảm bảo với các tiêu chí trên Vấn đề gặp phải Sizing các hệ thống hiện đang _x0008_usage mức resource cao, chưa đảm bảo tính ổn định và đáp ứng performance khi có tải đột biến hơn mức thông thường Acceptance criteria  Có những hệ thống dùng chung Database do không thể tách biệt riêng DB chỉ giành cho TCB's services, nên chấp nhận những rủi ro xung đột resource dùng chung, khi các services OM có peak hoặc chưa được tối ưu về code, sẽ cần liên tục monitor phát hiện những bất thường để kịp thời điều chỉnh và ngăn chặn ảnh hưởng. Technical Solution sizing hệ thống bằng việc nâng cấp/chuyển đổi/migrate một số thành phần database như Oracle, CloudSQL, Redis với mức đáp ứng tốt hơn Tài liệu/Link Liên quan Các hệ thống được sizing theo danh mục đề xuất của phòng hạ tầng tại danh sách đính kèm</t>
  </si>
  <si>
    <t>[Oracle] sizing/archive Oracle Loyalty</t>
  </si>
  <si>
    <t>2025-01-17T11:13:22.321+0700</t>
  </si>
  <si>
    <t>2025-02-27T14:16:35.689+0700</t>
  </si>
  <si>
    <t xml:space="preserve">1. Xin cấp tài nguyên instance oracle COLD, để chuyển bớt data history từ DB core, sang DB COLD:  [Loyalty-PS2] Cấp tài nguyên VM Loyalty cold instance mới :    2. Xin cấp tài nguyên VM machine type mới với loại disk high throughput ( pd-extreme ). Để kiểm thử throughput IO của loại disk tốc độ cao, cũng như test khả năng backup/restore DB LOYALTY và ghi nhận thời gian RTO khôi phục DB khi có sự cố xảy ra. [Loyalty-PS2] Xin Cấp VM Loyalty với phần cứng high throughput disk type: pd-extreme :   </t>
  </si>
  <si>
    <t>[OMC] [CloudSQL] [PROD] sizing/enable HA scope OMC</t>
  </si>
  <si>
    <t>2025-01-17T11:12:55.769+0700</t>
  </si>
  <si>
    <t>2025-03-04T14:17:28.587+0700</t>
  </si>
  <si>
    <t xml:space="preserve"> I - Tăng cấu hình ,các instance DB mysql trong project  vinid-loyalty-prod  theo như nội dung file này: Sizing hệ thống TCB onevoucher https://console.cloud.google.com/sql/instances/onevoucher/overview?project=vinid-loyalty-prod 172.31.4.126 Từ: 4 CPUs	16 GB RAM, 10000 connections , innodb_buffer_pool_size		10037418240 Lên: 8 CPUs	32 GB RAM , innodb_buffer_pool_size  18874368000 Thêm flag: cloudsql_mysql_audit= on voucher-distribution https://console.cloud.google.com/sql/instances/voucher-distribution/overview?project=vinid-loyalty-prod 172.31.4.82 Từ: 2 CPUs	8 GB RAM , innodb_buffer_pool_size   4294967296 Lên: 8 CPUs	16 GB RAM , 4000 connections, innodb_buffer_pool_size  10037418240 Thêm flag: cloudsql_mysql_audit= on promotion https://console.cloud.google.com/sql/instances/promotion/overview?project=vinid-loyalty-prod&amp;inv=1&amp;invt=AbpzIA 172.31.4.75 Đang vận hành ở cấu hình 12 CPUs	24 GB RAM =&gt; không cần tăng lên nữa. II - Enable HA + Tăng cấu hình instance DB mysql trong project   omc-base-platform-prod  theo như nội dung file này: Sizing hệ thống TCB project: omc-base-platform-prod instance: main Master IP: 172.31.4.23 https://console.cloud.google.com/sql/instances/main/overview?inv=1&amp;invt=AbpzPA&amp;project=omc-base-platform-prod DB: one_shield_v3 remote_config Từ: 1 CPUs	3.75 GB RAM Lên: 2 CPUs	8 GB RAM Thêm flag: cloudsql_mysql_audit= on</t>
  </si>
  <si>
    <t>[Redis] sizing/migrate memstore</t>
  </si>
  <si>
    <t>2025-01-17T11:12:07.054+0700</t>
  </si>
  <si>
    <t>2025-03-19T00:59:15.818+0700</t>
  </si>
  <si>
    <t>sizing and migrate vm redis to memsotre redis: project: vinpay-prod instance:  redis-cluster-01 ,  redis-cluster-02 ,  redis-cluster-03 ,  redis-cluster-04 ,  redis-cluster-05 ,  redis-cluster-06 project: vincart-prod instance:  redis-vmm-01 , redis-vmm-02 ,  redis-cache-01 project: vinid-crm-salesforce-prod instance:  redis-master-1 ,  redis-slave-1</t>
  </si>
  <si>
    <t>[DBA] Sizing các hệ thống Database liên quan đến TCB's services</t>
  </si>
  <si>
    <t>2025-01-17T11:01:14.625+0700</t>
  </si>
  <si>
    <t>EPIC xây dựng các đầu danh mục thuộc scope DBA phụ trách cần thiết sizing/nâng cấp/chuyển đổi để phục vụ các hệ thống services liên quan đến TCB, nhằm cung cấp khả năng ổn định/hiệu suất hơn trong 2025</t>
  </si>
  <si>
    <t>[VinTicket]_ Hỗ trợ update gia hạn Available Date cho các Event Test</t>
  </si>
  <si>
    <t>2025-01-08T23:12:25.834+0700</t>
  </si>
  <si>
    <t>2025-01-09T06:58:01.938+0700</t>
  </si>
  <si>
    <t>Dear Anh/chị Team vận hành cần hỗ trợ update gia hạn Available Date cho các Event Test cho buổi Go-live ngày 08/01/2025. Thông tin cụ thể host: 172.31.1.3:3306 schema: vinticket.events script:  UPDATE  vinticket . events  SET  available_date_to  = '2025-12-31 16:59:00' WHERE ( id  = '109'); UPDATE  vinticket . events  SET  available_date_to  = '2025-12-31 02:20:19' WHERE ( id  = '131');</t>
  </si>
  <si>
    <t>Chỉnh sửa email của telesales</t>
  </si>
  <si>
    <t>2025-01-08T10:59:48.173+0700</t>
  </si>
  <si>
    <t>2026-03-14T11:16:50.641+0700</t>
  </si>
  <si>
    <t>Đổi email cho telesale trên db 1seal trên db sales_tools.sales của 1seal id: 1868 Tên: Bùi Thu Hà Email sửa từ  habui1189@gmail.com  -&gt;  ha.bui3@onemount.com Thread trao đổi:  https://chat.google.com/room/AAAAb9P5jJQ/Qsdbvd3dYNQ/Qsdbvd3dYNQ?cls=10</t>
  </si>
  <si>
    <t>[OMC][PS2][Loyalty][PROD] - Thực hiện archive dữ liệu history cho DB Loyalty - Tháng 1/2025</t>
  </si>
  <si>
    <t>2025-01-06T12:08:20.214+0700</t>
  </si>
  <si>
    <t>2025-01-08T17:23:05.981+0700</t>
  </si>
  <si>
    <t>Team DBA cần thực hiện archive dữ liệu lịch sử của 1 số bảng lớn trong DB LOYALTY, để tối ưu dung lượng lưu trữ data , tránh để data lưu trữ quá lớn trong DB dẫn tới chi phí phần cứng tăng và giảm hiệu suất IO khi truy xuất data lớn. Quy định về thời gian lưu trữ data (dự án đã confirm với TCB qua email): Live data tier: không TTL expired bất kể dữ liệu nào Backup tier: Thực hiện backup full 2 lần/tuần và incremental các ngày còn lại Archiving tier:  Dữ liệu Archive được thực hiện 6 tháng/lần và store với retention là 365 days Kế hoạch thực hiện archive dữ liệu history của DB Loyalty , thực hiện trong tháng 1 năm 2025 Các bảng cần lưu trữ data và thực hiện xóa data history: Tables Partition column Life time Note TRANSACTION_AUDIT_TRAIL CREATED_AT 1 month Đã truncate từ trước POINT_TRANSACTION_BLOCKING EXPIRED_DATE Xoá các bản ghi trước năm 2024 Đã làm tháng 9/2024 KAFKA_AUDIT_TRAIL_PRODUCT_INFO CREATED_AT 1 month   KAFKA_AUDIT_TRAIL_CARD_INFO CREATED_AT 1 month   KAFKA_AUDIT_TRAIL_CUSTOMER_PROFILE CREATED_AT 1 month   KAFKA_AUDIT_TRAIL_EARN_TRANSACTION CREATED_AT 1 month   KAFKA_AUDIT_TRAIL_EARN_EVENT CREATED_AT 1 month   TRANSACTION_HISTORY_ATTRIBUTE CREATED_AT 6 month   TIER_HISTORY CREATED_AT 6 month   POINT_TRANSACTION_ACCOUNT_BALANCE CREATED_AT 6 month Bắt đầu thực hiện từ tháng 1/2025 PAY_WITH_POINT_TRANSACTION_HISTORY TRANSACTION_TIME Giữ nguyên các partition,chỉ xóa theo điều kiện where Thực hiện tháng 1/2025: Xóa data có: status = 'F' and transaction_time &lt; to_date('01/09/2024','dd/MM/yyyy') Bảng  POINT_TRANSACTION_ACCOUNT_BALANCE , tháng 1/2025 sẽ thực hiện archive data lần đầu, dữ liệu bảng này archive theo Live time 6 tháng.    Thông tin xóa data theo điều kiện của 3 bảng:  MEMBER_ATTRIBUTE  ,  ACCOUNT_BALANCE , PAY_WITH_POINT_TRANSACTION_HISTORY  (đã làm tháng 12/2024):    Tháng 1/2025, không cần thực hiện xóa data trên 2 bảng  MEMBER_ATTRIBUTE  và  ACCOUNT_BALANCE  do dữ liệu xóa bé, có thể sắp xếp thực hiện theo quý. Bảng  PAY_WITH_POINT_TRANSACTION_HISTORY  sẽ thực hiện xóa theo điều kiện : status = 'F' and transaction_time &lt; to_date('01/09/2024','dd/MM/yyyy'); Thời gian thực hiện:  0h ngày 7/1/2025 Phương án làm archive data cho các bảng này: export các partition vi phạm data quá 2 tháng so với hiện tại (đảm bảo tồn tại full 1 partition của tháng trước hiện tại) Lưu trữ các partition đã export lên GCS (thời gian lưu trữ trên GCS là 1 năm) Drop các partition đã export trên DB Chạy lại gather statistic cho bảng vừa drop partition (có thể để DB auto chạy cũng được)   1 số bảng dự án vẫn  chưa đưa được phương án archive , nên chưa thực hiện: Tables Partition column Life time Note TRANSACTION_HISTORY TRANSACTION_TIME   chưa có phương án archive data history POINT_TRANSACTION TRANSACTION_TIME   chưa có phương án archive data history COUNTER_TRANSACTION_HISTORY CREATED_AT   chưa có phương án archive data history COUNTER_HISTORY CREATED_AT   chưa có phương án archive data history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</si>
</sst>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1" x14ac:knownFonts="1">
    <font>
      <sz val="10"/>
      <color rgb="FF000000"/>
      <name val="Arial"/>
      <scheme val="minor"/>
    </font>
    <font>
      <b/>
      <sz val="10"/>
      <color theme="1"/>
      <name val="Arial"/>
      <scheme val="minor"/>
    </font>
    <font>
      <sz val="10"/>
      <name val="Arial"/>
    </font>
    <font>
      <sz val="10"/>
      <color theme="1"/>
      <name val="Arial"/>
      <scheme val="minor"/>
    </font>
    <font>
      <u/>
      <sz val="10"/>
      <color rgb="FF0000FF"/>
      <name val="Arial"/>
    </font>
    <font>
      <sz val="10"/>
      <color rgb="FF008000"/>
      <name val="Arial"/>
      <scheme val="minor"/>
    </font>
    <font>
      <sz val="10"/>
      <color rgb="FF000000"/>
      <name val="Arial"/>
      <scheme val="minor"/>
    </font>
    <font>
      <u/>
      <sz val="10"/>
      <color rgb="FF0000FF"/>
      <name val="Arial"/>
    </font>
    <font>
      <u/>
      <sz val="10"/>
      <color rgb="FF0000FF"/>
      <name val="Arial"/>
    </font>
    <font>
      <sz val="10"/>
      <color rgb="FFFFA500"/>
      <name val="Arial"/>
      <scheme val="minor"/>
    </font>
    <font>
      <u/>
      <sz val="10"/>
      <color rgb="FF0000FF"/>
      <name val="Arial"/>
    </font>
  </fonts>
  <fills count="6">
    <fill>
      <patternFill patternType="none"/>
    </fill>
    <fill>
      <patternFill patternType="gray125"/>
    </fill>
    <fill>
      <patternFill patternType="solid">
        <fgColor rgb="FFD9E1F2"/>
        <bgColor rgb="FFD9E1F2"/>
      </patternFill>
    </fill>
    <fill>
      <patternFill patternType="solid">
        <fgColor rgb="FFADD8E6"/>
        <bgColor rgb="FFADD8E6"/>
      </patternFill>
    </fill>
    <fill>
      <patternFill patternType="solid">
        <fgColor rgb="FFFFF2CC"/>
        <bgColor rgb="FFFFF2CC"/>
      </patternFill>
    </fill>
    <fill>
      <patternFill patternType="solid">
        <fgColor rgb="FFC6EFCE"/>
        <bgColor rgb="FFC6EFCE"/>
      </patternFill>
    </fill>
  </fills>
  <borders count="9">
    <border>
      <left/>
      <right/>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s>
  <cellStyleXfs count="1">
    <xf numFmtId="0" fontId="0" fillId="0" borderId="0"/>
  </cellStyleXfs>
  <cellXfs count="34">
    <xf numFmtId="0" fontId="0" fillId="0" borderId="0" xfId="0"/>
    <xf numFmtId="49" fontId="1" fillId="2" borderId="4" xfId="0" applyNumberFormat="1" applyFont="1" applyFill="1" applyBorder="1"/>
    <xf numFmtId="0" fontId="3" fillId="0" borderId="0" xfId="0" applyFont="1"/>
    <xf numFmtId="0" fontId="1" fillId="2" borderId="4" xfId="0" applyFont="1" applyFill="1" applyBorder="1"/>
    <xf numFmtId="0" fontId="1" fillId="2" borderId="5" xfId="0" applyFont="1" applyFill="1" applyBorder="1" applyAlignment="1">
      <alignment horizontal="center" vertical="center"/>
    </xf>
    <xf numFmtId="0" fontId="4" fillId="0" borderId="4" xfId="0" applyFont="1" applyBorder="1"/>
    <xf numFmtId="0" fontId="3" fillId="0" borderId="4" xfId="0" applyFont="1" applyBorder="1"/>
    <xf numFmtId="0" fontId="3" fillId="0" borderId="5" xfId="0" applyFont="1" applyBorder="1" applyAlignment="1">
      <alignment horizontal="center" vertical="center"/>
    </xf>
    <xf numFmtId="0" fontId="5" fillId="0" borderId="4" xfId="0" applyFont="1" applyBorder="1"/>
    <xf numFmtId="1" fontId="3" fillId="0" borderId="5" xfId="0" applyNumberFormat="1" applyFont="1" applyBorder="1" applyAlignment="1">
      <alignment horizontal="center" vertical="center"/>
    </xf>
    <xf numFmtId="164" fontId="3" fillId="0" borderId="4" xfId="0" applyNumberFormat="1" applyFont="1" applyBorder="1"/>
    <xf numFmtId="0" fontId="1" fillId="3" borderId="5" xfId="0" applyFont="1" applyFill="1" applyBorder="1" applyAlignment="1">
      <alignment horizontal="center" vertical="center"/>
    </xf>
    <xf numFmtId="1" fontId="1" fillId="3" borderId="5" xfId="0" applyNumberFormat="1" applyFont="1" applyFill="1" applyBorder="1" applyAlignment="1">
      <alignment horizontal="center" vertical="center"/>
    </xf>
    <xf numFmtId="1" fontId="3" fillId="0" borderId="0" xfId="0" applyNumberFormat="1" applyFont="1"/>
    <xf numFmtId="0" fontId="6" fillId="0" borderId="4" xfId="0" applyFont="1" applyBorder="1"/>
    <xf numFmtId="49" fontId="3" fillId="0" borderId="0" xfId="0" applyNumberFormat="1" applyFont="1"/>
    <xf numFmtId="49" fontId="1" fillId="2" borderId="5" xfId="0" applyNumberFormat="1" applyFont="1" applyFill="1" applyBorder="1" applyAlignment="1">
      <alignment horizontal="center" vertical="center"/>
    </xf>
    <xf numFmtId="1" fontId="1" fillId="2" borderId="5" xfId="0" applyNumberFormat="1" applyFont="1" applyFill="1" applyBorder="1" applyAlignment="1">
      <alignment horizontal="center" vertical="center"/>
    </xf>
    <xf numFmtId="49" fontId="1" fillId="3" borderId="5" xfId="0" applyNumberFormat="1" applyFont="1" applyFill="1" applyBorder="1" applyAlignment="1">
      <alignment horizontal="center" vertical="center"/>
    </xf>
    <xf numFmtId="49" fontId="3" fillId="0" borderId="5" xfId="0" applyNumberFormat="1" applyFont="1" applyBorder="1" applyAlignment="1">
      <alignment horizontal="center" vertical="center"/>
    </xf>
    <xf numFmtId="10" fontId="3" fillId="0" borderId="0" xfId="0" applyNumberFormat="1" applyFont="1"/>
    <xf numFmtId="0" fontId="7" fillId="4" borderId="4" xfId="0" applyFont="1" applyFill="1" applyBorder="1"/>
    <xf numFmtId="0" fontId="3" fillId="5" borderId="4" xfId="0" applyFont="1" applyFill="1" applyBorder="1"/>
    <xf numFmtId="0" fontId="8" fillId="0" borderId="4" xfId="0" applyFont="1" applyBorder="1"/>
    <xf numFmtId="0" fontId="9" fillId="0" borderId="4" xfId="0" applyFont="1" applyBorder="1"/>
    <xf numFmtId="0" fontId="10" fillId="0" borderId="4" xfId="0" applyFont="1" applyBorder="1"/>
    <xf numFmtId="164" fontId="3" fillId="0" borderId="0" xfId="0" applyNumberFormat="1" applyFont="1"/>
    <xf numFmtId="49" fontId="1" fillId="2" borderId="1" xfId="0" applyNumberFormat="1" applyFont="1" applyFill="1" applyBorder="1" applyAlignment="1">
      <alignment horizontal="center" vertical="center"/>
    </xf>
    <xf numFmtId="0" fontId="2" fillId="0" borderId="3" xfId="0" applyFont="1" applyBorder="1"/>
    <xf numFmtId="0" fontId="2" fillId="0" borderId="2" xfId="0" applyFont="1" applyBorder="1"/>
    <xf numFmtId="0" fontId="1" fillId="2" borderId="1" xfId="0" applyFont="1" applyFill="1" applyBorder="1" applyAlignment="1">
      <alignment horizontal="center" vertical="center"/>
    </xf>
    <xf numFmtId="0" fontId="3" fillId="0" borderId="6" xfId="0" applyFont="1" applyBorder="1" applyAlignment="1">
      <alignment horizontal="center" vertical="center"/>
    </xf>
    <xf numFmtId="0" fontId="2" fillId="0" borderId="8" xfId="0" applyFont="1" applyBorder="1"/>
    <xf numFmtId="0" fontId="2" fillId="0" borderId="7"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b="0">
                <a:solidFill>
                  <a:srgbClr val="757575"/>
                </a:solidFill>
                <a:latin typeface="+mn-lt"/>
              </a:rPr>
              <a:t>Status</a:t>
            </a:r>
          </a:p>
        </c:rich>
      </c:tx>
      <c:overlay val="0"/>
    </c:title>
    <c:autoTitleDeleted val="0"/>
    <c:plotArea>
      <c:layout/>
      <c:barChart>
        <c:barDir val="col"/>
        <c:grouping val="clustered"/>
        <c:varyColors val="0"/>
        <c:ser>
          <c:idx val="0"/>
          <c:order val="0"/>
          <c:spPr>
            <a:solidFill>
              <a:schemeClr val="accent1"/>
            </a:solidFill>
            <a:ln cmpd="sng">
              <a:noFill/>
            </a:ln>
          </c:spPr>
          <c:invertIfNegative val="0"/>
          <c:cat>
            <c:strRef>
              <c:f>Sumary!$A$3:$A$5</c:f>
              <c:strCache>
                <c:ptCount val="3"/>
                <c:pt idx="0">
                  <c:v>Closed</c:v>
                </c:pt>
                <c:pt idx="1">
                  <c:v>To Do</c:v>
                </c:pt>
                <c:pt idx="2">
                  <c:v>In Progress</c:v>
                </c:pt>
              </c:strCache>
            </c:strRef>
          </c:cat>
          <c:val>
            <c:numRef>
              <c:f>Sumary!$B$3:$B$5</c:f>
              <c:numCache>
                <c:formatCode>0</c:formatCode>
                <c:ptCount val="3"/>
                <c:pt idx="0">
                  <c:v>4093</c:v>
                </c:pt>
                <c:pt idx="1">
                  <c:v>23</c:v>
                </c:pt>
                <c:pt idx="2">
                  <c:v>3</c:v>
                </c:pt>
              </c:numCache>
            </c:numRef>
          </c:val>
          <c:extLst>
            <c:ext xmlns:c16="http://schemas.microsoft.com/office/drawing/2014/chart" uri="{C3380CC4-5D6E-409C-BE32-E72D297353CC}">
              <c16:uniqueId val="{00000000-8F8C-4C40-A6CA-CA93ACE5D63D}"/>
            </c:ext>
          </c:extLst>
        </c:ser>
        <c:dLbls>
          <c:showLegendKey val="0"/>
          <c:showVal val="0"/>
          <c:showCatName val="0"/>
          <c:showSerName val="0"/>
          <c:showPercent val="0"/>
          <c:showBubbleSize val="0"/>
        </c:dLbls>
        <c:gapWidth val="150"/>
        <c:axId val="1759032225"/>
        <c:axId val="1559958657"/>
      </c:barChart>
      <c:catAx>
        <c:axId val="175903222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Status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VN"/>
          </a:p>
        </c:txPr>
        <c:crossAx val="1559958657"/>
        <c:crosses val="autoZero"/>
        <c:auto val="1"/>
        <c:lblAlgn val="ctr"/>
        <c:lblOffset val="100"/>
        <c:noMultiLvlLbl val="1"/>
      </c:catAx>
      <c:valAx>
        <c:axId val="1559958657"/>
        <c:scaling>
          <c:orientation val="minMax"/>
          <c:min val="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0" sourceLinked="1"/>
        <c:majorTickMark val="none"/>
        <c:minorTickMark val="none"/>
        <c:tickLblPos val="nextTo"/>
        <c:spPr>
          <a:ln>
            <a:noFill/>
          </a:ln>
        </c:spPr>
        <c:txPr>
          <a:bodyPr/>
          <a:lstStyle/>
          <a:p>
            <a:pPr lvl="0">
              <a:defRPr b="0">
                <a:solidFill>
                  <a:srgbClr val="000000"/>
                </a:solidFill>
                <a:latin typeface="+mn-lt"/>
              </a:defRPr>
            </a:pPr>
            <a:endParaRPr lang="en-VN"/>
          </a:p>
        </c:txPr>
        <c:crossAx val="1759032225"/>
        <c:crosses val="autoZero"/>
        <c:crossBetween val="between"/>
      </c:valAx>
    </c:plotArea>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b="0">
                <a:solidFill>
                  <a:srgbClr val="757575"/>
                </a:solidFill>
                <a:latin typeface="+mn-lt"/>
              </a:rPr>
              <a:t>Ticket chưa closed</a:t>
            </a:r>
          </a:p>
        </c:rich>
      </c:tx>
      <c:overlay val="0"/>
    </c:title>
    <c:autoTitleDeleted val="0"/>
    <c:plotArea>
      <c:layout/>
      <c:barChart>
        <c:barDir val="col"/>
        <c:grouping val="clustered"/>
        <c:varyColors val="1"/>
        <c:ser>
          <c:idx val="0"/>
          <c:order val="0"/>
          <c:spPr>
            <a:solidFill>
              <a:schemeClr val="accent1"/>
            </a:solidFill>
            <a:ln cmpd="sng">
              <a:noFill/>
            </a:ln>
          </c:spPr>
          <c:invertIfNegative val="0"/>
          <c:cat>
            <c:strRef>
              <c:f>Sumary!$K$3:$K$5</c:f>
              <c:strCache>
                <c:ptCount val="3"/>
                <c:pt idx="0">
                  <c:v>Nguyễn Văn Dũng</c:v>
                </c:pt>
                <c:pt idx="1">
                  <c:v>Phạm Tuấn Linh</c:v>
                </c:pt>
                <c:pt idx="2">
                  <c:v>Đoàn Việt Hưng</c:v>
                </c:pt>
              </c:strCache>
            </c:strRef>
          </c:cat>
          <c:val>
            <c:numRef>
              <c:f>Sumary!$L$3:$L$5</c:f>
              <c:numCache>
                <c:formatCode>0</c:formatCode>
                <c:ptCount val="3"/>
                <c:pt idx="0">
                  <c:v>0</c:v>
                </c:pt>
                <c:pt idx="1">
                  <c:v>2</c:v>
                </c:pt>
                <c:pt idx="2">
                  <c:v>1</c:v>
                </c:pt>
              </c:numCache>
            </c:numRef>
          </c:val>
          <c:extLst>
            <c:ext xmlns:c16="http://schemas.microsoft.com/office/drawing/2014/chart" uri="{C3380CC4-5D6E-409C-BE32-E72D297353CC}">
              <c16:uniqueId val="{00000000-2B30-0A40-8E0D-29C5D95B5A21}"/>
            </c:ext>
          </c:extLst>
        </c:ser>
        <c:ser>
          <c:idx val="1"/>
          <c:order val="1"/>
          <c:spPr>
            <a:solidFill>
              <a:schemeClr val="accent2"/>
            </a:solidFill>
            <a:ln cmpd="sng">
              <a:noFill/>
            </a:ln>
          </c:spPr>
          <c:invertIfNegative val="0"/>
          <c:cat>
            <c:strRef>
              <c:f>Sumary!$K$3:$K$5</c:f>
              <c:strCache>
                <c:ptCount val="3"/>
                <c:pt idx="0">
                  <c:v>Nguyễn Văn Dũng</c:v>
                </c:pt>
                <c:pt idx="1">
                  <c:v>Phạm Tuấn Linh</c:v>
                </c:pt>
                <c:pt idx="2">
                  <c:v>Đoàn Việt Hưng</c:v>
                </c:pt>
              </c:strCache>
            </c:strRef>
          </c:cat>
          <c:val>
            <c:numRef>
              <c:f>Sumary!$M$3:$M$5</c:f>
              <c:numCache>
                <c:formatCode>0</c:formatCode>
                <c:ptCount val="3"/>
                <c:pt idx="0">
                  <c:v>1</c:v>
                </c:pt>
                <c:pt idx="1">
                  <c:v>1</c:v>
                </c:pt>
                <c:pt idx="2">
                  <c:v>21</c:v>
                </c:pt>
              </c:numCache>
            </c:numRef>
          </c:val>
          <c:extLst>
            <c:ext xmlns:c16="http://schemas.microsoft.com/office/drawing/2014/chart" uri="{C3380CC4-5D6E-409C-BE32-E72D297353CC}">
              <c16:uniqueId val="{00000001-2B30-0A40-8E0D-29C5D95B5A21}"/>
            </c:ext>
          </c:extLst>
        </c:ser>
        <c:ser>
          <c:idx val="2"/>
          <c:order val="2"/>
          <c:spPr>
            <a:solidFill>
              <a:schemeClr val="accent3"/>
            </a:solidFill>
            <a:ln cmpd="sng">
              <a:noFill/>
            </a:ln>
          </c:spPr>
          <c:invertIfNegative val="0"/>
          <c:cat>
            <c:strRef>
              <c:f>Sumary!$K$3:$K$5</c:f>
              <c:strCache>
                <c:ptCount val="3"/>
                <c:pt idx="0">
                  <c:v>Nguyễn Văn Dũng</c:v>
                </c:pt>
                <c:pt idx="1">
                  <c:v>Phạm Tuấn Linh</c:v>
                </c:pt>
                <c:pt idx="2">
                  <c:v>Đoàn Việt Hưng</c:v>
                </c:pt>
              </c:strCache>
            </c:strRef>
          </c:cat>
          <c:val>
            <c:numRef>
              <c:f>Sumary!$N$3:$N$5</c:f>
              <c:numCache>
                <c:formatCode>0</c:formatCode>
                <c:ptCount val="3"/>
                <c:pt idx="0">
                  <c:v>1</c:v>
                </c:pt>
                <c:pt idx="1">
                  <c:v>3</c:v>
                </c:pt>
                <c:pt idx="2">
                  <c:v>22</c:v>
                </c:pt>
              </c:numCache>
            </c:numRef>
          </c:val>
          <c:extLst>
            <c:ext xmlns:c16="http://schemas.microsoft.com/office/drawing/2014/chart" uri="{C3380CC4-5D6E-409C-BE32-E72D297353CC}">
              <c16:uniqueId val="{00000002-2B30-0A40-8E0D-29C5D95B5A21}"/>
            </c:ext>
          </c:extLst>
        </c:ser>
        <c:dLbls>
          <c:showLegendKey val="0"/>
          <c:showVal val="0"/>
          <c:showCatName val="0"/>
          <c:showSerName val="0"/>
          <c:showPercent val="0"/>
          <c:showBubbleSize val="0"/>
        </c:dLbls>
        <c:gapWidth val="150"/>
        <c:axId val="1245821157"/>
        <c:axId val="1948401309"/>
      </c:barChart>
      <c:catAx>
        <c:axId val="1245821157"/>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VN"/>
          </a:p>
        </c:txPr>
        <c:crossAx val="1948401309"/>
        <c:crosses val="autoZero"/>
        <c:auto val="1"/>
        <c:lblAlgn val="ctr"/>
        <c:lblOffset val="100"/>
        <c:noMultiLvlLbl val="1"/>
      </c:catAx>
      <c:valAx>
        <c:axId val="194840130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a:noFill/>
          </a:ln>
        </c:spPr>
        <c:txPr>
          <a:bodyPr/>
          <a:lstStyle/>
          <a:p>
            <a:pPr lvl="0">
              <a:defRPr b="0">
                <a:solidFill>
                  <a:srgbClr val="000000"/>
                </a:solidFill>
                <a:latin typeface="+mn-lt"/>
              </a:defRPr>
            </a:pPr>
            <a:endParaRPr lang="en-VN"/>
          </a:p>
        </c:txPr>
        <c:crossAx val="1245821157"/>
        <c:crosses val="autoZero"/>
        <c:crossBetween val="between"/>
      </c:valAx>
    </c:plotArea>
    <c:legend>
      <c:legendPos val="r"/>
      <c:overlay val="0"/>
      <c:txPr>
        <a:bodyPr/>
        <a:lstStyle/>
        <a:p>
          <a:pPr lvl="0">
            <a:defRPr b="0">
              <a:solidFill>
                <a:srgbClr val="1A1A1A"/>
              </a:solidFill>
              <a:latin typeface="+mn-lt"/>
            </a:defRPr>
          </a:pPr>
          <a:endParaRPr lang="en-VN"/>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b="0">
                <a:solidFill>
                  <a:srgbClr val="757575"/>
                </a:solidFill>
                <a:latin typeface="+mn-lt"/>
              </a:rPr>
              <a:t>Assignee</a:t>
            </a:r>
          </a:p>
        </c:rich>
      </c:tx>
      <c:overlay val="0"/>
    </c:title>
    <c:autoTitleDeleted val="0"/>
    <c:plotArea>
      <c:layout/>
      <c:pieChart>
        <c:varyColors val="1"/>
        <c:ser>
          <c:idx val="0"/>
          <c:order val="0"/>
          <c:dPt>
            <c:idx val="0"/>
            <c:bubble3D val="0"/>
            <c:spPr>
              <a:solidFill>
                <a:srgbClr val="4285F4"/>
              </a:solidFill>
            </c:spPr>
            <c:extLst>
              <c:ext xmlns:c16="http://schemas.microsoft.com/office/drawing/2014/chart" uri="{C3380CC4-5D6E-409C-BE32-E72D297353CC}">
                <c16:uniqueId val="{00000001-0340-1C40-A228-3386FF4F766E}"/>
              </c:ext>
            </c:extLst>
          </c:dPt>
          <c:dPt>
            <c:idx val="1"/>
            <c:bubble3D val="0"/>
            <c:spPr>
              <a:solidFill>
                <a:srgbClr val="EA4335"/>
              </a:solidFill>
            </c:spPr>
            <c:extLst>
              <c:ext xmlns:c16="http://schemas.microsoft.com/office/drawing/2014/chart" uri="{C3380CC4-5D6E-409C-BE32-E72D297353CC}">
                <c16:uniqueId val="{00000003-0340-1C40-A228-3386FF4F766E}"/>
              </c:ext>
            </c:extLst>
          </c:dPt>
          <c:dPt>
            <c:idx val="2"/>
            <c:bubble3D val="0"/>
            <c:spPr>
              <a:solidFill>
                <a:srgbClr val="FBBC04"/>
              </a:solidFill>
            </c:spPr>
            <c:extLst>
              <c:ext xmlns:c16="http://schemas.microsoft.com/office/drawing/2014/chart" uri="{C3380CC4-5D6E-409C-BE32-E72D297353CC}">
                <c16:uniqueId val="{00000005-0340-1C40-A228-3386FF4F766E}"/>
              </c:ext>
            </c:extLst>
          </c:dPt>
          <c:dPt>
            <c:idx val="3"/>
            <c:bubble3D val="0"/>
            <c:spPr>
              <a:solidFill>
                <a:srgbClr val="34A853"/>
              </a:solidFill>
            </c:spPr>
            <c:extLst>
              <c:ext xmlns:c16="http://schemas.microsoft.com/office/drawing/2014/chart" uri="{C3380CC4-5D6E-409C-BE32-E72D297353CC}">
                <c16:uniqueId val="{00000007-0340-1C40-A228-3386FF4F766E}"/>
              </c:ext>
            </c:extLst>
          </c:dPt>
          <c:dPt>
            <c:idx val="4"/>
            <c:bubble3D val="0"/>
            <c:spPr>
              <a:solidFill>
                <a:srgbClr val="FF6D01"/>
              </a:solidFill>
            </c:spPr>
            <c:extLst>
              <c:ext xmlns:c16="http://schemas.microsoft.com/office/drawing/2014/chart" uri="{C3380CC4-5D6E-409C-BE32-E72D297353CC}">
                <c16:uniqueId val="{00000009-0340-1C40-A228-3386FF4F766E}"/>
              </c:ext>
            </c:extLst>
          </c:dPt>
          <c:dPt>
            <c:idx val="5"/>
            <c:bubble3D val="0"/>
            <c:spPr>
              <a:solidFill>
                <a:srgbClr val="46BDC6"/>
              </a:solidFill>
            </c:spPr>
            <c:extLst>
              <c:ext xmlns:c16="http://schemas.microsoft.com/office/drawing/2014/chart" uri="{C3380CC4-5D6E-409C-BE32-E72D297353CC}">
                <c16:uniqueId val="{0000000B-0340-1C40-A228-3386FF4F766E}"/>
              </c:ext>
            </c:extLst>
          </c:dPt>
          <c:dPt>
            <c:idx val="6"/>
            <c:bubble3D val="0"/>
            <c:spPr>
              <a:solidFill>
                <a:srgbClr val="7BAAF7"/>
              </a:solidFill>
            </c:spPr>
            <c:extLst>
              <c:ext xmlns:c16="http://schemas.microsoft.com/office/drawing/2014/chart" uri="{C3380CC4-5D6E-409C-BE32-E72D297353CC}">
                <c16:uniqueId val="{0000000D-0340-1C40-A228-3386FF4F766E}"/>
              </c:ext>
            </c:extLst>
          </c:dPt>
          <c:dPt>
            <c:idx val="7"/>
            <c:bubble3D val="0"/>
            <c:spPr>
              <a:solidFill>
                <a:srgbClr val="F07B72"/>
              </a:solidFill>
            </c:spPr>
            <c:extLst>
              <c:ext xmlns:c16="http://schemas.microsoft.com/office/drawing/2014/chart" uri="{C3380CC4-5D6E-409C-BE32-E72D297353CC}">
                <c16:uniqueId val="{0000000F-0340-1C40-A228-3386FF4F766E}"/>
              </c:ext>
            </c:extLst>
          </c:dPt>
          <c:cat>
            <c:strRef>
              <c:f>Sumary!$A$9:$A$16</c:f>
              <c:strCache>
                <c:ptCount val="8"/>
                <c:pt idx="0">
                  <c:v>Phạm Tuấn Linh</c:v>
                </c:pt>
                <c:pt idx="1">
                  <c:v>Nguyễn Văn Dũng</c:v>
                </c:pt>
                <c:pt idx="2">
                  <c:v>Đoàn Việt Hưng</c:v>
                </c:pt>
                <c:pt idx="3">
                  <c:v>Đào Công Nghĩa</c:v>
                </c:pt>
                <c:pt idx="4">
                  <c:v>Trần Đức Thịnh</c:v>
                </c:pt>
                <c:pt idx="5">
                  <c:v>Hà Văn Vượng</c:v>
                </c:pt>
                <c:pt idx="6">
                  <c:v>Nguyễn Văn Duy</c:v>
                </c:pt>
                <c:pt idx="7">
                  <c:v>Trần Trương Dương</c:v>
                </c:pt>
              </c:strCache>
            </c:strRef>
          </c:cat>
          <c:val>
            <c:numRef>
              <c:f>Sumary!$B$9:$B$16</c:f>
              <c:numCache>
                <c:formatCode>0</c:formatCode>
                <c:ptCount val="8"/>
                <c:pt idx="0">
                  <c:v>1141</c:v>
                </c:pt>
                <c:pt idx="1">
                  <c:v>1247</c:v>
                </c:pt>
                <c:pt idx="2">
                  <c:v>298</c:v>
                </c:pt>
                <c:pt idx="3">
                  <c:v>566</c:v>
                </c:pt>
                <c:pt idx="4">
                  <c:v>45</c:v>
                </c:pt>
                <c:pt idx="5">
                  <c:v>143</c:v>
                </c:pt>
                <c:pt idx="6">
                  <c:v>14</c:v>
                </c:pt>
                <c:pt idx="7">
                  <c:v>665</c:v>
                </c:pt>
              </c:numCache>
            </c:numRef>
          </c:val>
          <c:extLst>
            <c:ext xmlns:c16="http://schemas.microsoft.com/office/drawing/2014/chart" uri="{C3380CC4-5D6E-409C-BE32-E72D297353CC}">
              <c16:uniqueId val="{00000010-0340-1C40-A228-3386FF4F766E}"/>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en-VN"/>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b="0">
                <a:solidFill>
                  <a:srgbClr val="757575"/>
                </a:solidFill>
                <a:latin typeface="+mn-lt"/>
              </a:rPr>
              <a:t>Company</a:t>
            </a:r>
          </a:p>
        </c:rich>
      </c:tx>
      <c:overlay val="0"/>
    </c:title>
    <c:autoTitleDeleted val="0"/>
    <c:plotArea>
      <c:layout/>
      <c:pieChart>
        <c:varyColors val="1"/>
        <c:ser>
          <c:idx val="0"/>
          <c:order val="0"/>
          <c:dPt>
            <c:idx val="0"/>
            <c:bubble3D val="0"/>
            <c:spPr>
              <a:solidFill>
                <a:srgbClr val="4285F4"/>
              </a:solidFill>
            </c:spPr>
            <c:extLst>
              <c:ext xmlns:c16="http://schemas.microsoft.com/office/drawing/2014/chart" uri="{C3380CC4-5D6E-409C-BE32-E72D297353CC}">
                <c16:uniqueId val="{00000001-C23B-1744-8AE5-8BF1E5CA4626}"/>
              </c:ext>
            </c:extLst>
          </c:dPt>
          <c:dPt>
            <c:idx val="1"/>
            <c:bubble3D val="0"/>
            <c:spPr>
              <a:solidFill>
                <a:srgbClr val="EA4335"/>
              </a:solidFill>
            </c:spPr>
            <c:extLst>
              <c:ext xmlns:c16="http://schemas.microsoft.com/office/drawing/2014/chart" uri="{C3380CC4-5D6E-409C-BE32-E72D297353CC}">
                <c16:uniqueId val="{00000003-C23B-1744-8AE5-8BF1E5CA4626}"/>
              </c:ext>
            </c:extLst>
          </c:dPt>
          <c:dPt>
            <c:idx val="2"/>
            <c:bubble3D val="0"/>
            <c:spPr>
              <a:solidFill>
                <a:srgbClr val="FBBC04"/>
              </a:solidFill>
            </c:spPr>
            <c:extLst>
              <c:ext xmlns:c16="http://schemas.microsoft.com/office/drawing/2014/chart" uri="{C3380CC4-5D6E-409C-BE32-E72D297353CC}">
                <c16:uniqueId val="{00000005-C23B-1744-8AE5-8BF1E5CA4626}"/>
              </c:ext>
            </c:extLst>
          </c:dPt>
          <c:dPt>
            <c:idx val="3"/>
            <c:bubble3D val="0"/>
            <c:spPr>
              <a:solidFill>
                <a:srgbClr val="34A853"/>
              </a:solidFill>
            </c:spPr>
            <c:extLst>
              <c:ext xmlns:c16="http://schemas.microsoft.com/office/drawing/2014/chart" uri="{C3380CC4-5D6E-409C-BE32-E72D297353CC}">
                <c16:uniqueId val="{00000007-C23B-1744-8AE5-8BF1E5CA4626}"/>
              </c:ext>
            </c:extLst>
          </c:dPt>
          <c:dPt>
            <c:idx val="4"/>
            <c:bubble3D val="0"/>
            <c:spPr>
              <a:solidFill>
                <a:srgbClr val="FF6D01"/>
              </a:solidFill>
            </c:spPr>
            <c:extLst>
              <c:ext xmlns:c16="http://schemas.microsoft.com/office/drawing/2014/chart" uri="{C3380CC4-5D6E-409C-BE32-E72D297353CC}">
                <c16:uniqueId val="{00000009-C23B-1744-8AE5-8BF1E5CA4626}"/>
              </c:ext>
            </c:extLst>
          </c:dPt>
          <c:dPt>
            <c:idx val="5"/>
            <c:bubble3D val="0"/>
            <c:spPr>
              <a:solidFill>
                <a:srgbClr val="46BDC6"/>
              </a:solidFill>
            </c:spPr>
            <c:extLst>
              <c:ext xmlns:c16="http://schemas.microsoft.com/office/drawing/2014/chart" uri="{C3380CC4-5D6E-409C-BE32-E72D297353CC}">
                <c16:uniqueId val="{0000000B-C23B-1744-8AE5-8BF1E5CA4626}"/>
              </c:ext>
            </c:extLst>
          </c:dPt>
          <c:dPt>
            <c:idx val="6"/>
            <c:bubble3D val="0"/>
            <c:spPr>
              <a:solidFill>
                <a:srgbClr val="7BAAF7"/>
              </a:solidFill>
            </c:spPr>
            <c:extLst>
              <c:ext xmlns:c16="http://schemas.microsoft.com/office/drawing/2014/chart" uri="{C3380CC4-5D6E-409C-BE32-E72D297353CC}">
                <c16:uniqueId val="{0000000D-C23B-1744-8AE5-8BF1E5CA4626}"/>
              </c:ext>
            </c:extLst>
          </c:dPt>
          <c:dPt>
            <c:idx val="7"/>
            <c:bubble3D val="0"/>
            <c:spPr>
              <a:solidFill>
                <a:srgbClr val="F07B72"/>
              </a:solidFill>
            </c:spPr>
            <c:extLst>
              <c:ext xmlns:c16="http://schemas.microsoft.com/office/drawing/2014/chart" uri="{C3380CC4-5D6E-409C-BE32-E72D297353CC}">
                <c16:uniqueId val="{0000000F-C23B-1744-8AE5-8BF1E5CA4626}"/>
              </c:ext>
            </c:extLst>
          </c:dPt>
          <c:dPt>
            <c:idx val="8"/>
            <c:bubble3D val="0"/>
            <c:spPr>
              <a:solidFill>
                <a:srgbClr val="FCD04F"/>
              </a:solidFill>
            </c:spPr>
            <c:extLst>
              <c:ext xmlns:c16="http://schemas.microsoft.com/office/drawing/2014/chart" uri="{C3380CC4-5D6E-409C-BE32-E72D297353CC}">
                <c16:uniqueId val="{00000011-C23B-1744-8AE5-8BF1E5CA4626}"/>
              </c:ext>
            </c:extLst>
          </c:dPt>
          <c:dPt>
            <c:idx val="9"/>
            <c:bubble3D val="0"/>
            <c:spPr>
              <a:solidFill>
                <a:srgbClr val="71C287"/>
              </a:solidFill>
            </c:spPr>
            <c:extLst>
              <c:ext xmlns:c16="http://schemas.microsoft.com/office/drawing/2014/chart" uri="{C3380CC4-5D6E-409C-BE32-E72D297353CC}">
                <c16:uniqueId val="{00000013-C23B-1744-8AE5-8BF1E5CA4626}"/>
              </c:ext>
            </c:extLst>
          </c:dPt>
          <c:dPt>
            <c:idx val="10"/>
            <c:bubble3D val="0"/>
            <c:spPr>
              <a:solidFill>
                <a:srgbClr val="FF994D"/>
              </a:solidFill>
            </c:spPr>
            <c:extLst>
              <c:ext xmlns:c16="http://schemas.microsoft.com/office/drawing/2014/chart" uri="{C3380CC4-5D6E-409C-BE32-E72D297353CC}">
                <c16:uniqueId val="{00000015-C23B-1744-8AE5-8BF1E5CA4626}"/>
              </c:ext>
            </c:extLst>
          </c:dPt>
          <c:dPt>
            <c:idx val="11"/>
            <c:bubble3D val="0"/>
            <c:spPr>
              <a:solidFill>
                <a:srgbClr val="7ED1D7"/>
              </a:solidFill>
            </c:spPr>
            <c:extLst>
              <c:ext xmlns:c16="http://schemas.microsoft.com/office/drawing/2014/chart" uri="{C3380CC4-5D6E-409C-BE32-E72D297353CC}">
                <c16:uniqueId val="{00000017-C23B-1744-8AE5-8BF1E5CA4626}"/>
              </c:ext>
            </c:extLst>
          </c:dPt>
          <c:cat>
            <c:strRef>
              <c:f>Sumary!$A$20:$A$31</c:f>
              <c:strCache>
                <c:ptCount val="12"/>
                <c:pt idx="0">
                  <c:v>OMRE</c:v>
                </c:pt>
                <c:pt idx="1">
                  <c:v>UPP</c:v>
                </c:pt>
                <c:pt idx="2">
                  <c:v>OM</c:v>
                </c:pt>
                <c:pt idx="3">
                  <c:v>OMC</c:v>
                </c:pt>
                <c:pt idx="4">
                  <c:v>IOTek</c:v>
                </c:pt>
                <c:pt idx="5">
                  <c:v>One Nexus</c:v>
                </c:pt>
                <c:pt idx="6">
                  <c:v>MAG</c:v>
                </c:pt>
                <c:pt idx="7">
                  <c:v>OMD</c:v>
                </c:pt>
                <c:pt idx="8">
                  <c:v>Sao Mộc</c:v>
                </c:pt>
                <c:pt idx="9">
                  <c:v>Null</c:v>
                </c:pt>
                <c:pt idx="10">
                  <c:v>DFS</c:v>
                </c:pt>
                <c:pt idx="11">
                  <c:v>Khác</c:v>
                </c:pt>
              </c:strCache>
            </c:strRef>
          </c:cat>
          <c:val>
            <c:numRef>
              <c:f>Sumary!$B$20:$B$31</c:f>
              <c:numCache>
                <c:formatCode>0</c:formatCode>
                <c:ptCount val="12"/>
                <c:pt idx="0">
                  <c:v>267</c:v>
                </c:pt>
                <c:pt idx="1">
                  <c:v>728</c:v>
                </c:pt>
                <c:pt idx="2">
                  <c:v>441</c:v>
                </c:pt>
                <c:pt idx="3">
                  <c:v>1518</c:v>
                </c:pt>
                <c:pt idx="4">
                  <c:v>94</c:v>
                </c:pt>
                <c:pt idx="5">
                  <c:v>61</c:v>
                </c:pt>
                <c:pt idx="6">
                  <c:v>186</c:v>
                </c:pt>
                <c:pt idx="7">
                  <c:v>784</c:v>
                </c:pt>
                <c:pt idx="8">
                  <c:v>17</c:v>
                </c:pt>
                <c:pt idx="9">
                  <c:v>9</c:v>
                </c:pt>
                <c:pt idx="10">
                  <c:v>5</c:v>
                </c:pt>
                <c:pt idx="11">
                  <c:v>9</c:v>
                </c:pt>
              </c:numCache>
            </c:numRef>
          </c:val>
          <c:extLst>
            <c:ext xmlns:c16="http://schemas.microsoft.com/office/drawing/2014/chart" uri="{C3380CC4-5D6E-409C-BE32-E72D297353CC}">
              <c16:uniqueId val="{00000018-C23B-1744-8AE5-8BF1E5CA4626}"/>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en-VN"/>
        </a:p>
      </c:txPr>
    </c:legend>
    <c:plotVisOnly val="1"/>
    <c:dispBlanksAs val="zero"/>
    <c:showDLblsOverMax val="1"/>
  </c:chart>
  <c:printSettings>
    <c:headerFooter/>
    <c:pageMargins b="0.75" l="0.7" r="0.7" t="0.75" header="0.3" footer="0.3"/>
    <c:pageSetup/>
  </c:printSettings>
</c:chartSpac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2</xdr:col>
      <xdr:colOff>6381750</xdr:colOff>
      <xdr:row>3</xdr:row>
      <xdr:rowOff>190500</xdr:rowOff>
    </xdr:from>
    <xdr:ext cx="1647825" cy="409575"/>
    <xdr:sp macro="" textlink="">
      <xdr:nvSpPr>
        <xdr:cNvPr id="3" name="Shape 3">
          <a:extLst>
            <a:ext uri="{FF2B5EF4-FFF2-40B4-BE49-F238E27FC236}">
              <a16:creationId xmlns:a16="http://schemas.microsoft.com/office/drawing/2014/main" id="{00000000-0008-0000-0000-000003000000}"/>
            </a:ext>
          </a:extLst>
        </xdr:cNvPr>
        <xdr:cNvSpPr/>
      </xdr:nvSpPr>
      <xdr:spPr>
        <a:xfrm>
          <a:off x="2691925" y="2011425"/>
          <a:ext cx="1631100" cy="390300"/>
        </a:xfrm>
        <a:prstGeom prst="flowChartAlternateProcess">
          <a:avLst/>
        </a:prstGeom>
        <a:solidFill>
          <a:srgbClr val="00FFFF"/>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1400"/>
            <a:t>REFRESH</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5715000" cy="3533775"/>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14</xdr:col>
      <xdr:colOff>0</xdr:colOff>
      <xdr:row>0</xdr:row>
      <xdr:rowOff>0</xdr:rowOff>
    </xdr:from>
    <xdr:ext cx="5715000" cy="3533775"/>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0</xdr:col>
      <xdr:colOff>0</xdr:colOff>
      <xdr:row>19</xdr:row>
      <xdr:rowOff>0</xdr:rowOff>
    </xdr:from>
    <xdr:ext cx="5715000" cy="3533775"/>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14</xdr:col>
      <xdr:colOff>0</xdr:colOff>
      <xdr:row>19</xdr:row>
      <xdr:rowOff>0</xdr:rowOff>
    </xdr:from>
    <xdr:ext cx="5715000" cy="3533775"/>
    <xdr:graphicFrame macro="">
      <xdr:nvGraphicFramePr>
        <xdr:cNvPr id="5" name="Chart 4">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vinid-team.atlassian.net/browse/SRE-15162"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4670"/>
  <sheetViews>
    <sheetView tabSelected="1" workbookViewId="0">
      <pane ySplit="1" topLeftCell="A2" activePane="bottomLeft" state="frozen"/>
      <selection pane="bottomLeft" activeCell="C13" sqref="C13"/>
    </sheetView>
  </sheetViews>
  <sheetFormatPr baseColWidth="10" defaultColWidth="12.6640625" defaultRowHeight="15.75" customHeight="1" x14ac:dyDescent="0.15"/>
  <cols>
    <col min="1" max="1" width="10.5" customWidth="1"/>
    <col min="2" max="2" width="13.1640625" customWidth="1"/>
    <col min="3" max="3" width="173.5" customWidth="1"/>
    <col min="4" max="4" width="9.1640625" customWidth="1"/>
    <col min="5" max="5" width="11.1640625" customWidth="1"/>
    <col min="6" max="6" width="14.83203125" customWidth="1"/>
    <col min="7" max="7" width="24.1640625" customWidth="1"/>
    <col min="8" max="8" width="10" customWidth="1"/>
    <col min="9" max="9" width="24.1640625" customWidth="1"/>
    <col min="10" max="10" width="40.6640625" customWidth="1"/>
    <col min="11" max="11" width="10.33203125" customWidth="1"/>
    <col min="12" max="12" width="33.33203125" customWidth="1"/>
    <col min="13" max="13" width="12.6640625" hidden="1"/>
  </cols>
  <sheetData>
    <row r="1" spans="1:13" ht="13" x14ac:dyDescent="0.15">
      <c r="A1" s="1" t="s">
        <v>2</v>
      </c>
      <c r="B1" s="3" t="s">
        <v>4</v>
      </c>
      <c r="C1" s="3" t="s">
        <v>5</v>
      </c>
      <c r="D1" s="3" t="s">
        <v>6</v>
      </c>
      <c r="E1" s="3" t="s">
        <v>7</v>
      </c>
      <c r="F1" s="3" t="s">
        <v>8</v>
      </c>
      <c r="G1" s="3" t="s">
        <v>9</v>
      </c>
      <c r="H1" s="3" t="s">
        <v>10</v>
      </c>
      <c r="I1" s="3" t="s">
        <v>11</v>
      </c>
      <c r="J1" s="3" t="s">
        <v>12</v>
      </c>
      <c r="K1" s="3" t="s">
        <v>13</v>
      </c>
      <c r="L1" s="3" t="s">
        <v>14</v>
      </c>
      <c r="M1" s="3" t="s">
        <v>15</v>
      </c>
    </row>
    <row r="2" spans="1:13" ht="13" x14ac:dyDescent="0.15">
      <c r="A2" s="5" t="str">
        <f>HYPERLINK("https://onemount.atlassian.net/browse/DBA-5929","DBA-5929")</f>
        <v>DBA-5929</v>
      </c>
      <c r="B2" s="6" t="s">
        <v>21</v>
      </c>
      <c r="C2" s="6" t="s">
        <v>22</v>
      </c>
      <c r="D2" s="8" t="s">
        <v>17</v>
      </c>
      <c r="E2" s="6" t="s">
        <v>23</v>
      </c>
      <c r="F2" s="6" t="s">
        <v>24</v>
      </c>
      <c r="G2" s="6" t="s">
        <v>25</v>
      </c>
      <c r="H2" s="10">
        <v>46296</v>
      </c>
      <c r="I2" s="6" t="s">
        <v>26</v>
      </c>
      <c r="J2" s="6" t="s">
        <v>27</v>
      </c>
      <c r="K2" s="6" t="s">
        <v>28</v>
      </c>
      <c r="L2" s="6" t="s">
        <v>27</v>
      </c>
      <c r="M2" s="6" t="s">
        <v>29</v>
      </c>
    </row>
    <row r="3" spans="1:13" ht="13" x14ac:dyDescent="0.15">
      <c r="A3" s="5" t="str">
        <f>HYPERLINK("https://onemount.atlassian.net/browse/DBA-5928","DBA-5928")</f>
        <v>DBA-5928</v>
      </c>
      <c r="B3" s="6" t="s">
        <v>21</v>
      </c>
      <c r="C3" s="6" t="s">
        <v>30</v>
      </c>
      <c r="D3" s="8" t="s">
        <v>17</v>
      </c>
      <c r="E3" s="6" t="s">
        <v>23</v>
      </c>
      <c r="F3" s="6" t="s">
        <v>31</v>
      </c>
      <c r="G3" s="6" t="s">
        <v>32</v>
      </c>
      <c r="H3" s="10">
        <v>46297</v>
      </c>
      <c r="I3" s="6" t="s">
        <v>33</v>
      </c>
      <c r="J3" s="6" t="s">
        <v>34</v>
      </c>
      <c r="K3" s="6" t="s">
        <v>35</v>
      </c>
      <c r="L3" s="6" t="s">
        <v>36</v>
      </c>
      <c r="M3" s="6" t="s">
        <v>37</v>
      </c>
    </row>
    <row r="4" spans="1:13" ht="13" x14ac:dyDescent="0.15">
      <c r="A4" s="5" t="str">
        <f>HYPERLINK("https://onemount.atlassian.net/browse/DBA-5927","DBA-5927")</f>
        <v>DBA-5927</v>
      </c>
      <c r="B4" s="6" t="s">
        <v>21</v>
      </c>
      <c r="C4" s="6" t="s">
        <v>40</v>
      </c>
      <c r="D4" s="14" t="s">
        <v>19</v>
      </c>
      <c r="E4" s="6" t="s">
        <v>23</v>
      </c>
      <c r="F4" s="6" t="s">
        <v>41</v>
      </c>
      <c r="G4" s="6" t="s">
        <v>42</v>
      </c>
      <c r="H4" s="6" t="s">
        <v>43</v>
      </c>
      <c r="I4" s="6" t="s">
        <v>44</v>
      </c>
      <c r="J4" s="6" t="s">
        <v>45</v>
      </c>
      <c r="K4" s="6" t="s">
        <v>46</v>
      </c>
      <c r="L4" s="6" t="s">
        <v>47</v>
      </c>
      <c r="M4" s="6" t="s">
        <v>48</v>
      </c>
    </row>
    <row r="5" spans="1:13" ht="13" x14ac:dyDescent="0.15">
      <c r="A5" s="5" t="str">
        <f>HYPERLINK("https://onemount.atlassian.net/browse/DBA-5926","DBA-5926")</f>
        <v>DBA-5926</v>
      </c>
      <c r="B5" s="6" t="s">
        <v>21</v>
      </c>
      <c r="C5" s="6" t="s">
        <v>51</v>
      </c>
      <c r="D5" s="8" t="s">
        <v>17</v>
      </c>
      <c r="E5" s="6" t="s">
        <v>23</v>
      </c>
      <c r="F5" s="6" t="s">
        <v>52</v>
      </c>
      <c r="G5" s="6" t="s">
        <v>53</v>
      </c>
      <c r="H5" s="10">
        <v>46296</v>
      </c>
      <c r="I5" s="6" t="s">
        <v>54</v>
      </c>
      <c r="J5" s="6" t="s">
        <v>55</v>
      </c>
      <c r="K5" s="6" t="s">
        <v>55</v>
      </c>
      <c r="L5" s="6" t="s">
        <v>56</v>
      </c>
      <c r="M5" s="6" t="s">
        <v>57</v>
      </c>
    </row>
    <row r="6" spans="1:13" ht="13" x14ac:dyDescent="0.15">
      <c r="A6" s="5" t="str">
        <f>HYPERLINK("https://onemount.atlassian.net/browse/DBA-5925","DBA-5925")</f>
        <v>DBA-5925</v>
      </c>
      <c r="B6" s="6" t="s">
        <v>21</v>
      </c>
      <c r="C6" s="6" t="s">
        <v>60</v>
      </c>
      <c r="D6" s="8" t="s">
        <v>17</v>
      </c>
      <c r="E6" s="6" t="s">
        <v>23</v>
      </c>
      <c r="F6" s="6" t="s">
        <v>52</v>
      </c>
      <c r="G6" s="6" t="s">
        <v>62</v>
      </c>
      <c r="H6" s="10">
        <v>46295</v>
      </c>
      <c r="I6" s="6" t="s">
        <v>63</v>
      </c>
      <c r="J6" s="6" t="s">
        <v>64</v>
      </c>
      <c r="K6" s="6" t="s">
        <v>55</v>
      </c>
      <c r="L6" s="6" t="s">
        <v>56</v>
      </c>
      <c r="M6" s="6" t="s">
        <v>66</v>
      </c>
    </row>
    <row r="7" spans="1:13" ht="13" x14ac:dyDescent="0.15">
      <c r="A7" s="5" t="str">
        <f>HYPERLINK("https://onemount.atlassian.net/browse/DBA-5924","DBA-5924")</f>
        <v>DBA-5924</v>
      </c>
      <c r="B7" s="6" t="s">
        <v>21</v>
      </c>
      <c r="C7" s="6" t="s">
        <v>68</v>
      </c>
      <c r="D7" s="8" t="s">
        <v>17</v>
      </c>
      <c r="E7" s="6" t="s">
        <v>23</v>
      </c>
      <c r="F7" s="6" t="s">
        <v>52</v>
      </c>
      <c r="G7" s="6" t="s">
        <v>69</v>
      </c>
      <c r="H7" s="10">
        <v>46296</v>
      </c>
      <c r="I7" s="6" t="s">
        <v>70</v>
      </c>
      <c r="J7" s="6" t="s">
        <v>55</v>
      </c>
      <c r="K7" s="6" t="s">
        <v>55</v>
      </c>
      <c r="L7" s="6" t="s">
        <v>71</v>
      </c>
      <c r="M7" s="6" t="s">
        <v>73</v>
      </c>
    </row>
    <row r="8" spans="1:13" ht="13" x14ac:dyDescent="0.15">
      <c r="A8" s="5" t="str">
        <f>HYPERLINK("https://onemount.atlassian.net/browse/DBA-5923","DBA-5923")</f>
        <v>DBA-5923</v>
      </c>
      <c r="B8" s="6" t="s">
        <v>21</v>
      </c>
      <c r="C8" s="6" t="s">
        <v>74</v>
      </c>
      <c r="D8" s="8" t="s">
        <v>17</v>
      </c>
      <c r="E8" s="6" t="s">
        <v>23</v>
      </c>
      <c r="F8" s="6" t="s">
        <v>24</v>
      </c>
      <c r="G8" s="6" t="s">
        <v>75</v>
      </c>
      <c r="H8" s="10">
        <v>46295</v>
      </c>
      <c r="I8" s="6" t="s">
        <v>76</v>
      </c>
      <c r="J8" s="6" t="s">
        <v>77</v>
      </c>
      <c r="K8" s="6" t="s">
        <v>46</v>
      </c>
      <c r="L8" s="6" t="s">
        <v>77</v>
      </c>
      <c r="M8" s="6" t="s">
        <v>80</v>
      </c>
    </row>
    <row r="9" spans="1:13" ht="13" x14ac:dyDescent="0.15">
      <c r="A9" s="5" t="str">
        <f>HYPERLINK("https://onemount.atlassian.net/browse/DBA-5922","DBA-5922")</f>
        <v>DBA-5922</v>
      </c>
      <c r="B9" s="6" t="s">
        <v>21</v>
      </c>
      <c r="C9" s="6" t="s">
        <v>82</v>
      </c>
      <c r="D9" s="8" t="s">
        <v>17</v>
      </c>
      <c r="E9" s="6" t="s">
        <v>23</v>
      </c>
      <c r="F9" s="6" t="s">
        <v>52</v>
      </c>
      <c r="G9" s="6" t="s">
        <v>83</v>
      </c>
      <c r="H9" s="10">
        <v>46296</v>
      </c>
      <c r="I9" s="6" t="s">
        <v>84</v>
      </c>
      <c r="J9" s="6" t="s">
        <v>85</v>
      </c>
      <c r="K9" s="6" t="s">
        <v>55</v>
      </c>
      <c r="L9" s="6" t="s">
        <v>85</v>
      </c>
      <c r="M9" s="6" t="s">
        <v>86</v>
      </c>
    </row>
    <row r="10" spans="1:13" ht="13" x14ac:dyDescent="0.15">
      <c r="A10" s="5" t="str">
        <f>HYPERLINK("https://onemount.atlassian.net/browse/DBA-5921","DBA-5921")</f>
        <v>DBA-5921</v>
      </c>
      <c r="B10" s="6" t="s">
        <v>21</v>
      </c>
      <c r="C10" s="6" t="s">
        <v>90</v>
      </c>
      <c r="D10" s="8" t="s">
        <v>17</v>
      </c>
      <c r="E10" s="6" t="s">
        <v>23</v>
      </c>
      <c r="F10" s="6" t="s">
        <v>52</v>
      </c>
      <c r="G10" s="6" t="s">
        <v>91</v>
      </c>
      <c r="H10" s="10">
        <v>46295</v>
      </c>
      <c r="I10" s="6" t="s">
        <v>92</v>
      </c>
      <c r="J10" s="6" t="s">
        <v>93</v>
      </c>
      <c r="K10" s="6" t="s">
        <v>55</v>
      </c>
      <c r="L10" s="6" t="s">
        <v>93</v>
      </c>
      <c r="M10" s="6" t="s">
        <v>95</v>
      </c>
    </row>
    <row r="11" spans="1:13" ht="13" x14ac:dyDescent="0.15">
      <c r="A11" s="5" t="str">
        <f>HYPERLINK("https://onemount.atlassian.net/browse/DBA-5920","DBA-5920")</f>
        <v>DBA-5920</v>
      </c>
      <c r="B11" s="6" t="s">
        <v>21</v>
      </c>
      <c r="C11" s="6" t="s">
        <v>97</v>
      </c>
      <c r="D11" s="8" t="s">
        <v>17</v>
      </c>
      <c r="E11" s="6" t="s">
        <v>23</v>
      </c>
      <c r="F11" s="6" t="s">
        <v>52</v>
      </c>
      <c r="G11" s="6" t="s">
        <v>98</v>
      </c>
      <c r="H11" s="10">
        <v>46295</v>
      </c>
      <c r="I11" s="6" t="s">
        <v>100</v>
      </c>
      <c r="J11" s="6" t="s">
        <v>56</v>
      </c>
      <c r="K11" s="6" t="s">
        <v>55</v>
      </c>
      <c r="L11" s="6" t="s">
        <v>56</v>
      </c>
      <c r="M11" s="6" t="s">
        <v>102</v>
      </c>
    </row>
    <row r="12" spans="1:13" ht="13" x14ac:dyDescent="0.15">
      <c r="A12" s="5" t="str">
        <f>HYPERLINK("https://onemount.atlassian.net/browse/DBA-5919","DBA-5919")</f>
        <v>DBA-5919</v>
      </c>
      <c r="B12" s="6" t="s">
        <v>21</v>
      </c>
      <c r="C12" s="6" t="s">
        <v>105</v>
      </c>
      <c r="D12" s="8" t="s">
        <v>17</v>
      </c>
      <c r="E12" s="6" t="s">
        <v>23</v>
      </c>
      <c r="F12" s="6" t="s">
        <v>41</v>
      </c>
      <c r="G12" s="6" t="s">
        <v>106</v>
      </c>
      <c r="H12" s="10">
        <v>46297</v>
      </c>
      <c r="I12" s="6" t="s">
        <v>107</v>
      </c>
      <c r="J12" s="6" t="s">
        <v>67</v>
      </c>
      <c r="K12" s="6" t="s">
        <v>59</v>
      </c>
      <c r="L12" s="6" t="s">
        <v>67</v>
      </c>
      <c r="M12" s="6" t="s">
        <v>108</v>
      </c>
    </row>
    <row r="13" spans="1:13" ht="13" x14ac:dyDescent="0.15">
      <c r="A13" s="5" t="str">
        <f>HYPERLINK("https://onemount.atlassian.net/browse/DBA-5918","DBA-5918")</f>
        <v>DBA-5918</v>
      </c>
      <c r="B13" s="6" t="s">
        <v>21</v>
      </c>
      <c r="C13" s="6" t="s">
        <v>110</v>
      </c>
      <c r="D13" s="8" t="s">
        <v>17</v>
      </c>
      <c r="E13" s="6" t="s">
        <v>23</v>
      </c>
      <c r="F13" s="6" t="s">
        <v>52</v>
      </c>
      <c r="G13" s="6" t="s">
        <v>111</v>
      </c>
      <c r="H13" s="10">
        <v>46295</v>
      </c>
      <c r="I13" s="6" t="s">
        <v>113</v>
      </c>
      <c r="J13" s="6" t="s">
        <v>93</v>
      </c>
      <c r="K13" s="6" t="s">
        <v>55</v>
      </c>
      <c r="L13" s="6" t="s">
        <v>93</v>
      </c>
      <c r="M13" s="6" t="s">
        <v>114</v>
      </c>
    </row>
    <row r="14" spans="1:13" ht="13" x14ac:dyDescent="0.15">
      <c r="A14" s="5" t="str">
        <f>HYPERLINK("https://onemount.atlassian.net/browse/DBA-5917","DBA-5917")</f>
        <v>DBA-5917</v>
      </c>
      <c r="B14" s="6" t="s">
        <v>21</v>
      </c>
      <c r="C14" s="6" t="s">
        <v>115</v>
      </c>
      <c r="D14" s="8" t="s">
        <v>17</v>
      </c>
      <c r="E14" s="6" t="s">
        <v>23</v>
      </c>
      <c r="F14" s="6" t="s">
        <v>31</v>
      </c>
      <c r="G14" s="6" t="s">
        <v>116</v>
      </c>
      <c r="H14" s="10">
        <v>46296</v>
      </c>
      <c r="I14" s="6" t="s">
        <v>117</v>
      </c>
      <c r="J14" s="6" t="s">
        <v>118</v>
      </c>
      <c r="K14" s="6" t="s">
        <v>35</v>
      </c>
      <c r="L14" s="6" t="s">
        <v>119</v>
      </c>
      <c r="M14" s="6" t="s">
        <v>123</v>
      </c>
    </row>
    <row r="15" spans="1:13" ht="13" x14ac:dyDescent="0.15">
      <c r="A15" s="5" t="str">
        <f>HYPERLINK("https://onemount.atlassian.net/browse/DBA-5916","DBA-5916")</f>
        <v>DBA-5916</v>
      </c>
      <c r="B15" s="6" t="s">
        <v>21</v>
      </c>
      <c r="C15" s="6" t="s">
        <v>125</v>
      </c>
      <c r="D15" s="14" t="s">
        <v>19</v>
      </c>
      <c r="E15" s="6" t="s">
        <v>23</v>
      </c>
      <c r="F15" s="6" t="s">
        <v>31</v>
      </c>
      <c r="G15" s="6" t="s">
        <v>126</v>
      </c>
      <c r="H15" s="6" t="s">
        <v>43</v>
      </c>
      <c r="I15" s="6" t="s">
        <v>44</v>
      </c>
      <c r="J15" s="6" t="s">
        <v>128</v>
      </c>
      <c r="K15" s="6" t="s">
        <v>35</v>
      </c>
      <c r="L15" s="6" t="s">
        <v>129</v>
      </c>
      <c r="M15" s="6" t="s">
        <v>131</v>
      </c>
    </row>
    <row r="16" spans="1:13" ht="13" x14ac:dyDescent="0.15">
      <c r="A16" s="5" t="str">
        <f>HYPERLINK("https://onemount.atlassian.net/browse/DBA-5915","DBA-5915")</f>
        <v>DBA-5915</v>
      </c>
      <c r="B16" s="6" t="s">
        <v>21</v>
      </c>
      <c r="C16" s="6" t="s">
        <v>134</v>
      </c>
      <c r="D16" s="14" t="s">
        <v>19</v>
      </c>
      <c r="E16" s="6" t="s">
        <v>23</v>
      </c>
      <c r="F16" s="6" t="s">
        <v>41</v>
      </c>
      <c r="G16" s="6" t="s">
        <v>135</v>
      </c>
      <c r="H16" s="10">
        <v>46295</v>
      </c>
      <c r="I16" s="6" t="s">
        <v>44</v>
      </c>
      <c r="J16" s="6" t="s">
        <v>136</v>
      </c>
      <c r="K16" s="6" t="s">
        <v>137</v>
      </c>
      <c r="L16" s="6" t="s">
        <v>136</v>
      </c>
      <c r="M16" s="6" t="s">
        <v>138</v>
      </c>
    </row>
    <row r="17" spans="1:13" ht="13" x14ac:dyDescent="0.15">
      <c r="A17" s="5" t="str">
        <f>HYPERLINK("https://onemount.atlassian.net/browse/DBA-5914","DBA-5914")</f>
        <v>DBA-5914</v>
      </c>
      <c r="B17" s="6" t="s">
        <v>21</v>
      </c>
      <c r="C17" s="6" t="s">
        <v>141</v>
      </c>
      <c r="D17" s="8" t="s">
        <v>17</v>
      </c>
      <c r="E17" s="6" t="s">
        <v>23</v>
      </c>
      <c r="F17" s="6" t="s">
        <v>24</v>
      </c>
      <c r="G17" s="6" t="s">
        <v>142</v>
      </c>
      <c r="H17" s="10">
        <v>46295</v>
      </c>
      <c r="I17" s="6" t="s">
        <v>143</v>
      </c>
      <c r="J17" s="6" t="s">
        <v>144</v>
      </c>
      <c r="K17" s="6" t="s">
        <v>72</v>
      </c>
      <c r="L17" s="6" t="s">
        <v>145</v>
      </c>
      <c r="M17" s="6" t="s">
        <v>150</v>
      </c>
    </row>
    <row r="18" spans="1:13" ht="13" x14ac:dyDescent="0.15">
      <c r="A18" s="5" t="str">
        <f>HYPERLINK("https://onemount.atlassian.net/browse/DBA-5913","DBA-5913")</f>
        <v>DBA-5913</v>
      </c>
      <c r="B18" s="6" t="s">
        <v>21</v>
      </c>
      <c r="C18" s="6" t="s">
        <v>153</v>
      </c>
      <c r="D18" s="8" t="s">
        <v>17</v>
      </c>
      <c r="E18" s="6" t="s">
        <v>23</v>
      </c>
      <c r="F18" s="6" t="s">
        <v>24</v>
      </c>
      <c r="G18" s="6" t="s">
        <v>154</v>
      </c>
      <c r="H18" s="10">
        <v>46296</v>
      </c>
      <c r="I18" s="6" t="s">
        <v>155</v>
      </c>
      <c r="J18" s="6" t="s">
        <v>156</v>
      </c>
      <c r="K18" s="6" t="s">
        <v>46</v>
      </c>
      <c r="L18" s="6" t="s">
        <v>156</v>
      </c>
      <c r="M18" s="6" t="s">
        <v>159</v>
      </c>
    </row>
    <row r="19" spans="1:13" ht="13" x14ac:dyDescent="0.15">
      <c r="A19" s="5" t="str">
        <f>HYPERLINK("https://onemount.atlassian.net/browse/DBA-5912","DBA-5912")</f>
        <v>DBA-5912</v>
      </c>
      <c r="B19" s="6" t="s">
        <v>21</v>
      </c>
      <c r="C19" s="6" t="s">
        <v>162</v>
      </c>
      <c r="D19" s="14" t="s">
        <v>19</v>
      </c>
      <c r="E19" s="6" t="s">
        <v>23</v>
      </c>
      <c r="F19" s="6" t="s">
        <v>24</v>
      </c>
      <c r="G19" s="6" t="s">
        <v>163</v>
      </c>
      <c r="H19" s="6" t="s">
        <v>43</v>
      </c>
      <c r="I19" s="6" t="s">
        <v>44</v>
      </c>
      <c r="J19" s="6" t="s">
        <v>164</v>
      </c>
      <c r="K19" s="6" t="s">
        <v>46</v>
      </c>
      <c r="L19" s="6" t="s">
        <v>164</v>
      </c>
      <c r="M19" s="6" t="s">
        <v>171</v>
      </c>
    </row>
    <row r="20" spans="1:13" ht="13" x14ac:dyDescent="0.15">
      <c r="A20" s="5" t="str">
        <f>HYPERLINK("https://onemount.atlassian.net/browse/DBA-5911","DBA-5911")</f>
        <v>DBA-5911</v>
      </c>
      <c r="B20" s="6" t="s">
        <v>21</v>
      </c>
      <c r="C20" s="6" t="s">
        <v>173</v>
      </c>
      <c r="D20" s="8" t="s">
        <v>17</v>
      </c>
      <c r="E20" s="6" t="s">
        <v>23</v>
      </c>
      <c r="F20" s="6" t="s">
        <v>52</v>
      </c>
      <c r="G20" s="6" t="s">
        <v>174</v>
      </c>
      <c r="H20" s="10">
        <v>46296</v>
      </c>
      <c r="I20" s="6" t="s">
        <v>175</v>
      </c>
      <c r="J20" s="6" t="s">
        <v>55</v>
      </c>
      <c r="K20" s="6" t="s">
        <v>55</v>
      </c>
      <c r="L20" s="6" t="s">
        <v>56</v>
      </c>
      <c r="M20" s="6" t="s">
        <v>176</v>
      </c>
    </row>
    <row r="21" spans="1:13" ht="13" x14ac:dyDescent="0.15">
      <c r="A21" s="5" t="str">
        <f>HYPERLINK("https://onemount.atlassian.net/browse/DBA-5910","DBA-5910")</f>
        <v>DBA-5910</v>
      </c>
      <c r="B21" s="6" t="s">
        <v>21</v>
      </c>
      <c r="C21" s="6" t="s">
        <v>178</v>
      </c>
      <c r="D21" s="8" t="s">
        <v>17</v>
      </c>
      <c r="E21" s="6" t="s">
        <v>23</v>
      </c>
      <c r="F21" s="6" t="s">
        <v>52</v>
      </c>
      <c r="G21" s="6" t="s">
        <v>179</v>
      </c>
      <c r="H21" s="10">
        <v>46295</v>
      </c>
      <c r="I21" s="6" t="s">
        <v>180</v>
      </c>
      <c r="J21" s="6" t="s">
        <v>181</v>
      </c>
      <c r="K21" s="6" t="s">
        <v>35</v>
      </c>
      <c r="L21" s="6" t="s">
        <v>36</v>
      </c>
      <c r="M21" s="6" t="s">
        <v>186</v>
      </c>
    </row>
    <row r="22" spans="1:13" ht="13" x14ac:dyDescent="0.15">
      <c r="A22" s="5" t="str">
        <f>HYPERLINK("https://onemount.atlassian.net/browse/DBA-5909","DBA-5909")</f>
        <v>DBA-5909</v>
      </c>
      <c r="B22" s="6" t="s">
        <v>21</v>
      </c>
      <c r="C22" s="6" t="s">
        <v>189</v>
      </c>
      <c r="D22" s="8" t="s">
        <v>17</v>
      </c>
      <c r="E22" s="6" t="s">
        <v>23</v>
      </c>
      <c r="F22" s="6" t="s">
        <v>52</v>
      </c>
      <c r="G22" s="6" t="s">
        <v>191</v>
      </c>
      <c r="H22" s="10">
        <v>46295</v>
      </c>
      <c r="I22" s="6" t="s">
        <v>192</v>
      </c>
      <c r="J22" s="6" t="s">
        <v>93</v>
      </c>
      <c r="K22" s="6" t="s">
        <v>55</v>
      </c>
      <c r="L22" s="6" t="s">
        <v>93</v>
      </c>
      <c r="M22" s="6" t="s">
        <v>193</v>
      </c>
    </row>
    <row r="23" spans="1:13" ht="13" x14ac:dyDescent="0.15">
      <c r="A23" s="5" t="str">
        <f>HYPERLINK("https://onemount.atlassian.net/browse/DBA-5908","DBA-5908")</f>
        <v>DBA-5908</v>
      </c>
      <c r="B23" s="6" t="s">
        <v>21</v>
      </c>
      <c r="C23" s="6" t="s">
        <v>22</v>
      </c>
      <c r="D23" s="8" t="s">
        <v>17</v>
      </c>
      <c r="E23" s="6" t="s">
        <v>23</v>
      </c>
      <c r="F23" s="6" t="s">
        <v>24</v>
      </c>
      <c r="G23" s="6" t="s">
        <v>196</v>
      </c>
      <c r="H23" s="10">
        <v>46295</v>
      </c>
      <c r="I23" s="6" t="s">
        <v>197</v>
      </c>
      <c r="J23" s="6" t="s">
        <v>27</v>
      </c>
      <c r="K23" s="6" t="s">
        <v>28</v>
      </c>
      <c r="L23" s="6" t="s">
        <v>199</v>
      </c>
      <c r="M23" s="6" t="s">
        <v>200</v>
      </c>
    </row>
    <row r="24" spans="1:13" ht="13" x14ac:dyDescent="0.15">
      <c r="A24" s="5" t="str">
        <f>HYPERLINK("https://onemount.atlassian.net/browse/DBA-5907","DBA-5907")</f>
        <v>DBA-5907</v>
      </c>
      <c r="B24" s="6" t="s">
        <v>21</v>
      </c>
      <c r="C24" s="6" t="s">
        <v>203</v>
      </c>
      <c r="D24" s="8" t="s">
        <v>17</v>
      </c>
      <c r="E24" s="6" t="s">
        <v>23</v>
      </c>
      <c r="F24" s="6" t="s">
        <v>41</v>
      </c>
      <c r="G24" s="6" t="s">
        <v>204</v>
      </c>
      <c r="H24" s="10">
        <v>46296</v>
      </c>
      <c r="I24" s="6" t="s">
        <v>205</v>
      </c>
      <c r="J24" s="6" t="s">
        <v>206</v>
      </c>
      <c r="K24" s="6" t="s">
        <v>28</v>
      </c>
      <c r="L24" s="6" t="s">
        <v>206</v>
      </c>
      <c r="M24" s="6" t="s">
        <v>207</v>
      </c>
    </row>
    <row r="25" spans="1:13" ht="13" x14ac:dyDescent="0.15">
      <c r="A25" s="5" t="str">
        <f>HYPERLINK("https://onemount.atlassian.net/browse/DBA-5906","DBA-5906")</f>
        <v>DBA-5906</v>
      </c>
      <c r="B25" s="6" t="s">
        <v>21</v>
      </c>
      <c r="C25" s="6" t="s">
        <v>210</v>
      </c>
      <c r="D25" s="8" t="s">
        <v>17</v>
      </c>
      <c r="E25" s="6" t="s">
        <v>23</v>
      </c>
      <c r="F25" s="6" t="s">
        <v>24</v>
      </c>
      <c r="G25" s="6" t="s">
        <v>211</v>
      </c>
      <c r="H25" s="10">
        <v>46295</v>
      </c>
      <c r="I25" s="6" t="s">
        <v>212</v>
      </c>
      <c r="J25" s="6" t="s">
        <v>46</v>
      </c>
      <c r="K25" s="6" t="s">
        <v>46</v>
      </c>
      <c r="L25" s="6" t="s">
        <v>214</v>
      </c>
      <c r="M25" s="6" t="s">
        <v>215</v>
      </c>
    </row>
    <row r="26" spans="1:13" ht="13" x14ac:dyDescent="0.15">
      <c r="A26" s="5" t="str">
        <f>HYPERLINK("https://onemount.atlassian.net/browse/DBA-5905","DBA-5905")</f>
        <v>DBA-5905</v>
      </c>
      <c r="B26" s="6" t="s">
        <v>21</v>
      </c>
      <c r="C26" s="6" t="s">
        <v>218</v>
      </c>
      <c r="D26" s="8" t="s">
        <v>17</v>
      </c>
      <c r="E26" s="6" t="s">
        <v>23</v>
      </c>
      <c r="F26" s="6" t="s">
        <v>52</v>
      </c>
      <c r="G26" s="6" t="s">
        <v>219</v>
      </c>
      <c r="H26" s="10">
        <v>46294</v>
      </c>
      <c r="I26" s="6" t="s">
        <v>220</v>
      </c>
      <c r="J26" s="6" t="s">
        <v>221</v>
      </c>
      <c r="K26" s="6" t="s">
        <v>137</v>
      </c>
      <c r="L26" s="6" t="s">
        <v>222</v>
      </c>
      <c r="M26" s="6" t="s">
        <v>223</v>
      </c>
    </row>
    <row r="27" spans="1:13" ht="13" x14ac:dyDescent="0.15">
      <c r="A27" s="5" t="str">
        <f>HYPERLINK("https://onemount.atlassian.net/browse/DBA-5904","DBA-5904")</f>
        <v>DBA-5904</v>
      </c>
      <c r="B27" s="6" t="s">
        <v>21</v>
      </c>
      <c r="C27" s="6" t="s">
        <v>226</v>
      </c>
      <c r="D27" s="8" t="s">
        <v>17</v>
      </c>
      <c r="E27" s="6" t="s">
        <v>23</v>
      </c>
      <c r="F27" s="6" t="s">
        <v>24</v>
      </c>
      <c r="G27" s="6" t="s">
        <v>227</v>
      </c>
      <c r="H27" s="10">
        <v>46294</v>
      </c>
      <c r="I27" s="6" t="s">
        <v>228</v>
      </c>
      <c r="J27" s="6" t="s">
        <v>206</v>
      </c>
      <c r="K27" s="6" t="s">
        <v>28</v>
      </c>
      <c r="L27" s="6" t="s">
        <v>206</v>
      </c>
      <c r="M27" s="6" t="s">
        <v>229</v>
      </c>
    </row>
    <row r="28" spans="1:13" ht="13" x14ac:dyDescent="0.15">
      <c r="A28" s="5" t="str">
        <f>HYPERLINK("https://onemount.atlassian.net/browse/DBA-5903","DBA-5903")</f>
        <v>DBA-5903</v>
      </c>
      <c r="B28" s="6" t="s">
        <v>21</v>
      </c>
      <c r="C28" s="6" t="s">
        <v>231</v>
      </c>
      <c r="D28" s="8" t="s">
        <v>17</v>
      </c>
      <c r="E28" s="6" t="s">
        <v>23</v>
      </c>
      <c r="F28" s="6" t="s">
        <v>31</v>
      </c>
      <c r="G28" s="6" t="s">
        <v>232</v>
      </c>
      <c r="H28" s="10">
        <v>46295</v>
      </c>
      <c r="I28" s="6" t="s">
        <v>234</v>
      </c>
      <c r="J28" s="6" t="s">
        <v>128</v>
      </c>
      <c r="K28" s="6" t="s">
        <v>35</v>
      </c>
      <c r="L28" s="6" t="s">
        <v>129</v>
      </c>
      <c r="M28" s="6" t="s">
        <v>236</v>
      </c>
    </row>
    <row r="29" spans="1:13" ht="13" x14ac:dyDescent="0.15">
      <c r="A29" s="5" t="str">
        <f>HYPERLINK("https://onemount.atlassian.net/browse/DBA-5902","DBA-5902")</f>
        <v>DBA-5902</v>
      </c>
      <c r="B29" s="6" t="s">
        <v>21</v>
      </c>
      <c r="C29" s="6" t="s">
        <v>237</v>
      </c>
      <c r="D29" s="8" t="s">
        <v>17</v>
      </c>
      <c r="E29" s="6" t="s">
        <v>23</v>
      </c>
      <c r="F29" s="6" t="s">
        <v>52</v>
      </c>
      <c r="G29" s="6" t="s">
        <v>239</v>
      </c>
      <c r="H29" s="10">
        <v>46294</v>
      </c>
      <c r="I29" s="6" t="s">
        <v>240</v>
      </c>
      <c r="J29" s="6" t="s">
        <v>93</v>
      </c>
      <c r="K29" s="6" t="s">
        <v>55</v>
      </c>
      <c r="L29" s="6" t="s">
        <v>93</v>
      </c>
      <c r="M29" s="6" t="s">
        <v>241</v>
      </c>
    </row>
    <row r="30" spans="1:13" ht="13" x14ac:dyDescent="0.15">
      <c r="A30" s="5" t="str">
        <f>HYPERLINK("https://onemount.atlassian.net/browse/DBA-5901","DBA-5901")</f>
        <v>DBA-5901</v>
      </c>
      <c r="B30" s="6" t="s">
        <v>21</v>
      </c>
      <c r="C30" s="6" t="s">
        <v>243</v>
      </c>
      <c r="D30" s="8" t="s">
        <v>17</v>
      </c>
      <c r="E30" s="6" t="s">
        <v>23</v>
      </c>
      <c r="F30" s="6" t="s">
        <v>31</v>
      </c>
      <c r="G30" s="6" t="s">
        <v>244</v>
      </c>
      <c r="H30" s="10">
        <v>46294</v>
      </c>
      <c r="I30" s="6" t="s">
        <v>245</v>
      </c>
      <c r="J30" s="6" t="s">
        <v>246</v>
      </c>
      <c r="K30" s="6" t="s">
        <v>35</v>
      </c>
      <c r="L30" s="6" t="s">
        <v>36</v>
      </c>
      <c r="M30" s="6" t="s">
        <v>248</v>
      </c>
    </row>
    <row r="31" spans="1:13" ht="13" x14ac:dyDescent="0.15">
      <c r="A31" s="5" t="str">
        <f>HYPERLINK("https://onemount.atlassian.net/browse/DBA-5900","DBA-5900")</f>
        <v>DBA-5900</v>
      </c>
      <c r="B31" s="6" t="s">
        <v>21</v>
      </c>
      <c r="C31" s="6" t="s">
        <v>250</v>
      </c>
      <c r="D31" s="8" t="s">
        <v>17</v>
      </c>
      <c r="E31" s="6" t="s">
        <v>23</v>
      </c>
      <c r="F31" s="6" t="s">
        <v>52</v>
      </c>
      <c r="G31" s="6" t="s">
        <v>251</v>
      </c>
      <c r="H31" s="10">
        <v>46294</v>
      </c>
      <c r="I31" s="6" t="s">
        <v>253</v>
      </c>
      <c r="J31" s="6" t="s">
        <v>254</v>
      </c>
      <c r="K31" s="6" t="s">
        <v>55</v>
      </c>
      <c r="L31" s="6" t="s">
        <v>254</v>
      </c>
      <c r="M31" s="6" t="s">
        <v>256</v>
      </c>
    </row>
    <row r="32" spans="1:13" ht="13" x14ac:dyDescent="0.15">
      <c r="A32" s="5" t="str">
        <f>HYPERLINK("https://onemount.atlassian.net/browse/DBA-5899","DBA-5899")</f>
        <v>DBA-5899</v>
      </c>
      <c r="B32" s="6" t="s">
        <v>21</v>
      </c>
      <c r="C32" s="6" t="s">
        <v>258</v>
      </c>
      <c r="D32" s="8" t="s">
        <v>17</v>
      </c>
      <c r="E32" s="6" t="s">
        <v>23</v>
      </c>
      <c r="F32" s="6" t="s">
        <v>24</v>
      </c>
      <c r="G32" s="6" t="s">
        <v>259</v>
      </c>
      <c r="H32" s="10">
        <v>46294</v>
      </c>
      <c r="I32" s="6" t="s">
        <v>260</v>
      </c>
      <c r="J32" s="6" t="s">
        <v>46</v>
      </c>
      <c r="K32" s="6" t="s">
        <v>46</v>
      </c>
      <c r="L32" s="6" t="s">
        <v>214</v>
      </c>
      <c r="M32" s="6" t="s">
        <v>261</v>
      </c>
    </row>
    <row r="33" spans="1:13" ht="13" x14ac:dyDescent="0.15">
      <c r="A33" s="5" t="str">
        <f>HYPERLINK("https://onemount.atlassian.net/browse/DBA-5898","DBA-5898")</f>
        <v>DBA-5898</v>
      </c>
      <c r="B33" s="6" t="s">
        <v>21</v>
      </c>
      <c r="C33" s="6" t="s">
        <v>262</v>
      </c>
      <c r="D33" s="8" t="s">
        <v>17</v>
      </c>
      <c r="E33" s="6" t="s">
        <v>23</v>
      </c>
      <c r="F33" s="6" t="s">
        <v>24</v>
      </c>
      <c r="G33" s="6" t="s">
        <v>263</v>
      </c>
      <c r="H33" s="10">
        <v>46295</v>
      </c>
      <c r="I33" s="6" t="s">
        <v>264</v>
      </c>
      <c r="J33" s="6" t="s">
        <v>144</v>
      </c>
      <c r="K33" s="6" t="s">
        <v>72</v>
      </c>
      <c r="L33" s="6" t="s">
        <v>145</v>
      </c>
      <c r="M33" s="6" t="s">
        <v>265</v>
      </c>
    </row>
    <row r="34" spans="1:13" ht="13" x14ac:dyDescent="0.15">
      <c r="A34" s="5" t="str">
        <f>HYPERLINK("https://onemount.atlassian.net/browse/DBA-5897","DBA-5897")</f>
        <v>DBA-5897</v>
      </c>
      <c r="B34" s="6" t="s">
        <v>21</v>
      </c>
      <c r="C34" s="6" t="s">
        <v>266</v>
      </c>
      <c r="D34" s="8" t="s">
        <v>17</v>
      </c>
      <c r="E34" s="6" t="s">
        <v>23</v>
      </c>
      <c r="F34" s="6" t="s">
        <v>52</v>
      </c>
      <c r="G34" s="6" t="s">
        <v>267</v>
      </c>
      <c r="H34" s="10">
        <v>46294</v>
      </c>
      <c r="I34" s="6" t="s">
        <v>268</v>
      </c>
      <c r="J34" s="6" t="s">
        <v>269</v>
      </c>
      <c r="K34" s="6" t="s">
        <v>55</v>
      </c>
      <c r="L34" s="6" t="s">
        <v>270</v>
      </c>
      <c r="M34" s="6" t="s">
        <v>271</v>
      </c>
    </row>
    <row r="35" spans="1:13" ht="13" x14ac:dyDescent="0.15">
      <c r="A35" s="5" t="str">
        <f>HYPERLINK("https://onemount.atlassian.net/browse/DBA-5896","DBA-5896")</f>
        <v>DBA-5896</v>
      </c>
      <c r="B35" s="6" t="s">
        <v>21</v>
      </c>
      <c r="C35" s="6" t="s">
        <v>273</v>
      </c>
      <c r="D35" s="8" t="s">
        <v>17</v>
      </c>
      <c r="E35" s="6" t="s">
        <v>23</v>
      </c>
      <c r="F35" s="6" t="s">
        <v>31</v>
      </c>
      <c r="G35" s="6" t="s">
        <v>274</v>
      </c>
      <c r="H35" s="10">
        <v>46295</v>
      </c>
      <c r="I35" s="6" t="s">
        <v>275</v>
      </c>
      <c r="J35" s="6" t="s">
        <v>181</v>
      </c>
      <c r="K35" s="6" t="s">
        <v>35</v>
      </c>
      <c r="L35" s="6" t="s">
        <v>276</v>
      </c>
      <c r="M35" s="6" t="s">
        <v>277</v>
      </c>
    </row>
    <row r="36" spans="1:13" ht="13" x14ac:dyDescent="0.15">
      <c r="A36" s="5" t="str">
        <f>HYPERLINK("https://onemount.atlassian.net/browse/DBA-5895","DBA-5895")</f>
        <v>DBA-5895</v>
      </c>
      <c r="B36" s="6" t="s">
        <v>21</v>
      </c>
      <c r="C36" s="6" t="s">
        <v>280</v>
      </c>
      <c r="D36" s="8" t="s">
        <v>17</v>
      </c>
      <c r="E36" s="6" t="s">
        <v>23</v>
      </c>
      <c r="F36" s="6" t="s">
        <v>24</v>
      </c>
      <c r="G36" s="6" t="s">
        <v>281</v>
      </c>
      <c r="H36" s="10">
        <v>46294</v>
      </c>
      <c r="I36" s="6" t="s">
        <v>282</v>
      </c>
      <c r="J36" s="6" t="s">
        <v>144</v>
      </c>
      <c r="K36" s="6" t="s">
        <v>72</v>
      </c>
      <c r="L36" s="6" t="s">
        <v>145</v>
      </c>
      <c r="M36" s="6" t="s">
        <v>287</v>
      </c>
    </row>
    <row r="37" spans="1:13" ht="13" x14ac:dyDescent="0.15">
      <c r="A37" s="5" t="str">
        <f>HYPERLINK("https://onemount.atlassian.net/browse/DBA-5894","DBA-5894")</f>
        <v>DBA-5894</v>
      </c>
      <c r="B37" s="6" t="s">
        <v>21</v>
      </c>
      <c r="C37" s="6" t="s">
        <v>289</v>
      </c>
      <c r="D37" s="8" t="s">
        <v>17</v>
      </c>
      <c r="E37" s="6" t="s">
        <v>23</v>
      </c>
      <c r="F37" s="6" t="s">
        <v>52</v>
      </c>
      <c r="G37" s="6" t="s">
        <v>291</v>
      </c>
      <c r="H37" s="10">
        <v>46294</v>
      </c>
      <c r="I37" s="6" t="s">
        <v>292</v>
      </c>
      <c r="J37" s="6" t="s">
        <v>293</v>
      </c>
      <c r="K37" s="6" t="s">
        <v>55</v>
      </c>
      <c r="L37" s="6" t="s">
        <v>293</v>
      </c>
      <c r="M37" s="6" t="s">
        <v>294</v>
      </c>
    </row>
    <row r="38" spans="1:13" ht="13" x14ac:dyDescent="0.15">
      <c r="A38" s="5" t="str">
        <f>HYPERLINK("https://onemount.atlassian.net/browse/DBA-5893","DBA-5893")</f>
        <v>DBA-5893</v>
      </c>
      <c r="B38" s="6" t="s">
        <v>21</v>
      </c>
      <c r="C38" s="6" t="s">
        <v>297</v>
      </c>
      <c r="D38" s="8" t="s">
        <v>17</v>
      </c>
      <c r="E38" s="6" t="s">
        <v>23</v>
      </c>
      <c r="F38" s="6" t="s">
        <v>52</v>
      </c>
      <c r="G38" s="6" t="s">
        <v>298</v>
      </c>
      <c r="H38" s="10">
        <v>46293</v>
      </c>
      <c r="I38" s="6" t="s">
        <v>299</v>
      </c>
      <c r="J38" s="6" t="s">
        <v>300</v>
      </c>
      <c r="K38" s="6" t="s">
        <v>137</v>
      </c>
      <c r="L38" s="6" t="s">
        <v>301</v>
      </c>
      <c r="M38" s="6" t="s">
        <v>302</v>
      </c>
    </row>
    <row r="39" spans="1:13" ht="13" x14ac:dyDescent="0.15">
      <c r="A39" s="5" t="str">
        <f>HYPERLINK("https://onemount.atlassian.net/browse/DBA-5892","DBA-5892")</f>
        <v>DBA-5892</v>
      </c>
      <c r="B39" s="6" t="s">
        <v>21</v>
      </c>
      <c r="C39" s="6" t="s">
        <v>305</v>
      </c>
      <c r="D39" s="8" t="s">
        <v>17</v>
      </c>
      <c r="E39" s="6" t="s">
        <v>23</v>
      </c>
      <c r="F39" s="6" t="s">
        <v>52</v>
      </c>
      <c r="G39" s="6" t="s">
        <v>306</v>
      </c>
      <c r="H39" s="10">
        <v>46293</v>
      </c>
      <c r="I39" s="6" t="s">
        <v>307</v>
      </c>
      <c r="J39" s="6" t="s">
        <v>308</v>
      </c>
      <c r="K39" s="6" t="s">
        <v>137</v>
      </c>
      <c r="L39" s="6" t="s">
        <v>301</v>
      </c>
      <c r="M39" s="6" t="s">
        <v>309</v>
      </c>
    </row>
    <row r="40" spans="1:13" ht="13" x14ac:dyDescent="0.15">
      <c r="A40" s="5" t="str">
        <f>HYPERLINK("https://onemount.atlassian.net/browse/DBA-5891","DBA-5891")</f>
        <v>DBA-5891</v>
      </c>
      <c r="B40" s="6" t="s">
        <v>21</v>
      </c>
      <c r="C40" s="6" t="s">
        <v>311</v>
      </c>
      <c r="D40" s="8" t="s">
        <v>17</v>
      </c>
      <c r="E40" s="6" t="s">
        <v>23</v>
      </c>
      <c r="F40" s="6" t="s">
        <v>52</v>
      </c>
      <c r="G40" s="6" t="s">
        <v>312</v>
      </c>
      <c r="H40" s="10">
        <v>46293</v>
      </c>
      <c r="I40" s="6" t="s">
        <v>313</v>
      </c>
      <c r="J40" s="6" t="s">
        <v>314</v>
      </c>
      <c r="K40" s="6" t="s">
        <v>35</v>
      </c>
      <c r="L40" s="6" t="s">
        <v>315</v>
      </c>
      <c r="M40" s="6" t="s">
        <v>318</v>
      </c>
    </row>
    <row r="41" spans="1:13" ht="13" x14ac:dyDescent="0.15">
      <c r="A41" s="5" t="str">
        <f>HYPERLINK("https://onemount.atlassian.net/browse/DBA-5890","DBA-5890")</f>
        <v>DBA-5890</v>
      </c>
      <c r="B41" s="6" t="s">
        <v>21</v>
      </c>
      <c r="C41" s="6" t="s">
        <v>258</v>
      </c>
      <c r="D41" s="8" t="s">
        <v>17</v>
      </c>
      <c r="E41" s="6" t="s">
        <v>23</v>
      </c>
      <c r="F41" s="6" t="s">
        <v>24</v>
      </c>
      <c r="G41" s="6" t="s">
        <v>320</v>
      </c>
      <c r="H41" s="10">
        <v>46293</v>
      </c>
      <c r="I41" s="6" t="s">
        <v>321</v>
      </c>
      <c r="J41" s="6" t="s">
        <v>46</v>
      </c>
      <c r="K41" s="6" t="s">
        <v>46</v>
      </c>
      <c r="L41" s="6" t="s">
        <v>214</v>
      </c>
      <c r="M41" s="6" t="s">
        <v>325</v>
      </c>
    </row>
    <row r="42" spans="1:13" ht="13" x14ac:dyDescent="0.15">
      <c r="A42" s="21" t="str">
        <f>HYPERLINK("https://onemount.atlassian.net/browse/DBA-5889","DBA-5889")</f>
        <v>DBA-5889</v>
      </c>
      <c r="B42" s="6" t="s">
        <v>21</v>
      </c>
      <c r="C42" s="6" t="s">
        <v>329</v>
      </c>
      <c r="D42" s="8" t="s">
        <v>17</v>
      </c>
      <c r="E42" s="6" t="s">
        <v>23</v>
      </c>
      <c r="F42" s="6" t="s">
        <v>24</v>
      </c>
      <c r="G42" s="6" t="s">
        <v>330</v>
      </c>
      <c r="H42" s="10">
        <v>46293</v>
      </c>
      <c r="I42" s="6" t="s">
        <v>331</v>
      </c>
      <c r="J42" s="6" t="s">
        <v>39</v>
      </c>
      <c r="K42" s="6" t="s">
        <v>137</v>
      </c>
      <c r="L42" s="6" t="s">
        <v>77</v>
      </c>
      <c r="M42" s="6" t="s">
        <v>333</v>
      </c>
    </row>
    <row r="43" spans="1:13" ht="13" x14ac:dyDescent="0.15">
      <c r="A43" s="5" t="str">
        <f>HYPERLINK("https://onemount.atlassian.net/browse/DBA-5888","DBA-5888")</f>
        <v>DBA-5888</v>
      </c>
      <c r="B43" s="6" t="s">
        <v>21</v>
      </c>
      <c r="C43" s="6" t="s">
        <v>334</v>
      </c>
      <c r="D43" s="8" t="s">
        <v>17</v>
      </c>
      <c r="E43" s="6" t="s">
        <v>23</v>
      </c>
      <c r="F43" s="6" t="s">
        <v>31</v>
      </c>
      <c r="G43" s="6" t="s">
        <v>336</v>
      </c>
      <c r="H43" s="10">
        <v>46293</v>
      </c>
      <c r="I43" s="6" t="s">
        <v>337</v>
      </c>
      <c r="J43" s="6" t="s">
        <v>338</v>
      </c>
      <c r="K43" s="6" t="s">
        <v>46</v>
      </c>
      <c r="L43" s="6" t="s">
        <v>338</v>
      </c>
      <c r="M43" s="6" t="s">
        <v>340</v>
      </c>
    </row>
    <row r="44" spans="1:13" ht="13" x14ac:dyDescent="0.15">
      <c r="A44" s="5" t="str">
        <f>HYPERLINK("https://onemount.atlassian.net/browse/DBA-5887","DBA-5887")</f>
        <v>DBA-5887</v>
      </c>
      <c r="B44" s="6" t="s">
        <v>21</v>
      </c>
      <c r="C44" s="6" t="s">
        <v>341</v>
      </c>
      <c r="D44" s="8" t="s">
        <v>17</v>
      </c>
      <c r="E44" s="6" t="s">
        <v>23</v>
      </c>
      <c r="F44" s="6" t="s">
        <v>31</v>
      </c>
      <c r="G44" s="6" t="s">
        <v>342</v>
      </c>
      <c r="H44" s="10">
        <v>46294</v>
      </c>
      <c r="I44" s="6" t="s">
        <v>343</v>
      </c>
      <c r="J44" s="6" t="s">
        <v>344</v>
      </c>
      <c r="K44" s="6" t="s">
        <v>46</v>
      </c>
      <c r="L44" s="6" t="s">
        <v>55</v>
      </c>
      <c r="M44" s="6" t="s">
        <v>346</v>
      </c>
    </row>
    <row r="45" spans="1:13" ht="13" x14ac:dyDescent="0.15">
      <c r="A45" s="5" t="str">
        <f>HYPERLINK("https://onemount.atlassian.net/browse/DBA-5886","DBA-5886")</f>
        <v>DBA-5886</v>
      </c>
      <c r="B45" s="6" t="s">
        <v>21</v>
      </c>
      <c r="C45" s="6" t="s">
        <v>258</v>
      </c>
      <c r="D45" s="8" t="s">
        <v>17</v>
      </c>
      <c r="E45" s="6" t="s">
        <v>23</v>
      </c>
      <c r="F45" s="6" t="s">
        <v>24</v>
      </c>
      <c r="G45" s="6" t="s">
        <v>347</v>
      </c>
      <c r="H45" s="10">
        <v>46292</v>
      </c>
      <c r="I45" s="6" t="s">
        <v>348</v>
      </c>
      <c r="J45" s="6" t="s">
        <v>46</v>
      </c>
      <c r="K45" s="6" t="s">
        <v>46</v>
      </c>
      <c r="L45" s="6" t="s">
        <v>214</v>
      </c>
      <c r="M45" s="6" t="s">
        <v>352</v>
      </c>
    </row>
    <row r="46" spans="1:13" ht="13" x14ac:dyDescent="0.15">
      <c r="A46" s="5" t="str">
        <f>HYPERLINK("https://onemount.atlassian.net/browse/DBA-5885","DBA-5885")</f>
        <v>DBA-5885</v>
      </c>
      <c r="B46" s="6" t="s">
        <v>21</v>
      </c>
      <c r="C46" s="6" t="s">
        <v>355</v>
      </c>
      <c r="D46" s="8" t="s">
        <v>17</v>
      </c>
      <c r="E46" s="6" t="s">
        <v>23</v>
      </c>
      <c r="F46" s="6" t="s">
        <v>52</v>
      </c>
      <c r="G46" s="6" t="s">
        <v>356</v>
      </c>
      <c r="H46" s="10">
        <v>46292</v>
      </c>
      <c r="I46" s="6" t="s">
        <v>357</v>
      </c>
      <c r="J46" s="6" t="s">
        <v>55</v>
      </c>
      <c r="K46" s="6" t="s">
        <v>55</v>
      </c>
      <c r="L46" s="6" t="s">
        <v>254</v>
      </c>
      <c r="M46" s="6" t="s">
        <v>359</v>
      </c>
    </row>
    <row r="47" spans="1:13" ht="13" x14ac:dyDescent="0.15">
      <c r="A47" s="21" t="str">
        <f>HYPERLINK("https://onemount.atlassian.net/browse/DBA-5884","DBA-5884")</f>
        <v>DBA-5884</v>
      </c>
      <c r="B47" s="6" t="s">
        <v>21</v>
      </c>
      <c r="C47" s="6" t="s">
        <v>329</v>
      </c>
      <c r="D47" s="8" t="s">
        <v>17</v>
      </c>
      <c r="E47" s="6" t="s">
        <v>23</v>
      </c>
      <c r="F47" s="6" t="s">
        <v>24</v>
      </c>
      <c r="G47" s="6" t="s">
        <v>361</v>
      </c>
      <c r="H47" s="10">
        <v>46293</v>
      </c>
      <c r="I47" s="6" t="s">
        <v>362</v>
      </c>
      <c r="J47" s="6" t="s">
        <v>39</v>
      </c>
      <c r="K47" s="6" t="s">
        <v>137</v>
      </c>
      <c r="L47" s="6" t="s">
        <v>77</v>
      </c>
      <c r="M47" s="6" t="s">
        <v>333</v>
      </c>
    </row>
    <row r="48" spans="1:13" ht="13" x14ac:dyDescent="0.15">
      <c r="A48" s="5" t="str">
        <f>HYPERLINK("https://onemount.atlassian.net/browse/DBA-5883","DBA-5883")</f>
        <v>DBA-5883</v>
      </c>
      <c r="B48" s="6" t="s">
        <v>21</v>
      </c>
      <c r="C48" s="6" t="s">
        <v>364</v>
      </c>
      <c r="D48" s="8" t="s">
        <v>17</v>
      </c>
      <c r="E48" s="6" t="s">
        <v>23</v>
      </c>
      <c r="F48" s="6" t="s">
        <v>24</v>
      </c>
      <c r="G48" s="6" t="s">
        <v>365</v>
      </c>
      <c r="H48" s="10">
        <v>46293</v>
      </c>
      <c r="I48" s="6" t="s">
        <v>366</v>
      </c>
      <c r="J48" s="6" t="s">
        <v>72</v>
      </c>
      <c r="K48" s="6" t="s">
        <v>46</v>
      </c>
      <c r="L48" s="6" t="s">
        <v>72</v>
      </c>
      <c r="M48" s="6" t="s">
        <v>368</v>
      </c>
    </row>
    <row r="49" spans="1:13" ht="13" x14ac:dyDescent="0.15">
      <c r="A49" s="5" t="str">
        <f>HYPERLINK("https://onemount.atlassian.net/browse/DBA-5882","DBA-5882")</f>
        <v>DBA-5882</v>
      </c>
      <c r="B49" s="6" t="s">
        <v>21</v>
      </c>
      <c r="C49" s="6" t="s">
        <v>370</v>
      </c>
      <c r="D49" s="8" t="s">
        <v>17</v>
      </c>
      <c r="E49" s="6" t="s">
        <v>23</v>
      </c>
      <c r="F49" s="6" t="s">
        <v>31</v>
      </c>
      <c r="G49" s="6" t="s">
        <v>371</v>
      </c>
      <c r="H49" s="10">
        <v>46290</v>
      </c>
      <c r="I49" s="6" t="s">
        <v>372</v>
      </c>
      <c r="J49" s="6" t="s">
        <v>373</v>
      </c>
      <c r="K49" s="6" t="s">
        <v>35</v>
      </c>
      <c r="L49" s="6" t="s">
        <v>374</v>
      </c>
      <c r="M49" s="6" t="s">
        <v>376</v>
      </c>
    </row>
    <row r="50" spans="1:13" ht="13" x14ac:dyDescent="0.15">
      <c r="A50" s="5" t="str">
        <f>HYPERLINK("https://onemount.atlassian.net/browse/DBA-5881","DBA-5881")</f>
        <v>DBA-5881</v>
      </c>
      <c r="B50" s="6" t="s">
        <v>21</v>
      </c>
      <c r="C50" s="6" t="s">
        <v>378</v>
      </c>
      <c r="D50" s="8" t="s">
        <v>17</v>
      </c>
      <c r="E50" s="6" t="s">
        <v>23</v>
      </c>
      <c r="F50" s="6" t="s">
        <v>31</v>
      </c>
      <c r="G50" s="6" t="s">
        <v>379</v>
      </c>
      <c r="H50" s="10">
        <v>46291</v>
      </c>
      <c r="I50" s="6" t="s">
        <v>380</v>
      </c>
      <c r="J50" s="6" t="s">
        <v>118</v>
      </c>
      <c r="K50" s="6" t="s">
        <v>35</v>
      </c>
      <c r="L50" s="6" t="s">
        <v>119</v>
      </c>
      <c r="M50" s="6" t="s">
        <v>383</v>
      </c>
    </row>
    <row r="51" spans="1:13" ht="13" x14ac:dyDescent="0.15">
      <c r="A51" s="5" t="str">
        <f>HYPERLINK("https://onemount.atlassian.net/browse/DBA-5880","DBA-5880")</f>
        <v>DBA-5880</v>
      </c>
      <c r="B51" s="6" t="s">
        <v>21</v>
      </c>
      <c r="C51" s="6" t="s">
        <v>384</v>
      </c>
      <c r="D51" s="8" t="s">
        <v>17</v>
      </c>
      <c r="E51" s="6" t="s">
        <v>23</v>
      </c>
      <c r="F51" s="6" t="s">
        <v>31</v>
      </c>
      <c r="G51" s="6" t="s">
        <v>386</v>
      </c>
      <c r="H51" s="10">
        <v>46291</v>
      </c>
      <c r="I51" s="6" t="s">
        <v>387</v>
      </c>
      <c r="J51" s="6" t="s">
        <v>128</v>
      </c>
      <c r="K51" s="6" t="s">
        <v>35</v>
      </c>
      <c r="L51" s="6" t="s">
        <v>129</v>
      </c>
      <c r="M51" s="6" t="s">
        <v>388</v>
      </c>
    </row>
    <row r="52" spans="1:13" ht="13" x14ac:dyDescent="0.15">
      <c r="A52" s="5" t="str">
        <f>HYPERLINK("https://onemount.atlassian.net/browse/DBA-5879","DBA-5879")</f>
        <v>DBA-5879</v>
      </c>
      <c r="B52" s="6" t="s">
        <v>21</v>
      </c>
      <c r="C52" s="6" t="s">
        <v>390</v>
      </c>
      <c r="D52" s="8" t="s">
        <v>17</v>
      </c>
      <c r="E52" s="6" t="s">
        <v>23</v>
      </c>
      <c r="F52" s="6" t="s">
        <v>52</v>
      </c>
      <c r="G52" s="6" t="s">
        <v>392</v>
      </c>
      <c r="H52" s="10">
        <v>46290</v>
      </c>
      <c r="I52" s="6" t="s">
        <v>393</v>
      </c>
      <c r="J52" s="6" t="s">
        <v>88</v>
      </c>
      <c r="K52" s="6" t="s">
        <v>59</v>
      </c>
      <c r="L52" s="6" t="s">
        <v>88</v>
      </c>
      <c r="M52" s="6" t="s">
        <v>396</v>
      </c>
    </row>
    <row r="53" spans="1:13" ht="13" x14ac:dyDescent="0.15">
      <c r="A53" s="5" t="str">
        <f>HYPERLINK("https://onemount.atlassian.net/browse/DBA-5878","DBA-5878")</f>
        <v>DBA-5878</v>
      </c>
      <c r="B53" s="6" t="s">
        <v>21</v>
      </c>
      <c r="C53" s="6" t="s">
        <v>141</v>
      </c>
      <c r="D53" s="8" t="s">
        <v>17</v>
      </c>
      <c r="E53" s="6" t="s">
        <v>23</v>
      </c>
      <c r="F53" s="6" t="s">
        <v>41</v>
      </c>
      <c r="G53" s="6" t="s">
        <v>398</v>
      </c>
      <c r="H53" s="10">
        <v>46291</v>
      </c>
      <c r="I53" s="6" t="s">
        <v>399</v>
      </c>
      <c r="J53" s="6" t="s">
        <v>144</v>
      </c>
      <c r="K53" s="6" t="s">
        <v>72</v>
      </c>
      <c r="L53" s="6" t="s">
        <v>145</v>
      </c>
      <c r="M53" s="6" t="s">
        <v>401</v>
      </c>
    </row>
    <row r="54" spans="1:13" ht="13" x14ac:dyDescent="0.15">
      <c r="A54" s="5" t="str">
        <f>HYPERLINK("https://onemount.atlassian.net/browse/DBA-5877","DBA-5877")</f>
        <v>DBA-5877</v>
      </c>
      <c r="B54" s="6" t="s">
        <v>21</v>
      </c>
      <c r="C54" s="22" t="s">
        <v>403</v>
      </c>
      <c r="D54" s="8" t="s">
        <v>17</v>
      </c>
      <c r="E54" s="6" t="s">
        <v>23</v>
      </c>
      <c r="F54" s="6" t="s">
        <v>78</v>
      </c>
      <c r="G54" s="6" t="s">
        <v>406</v>
      </c>
      <c r="H54" s="10">
        <v>46291</v>
      </c>
      <c r="I54" s="6" t="s">
        <v>407</v>
      </c>
      <c r="J54" s="6" t="s">
        <v>109</v>
      </c>
      <c r="K54" s="6" t="s">
        <v>46</v>
      </c>
      <c r="L54" s="6" t="s">
        <v>109</v>
      </c>
      <c r="M54" s="6"/>
    </row>
    <row r="55" spans="1:13" ht="13" x14ac:dyDescent="0.15">
      <c r="A55" s="5" t="str">
        <f>HYPERLINK("https://onemount.atlassian.net/browse/DBA-5876","DBA-5876")</f>
        <v>DBA-5876</v>
      </c>
      <c r="B55" s="6" t="s">
        <v>21</v>
      </c>
      <c r="C55" s="6" t="s">
        <v>410</v>
      </c>
      <c r="D55" s="8" t="s">
        <v>17</v>
      </c>
      <c r="E55" s="6" t="s">
        <v>23</v>
      </c>
      <c r="F55" s="6" t="s">
        <v>78</v>
      </c>
      <c r="G55" s="6" t="s">
        <v>411</v>
      </c>
      <c r="H55" s="10">
        <v>46291</v>
      </c>
      <c r="I55" s="6" t="s">
        <v>412</v>
      </c>
      <c r="J55" s="6" t="s">
        <v>109</v>
      </c>
      <c r="K55" s="6" t="s">
        <v>46</v>
      </c>
      <c r="L55" s="6" t="s">
        <v>109</v>
      </c>
      <c r="M55" s="6" t="s">
        <v>413</v>
      </c>
    </row>
    <row r="56" spans="1:13" ht="13" x14ac:dyDescent="0.15">
      <c r="A56" s="5" t="str">
        <f>HYPERLINK("https://onemount.atlassian.net/browse/DBA-5875","DBA-5875")</f>
        <v>DBA-5875</v>
      </c>
      <c r="B56" s="6" t="s">
        <v>21</v>
      </c>
      <c r="C56" s="6" t="s">
        <v>415</v>
      </c>
      <c r="D56" s="8" t="s">
        <v>17</v>
      </c>
      <c r="E56" s="6" t="s">
        <v>23</v>
      </c>
      <c r="F56" s="6" t="s">
        <v>41</v>
      </c>
      <c r="G56" s="6" t="s">
        <v>417</v>
      </c>
      <c r="H56" s="10">
        <v>46291</v>
      </c>
      <c r="I56" s="6" t="s">
        <v>418</v>
      </c>
      <c r="J56" s="6" t="s">
        <v>109</v>
      </c>
      <c r="K56" s="6" t="s">
        <v>46</v>
      </c>
      <c r="L56" s="6" t="s">
        <v>109</v>
      </c>
      <c r="M56" s="6" t="s">
        <v>419</v>
      </c>
    </row>
    <row r="57" spans="1:13" ht="13" x14ac:dyDescent="0.15">
      <c r="A57" s="5" t="str">
        <f>HYPERLINK("https://onemount.atlassian.net/browse/DBA-5874","DBA-5874")</f>
        <v>DBA-5874</v>
      </c>
      <c r="B57" s="6" t="s">
        <v>21</v>
      </c>
      <c r="C57" s="6" t="s">
        <v>420</v>
      </c>
      <c r="D57" s="8" t="s">
        <v>17</v>
      </c>
      <c r="E57" s="6" t="s">
        <v>23</v>
      </c>
      <c r="F57" s="6" t="s">
        <v>41</v>
      </c>
      <c r="G57" s="6" t="s">
        <v>422</v>
      </c>
      <c r="H57" s="10">
        <v>46290</v>
      </c>
      <c r="I57" s="6" t="s">
        <v>423</v>
      </c>
      <c r="J57" s="6" t="s">
        <v>27</v>
      </c>
      <c r="K57" s="6" t="s">
        <v>28</v>
      </c>
      <c r="L57" s="6" t="s">
        <v>27</v>
      </c>
      <c r="M57" s="6" t="s">
        <v>424</v>
      </c>
    </row>
    <row r="58" spans="1:13" ht="13" x14ac:dyDescent="0.15">
      <c r="A58" s="5" t="str">
        <f>HYPERLINK("https://onemount.atlassian.net/browse/DBA-5873","DBA-5873")</f>
        <v>DBA-5873</v>
      </c>
      <c r="B58" s="23" t="str">
        <f t="shared" ref="B58:B61" si="0">HYPERLINK("https://onemount.atlassian.net/browse/DBA-5869","DBA-5869")</f>
        <v>DBA-5869</v>
      </c>
      <c r="C58" s="6" t="s">
        <v>427</v>
      </c>
      <c r="D58" s="8" t="s">
        <v>17</v>
      </c>
      <c r="E58" s="6" t="s">
        <v>428</v>
      </c>
      <c r="F58" s="6" t="s">
        <v>52</v>
      </c>
      <c r="G58" s="6" t="s">
        <v>429</v>
      </c>
      <c r="H58" s="10">
        <v>46290</v>
      </c>
      <c r="I58" s="6" t="s">
        <v>430</v>
      </c>
      <c r="J58" s="6" t="s">
        <v>431</v>
      </c>
      <c r="K58" s="6" t="s">
        <v>137</v>
      </c>
      <c r="L58" s="6" t="s">
        <v>431</v>
      </c>
      <c r="M58" s="6" t="s">
        <v>432</v>
      </c>
    </row>
    <row r="59" spans="1:13" ht="13" x14ac:dyDescent="0.15">
      <c r="A59" s="5" t="str">
        <f>HYPERLINK("https://onemount.atlassian.net/browse/DBA-5872","DBA-5872")</f>
        <v>DBA-5872</v>
      </c>
      <c r="B59" s="23" t="str">
        <f t="shared" si="0"/>
        <v>DBA-5869</v>
      </c>
      <c r="C59" s="6" t="s">
        <v>434</v>
      </c>
      <c r="D59" s="8" t="s">
        <v>17</v>
      </c>
      <c r="E59" s="6" t="s">
        <v>428</v>
      </c>
      <c r="F59" s="6" t="s">
        <v>52</v>
      </c>
      <c r="G59" s="6" t="s">
        <v>435</v>
      </c>
      <c r="H59" s="10">
        <v>46290</v>
      </c>
      <c r="I59" s="6" t="s">
        <v>436</v>
      </c>
      <c r="J59" s="6" t="s">
        <v>431</v>
      </c>
      <c r="K59" s="6" t="s">
        <v>137</v>
      </c>
      <c r="L59" s="6" t="s">
        <v>431</v>
      </c>
      <c r="M59" s="6" t="s">
        <v>437</v>
      </c>
    </row>
    <row r="60" spans="1:13" ht="13" x14ac:dyDescent="0.15">
      <c r="A60" s="5" t="str">
        <f>HYPERLINK("https://onemount.atlassian.net/browse/DBA-5871","DBA-5871")</f>
        <v>DBA-5871</v>
      </c>
      <c r="B60" s="23" t="str">
        <f t="shared" si="0"/>
        <v>DBA-5869</v>
      </c>
      <c r="C60" s="6" t="s">
        <v>439</v>
      </c>
      <c r="D60" s="8" t="s">
        <v>17</v>
      </c>
      <c r="E60" s="6" t="s">
        <v>428</v>
      </c>
      <c r="F60" s="6" t="s">
        <v>52</v>
      </c>
      <c r="G60" s="6" t="s">
        <v>440</v>
      </c>
      <c r="H60" s="10">
        <v>46290</v>
      </c>
      <c r="I60" s="6" t="s">
        <v>441</v>
      </c>
      <c r="J60" s="6" t="s">
        <v>431</v>
      </c>
      <c r="K60" s="6" t="s">
        <v>137</v>
      </c>
      <c r="L60" s="6" t="s">
        <v>431</v>
      </c>
      <c r="M60" s="6" t="s">
        <v>443</v>
      </c>
    </row>
    <row r="61" spans="1:13" ht="13" x14ac:dyDescent="0.15">
      <c r="A61" s="5" t="str">
        <f>HYPERLINK("https://onemount.atlassian.net/browse/DBA-5870","DBA-5870")</f>
        <v>DBA-5870</v>
      </c>
      <c r="B61" s="23" t="str">
        <f t="shared" si="0"/>
        <v>DBA-5869</v>
      </c>
      <c r="C61" s="6" t="s">
        <v>444</v>
      </c>
      <c r="D61" s="8" t="s">
        <v>17</v>
      </c>
      <c r="E61" s="6" t="s">
        <v>428</v>
      </c>
      <c r="F61" s="6" t="s">
        <v>52</v>
      </c>
      <c r="G61" s="6" t="s">
        <v>445</v>
      </c>
      <c r="H61" s="10">
        <v>46290</v>
      </c>
      <c r="I61" s="6" t="s">
        <v>446</v>
      </c>
      <c r="J61" s="6" t="s">
        <v>431</v>
      </c>
      <c r="K61" s="6" t="s">
        <v>137</v>
      </c>
      <c r="L61" s="6" t="s">
        <v>431</v>
      </c>
      <c r="M61" s="6" t="s">
        <v>448</v>
      </c>
    </row>
    <row r="62" spans="1:13" ht="13" x14ac:dyDescent="0.15">
      <c r="A62" s="5" t="str">
        <f>HYPERLINK("https://onemount.atlassian.net/browse/DBA-5869","DBA-5869")</f>
        <v>DBA-5869</v>
      </c>
      <c r="B62" s="6" t="s">
        <v>21</v>
      </c>
      <c r="C62" s="6" t="s">
        <v>449</v>
      </c>
      <c r="D62" s="8" t="s">
        <v>17</v>
      </c>
      <c r="E62" s="6" t="s">
        <v>23</v>
      </c>
      <c r="F62" s="6" t="s">
        <v>52</v>
      </c>
      <c r="G62" s="6" t="s">
        <v>450</v>
      </c>
      <c r="H62" s="10">
        <v>46291</v>
      </c>
      <c r="I62" s="6" t="s">
        <v>451</v>
      </c>
      <c r="J62" s="6" t="s">
        <v>431</v>
      </c>
      <c r="K62" s="6" t="s">
        <v>137</v>
      </c>
      <c r="L62" s="6" t="s">
        <v>431</v>
      </c>
      <c r="M62" s="6" t="s">
        <v>453</v>
      </c>
    </row>
    <row r="63" spans="1:13" ht="13" x14ac:dyDescent="0.15">
      <c r="A63" s="5" t="str">
        <f>HYPERLINK("https://onemount.atlassian.net/browse/DBA-5868","DBA-5868")</f>
        <v>DBA-5868</v>
      </c>
      <c r="B63" s="6" t="s">
        <v>21</v>
      </c>
      <c r="C63" s="6" t="s">
        <v>22</v>
      </c>
      <c r="D63" s="8" t="s">
        <v>17</v>
      </c>
      <c r="E63" s="6" t="s">
        <v>23</v>
      </c>
      <c r="F63" s="6" t="s">
        <v>24</v>
      </c>
      <c r="G63" s="6" t="s">
        <v>454</v>
      </c>
      <c r="H63" s="10">
        <v>46289</v>
      </c>
      <c r="I63" s="6" t="s">
        <v>456</v>
      </c>
      <c r="J63" s="6" t="s">
        <v>27</v>
      </c>
      <c r="K63" s="6" t="s">
        <v>28</v>
      </c>
      <c r="L63" s="6" t="s">
        <v>27</v>
      </c>
      <c r="M63" s="6" t="s">
        <v>458</v>
      </c>
    </row>
    <row r="64" spans="1:13" ht="13" x14ac:dyDescent="0.15">
      <c r="A64" s="5" t="str">
        <f>HYPERLINK("https://onemount.atlassian.net/browse/DBA-5867","DBA-5867")</f>
        <v>DBA-5867</v>
      </c>
      <c r="B64" s="6" t="s">
        <v>21</v>
      </c>
      <c r="C64" s="6" t="s">
        <v>459</v>
      </c>
      <c r="D64" s="8" t="s">
        <v>17</v>
      </c>
      <c r="E64" s="6" t="s">
        <v>23</v>
      </c>
      <c r="F64" s="6" t="s">
        <v>52</v>
      </c>
      <c r="G64" s="6" t="s">
        <v>460</v>
      </c>
      <c r="H64" s="10">
        <v>46290</v>
      </c>
      <c r="I64" s="6" t="s">
        <v>462</v>
      </c>
      <c r="J64" s="6" t="s">
        <v>463</v>
      </c>
      <c r="K64" s="6" t="s">
        <v>55</v>
      </c>
      <c r="L64" s="6" t="s">
        <v>254</v>
      </c>
      <c r="M64" s="6" t="s">
        <v>464</v>
      </c>
    </row>
    <row r="65" spans="1:13" ht="13" x14ac:dyDescent="0.15">
      <c r="A65" s="5" t="str">
        <f>HYPERLINK("https://onemount.atlassian.net/browse/DBA-5866","DBA-5866")</f>
        <v>DBA-5866</v>
      </c>
      <c r="B65" s="6" t="s">
        <v>21</v>
      </c>
      <c r="C65" s="6" t="s">
        <v>465</v>
      </c>
      <c r="D65" s="8" t="s">
        <v>17</v>
      </c>
      <c r="E65" s="6" t="s">
        <v>23</v>
      </c>
      <c r="F65" s="6" t="s">
        <v>31</v>
      </c>
      <c r="G65" s="6" t="s">
        <v>466</v>
      </c>
      <c r="H65" s="10">
        <v>46289</v>
      </c>
      <c r="I65" s="6" t="s">
        <v>467</v>
      </c>
      <c r="J65" s="6" t="s">
        <v>35</v>
      </c>
      <c r="K65" s="6" t="s">
        <v>35</v>
      </c>
      <c r="L65" s="6" t="s">
        <v>129</v>
      </c>
      <c r="M65" s="6" t="s">
        <v>469</v>
      </c>
    </row>
    <row r="66" spans="1:13" ht="13" x14ac:dyDescent="0.15">
      <c r="A66" s="5" t="str">
        <f>HYPERLINK("https://onemount.atlassian.net/browse/DBA-5865","DBA-5865")</f>
        <v>DBA-5865</v>
      </c>
      <c r="B66" s="6" t="s">
        <v>21</v>
      </c>
      <c r="C66" s="6" t="s">
        <v>470</v>
      </c>
      <c r="D66" s="8" t="s">
        <v>17</v>
      </c>
      <c r="E66" s="6" t="s">
        <v>23</v>
      </c>
      <c r="F66" s="6" t="s">
        <v>52</v>
      </c>
      <c r="G66" s="6" t="s">
        <v>471</v>
      </c>
      <c r="H66" s="10">
        <v>46290</v>
      </c>
      <c r="I66" s="6" t="s">
        <v>472</v>
      </c>
      <c r="J66" s="6" t="s">
        <v>56</v>
      </c>
      <c r="K66" s="6" t="s">
        <v>55</v>
      </c>
      <c r="L66" s="6" t="s">
        <v>56</v>
      </c>
      <c r="M66" s="6" t="s">
        <v>474</v>
      </c>
    </row>
    <row r="67" spans="1:13" ht="13" x14ac:dyDescent="0.15">
      <c r="A67" s="5" t="str">
        <f>HYPERLINK("https://onemount.atlassian.net/browse/DBA-5864","DBA-5864")</f>
        <v>DBA-5864</v>
      </c>
      <c r="B67" s="6" t="s">
        <v>21</v>
      </c>
      <c r="C67" s="6" t="s">
        <v>475</v>
      </c>
      <c r="D67" s="8" t="s">
        <v>17</v>
      </c>
      <c r="E67" s="6" t="s">
        <v>23</v>
      </c>
      <c r="F67" s="6" t="s">
        <v>31</v>
      </c>
      <c r="G67" s="6" t="s">
        <v>476</v>
      </c>
      <c r="H67" s="10">
        <v>46289</v>
      </c>
      <c r="I67" s="6" t="s">
        <v>477</v>
      </c>
      <c r="J67" s="6" t="s">
        <v>478</v>
      </c>
      <c r="K67" s="6" t="s">
        <v>35</v>
      </c>
      <c r="L67" s="6" t="s">
        <v>129</v>
      </c>
      <c r="M67" s="6" t="s">
        <v>480</v>
      </c>
    </row>
    <row r="68" spans="1:13" ht="13" x14ac:dyDescent="0.15">
      <c r="A68" s="5" t="str">
        <f>HYPERLINK("https://onemount.atlassian.net/browse/DBA-5863","DBA-5863")</f>
        <v>DBA-5863</v>
      </c>
      <c r="B68" s="6" t="s">
        <v>21</v>
      </c>
      <c r="C68" s="6" t="s">
        <v>481</v>
      </c>
      <c r="D68" s="8" t="s">
        <v>17</v>
      </c>
      <c r="E68" s="6" t="s">
        <v>23</v>
      </c>
      <c r="F68" s="6" t="s">
        <v>24</v>
      </c>
      <c r="G68" s="6" t="s">
        <v>482</v>
      </c>
      <c r="H68" s="10">
        <v>46289</v>
      </c>
      <c r="I68" s="6" t="s">
        <v>483</v>
      </c>
      <c r="J68" s="6" t="s">
        <v>88</v>
      </c>
      <c r="K68" s="6" t="s">
        <v>59</v>
      </c>
      <c r="L68" s="6" t="s">
        <v>88</v>
      </c>
      <c r="M68" s="6" t="s">
        <v>485</v>
      </c>
    </row>
    <row r="69" spans="1:13" ht="13" x14ac:dyDescent="0.15">
      <c r="A69" s="5" t="str">
        <f>HYPERLINK("https://onemount.atlassian.net/browse/DBA-5862","DBA-5862")</f>
        <v>DBA-5862</v>
      </c>
      <c r="B69" s="6" t="s">
        <v>21</v>
      </c>
      <c r="C69" s="6" t="s">
        <v>486</v>
      </c>
      <c r="D69" s="8" t="s">
        <v>17</v>
      </c>
      <c r="E69" s="6" t="s">
        <v>23</v>
      </c>
      <c r="F69" s="6" t="s">
        <v>31</v>
      </c>
      <c r="G69" s="6" t="s">
        <v>487</v>
      </c>
      <c r="H69" s="10">
        <v>46290</v>
      </c>
      <c r="I69" s="6" t="s">
        <v>488</v>
      </c>
      <c r="J69" s="6" t="s">
        <v>489</v>
      </c>
      <c r="K69" s="6" t="s">
        <v>35</v>
      </c>
      <c r="L69" s="6" t="s">
        <v>36</v>
      </c>
      <c r="M69" s="6" t="s">
        <v>491</v>
      </c>
    </row>
    <row r="70" spans="1:13" ht="13" x14ac:dyDescent="0.15">
      <c r="A70" s="5" t="str">
        <f>HYPERLINK("https://onemount.atlassian.net/browse/DBA-5861","DBA-5861")</f>
        <v>DBA-5861</v>
      </c>
      <c r="B70" s="6" t="s">
        <v>21</v>
      </c>
      <c r="C70" s="6" t="s">
        <v>492</v>
      </c>
      <c r="D70" s="8" t="s">
        <v>17</v>
      </c>
      <c r="E70" s="6" t="s">
        <v>23</v>
      </c>
      <c r="F70" s="6" t="s">
        <v>24</v>
      </c>
      <c r="G70" s="6" t="s">
        <v>493</v>
      </c>
      <c r="H70" s="10">
        <v>46289</v>
      </c>
      <c r="I70" s="6" t="s">
        <v>494</v>
      </c>
      <c r="J70" s="6" t="s">
        <v>72</v>
      </c>
      <c r="K70" s="6" t="s">
        <v>46</v>
      </c>
      <c r="L70" s="6" t="s">
        <v>72</v>
      </c>
      <c r="M70" s="6" t="s">
        <v>496</v>
      </c>
    </row>
    <row r="71" spans="1:13" ht="13" x14ac:dyDescent="0.15">
      <c r="A71" s="5" t="str">
        <f>HYPERLINK("https://onemount.atlassian.net/browse/DBA-5860","DBA-5860")</f>
        <v>DBA-5860</v>
      </c>
      <c r="B71" s="6" t="s">
        <v>21</v>
      </c>
      <c r="C71" s="6" t="s">
        <v>497</v>
      </c>
      <c r="D71" s="8" t="s">
        <v>17</v>
      </c>
      <c r="E71" s="6" t="s">
        <v>23</v>
      </c>
      <c r="F71" s="6" t="s">
        <v>24</v>
      </c>
      <c r="G71" s="6" t="s">
        <v>498</v>
      </c>
      <c r="H71" s="10">
        <v>46288</v>
      </c>
      <c r="I71" s="6" t="s">
        <v>500</v>
      </c>
      <c r="J71" s="6" t="s">
        <v>46</v>
      </c>
      <c r="K71" s="6" t="s">
        <v>46</v>
      </c>
      <c r="L71" s="6" t="s">
        <v>326</v>
      </c>
      <c r="M71" s="6" t="s">
        <v>504</v>
      </c>
    </row>
    <row r="72" spans="1:13" ht="13" x14ac:dyDescent="0.15">
      <c r="A72" s="5" t="str">
        <f>HYPERLINK("https://onemount.atlassian.net/browse/DBA-5859","DBA-5859")</f>
        <v>DBA-5859</v>
      </c>
      <c r="B72" s="6" t="s">
        <v>21</v>
      </c>
      <c r="C72" s="6" t="s">
        <v>507</v>
      </c>
      <c r="D72" s="8" t="s">
        <v>17</v>
      </c>
      <c r="E72" s="6" t="s">
        <v>23</v>
      </c>
      <c r="F72" s="6" t="s">
        <v>24</v>
      </c>
      <c r="G72" s="6" t="s">
        <v>508</v>
      </c>
      <c r="H72" s="10">
        <v>46289</v>
      </c>
      <c r="I72" s="6" t="s">
        <v>509</v>
      </c>
      <c r="J72" s="6" t="s">
        <v>510</v>
      </c>
      <c r="K72" s="6" t="s">
        <v>165</v>
      </c>
      <c r="L72" s="6" t="s">
        <v>77</v>
      </c>
      <c r="M72" s="6" t="s">
        <v>511</v>
      </c>
    </row>
    <row r="73" spans="1:13" ht="13" x14ac:dyDescent="0.15">
      <c r="A73" s="5" t="str">
        <f>HYPERLINK("https://onemount.atlassian.net/browse/DBA-5858","DBA-5858")</f>
        <v>DBA-5858</v>
      </c>
      <c r="B73" s="6" t="s">
        <v>21</v>
      </c>
      <c r="C73" s="6" t="s">
        <v>513</v>
      </c>
      <c r="D73" s="8" t="s">
        <v>17</v>
      </c>
      <c r="E73" s="6" t="s">
        <v>23</v>
      </c>
      <c r="F73" s="6" t="s">
        <v>24</v>
      </c>
      <c r="G73" s="6" t="s">
        <v>514</v>
      </c>
      <c r="H73" s="10">
        <v>46289</v>
      </c>
      <c r="I73" s="6" t="s">
        <v>515</v>
      </c>
      <c r="J73" s="6" t="s">
        <v>224</v>
      </c>
      <c r="K73" s="6" t="s">
        <v>165</v>
      </c>
      <c r="L73" s="6" t="s">
        <v>72</v>
      </c>
      <c r="M73" s="6" t="s">
        <v>516</v>
      </c>
    </row>
    <row r="74" spans="1:13" ht="13" x14ac:dyDescent="0.15">
      <c r="A74" s="5" t="str">
        <f>HYPERLINK("https://onemount.atlassian.net/browse/DBA-5857","DBA-5857")</f>
        <v>DBA-5857</v>
      </c>
      <c r="B74" s="6" t="s">
        <v>21</v>
      </c>
      <c r="C74" s="6" t="s">
        <v>520</v>
      </c>
      <c r="D74" s="8" t="s">
        <v>17</v>
      </c>
      <c r="E74" s="6" t="s">
        <v>23</v>
      </c>
      <c r="F74" s="6" t="s">
        <v>24</v>
      </c>
      <c r="G74" s="6" t="s">
        <v>521</v>
      </c>
      <c r="H74" s="10">
        <v>46288</v>
      </c>
      <c r="I74" s="6" t="s">
        <v>522</v>
      </c>
      <c r="J74" s="6" t="s">
        <v>93</v>
      </c>
      <c r="K74" s="6" t="s">
        <v>55</v>
      </c>
      <c r="L74" s="6" t="s">
        <v>93</v>
      </c>
      <c r="M74" s="6" t="s">
        <v>523</v>
      </c>
    </row>
    <row r="75" spans="1:13" ht="13" x14ac:dyDescent="0.15">
      <c r="A75" s="21" t="str">
        <f>HYPERLINK("https://onemount.atlassian.net/browse/DBA-5856","DBA-5856")</f>
        <v>DBA-5856</v>
      </c>
      <c r="B75" s="6" t="s">
        <v>21</v>
      </c>
      <c r="C75" s="6" t="s">
        <v>525</v>
      </c>
      <c r="D75" s="8" t="s">
        <v>17</v>
      </c>
      <c r="E75" s="6" t="s">
        <v>23</v>
      </c>
      <c r="F75" s="6" t="s">
        <v>41</v>
      </c>
      <c r="G75" s="6" t="s">
        <v>526</v>
      </c>
      <c r="H75" s="10">
        <v>46288</v>
      </c>
      <c r="I75" s="6" t="s">
        <v>527</v>
      </c>
      <c r="J75" s="6" t="s">
        <v>136</v>
      </c>
      <c r="K75" s="6" t="s">
        <v>72</v>
      </c>
      <c r="L75" s="6" t="s">
        <v>136</v>
      </c>
      <c r="M75" s="6" t="s">
        <v>528</v>
      </c>
    </row>
    <row r="76" spans="1:13" ht="13" x14ac:dyDescent="0.15">
      <c r="A76" s="5" t="str">
        <f>HYPERLINK("https://onemount.atlassian.net/browse/DBA-5855","DBA-5855")</f>
        <v>DBA-5855</v>
      </c>
      <c r="B76" s="6" t="s">
        <v>21</v>
      </c>
      <c r="C76" s="6" t="s">
        <v>531</v>
      </c>
      <c r="D76" s="8" t="s">
        <v>17</v>
      </c>
      <c r="E76" s="6" t="s">
        <v>23</v>
      </c>
      <c r="F76" s="6" t="s">
        <v>41</v>
      </c>
      <c r="G76" s="6" t="s">
        <v>532</v>
      </c>
      <c r="H76" s="10">
        <v>46294</v>
      </c>
      <c r="I76" s="6" t="s">
        <v>533</v>
      </c>
      <c r="J76" s="6" t="s">
        <v>353</v>
      </c>
      <c r="K76" s="6" t="s">
        <v>46</v>
      </c>
      <c r="L76" s="6" t="s">
        <v>353</v>
      </c>
      <c r="M76" s="6" t="s">
        <v>535</v>
      </c>
    </row>
    <row r="77" spans="1:13" ht="13" x14ac:dyDescent="0.15">
      <c r="A77" s="5" t="str">
        <f>HYPERLINK("https://onemount.atlassian.net/browse/DBA-5854","DBA-5854")</f>
        <v>DBA-5854</v>
      </c>
      <c r="B77" s="6" t="s">
        <v>21</v>
      </c>
      <c r="C77" s="6" t="s">
        <v>537</v>
      </c>
      <c r="D77" s="14" t="s">
        <v>19</v>
      </c>
      <c r="E77" s="6" t="s">
        <v>23</v>
      </c>
      <c r="F77" s="6" t="s">
        <v>41</v>
      </c>
      <c r="G77" s="6" t="s">
        <v>538</v>
      </c>
      <c r="H77" s="6" t="s">
        <v>43</v>
      </c>
      <c r="I77" s="6" t="s">
        <v>44</v>
      </c>
      <c r="J77" s="6" t="s">
        <v>27</v>
      </c>
      <c r="K77" s="6" t="s">
        <v>28</v>
      </c>
      <c r="L77" s="6" t="s">
        <v>27</v>
      </c>
      <c r="M77" s="6" t="s">
        <v>540</v>
      </c>
    </row>
    <row r="78" spans="1:13" ht="13" x14ac:dyDescent="0.15">
      <c r="A78" s="5" t="str">
        <f>HYPERLINK("https://onemount.atlassian.net/browse/DBA-5853","DBA-5853")</f>
        <v>DBA-5853</v>
      </c>
      <c r="B78" s="6" t="s">
        <v>21</v>
      </c>
      <c r="C78" s="6" t="s">
        <v>542</v>
      </c>
      <c r="D78" s="8" t="s">
        <v>17</v>
      </c>
      <c r="E78" s="6" t="s">
        <v>23</v>
      </c>
      <c r="F78" s="6" t="s">
        <v>52</v>
      </c>
      <c r="G78" s="6" t="s">
        <v>544</v>
      </c>
      <c r="H78" s="10">
        <v>46287</v>
      </c>
      <c r="I78" s="6" t="s">
        <v>545</v>
      </c>
      <c r="J78" s="6" t="s">
        <v>93</v>
      </c>
      <c r="K78" s="6" t="s">
        <v>55</v>
      </c>
      <c r="L78" s="6" t="s">
        <v>93</v>
      </c>
      <c r="M78" s="6" t="s">
        <v>546</v>
      </c>
    </row>
    <row r="79" spans="1:13" ht="13" x14ac:dyDescent="0.15">
      <c r="A79" s="5" t="str">
        <f>HYPERLINK("https://onemount.atlassian.net/browse/DBA-5852","DBA-5852")</f>
        <v>DBA-5852</v>
      </c>
      <c r="B79" s="6" t="s">
        <v>21</v>
      </c>
      <c r="C79" s="6" t="s">
        <v>548</v>
      </c>
      <c r="D79" s="8" t="s">
        <v>17</v>
      </c>
      <c r="E79" s="6" t="s">
        <v>23</v>
      </c>
      <c r="F79" s="6" t="s">
        <v>24</v>
      </c>
      <c r="G79" s="6" t="s">
        <v>550</v>
      </c>
      <c r="H79" s="10">
        <v>46288</v>
      </c>
      <c r="I79" s="6" t="s">
        <v>551</v>
      </c>
      <c r="J79" s="6" t="s">
        <v>72</v>
      </c>
      <c r="K79" s="6" t="s">
        <v>72</v>
      </c>
      <c r="L79" s="6" t="s">
        <v>145</v>
      </c>
      <c r="M79" s="6" t="s">
        <v>552</v>
      </c>
    </row>
    <row r="80" spans="1:13" ht="13" x14ac:dyDescent="0.15">
      <c r="A80" s="5" t="str">
        <f>HYPERLINK("https://onemount.atlassian.net/browse/DBA-5851","DBA-5851")</f>
        <v>DBA-5851</v>
      </c>
      <c r="B80" s="6" t="s">
        <v>21</v>
      </c>
      <c r="C80" s="6" t="s">
        <v>555</v>
      </c>
      <c r="D80" s="8" t="s">
        <v>17</v>
      </c>
      <c r="E80" s="6" t="s">
        <v>23</v>
      </c>
      <c r="F80" s="6" t="s">
        <v>52</v>
      </c>
      <c r="G80" s="6" t="s">
        <v>556</v>
      </c>
      <c r="H80" s="10">
        <v>46287</v>
      </c>
      <c r="I80" s="6" t="s">
        <v>557</v>
      </c>
      <c r="J80" s="6" t="s">
        <v>276</v>
      </c>
      <c r="K80" s="6" t="s">
        <v>35</v>
      </c>
      <c r="L80" s="6" t="s">
        <v>181</v>
      </c>
      <c r="M80" s="6" t="s">
        <v>558</v>
      </c>
    </row>
    <row r="81" spans="1:13" ht="13" x14ac:dyDescent="0.15">
      <c r="A81" s="5" t="str">
        <f>HYPERLINK("https://onemount.atlassian.net/browse/DBA-5850","DBA-5850")</f>
        <v>DBA-5850</v>
      </c>
      <c r="B81" s="6" t="s">
        <v>21</v>
      </c>
      <c r="C81" s="6" t="s">
        <v>560</v>
      </c>
      <c r="D81" s="8" t="s">
        <v>17</v>
      </c>
      <c r="E81" s="6" t="s">
        <v>23</v>
      </c>
      <c r="F81" s="6" t="s">
        <v>52</v>
      </c>
      <c r="G81" s="6" t="s">
        <v>561</v>
      </c>
      <c r="H81" s="10">
        <v>46291</v>
      </c>
      <c r="I81" s="6" t="s">
        <v>563</v>
      </c>
      <c r="J81" s="6" t="s">
        <v>35</v>
      </c>
      <c r="K81" s="6" t="s">
        <v>35</v>
      </c>
      <c r="L81" s="6" t="s">
        <v>129</v>
      </c>
      <c r="M81" s="6" t="s">
        <v>565</v>
      </c>
    </row>
    <row r="82" spans="1:13" ht="13" x14ac:dyDescent="0.15">
      <c r="A82" s="5" t="str">
        <f>HYPERLINK("https://onemount.atlassian.net/browse/DBA-5849","DBA-5849")</f>
        <v>DBA-5849</v>
      </c>
      <c r="B82" s="6" t="s">
        <v>21</v>
      </c>
      <c r="C82" s="6" t="s">
        <v>566</v>
      </c>
      <c r="D82" s="8" t="s">
        <v>17</v>
      </c>
      <c r="E82" s="6" t="s">
        <v>23</v>
      </c>
      <c r="F82" s="6" t="s">
        <v>24</v>
      </c>
      <c r="G82" s="6" t="s">
        <v>568</v>
      </c>
      <c r="H82" s="10">
        <v>46294</v>
      </c>
      <c r="I82" s="6" t="s">
        <v>569</v>
      </c>
      <c r="J82" s="6" t="s">
        <v>570</v>
      </c>
      <c r="K82" s="6" t="s">
        <v>28</v>
      </c>
      <c r="L82" s="6" t="s">
        <v>39</v>
      </c>
      <c r="M82" s="6" t="s">
        <v>572</v>
      </c>
    </row>
    <row r="83" spans="1:13" ht="13" x14ac:dyDescent="0.15">
      <c r="A83" s="5" t="str">
        <f>HYPERLINK("https://onemount.atlassian.net/browse/DBA-5848","DBA-5848")</f>
        <v>DBA-5848</v>
      </c>
      <c r="B83" s="6" t="s">
        <v>21</v>
      </c>
      <c r="C83" s="6" t="s">
        <v>574</v>
      </c>
      <c r="D83" s="8" t="s">
        <v>17</v>
      </c>
      <c r="E83" s="6" t="s">
        <v>23</v>
      </c>
      <c r="F83" s="6" t="s">
        <v>24</v>
      </c>
      <c r="G83" s="6" t="s">
        <v>575</v>
      </c>
      <c r="H83" s="10">
        <v>46289</v>
      </c>
      <c r="I83" s="6" t="s">
        <v>578</v>
      </c>
      <c r="J83" s="6" t="s">
        <v>56</v>
      </c>
      <c r="K83" s="6" t="s">
        <v>55</v>
      </c>
      <c r="L83" s="6" t="s">
        <v>56</v>
      </c>
      <c r="M83" s="6" t="s">
        <v>584</v>
      </c>
    </row>
    <row r="84" spans="1:13" ht="13" x14ac:dyDescent="0.15">
      <c r="A84" s="5" t="str">
        <f>HYPERLINK("https://onemount.atlassian.net/browse/DBA-5847","DBA-5847")</f>
        <v>DBA-5847</v>
      </c>
      <c r="B84" s="6" t="s">
        <v>21</v>
      </c>
      <c r="C84" s="6" t="s">
        <v>587</v>
      </c>
      <c r="D84" s="8" t="s">
        <v>17</v>
      </c>
      <c r="E84" s="6" t="s">
        <v>23</v>
      </c>
      <c r="F84" s="6" t="s">
        <v>24</v>
      </c>
      <c r="G84" s="6" t="s">
        <v>589</v>
      </c>
      <c r="H84" s="10">
        <v>46289</v>
      </c>
      <c r="I84" s="6" t="s">
        <v>590</v>
      </c>
      <c r="J84" s="6" t="s">
        <v>56</v>
      </c>
      <c r="K84" s="6" t="s">
        <v>55</v>
      </c>
      <c r="L84" s="6" t="s">
        <v>56</v>
      </c>
      <c r="M84" s="6" t="s">
        <v>601</v>
      </c>
    </row>
    <row r="85" spans="1:13" ht="13" x14ac:dyDescent="0.15">
      <c r="A85" s="5" t="str">
        <f>HYPERLINK("https://onemount.atlassian.net/browse/DBA-5846","DBA-5846")</f>
        <v>DBA-5846</v>
      </c>
      <c r="B85" s="6" t="s">
        <v>21</v>
      </c>
      <c r="C85" s="6" t="s">
        <v>604</v>
      </c>
      <c r="D85" s="8" t="s">
        <v>17</v>
      </c>
      <c r="E85" s="6" t="s">
        <v>23</v>
      </c>
      <c r="F85" s="6" t="s">
        <v>52</v>
      </c>
      <c r="G85" s="6" t="s">
        <v>606</v>
      </c>
      <c r="H85" s="10">
        <v>46288</v>
      </c>
      <c r="I85" s="6" t="s">
        <v>607</v>
      </c>
      <c r="J85" s="6" t="s">
        <v>46</v>
      </c>
      <c r="K85" s="6" t="s">
        <v>46</v>
      </c>
      <c r="L85" s="6" t="s">
        <v>46</v>
      </c>
      <c r="M85" s="6" t="s">
        <v>608</v>
      </c>
    </row>
    <row r="86" spans="1:13" ht="13" x14ac:dyDescent="0.15">
      <c r="A86" s="5" t="str">
        <f>HYPERLINK("https://onemount.atlassian.net/browse/DBA-5845","DBA-5845")</f>
        <v>DBA-5845</v>
      </c>
      <c r="B86" s="6" t="s">
        <v>21</v>
      </c>
      <c r="C86" s="6" t="s">
        <v>610</v>
      </c>
      <c r="D86" s="8" t="s">
        <v>17</v>
      </c>
      <c r="E86" s="6" t="s">
        <v>23</v>
      </c>
      <c r="F86" s="6" t="s">
        <v>52</v>
      </c>
      <c r="G86" s="6" t="s">
        <v>611</v>
      </c>
      <c r="H86" s="10">
        <v>46287</v>
      </c>
      <c r="I86" s="6" t="s">
        <v>612</v>
      </c>
      <c r="J86" s="6" t="s">
        <v>93</v>
      </c>
      <c r="K86" s="6" t="s">
        <v>55</v>
      </c>
      <c r="L86" s="6" t="s">
        <v>93</v>
      </c>
      <c r="M86" s="6" t="s">
        <v>614</v>
      </c>
    </row>
    <row r="87" spans="1:13" ht="13" x14ac:dyDescent="0.15">
      <c r="A87" s="5" t="str">
        <f>HYPERLINK("https://onemount.atlassian.net/browse/DBA-5844","DBA-5844")</f>
        <v>DBA-5844</v>
      </c>
      <c r="B87" s="6" t="s">
        <v>21</v>
      </c>
      <c r="C87" s="6" t="s">
        <v>616</v>
      </c>
      <c r="D87" s="8" t="s">
        <v>17</v>
      </c>
      <c r="E87" s="6" t="s">
        <v>23</v>
      </c>
      <c r="F87" s="6" t="s">
        <v>52</v>
      </c>
      <c r="G87" s="6" t="s">
        <v>617</v>
      </c>
      <c r="H87" s="10">
        <v>46287</v>
      </c>
      <c r="I87" s="6" t="s">
        <v>618</v>
      </c>
      <c r="J87" s="6" t="s">
        <v>621</v>
      </c>
      <c r="K87" s="6" t="s">
        <v>55</v>
      </c>
      <c r="L87" s="6" t="s">
        <v>85</v>
      </c>
      <c r="M87" s="6" t="s">
        <v>622</v>
      </c>
    </row>
    <row r="88" spans="1:13" ht="13" x14ac:dyDescent="0.15">
      <c r="A88" s="5" t="str">
        <f>HYPERLINK("https://onemount.atlassian.net/browse/DBA-5843","DBA-5843")</f>
        <v>DBA-5843</v>
      </c>
      <c r="B88" s="6" t="s">
        <v>21</v>
      </c>
      <c r="C88" s="6" t="s">
        <v>625</v>
      </c>
      <c r="D88" s="8" t="s">
        <v>17</v>
      </c>
      <c r="E88" s="6" t="s">
        <v>23</v>
      </c>
      <c r="F88" s="6" t="s">
        <v>31</v>
      </c>
      <c r="G88" s="6" t="s">
        <v>626</v>
      </c>
      <c r="H88" s="10">
        <v>46287</v>
      </c>
      <c r="I88" s="6" t="s">
        <v>627</v>
      </c>
      <c r="J88" s="6" t="s">
        <v>181</v>
      </c>
      <c r="K88" s="6" t="s">
        <v>35</v>
      </c>
      <c r="L88" s="6" t="s">
        <v>276</v>
      </c>
      <c r="M88" s="6" t="s">
        <v>629</v>
      </c>
    </row>
    <row r="89" spans="1:13" ht="13" x14ac:dyDescent="0.15">
      <c r="A89" s="5" t="str">
        <f>HYPERLINK("https://onemount.atlassian.net/browse/DBA-5842","DBA-5842")</f>
        <v>DBA-5842</v>
      </c>
      <c r="B89" s="6" t="s">
        <v>21</v>
      </c>
      <c r="C89" s="6" t="s">
        <v>631</v>
      </c>
      <c r="D89" s="8" t="s">
        <v>17</v>
      </c>
      <c r="E89" s="6" t="s">
        <v>23</v>
      </c>
      <c r="F89" s="6" t="s">
        <v>31</v>
      </c>
      <c r="G89" s="6" t="s">
        <v>633</v>
      </c>
      <c r="H89" s="10">
        <v>46291</v>
      </c>
      <c r="I89" s="6" t="s">
        <v>635</v>
      </c>
      <c r="J89" s="6" t="s">
        <v>636</v>
      </c>
      <c r="K89" s="6" t="s">
        <v>35</v>
      </c>
      <c r="L89" s="6" t="s">
        <v>36</v>
      </c>
      <c r="M89" s="6" t="s">
        <v>637</v>
      </c>
    </row>
    <row r="90" spans="1:13" ht="13" x14ac:dyDescent="0.15">
      <c r="A90" s="5" t="str">
        <f>HYPERLINK("https://onemount.atlassian.net/browse/DBA-5841","DBA-5841")</f>
        <v>DBA-5841</v>
      </c>
      <c r="B90" s="6" t="s">
        <v>21</v>
      </c>
      <c r="C90" s="6" t="s">
        <v>542</v>
      </c>
      <c r="D90" s="8" t="s">
        <v>17</v>
      </c>
      <c r="E90" s="6" t="s">
        <v>23</v>
      </c>
      <c r="F90" s="6" t="s">
        <v>52</v>
      </c>
      <c r="G90" s="6" t="s">
        <v>641</v>
      </c>
      <c r="H90" s="10">
        <v>46287</v>
      </c>
      <c r="I90" s="6" t="s">
        <v>642</v>
      </c>
      <c r="J90" s="6" t="s">
        <v>93</v>
      </c>
      <c r="K90" s="6" t="s">
        <v>55</v>
      </c>
      <c r="L90" s="6" t="s">
        <v>93</v>
      </c>
      <c r="M90" s="6" t="s">
        <v>644</v>
      </c>
    </row>
    <row r="91" spans="1:13" ht="13" x14ac:dyDescent="0.15">
      <c r="A91" s="5" t="str">
        <f>HYPERLINK("https://onemount.atlassian.net/browse/DBA-5840","DBA-5840")</f>
        <v>DBA-5840</v>
      </c>
      <c r="B91" s="6" t="s">
        <v>21</v>
      </c>
      <c r="C91" s="6" t="s">
        <v>647</v>
      </c>
      <c r="D91" s="8" t="s">
        <v>17</v>
      </c>
      <c r="E91" s="6" t="s">
        <v>23</v>
      </c>
      <c r="F91" s="6" t="s">
        <v>24</v>
      </c>
      <c r="G91" s="6" t="s">
        <v>648</v>
      </c>
      <c r="H91" s="10">
        <v>46287</v>
      </c>
      <c r="I91" s="6" t="s">
        <v>649</v>
      </c>
      <c r="J91" s="6" t="s">
        <v>580</v>
      </c>
      <c r="K91" s="6" t="s">
        <v>46</v>
      </c>
      <c r="L91" s="6" t="s">
        <v>580</v>
      </c>
      <c r="M91" s="6" t="s">
        <v>650</v>
      </c>
    </row>
    <row r="92" spans="1:13" ht="13" x14ac:dyDescent="0.15">
      <c r="A92" s="5" t="str">
        <f>HYPERLINK("https://onemount.atlassian.net/browse/DBA-5839","DBA-5839")</f>
        <v>DBA-5839</v>
      </c>
      <c r="B92" s="6" t="s">
        <v>21</v>
      </c>
      <c r="C92" s="6" t="s">
        <v>653</v>
      </c>
      <c r="D92" s="8" t="s">
        <v>17</v>
      </c>
      <c r="E92" s="6" t="s">
        <v>23</v>
      </c>
      <c r="F92" s="6" t="s">
        <v>24</v>
      </c>
      <c r="G92" s="6" t="s">
        <v>654</v>
      </c>
      <c r="H92" s="10">
        <v>46287</v>
      </c>
      <c r="I92" s="6" t="s">
        <v>656</v>
      </c>
      <c r="J92" s="6" t="s">
        <v>88</v>
      </c>
      <c r="K92" s="6" t="s">
        <v>59</v>
      </c>
      <c r="L92" s="6" t="s">
        <v>88</v>
      </c>
      <c r="M92" s="6" t="s">
        <v>658</v>
      </c>
    </row>
    <row r="93" spans="1:13" ht="13" x14ac:dyDescent="0.15">
      <c r="A93" s="5" t="str">
        <f>HYPERLINK("https://onemount.atlassian.net/browse/DBA-5838","DBA-5838")</f>
        <v>DBA-5838</v>
      </c>
      <c r="B93" s="6" t="s">
        <v>21</v>
      </c>
      <c r="C93" s="6" t="s">
        <v>660</v>
      </c>
      <c r="D93" s="8" t="s">
        <v>17</v>
      </c>
      <c r="E93" s="6" t="s">
        <v>23</v>
      </c>
      <c r="F93" s="6" t="s">
        <v>52</v>
      </c>
      <c r="G93" s="6" t="s">
        <v>662</v>
      </c>
      <c r="H93" s="10">
        <v>46286</v>
      </c>
      <c r="I93" s="6" t="s">
        <v>663</v>
      </c>
      <c r="J93" s="6" t="s">
        <v>93</v>
      </c>
      <c r="K93" s="6" t="s">
        <v>55</v>
      </c>
      <c r="L93" s="6" t="s">
        <v>93</v>
      </c>
      <c r="M93" s="6" t="s">
        <v>664</v>
      </c>
    </row>
    <row r="94" spans="1:13" ht="13" x14ac:dyDescent="0.15">
      <c r="A94" s="5" t="str">
        <f>HYPERLINK("https://onemount.atlassian.net/browse/DBA-5837","DBA-5837")</f>
        <v>DBA-5837</v>
      </c>
      <c r="B94" s="6" t="s">
        <v>21</v>
      </c>
      <c r="C94" s="6" t="s">
        <v>555</v>
      </c>
      <c r="D94" s="8" t="s">
        <v>17</v>
      </c>
      <c r="E94" s="6" t="s">
        <v>23</v>
      </c>
      <c r="F94" s="6" t="s">
        <v>31</v>
      </c>
      <c r="G94" s="6" t="s">
        <v>666</v>
      </c>
      <c r="H94" s="10">
        <v>46286</v>
      </c>
      <c r="I94" s="6" t="s">
        <v>667</v>
      </c>
      <c r="J94" s="6" t="s">
        <v>668</v>
      </c>
      <c r="K94" s="6" t="s">
        <v>35</v>
      </c>
      <c r="L94" s="6" t="s">
        <v>276</v>
      </c>
      <c r="M94" s="6" t="s">
        <v>669</v>
      </c>
    </row>
    <row r="95" spans="1:13" ht="13" x14ac:dyDescent="0.15">
      <c r="A95" s="5" t="str">
        <f>HYPERLINK("https://onemount.atlassian.net/browse/DBA-5836","DBA-5836")</f>
        <v>DBA-5836</v>
      </c>
      <c r="B95" s="6" t="s">
        <v>21</v>
      </c>
      <c r="C95" s="6" t="s">
        <v>673</v>
      </c>
      <c r="D95" s="8" t="s">
        <v>17</v>
      </c>
      <c r="E95" s="6" t="s">
        <v>23</v>
      </c>
      <c r="F95" s="6" t="s">
        <v>78</v>
      </c>
      <c r="G95" s="6" t="s">
        <v>674</v>
      </c>
      <c r="H95" s="10">
        <v>46287</v>
      </c>
      <c r="I95" s="6" t="s">
        <v>675</v>
      </c>
      <c r="J95" s="6" t="s">
        <v>72</v>
      </c>
      <c r="K95" s="6" t="s">
        <v>46</v>
      </c>
      <c r="L95" s="6" t="s">
        <v>72</v>
      </c>
      <c r="M95" s="6" t="s">
        <v>673</v>
      </c>
    </row>
    <row r="96" spans="1:13" ht="13" x14ac:dyDescent="0.15">
      <c r="A96" s="5" t="str">
        <f>HYPERLINK("https://onemount.atlassian.net/browse/DBA-5835","DBA-5835")</f>
        <v>DBA-5835</v>
      </c>
      <c r="B96" s="6" t="s">
        <v>21</v>
      </c>
      <c r="C96" s="6" t="s">
        <v>677</v>
      </c>
      <c r="D96" s="8" t="s">
        <v>17</v>
      </c>
      <c r="E96" s="6" t="s">
        <v>23</v>
      </c>
      <c r="F96" s="6" t="s">
        <v>52</v>
      </c>
      <c r="G96" s="6" t="s">
        <v>679</v>
      </c>
      <c r="H96" s="10">
        <v>46287</v>
      </c>
      <c r="I96" s="6" t="s">
        <v>680</v>
      </c>
      <c r="J96" s="6" t="s">
        <v>56</v>
      </c>
      <c r="K96" s="6" t="s">
        <v>55</v>
      </c>
      <c r="L96" s="6" t="s">
        <v>56</v>
      </c>
      <c r="M96" s="6" t="s">
        <v>681</v>
      </c>
    </row>
    <row r="97" spans="1:13" ht="13" x14ac:dyDescent="0.15">
      <c r="A97" s="5" t="str">
        <f>HYPERLINK("https://onemount.atlassian.net/browse/DBA-5834","DBA-5834")</f>
        <v>DBA-5834</v>
      </c>
      <c r="B97" s="6" t="s">
        <v>21</v>
      </c>
      <c r="C97" s="6" t="s">
        <v>683</v>
      </c>
      <c r="D97" s="8" t="s">
        <v>17</v>
      </c>
      <c r="E97" s="6" t="s">
        <v>23</v>
      </c>
      <c r="F97" s="6" t="s">
        <v>31</v>
      </c>
      <c r="G97" s="6" t="s">
        <v>684</v>
      </c>
      <c r="H97" s="10">
        <v>46287</v>
      </c>
      <c r="I97" s="6" t="s">
        <v>685</v>
      </c>
      <c r="J97" s="6" t="s">
        <v>35</v>
      </c>
      <c r="K97" s="6" t="s">
        <v>35</v>
      </c>
      <c r="L97" s="6" t="s">
        <v>129</v>
      </c>
      <c r="M97" s="6" t="s">
        <v>686</v>
      </c>
    </row>
    <row r="98" spans="1:13" ht="13" x14ac:dyDescent="0.15">
      <c r="A98" s="5" t="str">
        <f>HYPERLINK("https://onemount.atlassian.net/browse/DBA-5833","DBA-5833")</f>
        <v>DBA-5833</v>
      </c>
      <c r="B98" s="6" t="s">
        <v>21</v>
      </c>
      <c r="C98" s="6" t="s">
        <v>687</v>
      </c>
      <c r="D98" s="8" t="s">
        <v>17</v>
      </c>
      <c r="E98" s="6" t="s">
        <v>23</v>
      </c>
      <c r="F98" s="6" t="s">
        <v>52</v>
      </c>
      <c r="G98" s="6" t="s">
        <v>688</v>
      </c>
      <c r="H98" s="10">
        <v>46287</v>
      </c>
      <c r="I98" s="6" t="s">
        <v>689</v>
      </c>
      <c r="J98" s="6" t="s">
        <v>56</v>
      </c>
      <c r="K98" s="6" t="s">
        <v>55</v>
      </c>
      <c r="L98" s="6" t="s">
        <v>56</v>
      </c>
      <c r="M98" s="6" t="s">
        <v>691</v>
      </c>
    </row>
    <row r="99" spans="1:13" ht="13" x14ac:dyDescent="0.15">
      <c r="A99" s="5" t="str">
        <f>HYPERLINK("https://onemount.atlassian.net/browse/DBA-5832","DBA-5832")</f>
        <v>DBA-5832</v>
      </c>
      <c r="B99" s="6" t="s">
        <v>21</v>
      </c>
      <c r="C99" s="6" t="s">
        <v>694</v>
      </c>
      <c r="D99" s="14" t="s">
        <v>19</v>
      </c>
      <c r="E99" s="6" t="s">
        <v>23</v>
      </c>
      <c r="F99" s="6" t="s">
        <v>41</v>
      </c>
      <c r="G99" s="6" t="s">
        <v>695</v>
      </c>
      <c r="H99" s="6" t="s">
        <v>43</v>
      </c>
      <c r="I99" s="6" t="s">
        <v>44</v>
      </c>
      <c r="J99" s="6" t="s">
        <v>696</v>
      </c>
      <c r="K99" s="6" t="s">
        <v>72</v>
      </c>
      <c r="L99" s="6" t="s">
        <v>169</v>
      </c>
      <c r="M99" s="6" t="s">
        <v>699</v>
      </c>
    </row>
    <row r="100" spans="1:13" ht="13" x14ac:dyDescent="0.15">
      <c r="A100" s="5" t="str">
        <f>HYPERLINK("https://onemount.atlassian.net/browse/DBA-5831","DBA-5831")</f>
        <v>DBA-5831</v>
      </c>
      <c r="B100" s="6" t="s">
        <v>21</v>
      </c>
      <c r="C100" s="6" t="s">
        <v>701</v>
      </c>
      <c r="D100" s="8" t="s">
        <v>17</v>
      </c>
      <c r="E100" s="6" t="s">
        <v>23</v>
      </c>
      <c r="F100" s="6" t="s">
        <v>31</v>
      </c>
      <c r="G100" s="6" t="s">
        <v>702</v>
      </c>
      <c r="H100" s="10">
        <v>46287</v>
      </c>
      <c r="I100" s="6" t="s">
        <v>703</v>
      </c>
      <c r="J100" s="6" t="s">
        <v>35</v>
      </c>
      <c r="K100" s="6" t="s">
        <v>35</v>
      </c>
      <c r="L100" s="6" t="s">
        <v>129</v>
      </c>
      <c r="M100" s="6" t="s">
        <v>706</v>
      </c>
    </row>
    <row r="101" spans="1:13" ht="13" x14ac:dyDescent="0.15">
      <c r="A101" s="5" t="str">
        <f>HYPERLINK("https://onemount.atlassian.net/browse/DBA-5830","DBA-5830")</f>
        <v>DBA-5830</v>
      </c>
      <c r="B101" s="6" t="s">
        <v>21</v>
      </c>
      <c r="C101" s="6" t="s">
        <v>709</v>
      </c>
      <c r="D101" s="8" t="s">
        <v>17</v>
      </c>
      <c r="E101" s="6" t="s">
        <v>23</v>
      </c>
      <c r="F101" s="6" t="s">
        <v>24</v>
      </c>
      <c r="G101" s="6" t="s">
        <v>710</v>
      </c>
      <c r="H101" s="10">
        <v>46287</v>
      </c>
      <c r="I101" s="6" t="s">
        <v>711</v>
      </c>
      <c r="J101" s="6" t="s">
        <v>270</v>
      </c>
      <c r="K101" s="6" t="s">
        <v>55</v>
      </c>
      <c r="L101" s="6" t="s">
        <v>270</v>
      </c>
      <c r="M101" s="6" t="s">
        <v>714</v>
      </c>
    </row>
    <row r="102" spans="1:13" ht="13" x14ac:dyDescent="0.15">
      <c r="A102" s="5" t="str">
        <f>HYPERLINK("https://onemount.atlassian.net/browse/DBA-5829","DBA-5829")</f>
        <v>DBA-5829</v>
      </c>
      <c r="B102" s="6" t="s">
        <v>21</v>
      </c>
      <c r="C102" s="6" t="s">
        <v>717</v>
      </c>
      <c r="D102" s="8" t="s">
        <v>17</v>
      </c>
      <c r="E102" s="6" t="s">
        <v>23</v>
      </c>
      <c r="F102" s="6" t="s">
        <v>24</v>
      </c>
      <c r="G102" s="6" t="s">
        <v>718</v>
      </c>
      <c r="H102" s="10">
        <v>46287</v>
      </c>
      <c r="I102" s="6" t="s">
        <v>720</v>
      </c>
      <c r="J102" s="6" t="s">
        <v>224</v>
      </c>
      <c r="K102" s="6" t="s">
        <v>165</v>
      </c>
      <c r="L102" s="6" t="s">
        <v>72</v>
      </c>
      <c r="M102" s="6" t="s">
        <v>722</v>
      </c>
    </row>
    <row r="103" spans="1:13" ht="13" x14ac:dyDescent="0.15">
      <c r="A103" s="5" t="str">
        <f>HYPERLINK("https://onemount.atlassian.net/browse/DBA-5828","DBA-5828")</f>
        <v>DBA-5828</v>
      </c>
      <c r="B103" s="6" t="s">
        <v>21</v>
      </c>
      <c r="C103" s="6" t="s">
        <v>724</v>
      </c>
      <c r="D103" s="8" t="s">
        <v>17</v>
      </c>
      <c r="E103" s="6" t="s">
        <v>23</v>
      </c>
      <c r="F103" s="6" t="s">
        <v>31</v>
      </c>
      <c r="G103" s="6" t="s">
        <v>725</v>
      </c>
      <c r="H103" s="10">
        <v>46284</v>
      </c>
      <c r="I103" s="6" t="s">
        <v>726</v>
      </c>
      <c r="J103" s="6" t="s">
        <v>246</v>
      </c>
      <c r="K103" s="6" t="s">
        <v>35</v>
      </c>
      <c r="L103" s="6" t="s">
        <v>36</v>
      </c>
      <c r="M103" s="6" t="s">
        <v>729</v>
      </c>
    </row>
    <row r="104" spans="1:13" ht="13" x14ac:dyDescent="0.15">
      <c r="A104" s="5" t="str">
        <f>HYPERLINK("https://onemount.atlassian.net/browse/DBA-5827","DBA-5827")</f>
        <v>DBA-5827</v>
      </c>
      <c r="B104" s="6" t="s">
        <v>21</v>
      </c>
      <c r="C104" s="6" t="s">
        <v>732</v>
      </c>
      <c r="D104" s="8" t="s">
        <v>17</v>
      </c>
      <c r="E104" s="6" t="s">
        <v>23</v>
      </c>
      <c r="F104" s="6" t="s">
        <v>52</v>
      </c>
      <c r="G104" s="6" t="s">
        <v>733</v>
      </c>
      <c r="H104" s="10">
        <v>46284</v>
      </c>
      <c r="I104" s="6" t="s">
        <v>734</v>
      </c>
      <c r="J104" s="6" t="s">
        <v>93</v>
      </c>
      <c r="K104" s="6" t="s">
        <v>55</v>
      </c>
      <c r="L104" s="6" t="s">
        <v>93</v>
      </c>
      <c r="M104" s="6" t="s">
        <v>736</v>
      </c>
    </row>
    <row r="105" spans="1:13" ht="13" x14ac:dyDescent="0.15">
      <c r="A105" s="5" t="str">
        <f>HYPERLINK("https://onemount.atlassian.net/browse/DBA-5826","DBA-5826")</f>
        <v>DBA-5826</v>
      </c>
      <c r="B105" s="6" t="s">
        <v>21</v>
      </c>
      <c r="C105" s="6" t="s">
        <v>740</v>
      </c>
      <c r="D105" s="8" t="s">
        <v>17</v>
      </c>
      <c r="E105" s="6" t="s">
        <v>23</v>
      </c>
      <c r="F105" s="6" t="s">
        <v>52</v>
      </c>
      <c r="G105" s="6" t="s">
        <v>741</v>
      </c>
      <c r="H105" s="10">
        <v>46284</v>
      </c>
      <c r="I105" s="6" t="s">
        <v>742</v>
      </c>
      <c r="J105" s="6" t="s">
        <v>224</v>
      </c>
      <c r="K105" s="6" t="s">
        <v>165</v>
      </c>
      <c r="L105" s="6" t="s">
        <v>72</v>
      </c>
      <c r="M105" s="6" t="s">
        <v>744</v>
      </c>
    </row>
    <row r="106" spans="1:13" ht="13" x14ac:dyDescent="0.15">
      <c r="A106" s="5" t="str">
        <f>HYPERLINK("https://onemount.atlassian.net/browse/DBA-5825","DBA-5825")</f>
        <v>DBA-5825</v>
      </c>
      <c r="B106" s="6" t="s">
        <v>21</v>
      </c>
      <c r="C106" s="6" t="s">
        <v>481</v>
      </c>
      <c r="D106" s="8" t="s">
        <v>17</v>
      </c>
      <c r="E106" s="6" t="s">
        <v>23</v>
      </c>
      <c r="F106" s="6" t="s">
        <v>24</v>
      </c>
      <c r="G106" s="6" t="s">
        <v>746</v>
      </c>
      <c r="H106" s="10">
        <v>46284</v>
      </c>
      <c r="I106" s="6" t="s">
        <v>747</v>
      </c>
      <c r="J106" s="6" t="s">
        <v>88</v>
      </c>
      <c r="K106" s="6" t="s">
        <v>59</v>
      </c>
      <c r="L106" s="6" t="s">
        <v>88</v>
      </c>
      <c r="M106" s="6" t="s">
        <v>748</v>
      </c>
    </row>
    <row r="107" spans="1:13" ht="13" x14ac:dyDescent="0.15">
      <c r="A107" s="5" t="str">
        <f>HYPERLINK("https://onemount.atlassian.net/browse/DBA-5824","DBA-5824")</f>
        <v>DBA-5824</v>
      </c>
      <c r="B107" s="6" t="s">
        <v>21</v>
      </c>
      <c r="C107" s="6" t="s">
        <v>750</v>
      </c>
      <c r="D107" s="8" t="s">
        <v>17</v>
      </c>
      <c r="E107" s="6" t="s">
        <v>23</v>
      </c>
      <c r="F107" s="6" t="s">
        <v>52</v>
      </c>
      <c r="G107" s="6" t="s">
        <v>751</v>
      </c>
      <c r="H107" s="10">
        <v>46285</v>
      </c>
      <c r="I107" s="6" t="s">
        <v>752</v>
      </c>
      <c r="J107" s="6" t="s">
        <v>55</v>
      </c>
      <c r="K107" s="6" t="s">
        <v>55</v>
      </c>
      <c r="L107" s="6" t="s">
        <v>254</v>
      </c>
      <c r="M107" s="6" t="s">
        <v>753</v>
      </c>
    </row>
    <row r="108" spans="1:13" ht="13" x14ac:dyDescent="0.15">
      <c r="A108" s="5" t="str">
        <f>HYPERLINK("https://onemount.atlassian.net/browse/DBA-5823","DBA-5823")</f>
        <v>DBA-5823</v>
      </c>
      <c r="B108" s="6" t="s">
        <v>21</v>
      </c>
      <c r="C108" s="6" t="s">
        <v>755</v>
      </c>
      <c r="D108" s="8" t="s">
        <v>17</v>
      </c>
      <c r="E108" s="6" t="s">
        <v>23</v>
      </c>
      <c r="F108" s="6" t="s">
        <v>52</v>
      </c>
      <c r="G108" s="6" t="s">
        <v>757</v>
      </c>
      <c r="H108" s="10">
        <v>46285</v>
      </c>
      <c r="I108" s="6" t="s">
        <v>758</v>
      </c>
      <c r="J108" s="6" t="s">
        <v>759</v>
      </c>
      <c r="K108" s="6" t="s">
        <v>137</v>
      </c>
      <c r="L108" s="6" t="s">
        <v>222</v>
      </c>
      <c r="M108" s="6" t="s">
        <v>761</v>
      </c>
    </row>
    <row r="109" spans="1:13" ht="13" x14ac:dyDescent="0.15">
      <c r="A109" s="5" t="str">
        <f>HYPERLINK("https://onemount.atlassian.net/browse/DBA-5822","DBA-5822")</f>
        <v>DBA-5822</v>
      </c>
      <c r="B109" s="6" t="s">
        <v>21</v>
      </c>
      <c r="C109" s="6" t="s">
        <v>763</v>
      </c>
      <c r="D109" s="8" t="s">
        <v>17</v>
      </c>
      <c r="E109" s="6" t="s">
        <v>23</v>
      </c>
      <c r="F109" s="6" t="s">
        <v>24</v>
      </c>
      <c r="G109" s="6" t="s">
        <v>764</v>
      </c>
      <c r="H109" s="10">
        <v>46284</v>
      </c>
      <c r="I109" s="6" t="s">
        <v>766</v>
      </c>
      <c r="J109" s="6" t="s">
        <v>580</v>
      </c>
      <c r="K109" s="6" t="s">
        <v>46</v>
      </c>
      <c r="L109" s="6" t="s">
        <v>580</v>
      </c>
      <c r="M109" s="6" t="s">
        <v>767</v>
      </c>
    </row>
    <row r="110" spans="1:13" ht="13" x14ac:dyDescent="0.15">
      <c r="A110" s="5" t="str">
        <f>HYPERLINK("https://onemount.atlassian.net/browse/DBA-5821","DBA-5821")</f>
        <v>DBA-5821</v>
      </c>
      <c r="B110" s="6" t="s">
        <v>21</v>
      </c>
      <c r="C110" s="6" t="s">
        <v>768</v>
      </c>
      <c r="D110" s="8" t="s">
        <v>17</v>
      </c>
      <c r="E110" s="6" t="s">
        <v>23</v>
      </c>
      <c r="F110" s="6" t="s">
        <v>24</v>
      </c>
      <c r="G110" s="6" t="s">
        <v>769</v>
      </c>
      <c r="H110" s="10">
        <v>46283</v>
      </c>
      <c r="I110" s="6" t="s">
        <v>771</v>
      </c>
      <c r="J110" s="6" t="s">
        <v>88</v>
      </c>
      <c r="K110" s="6" t="s">
        <v>59</v>
      </c>
      <c r="L110" s="6" t="s">
        <v>88</v>
      </c>
      <c r="M110" s="6" t="s">
        <v>773</v>
      </c>
    </row>
    <row r="111" spans="1:13" ht="13" x14ac:dyDescent="0.15">
      <c r="A111" s="5" t="str">
        <f>HYPERLINK("https://onemount.atlassian.net/browse/DBA-5820","DBA-5820")</f>
        <v>DBA-5820</v>
      </c>
      <c r="B111" s="6" t="s">
        <v>21</v>
      </c>
      <c r="C111" s="6" t="s">
        <v>775</v>
      </c>
      <c r="D111" s="8" t="s">
        <v>17</v>
      </c>
      <c r="E111" s="6" t="s">
        <v>23</v>
      </c>
      <c r="F111" s="6" t="s">
        <v>24</v>
      </c>
      <c r="G111" s="6" t="s">
        <v>776</v>
      </c>
      <c r="H111" s="10">
        <v>46283</v>
      </c>
      <c r="I111" s="6" t="s">
        <v>777</v>
      </c>
      <c r="J111" s="6" t="s">
        <v>88</v>
      </c>
      <c r="K111" s="6" t="s">
        <v>59</v>
      </c>
      <c r="L111" s="6" t="s">
        <v>88</v>
      </c>
      <c r="M111" s="6" t="s">
        <v>780</v>
      </c>
    </row>
    <row r="112" spans="1:13" ht="13" x14ac:dyDescent="0.15">
      <c r="A112" s="5" t="str">
        <f>HYPERLINK("https://onemount.atlassian.net/browse/DBA-5819","DBA-5819")</f>
        <v>DBA-5819</v>
      </c>
      <c r="B112" s="6" t="s">
        <v>21</v>
      </c>
      <c r="C112" s="6" t="s">
        <v>781</v>
      </c>
      <c r="D112" s="8" t="s">
        <v>17</v>
      </c>
      <c r="E112" s="6" t="s">
        <v>23</v>
      </c>
      <c r="F112" s="6" t="s">
        <v>24</v>
      </c>
      <c r="G112" s="6" t="s">
        <v>783</v>
      </c>
      <c r="H112" s="10">
        <v>46284</v>
      </c>
      <c r="I112" s="6" t="s">
        <v>784</v>
      </c>
      <c r="J112" s="6" t="s">
        <v>144</v>
      </c>
      <c r="K112" s="6" t="s">
        <v>46</v>
      </c>
      <c r="L112" s="6" t="s">
        <v>145</v>
      </c>
      <c r="M112" s="6" t="s">
        <v>786</v>
      </c>
    </row>
    <row r="113" spans="1:13" ht="13" x14ac:dyDescent="0.15">
      <c r="A113" s="5" t="str">
        <f>HYPERLINK("https://onemount.atlassian.net/browse/DBA-5818","DBA-5818")</f>
        <v>DBA-5818</v>
      </c>
      <c r="B113" s="6" t="s">
        <v>21</v>
      </c>
      <c r="C113" s="6" t="s">
        <v>789</v>
      </c>
      <c r="D113" s="8" t="s">
        <v>17</v>
      </c>
      <c r="E113" s="6" t="s">
        <v>23</v>
      </c>
      <c r="F113" s="6" t="s">
        <v>31</v>
      </c>
      <c r="G113" s="6" t="s">
        <v>790</v>
      </c>
      <c r="H113" s="10">
        <v>46284</v>
      </c>
      <c r="I113" s="6" t="s">
        <v>791</v>
      </c>
      <c r="J113" s="6" t="s">
        <v>35</v>
      </c>
      <c r="K113" s="6" t="s">
        <v>35</v>
      </c>
      <c r="L113" s="6" t="s">
        <v>129</v>
      </c>
      <c r="M113" s="6" t="s">
        <v>792</v>
      </c>
    </row>
    <row r="114" spans="1:13" ht="13" x14ac:dyDescent="0.15">
      <c r="A114" s="5" t="str">
        <f>HYPERLINK("https://onemount.atlassian.net/browse/DBA-5817","DBA-5817")</f>
        <v>DBA-5817</v>
      </c>
      <c r="B114" s="6" t="s">
        <v>21</v>
      </c>
      <c r="C114" s="6" t="s">
        <v>795</v>
      </c>
      <c r="D114" s="8" t="s">
        <v>17</v>
      </c>
      <c r="E114" s="6" t="s">
        <v>23</v>
      </c>
      <c r="F114" s="6" t="s">
        <v>31</v>
      </c>
      <c r="G114" s="6" t="s">
        <v>796</v>
      </c>
      <c r="H114" s="10">
        <v>46284</v>
      </c>
      <c r="I114" s="6" t="s">
        <v>797</v>
      </c>
      <c r="J114" s="6" t="s">
        <v>246</v>
      </c>
      <c r="K114" s="6" t="s">
        <v>35</v>
      </c>
      <c r="L114" s="6" t="s">
        <v>36</v>
      </c>
      <c r="M114" s="6" t="s">
        <v>798</v>
      </c>
    </row>
    <row r="115" spans="1:13" ht="13" x14ac:dyDescent="0.15">
      <c r="A115" s="5" t="str">
        <f>HYPERLINK("https://onemount.atlassian.net/browse/DBA-5816","DBA-5816")</f>
        <v>DBA-5816</v>
      </c>
      <c r="B115" s="6" t="s">
        <v>21</v>
      </c>
      <c r="C115" s="6" t="s">
        <v>801</v>
      </c>
      <c r="D115" s="8" t="s">
        <v>17</v>
      </c>
      <c r="E115" s="6" t="s">
        <v>23</v>
      </c>
      <c r="F115" s="6" t="s">
        <v>41</v>
      </c>
      <c r="G115" s="6" t="s">
        <v>803</v>
      </c>
      <c r="H115" s="10">
        <v>46284</v>
      </c>
      <c r="I115" s="6" t="s">
        <v>804</v>
      </c>
      <c r="J115" s="6" t="s">
        <v>805</v>
      </c>
      <c r="K115" s="6" t="s">
        <v>28</v>
      </c>
      <c r="L115" s="6" t="s">
        <v>807</v>
      </c>
      <c r="M115" s="6" t="s">
        <v>808</v>
      </c>
    </row>
    <row r="116" spans="1:13" ht="13" x14ac:dyDescent="0.15">
      <c r="A116" s="5" t="str">
        <f>HYPERLINK("https://onemount.atlassian.net/browse/DBA-5815","DBA-5815")</f>
        <v>DBA-5815</v>
      </c>
      <c r="B116" s="6" t="s">
        <v>21</v>
      </c>
      <c r="C116" s="6" t="s">
        <v>810</v>
      </c>
      <c r="D116" s="8" t="s">
        <v>17</v>
      </c>
      <c r="E116" s="6" t="s">
        <v>23</v>
      </c>
      <c r="F116" s="6" t="s">
        <v>52</v>
      </c>
      <c r="G116" s="6" t="s">
        <v>811</v>
      </c>
      <c r="H116" s="10">
        <v>46284</v>
      </c>
      <c r="I116" s="6" t="s">
        <v>812</v>
      </c>
      <c r="J116" s="6" t="s">
        <v>813</v>
      </c>
      <c r="K116" s="6" t="s">
        <v>55</v>
      </c>
      <c r="L116" s="6" t="s">
        <v>704</v>
      </c>
      <c r="M116" s="6" t="s">
        <v>815</v>
      </c>
    </row>
    <row r="117" spans="1:13" ht="13" x14ac:dyDescent="0.15">
      <c r="A117" s="5" t="str">
        <f>HYPERLINK("https://onemount.atlassian.net/browse/DBA-5814","DBA-5814")</f>
        <v>DBA-5814</v>
      </c>
      <c r="B117" s="6" t="s">
        <v>21</v>
      </c>
      <c r="C117" s="6" t="s">
        <v>740</v>
      </c>
      <c r="D117" s="8" t="s">
        <v>17</v>
      </c>
      <c r="E117" s="6" t="s">
        <v>23</v>
      </c>
      <c r="F117" s="6" t="s">
        <v>24</v>
      </c>
      <c r="G117" s="6" t="s">
        <v>817</v>
      </c>
      <c r="H117" s="10">
        <v>46283</v>
      </c>
      <c r="I117" s="6" t="s">
        <v>818</v>
      </c>
      <c r="J117" s="6" t="s">
        <v>224</v>
      </c>
      <c r="K117" s="6" t="s">
        <v>165</v>
      </c>
      <c r="L117" s="6" t="s">
        <v>72</v>
      </c>
      <c r="M117" s="6" t="s">
        <v>819</v>
      </c>
    </row>
    <row r="118" spans="1:13" ht="13" x14ac:dyDescent="0.15">
      <c r="A118" s="5" t="str">
        <f>HYPERLINK("https://onemount.atlassian.net/browse/DBA-5813","DBA-5813")</f>
        <v>DBA-5813</v>
      </c>
      <c r="B118" s="6" t="s">
        <v>21</v>
      </c>
      <c r="C118" s="6" t="s">
        <v>824</v>
      </c>
      <c r="D118" s="8" t="s">
        <v>17</v>
      </c>
      <c r="E118" s="6" t="s">
        <v>23</v>
      </c>
      <c r="F118" s="6" t="s">
        <v>24</v>
      </c>
      <c r="G118" s="6" t="s">
        <v>825</v>
      </c>
      <c r="H118" s="10">
        <v>46283</v>
      </c>
      <c r="I118" s="6" t="s">
        <v>826</v>
      </c>
      <c r="J118" s="6" t="s">
        <v>144</v>
      </c>
      <c r="K118" s="6" t="s">
        <v>46</v>
      </c>
      <c r="L118" s="6" t="s">
        <v>145</v>
      </c>
      <c r="M118" s="6" t="s">
        <v>829</v>
      </c>
    </row>
    <row r="119" spans="1:13" ht="13" x14ac:dyDescent="0.15">
      <c r="A119" s="5" t="str">
        <f>HYPERLINK("https://onemount.atlassian.net/browse/DBA-5812","DBA-5812")</f>
        <v>DBA-5812</v>
      </c>
      <c r="B119" s="6" t="s">
        <v>21</v>
      </c>
      <c r="C119" s="6" t="s">
        <v>831</v>
      </c>
      <c r="D119" s="8" t="s">
        <v>17</v>
      </c>
      <c r="E119" s="6" t="s">
        <v>23</v>
      </c>
      <c r="F119" s="6" t="s">
        <v>24</v>
      </c>
      <c r="G119" s="6" t="s">
        <v>832</v>
      </c>
      <c r="H119" s="10">
        <v>46284</v>
      </c>
      <c r="I119" s="6" t="s">
        <v>833</v>
      </c>
      <c r="J119" s="6" t="s">
        <v>56</v>
      </c>
      <c r="K119" s="6" t="s">
        <v>55</v>
      </c>
      <c r="L119" s="6" t="s">
        <v>56</v>
      </c>
      <c r="M119" s="6" t="s">
        <v>834</v>
      </c>
    </row>
    <row r="120" spans="1:13" ht="13" x14ac:dyDescent="0.15">
      <c r="A120" s="5" t="str">
        <f>HYPERLINK("https://onemount.atlassian.net/browse/DBA-5811","DBA-5811")</f>
        <v>DBA-5811</v>
      </c>
      <c r="B120" s="6" t="s">
        <v>21</v>
      </c>
      <c r="C120" s="6" t="s">
        <v>837</v>
      </c>
      <c r="D120" s="8" t="s">
        <v>17</v>
      </c>
      <c r="E120" s="6" t="s">
        <v>23</v>
      </c>
      <c r="F120" s="6" t="s">
        <v>24</v>
      </c>
      <c r="G120" s="6" t="s">
        <v>839</v>
      </c>
      <c r="H120" s="10">
        <v>46285</v>
      </c>
      <c r="I120" s="6" t="s">
        <v>840</v>
      </c>
      <c r="J120" s="6" t="s">
        <v>270</v>
      </c>
      <c r="K120" s="6" t="s">
        <v>55</v>
      </c>
      <c r="L120" s="6" t="s">
        <v>270</v>
      </c>
      <c r="M120" s="6" t="s">
        <v>842</v>
      </c>
    </row>
    <row r="121" spans="1:13" ht="13" x14ac:dyDescent="0.15">
      <c r="A121" s="5" t="str">
        <f>HYPERLINK("https://onemount.atlassian.net/browse/DBA-5810","DBA-5810")</f>
        <v>DBA-5810</v>
      </c>
      <c r="B121" s="6" t="s">
        <v>21</v>
      </c>
      <c r="C121" s="6" t="s">
        <v>845</v>
      </c>
      <c r="D121" s="8" t="s">
        <v>17</v>
      </c>
      <c r="E121" s="6" t="s">
        <v>23</v>
      </c>
      <c r="F121" s="6" t="s">
        <v>24</v>
      </c>
      <c r="G121" s="6" t="s">
        <v>846</v>
      </c>
      <c r="H121" s="10">
        <v>46283</v>
      </c>
      <c r="I121" s="6" t="s">
        <v>847</v>
      </c>
      <c r="J121" s="6" t="s">
        <v>165</v>
      </c>
      <c r="K121" s="6" t="s">
        <v>165</v>
      </c>
      <c r="L121" s="6" t="s">
        <v>849</v>
      </c>
      <c r="M121" s="6" t="s">
        <v>854</v>
      </c>
    </row>
    <row r="122" spans="1:13" ht="13" x14ac:dyDescent="0.15">
      <c r="A122" s="5" t="str">
        <f>HYPERLINK("https://onemount.atlassian.net/browse/DBA-5809","DBA-5809")</f>
        <v>DBA-5809</v>
      </c>
      <c r="B122" s="6" t="s">
        <v>21</v>
      </c>
      <c r="C122" s="6" t="s">
        <v>858</v>
      </c>
      <c r="D122" s="8" t="s">
        <v>17</v>
      </c>
      <c r="E122" s="6" t="s">
        <v>23</v>
      </c>
      <c r="F122" s="6" t="s">
        <v>31</v>
      </c>
      <c r="G122" s="6" t="s">
        <v>860</v>
      </c>
      <c r="H122" s="10">
        <v>46282</v>
      </c>
      <c r="I122" s="6" t="s">
        <v>861</v>
      </c>
      <c r="J122" s="6" t="s">
        <v>181</v>
      </c>
      <c r="K122" s="6" t="s">
        <v>35</v>
      </c>
      <c r="L122" s="6" t="s">
        <v>181</v>
      </c>
      <c r="M122" s="6" t="s">
        <v>862</v>
      </c>
    </row>
    <row r="123" spans="1:13" ht="13" x14ac:dyDescent="0.15">
      <c r="A123" s="5" t="str">
        <f>HYPERLINK("https://onemount.atlassian.net/browse/DBA-5808","DBA-5808")</f>
        <v>DBA-5808</v>
      </c>
      <c r="B123" s="6" t="s">
        <v>21</v>
      </c>
      <c r="C123" s="6" t="s">
        <v>865</v>
      </c>
      <c r="D123" s="8" t="s">
        <v>17</v>
      </c>
      <c r="E123" s="6" t="s">
        <v>23</v>
      </c>
      <c r="F123" s="6" t="s">
        <v>52</v>
      </c>
      <c r="G123" s="6" t="s">
        <v>866</v>
      </c>
      <c r="H123" s="10">
        <v>46283</v>
      </c>
      <c r="I123" s="6" t="s">
        <v>867</v>
      </c>
      <c r="J123" s="6" t="s">
        <v>56</v>
      </c>
      <c r="K123" s="6" t="s">
        <v>55</v>
      </c>
      <c r="L123" s="6" t="s">
        <v>56</v>
      </c>
      <c r="M123" s="6" t="s">
        <v>868</v>
      </c>
    </row>
    <row r="124" spans="1:13" ht="13" x14ac:dyDescent="0.15">
      <c r="A124" s="5" t="str">
        <f>HYPERLINK("https://onemount.atlassian.net/browse/DBA-5807","DBA-5807")</f>
        <v>DBA-5807</v>
      </c>
      <c r="B124" s="6" t="s">
        <v>21</v>
      </c>
      <c r="C124" s="6" t="s">
        <v>870</v>
      </c>
      <c r="D124" s="8" t="s">
        <v>17</v>
      </c>
      <c r="E124" s="6" t="s">
        <v>23</v>
      </c>
      <c r="F124" s="6" t="s">
        <v>24</v>
      </c>
      <c r="G124" s="6" t="s">
        <v>871</v>
      </c>
      <c r="H124" s="10">
        <v>46282</v>
      </c>
      <c r="I124" s="6" t="s">
        <v>872</v>
      </c>
      <c r="J124" s="6" t="s">
        <v>156</v>
      </c>
      <c r="K124" s="6" t="s">
        <v>46</v>
      </c>
      <c r="L124" s="6" t="s">
        <v>156</v>
      </c>
      <c r="M124" s="6" t="s">
        <v>874</v>
      </c>
    </row>
    <row r="125" spans="1:13" ht="13" x14ac:dyDescent="0.15">
      <c r="A125" s="5" t="str">
        <f>HYPERLINK("https://onemount.atlassian.net/browse/DBA-5806","DBA-5806")</f>
        <v>DBA-5806</v>
      </c>
      <c r="B125" s="6" t="s">
        <v>21</v>
      </c>
      <c r="C125" s="6" t="s">
        <v>875</v>
      </c>
      <c r="D125" s="8" t="s">
        <v>17</v>
      </c>
      <c r="E125" s="6" t="s">
        <v>23</v>
      </c>
      <c r="F125" s="6" t="s">
        <v>52</v>
      </c>
      <c r="G125" s="6" t="s">
        <v>876</v>
      </c>
      <c r="H125" s="10">
        <v>46281</v>
      </c>
      <c r="I125" s="6" t="s">
        <v>877</v>
      </c>
      <c r="J125" s="6" t="s">
        <v>118</v>
      </c>
      <c r="K125" s="6" t="s">
        <v>35</v>
      </c>
      <c r="L125" s="6" t="s">
        <v>119</v>
      </c>
      <c r="M125" s="6" t="s">
        <v>880</v>
      </c>
    </row>
    <row r="126" spans="1:13" ht="13" x14ac:dyDescent="0.15">
      <c r="A126" s="5" t="str">
        <f>HYPERLINK("https://onemount.atlassian.net/browse/DBA-5805","DBA-5805")</f>
        <v>DBA-5805</v>
      </c>
      <c r="B126" s="6" t="s">
        <v>21</v>
      </c>
      <c r="C126" s="6" t="s">
        <v>882</v>
      </c>
      <c r="D126" s="8" t="s">
        <v>17</v>
      </c>
      <c r="E126" s="6" t="s">
        <v>23</v>
      </c>
      <c r="F126" s="6" t="s">
        <v>52</v>
      </c>
      <c r="G126" s="6" t="s">
        <v>884</v>
      </c>
      <c r="H126" s="10">
        <v>46281</v>
      </c>
      <c r="I126" s="6" t="s">
        <v>885</v>
      </c>
      <c r="J126" s="6" t="s">
        <v>93</v>
      </c>
      <c r="K126" s="6" t="s">
        <v>55</v>
      </c>
      <c r="L126" s="6" t="s">
        <v>93</v>
      </c>
      <c r="M126" s="6" t="s">
        <v>886</v>
      </c>
    </row>
    <row r="127" spans="1:13" ht="13" x14ac:dyDescent="0.15">
      <c r="A127" s="5" t="str">
        <f>HYPERLINK("https://onemount.atlassian.net/browse/DBA-5804","DBA-5804")</f>
        <v>DBA-5804</v>
      </c>
      <c r="B127" s="6" t="s">
        <v>21</v>
      </c>
      <c r="C127" s="6" t="s">
        <v>845</v>
      </c>
      <c r="D127" s="8" t="s">
        <v>17</v>
      </c>
      <c r="E127" s="6" t="s">
        <v>23</v>
      </c>
      <c r="F127" s="6" t="s">
        <v>24</v>
      </c>
      <c r="G127" s="6" t="s">
        <v>889</v>
      </c>
      <c r="H127" s="10">
        <v>46281</v>
      </c>
      <c r="I127" s="6" t="s">
        <v>890</v>
      </c>
      <c r="J127" s="6" t="s">
        <v>529</v>
      </c>
      <c r="K127" s="6" t="s">
        <v>46</v>
      </c>
      <c r="L127" s="6" t="s">
        <v>529</v>
      </c>
      <c r="M127" s="6" t="s">
        <v>892</v>
      </c>
    </row>
    <row r="128" spans="1:13" ht="13" x14ac:dyDescent="0.15">
      <c r="A128" s="5" t="str">
        <f>HYPERLINK("https://onemount.atlassian.net/browse/DBA-5803","DBA-5803")</f>
        <v>DBA-5803</v>
      </c>
      <c r="B128" s="6" t="s">
        <v>21</v>
      </c>
      <c r="C128" s="6" t="s">
        <v>894</v>
      </c>
      <c r="D128" s="8" t="s">
        <v>17</v>
      </c>
      <c r="E128" s="6" t="s">
        <v>23</v>
      </c>
      <c r="F128" s="6" t="s">
        <v>52</v>
      </c>
      <c r="G128" s="6" t="s">
        <v>896</v>
      </c>
      <c r="H128" s="10">
        <v>46282</v>
      </c>
      <c r="I128" s="6" t="s">
        <v>898</v>
      </c>
      <c r="J128" s="6" t="s">
        <v>270</v>
      </c>
      <c r="K128" s="6" t="s">
        <v>46</v>
      </c>
      <c r="L128" s="6" t="s">
        <v>270</v>
      </c>
      <c r="M128" s="6" t="s">
        <v>899</v>
      </c>
    </row>
    <row r="129" spans="1:13" ht="13" x14ac:dyDescent="0.15">
      <c r="A129" s="5" t="str">
        <f>HYPERLINK("https://onemount.atlassian.net/browse/DBA-5802","DBA-5802")</f>
        <v>DBA-5802</v>
      </c>
      <c r="B129" s="6" t="s">
        <v>21</v>
      </c>
      <c r="C129" s="6" t="s">
        <v>902</v>
      </c>
      <c r="D129" s="8" t="s">
        <v>17</v>
      </c>
      <c r="E129" s="6" t="s">
        <v>23</v>
      </c>
      <c r="F129" s="6" t="s">
        <v>31</v>
      </c>
      <c r="G129" s="6" t="s">
        <v>903</v>
      </c>
      <c r="H129" s="10">
        <v>46281</v>
      </c>
      <c r="I129" s="6" t="s">
        <v>904</v>
      </c>
      <c r="J129" s="6" t="s">
        <v>34</v>
      </c>
      <c r="K129" s="6" t="s">
        <v>35</v>
      </c>
      <c r="L129" s="6" t="s">
        <v>905</v>
      </c>
      <c r="M129" s="6" t="s">
        <v>907</v>
      </c>
    </row>
    <row r="130" spans="1:13" ht="13" x14ac:dyDescent="0.15">
      <c r="A130" s="5" t="str">
        <f>HYPERLINK("https://onemount.atlassian.net/browse/DBA-5801","DBA-5801")</f>
        <v>DBA-5801</v>
      </c>
      <c r="B130" s="6" t="s">
        <v>21</v>
      </c>
      <c r="C130" s="6" t="s">
        <v>909</v>
      </c>
      <c r="D130" s="8" t="s">
        <v>17</v>
      </c>
      <c r="E130" s="6" t="s">
        <v>23</v>
      </c>
      <c r="F130" s="6" t="s">
        <v>52</v>
      </c>
      <c r="G130" s="6" t="s">
        <v>911</v>
      </c>
      <c r="H130" s="10">
        <v>46281</v>
      </c>
      <c r="I130" s="6" t="s">
        <v>912</v>
      </c>
      <c r="J130" s="6" t="s">
        <v>913</v>
      </c>
      <c r="K130" s="6" t="s">
        <v>46</v>
      </c>
      <c r="L130" s="6" t="s">
        <v>288</v>
      </c>
      <c r="M130" s="6" t="s">
        <v>915</v>
      </c>
    </row>
    <row r="131" spans="1:13" ht="13" x14ac:dyDescent="0.15">
      <c r="A131" s="5" t="str">
        <f>HYPERLINK("https://onemount.atlassian.net/browse/DBA-5800","DBA-5800")</f>
        <v>DBA-5800</v>
      </c>
      <c r="B131" s="6" t="s">
        <v>21</v>
      </c>
      <c r="C131" s="6" t="s">
        <v>918</v>
      </c>
      <c r="D131" s="8" t="s">
        <v>17</v>
      </c>
      <c r="E131" s="6" t="s">
        <v>23</v>
      </c>
      <c r="F131" s="6" t="s">
        <v>24</v>
      </c>
      <c r="G131" s="6" t="s">
        <v>919</v>
      </c>
      <c r="H131" s="10">
        <v>46281</v>
      </c>
      <c r="I131" s="6" t="s">
        <v>920</v>
      </c>
      <c r="J131" s="6" t="s">
        <v>344</v>
      </c>
      <c r="K131" s="6" t="s">
        <v>46</v>
      </c>
      <c r="L131" s="6" t="s">
        <v>55</v>
      </c>
      <c r="M131" s="6" t="s">
        <v>921</v>
      </c>
    </row>
    <row r="132" spans="1:13" ht="13" x14ac:dyDescent="0.15">
      <c r="A132" s="5" t="str">
        <f>HYPERLINK("https://onemount.atlassian.net/browse/DBA-5799","DBA-5799")</f>
        <v>DBA-5799</v>
      </c>
      <c r="B132" s="6" t="s">
        <v>21</v>
      </c>
      <c r="C132" s="6" t="s">
        <v>924</v>
      </c>
      <c r="D132" s="8" t="s">
        <v>17</v>
      </c>
      <c r="E132" s="6" t="s">
        <v>23</v>
      </c>
      <c r="F132" s="6" t="s">
        <v>24</v>
      </c>
      <c r="G132" s="6" t="s">
        <v>926</v>
      </c>
      <c r="H132" s="10">
        <v>46281</v>
      </c>
      <c r="I132" s="6" t="s">
        <v>927</v>
      </c>
      <c r="J132" s="6" t="s">
        <v>529</v>
      </c>
      <c r="K132" s="6" t="s">
        <v>46</v>
      </c>
      <c r="L132" s="6" t="s">
        <v>529</v>
      </c>
      <c r="M132" s="6" t="s">
        <v>929</v>
      </c>
    </row>
    <row r="133" spans="1:13" ht="13" x14ac:dyDescent="0.15">
      <c r="A133" s="5" t="str">
        <f>HYPERLINK("https://onemount.atlassian.net/browse/DBA-5798","DBA-5798")</f>
        <v>DBA-5798</v>
      </c>
      <c r="B133" s="6" t="s">
        <v>21</v>
      </c>
      <c r="C133" s="6" t="s">
        <v>932</v>
      </c>
      <c r="D133" s="8" t="s">
        <v>17</v>
      </c>
      <c r="E133" s="6" t="s">
        <v>23</v>
      </c>
      <c r="F133" s="6" t="s">
        <v>24</v>
      </c>
      <c r="G133" s="6" t="s">
        <v>933</v>
      </c>
      <c r="H133" s="10">
        <v>46280</v>
      </c>
      <c r="I133" s="6" t="s">
        <v>934</v>
      </c>
      <c r="J133" s="6" t="s">
        <v>46</v>
      </c>
      <c r="K133" s="6" t="s">
        <v>46</v>
      </c>
      <c r="L133" s="6" t="s">
        <v>326</v>
      </c>
      <c r="M133" s="6" t="s">
        <v>937</v>
      </c>
    </row>
    <row r="134" spans="1:13" ht="13" x14ac:dyDescent="0.15">
      <c r="A134" s="5" t="str">
        <f>HYPERLINK("https://onemount.atlassian.net/browse/DBA-5797","DBA-5797")</f>
        <v>DBA-5797</v>
      </c>
      <c r="B134" s="6" t="s">
        <v>21</v>
      </c>
      <c r="C134" s="6" t="s">
        <v>938</v>
      </c>
      <c r="D134" s="8" t="s">
        <v>17</v>
      </c>
      <c r="E134" s="6" t="s">
        <v>23</v>
      </c>
      <c r="F134" s="6" t="s">
        <v>24</v>
      </c>
      <c r="G134" s="6" t="s">
        <v>940</v>
      </c>
      <c r="H134" s="10">
        <v>46281</v>
      </c>
      <c r="I134" s="6" t="s">
        <v>941</v>
      </c>
      <c r="J134" s="6" t="s">
        <v>46</v>
      </c>
      <c r="K134" s="6" t="s">
        <v>46</v>
      </c>
      <c r="L134" s="6" t="s">
        <v>326</v>
      </c>
      <c r="M134" s="6" t="s">
        <v>944</v>
      </c>
    </row>
    <row r="135" spans="1:13" ht="13" x14ac:dyDescent="0.15">
      <c r="A135" s="5" t="str">
        <f>HYPERLINK("https://onemount.atlassian.net/browse/DBA-5796","DBA-5796")</f>
        <v>DBA-5796</v>
      </c>
      <c r="B135" s="6" t="s">
        <v>21</v>
      </c>
      <c r="C135" s="6" t="s">
        <v>946</v>
      </c>
      <c r="D135" s="8" t="s">
        <v>17</v>
      </c>
      <c r="E135" s="6" t="s">
        <v>23</v>
      </c>
      <c r="F135" s="6" t="s">
        <v>41</v>
      </c>
      <c r="G135" s="6" t="s">
        <v>947</v>
      </c>
      <c r="H135" s="10">
        <v>46283</v>
      </c>
      <c r="I135" s="6" t="s">
        <v>948</v>
      </c>
      <c r="J135" s="6" t="s">
        <v>950</v>
      </c>
      <c r="K135" s="6" t="s">
        <v>137</v>
      </c>
      <c r="L135" s="6" t="s">
        <v>136</v>
      </c>
      <c r="M135" s="6" t="s">
        <v>1385</v>
      </c>
    </row>
    <row r="136" spans="1:13" ht="13" x14ac:dyDescent="0.15">
      <c r="A136" s="5" t="str">
        <f>HYPERLINK("https://onemount.atlassian.net/browse/DBA-5795","DBA-5795")</f>
        <v>DBA-5795</v>
      </c>
      <c r="B136" s="6" t="s">
        <v>21</v>
      </c>
      <c r="C136" s="6" t="s">
        <v>1386</v>
      </c>
      <c r="D136" s="8" t="s">
        <v>17</v>
      </c>
      <c r="E136" s="6" t="s">
        <v>23</v>
      </c>
      <c r="F136" s="6" t="s">
        <v>41</v>
      </c>
      <c r="G136" s="6" t="s">
        <v>1387</v>
      </c>
      <c r="H136" s="10">
        <v>46283</v>
      </c>
      <c r="I136" s="6" t="s">
        <v>1388</v>
      </c>
      <c r="J136" s="6" t="s">
        <v>950</v>
      </c>
      <c r="K136" s="6" t="s">
        <v>137</v>
      </c>
      <c r="L136" s="6" t="s">
        <v>136</v>
      </c>
      <c r="M136" s="6" t="s">
        <v>1389</v>
      </c>
    </row>
    <row r="137" spans="1:13" ht="13" x14ac:dyDescent="0.15">
      <c r="A137" s="5" t="str">
        <f>HYPERLINK("https://onemount.atlassian.net/browse/DBA-5794","DBA-5794")</f>
        <v>DBA-5794</v>
      </c>
      <c r="B137" s="6" t="s">
        <v>21</v>
      </c>
      <c r="C137" s="6" t="s">
        <v>1392</v>
      </c>
      <c r="D137" s="8" t="s">
        <v>17</v>
      </c>
      <c r="E137" s="6" t="s">
        <v>23</v>
      </c>
      <c r="F137" s="6" t="s">
        <v>41</v>
      </c>
      <c r="G137" s="6" t="s">
        <v>1393</v>
      </c>
      <c r="H137" s="10">
        <v>46285</v>
      </c>
      <c r="I137" s="6" t="s">
        <v>1395</v>
      </c>
      <c r="J137" s="6" t="s">
        <v>950</v>
      </c>
      <c r="K137" s="6" t="s">
        <v>137</v>
      </c>
      <c r="L137" s="6" t="s">
        <v>136</v>
      </c>
      <c r="M137" s="6" t="s">
        <v>1396</v>
      </c>
    </row>
    <row r="138" spans="1:13" ht="13" x14ac:dyDescent="0.15">
      <c r="A138" s="5" t="str">
        <f>HYPERLINK("https://onemount.atlassian.net/browse/DBA-5793","DBA-5793")</f>
        <v>DBA-5793</v>
      </c>
      <c r="B138" s="6" t="s">
        <v>21</v>
      </c>
      <c r="C138" s="6" t="s">
        <v>1400</v>
      </c>
      <c r="D138" s="8" t="s">
        <v>17</v>
      </c>
      <c r="E138" s="6" t="s">
        <v>23</v>
      </c>
      <c r="F138" s="6" t="s">
        <v>41</v>
      </c>
      <c r="G138" s="6" t="s">
        <v>1401</v>
      </c>
      <c r="H138" s="10">
        <v>46283</v>
      </c>
      <c r="I138" s="6" t="s">
        <v>1402</v>
      </c>
      <c r="J138" s="6" t="s">
        <v>950</v>
      </c>
      <c r="K138" s="6" t="s">
        <v>137</v>
      </c>
      <c r="L138" s="6" t="s">
        <v>136</v>
      </c>
      <c r="M138" s="6" t="s">
        <v>1404</v>
      </c>
    </row>
    <row r="139" spans="1:13" ht="13" x14ac:dyDescent="0.15">
      <c r="A139" s="21" t="str">
        <f>HYPERLINK("https://onemount.atlassian.net/browse/DBA-5792","DBA-5792")</f>
        <v>DBA-5792</v>
      </c>
      <c r="B139" s="6" t="s">
        <v>21</v>
      </c>
      <c r="C139" s="6" t="s">
        <v>525</v>
      </c>
      <c r="D139" s="8" t="s">
        <v>17</v>
      </c>
      <c r="E139" s="6" t="s">
        <v>23</v>
      </c>
      <c r="F139" s="6" t="s">
        <v>41</v>
      </c>
      <c r="G139" s="6" t="s">
        <v>1407</v>
      </c>
      <c r="H139" s="10">
        <v>46288</v>
      </c>
      <c r="I139" s="6" t="s">
        <v>1409</v>
      </c>
      <c r="J139" s="6" t="s">
        <v>136</v>
      </c>
      <c r="K139" s="6" t="s">
        <v>72</v>
      </c>
      <c r="L139" s="6" t="s">
        <v>136</v>
      </c>
      <c r="M139" s="6" t="s">
        <v>528</v>
      </c>
    </row>
    <row r="140" spans="1:13" ht="13" x14ac:dyDescent="0.15">
      <c r="A140" s="5" t="str">
        <f>HYPERLINK("https://onemount.atlassian.net/browse/DBA-5791","DBA-5791")</f>
        <v>DBA-5791</v>
      </c>
      <c r="B140" s="6" t="s">
        <v>21</v>
      </c>
      <c r="C140" s="6" t="s">
        <v>1412</v>
      </c>
      <c r="D140" s="8" t="s">
        <v>17</v>
      </c>
      <c r="E140" s="6" t="s">
        <v>23</v>
      </c>
      <c r="F140" s="6" t="s">
        <v>41</v>
      </c>
      <c r="G140" s="6" t="s">
        <v>1414</v>
      </c>
      <c r="H140" s="10">
        <v>46283</v>
      </c>
      <c r="I140" s="6" t="s">
        <v>1415</v>
      </c>
      <c r="J140" s="6" t="s">
        <v>950</v>
      </c>
      <c r="K140" s="6" t="s">
        <v>137</v>
      </c>
      <c r="L140" s="6" t="s">
        <v>136</v>
      </c>
      <c r="M140" s="6" t="s">
        <v>1416</v>
      </c>
    </row>
    <row r="141" spans="1:13" ht="13" x14ac:dyDescent="0.15">
      <c r="A141" s="5" t="str">
        <f>HYPERLINK("https://onemount.atlassian.net/browse/DBA-5790","DBA-5790")</f>
        <v>DBA-5790</v>
      </c>
      <c r="B141" s="6" t="s">
        <v>21</v>
      </c>
      <c r="C141" s="6" t="s">
        <v>1419</v>
      </c>
      <c r="D141" s="8" t="s">
        <v>17</v>
      </c>
      <c r="E141" s="6" t="s">
        <v>23</v>
      </c>
      <c r="F141" s="6" t="s">
        <v>52</v>
      </c>
      <c r="G141" s="6" t="s">
        <v>1420</v>
      </c>
      <c r="H141" s="10">
        <v>46281</v>
      </c>
      <c r="I141" s="6" t="s">
        <v>1422</v>
      </c>
      <c r="J141" s="6" t="s">
        <v>35</v>
      </c>
      <c r="K141" s="6" t="s">
        <v>35</v>
      </c>
      <c r="L141" s="6" t="s">
        <v>35</v>
      </c>
      <c r="M141" s="6" t="s">
        <v>1427</v>
      </c>
    </row>
    <row r="142" spans="1:13" ht="13" x14ac:dyDescent="0.15">
      <c r="A142" s="5" t="str">
        <f>HYPERLINK("https://onemount.atlassian.net/browse/DBA-5789","DBA-5789")</f>
        <v>DBA-5789</v>
      </c>
      <c r="B142" s="6" t="s">
        <v>21</v>
      </c>
      <c r="C142" s="6" t="s">
        <v>1430</v>
      </c>
      <c r="D142" s="8" t="s">
        <v>17</v>
      </c>
      <c r="E142" s="6" t="s">
        <v>23</v>
      </c>
      <c r="F142" s="6" t="s">
        <v>41</v>
      </c>
      <c r="G142" s="6" t="s">
        <v>1431</v>
      </c>
      <c r="H142" s="10">
        <v>46287</v>
      </c>
      <c r="I142" s="6" t="s">
        <v>1432</v>
      </c>
      <c r="J142" s="6" t="s">
        <v>595</v>
      </c>
      <c r="K142" s="6" t="s">
        <v>46</v>
      </c>
      <c r="L142" s="6" t="s">
        <v>595</v>
      </c>
      <c r="M142" s="6" t="s">
        <v>1434</v>
      </c>
    </row>
    <row r="143" spans="1:13" ht="13" x14ac:dyDescent="0.15">
      <c r="A143" s="5" t="str">
        <f>HYPERLINK("https://onemount.atlassian.net/browse/DBA-5788","DBA-5788")</f>
        <v>DBA-5788</v>
      </c>
      <c r="B143" s="6" t="s">
        <v>21</v>
      </c>
      <c r="C143" s="6" t="s">
        <v>1437</v>
      </c>
      <c r="D143" s="8" t="s">
        <v>17</v>
      </c>
      <c r="E143" s="6" t="s">
        <v>23</v>
      </c>
      <c r="F143" s="6" t="s">
        <v>31</v>
      </c>
      <c r="G143" s="6" t="s">
        <v>1439</v>
      </c>
      <c r="H143" s="10">
        <v>46280</v>
      </c>
      <c r="I143" s="6" t="s">
        <v>1440</v>
      </c>
      <c r="J143" s="6" t="s">
        <v>1441</v>
      </c>
      <c r="K143" s="6" t="s">
        <v>35</v>
      </c>
      <c r="L143" s="6" t="s">
        <v>119</v>
      </c>
      <c r="M143" s="6" t="s">
        <v>1444</v>
      </c>
    </row>
    <row r="144" spans="1:13" ht="13" x14ac:dyDescent="0.15">
      <c r="A144" s="5" t="str">
        <f>HYPERLINK("https://onemount.atlassian.net/browse/DBA-5787","DBA-5787")</f>
        <v>DBA-5787</v>
      </c>
      <c r="B144" s="6" t="s">
        <v>21</v>
      </c>
      <c r="C144" s="6" t="s">
        <v>1445</v>
      </c>
      <c r="D144" s="8" t="s">
        <v>17</v>
      </c>
      <c r="E144" s="6" t="s">
        <v>23</v>
      </c>
      <c r="F144" s="6" t="s">
        <v>52</v>
      </c>
      <c r="G144" s="6" t="s">
        <v>1446</v>
      </c>
      <c r="H144" s="10">
        <v>46280</v>
      </c>
      <c r="I144" s="6" t="s">
        <v>1447</v>
      </c>
      <c r="J144" s="6" t="s">
        <v>35</v>
      </c>
      <c r="K144" s="6" t="s">
        <v>35</v>
      </c>
      <c r="L144" s="6" t="s">
        <v>35</v>
      </c>
      <c r="M144" s="6" t="s">
        <v>1448</v>
      </c>
    </row>
    <row r="145" spans="1:13" ht="13" x14ac:dyDescent="0.15">
      <c r="A145" s="5" t="str">
        <f>HYPERLINK("https://onemount.atlassian.net/browse/DBA-5786","DBA-5786")</f>
        <v>DBA-5786</v>
      </c>
      <c r="B145" s="6" t="s">
        <v>21</v>
      </c>
      <c r="C145" s="6" t="s">
        <v>1449</v>
      </c>
      <c r="D145" s="8" t="s">
        <v>17</v>
      </c>
      <c r="E145" s="6" t="s">
        <v>23</v>
      </c>
      <c r="F145" s="6" t="s">
        <v>24</v>
      </c>
      <c r="G145" s="6" t="s">
        <v>1450</v>
      </c>
      <c r="H145" s="10">
        <v>46281</v>
      </c>
      <c r="I145" s="6" t="s">
        <v>1451</v>
      </c>
      <c r="J145" s="6" t="s">
        <v>165</v>
      </c>
      <c r="K145" s="6" t="s">
        <v>165</v>
      </c>
      <c r="L145" s="6" t="s">
        <v>849</v>
      </c>
      <c r="M145" s="6" t="s">
        <v>1452</v>
      </c>
    </row>
    <row r="146" spans="1:13" ht="13" x14ac:dyDescent="0.15">
      <c r="A146" s="5" t="str">
        <f>HYPERLINK("https://onemount.atlassian.net/browse/DBA-5785","DBA-5785")</f>
        <v>DBA-5785</v>
      </c>
      <c r="B146" s="6" t="s">
        <v>21</v>
      </c>
      <c r="C146" s="6" t="s">
        <v>1453</v>
      </c>
      <c r="D146" s="8" t="s">
        <v>17</v>
      </c>
      <c r="E146" s="6" t="s">
        <v>23</v>
      </c>
      <c r="F146" s="6" t="s">
        <v>52</v>
      </c>
      <c r="G146" s="6" t="s">
        <v>1454</v>
      </c>
      <c r="H146" s="10">
        <v>46281</v>
      </c>
      <c r="I146" s="6" t="s">
        <v>1455</v>
      </c>
      <c r="J146" s="6" t="s">
        <v>93</v>
      </c>
      <c r="K146" s="6" t="s">
        <v>55</v>
      </c>
      <c r="L146" s="6" t="s">
        <v>93</v>
      </c>
      <c r="M146" s="6" t="s">
        <v>1456</v>
      </c>
    </row>
    <row r="147" spans="1:13" ht="13" x14ac:dyDescent="0.15">
      <c r="A147" s="5" t="str">
        <f>HYPERLINK("https://onemount.atlassian.net/browse/DBA-5784","DBA-5784")</f>
        <v>DBA-5784</v>
      </c>
      <c r="B147" s="6" t="s">
        <v>21</v>
      </c>
      <c r="C147" s="6" t="s">
        <v>1457</v>
      </c>
      <c r="D147" s="8" t="s">
        <v>17</v>
      </c>
      <c r="E147" s="6" t="s">
        <v>23</v>
      </c>
      <c r="F147" s="6" t="s">
        <v>31</v>
      </c>
      <c r="G147" s="6" t="s">
        <v>1458</v>
      </c>
      <c r="H147" s="10">
        <v>46280</v>
      </c>
      <c r="I147" s="6" t="s">
        <v>1459</v>
      </c>
      <c r="J147" s="6" t="s">
        <v>118</v>
      </c>
      <c r="K147" s="6" t="s">
        <v>35</v>
      </c>
      <c r="L147" s="6" t="s">
        <v>119</v>
      </c>
      <c r="M147" s="6" t="s">
        <v>1460</v>
      </c>
    </row>
    <row r="148" spans="1:13" ht="13" x14ac:dyDescent="0.15">
      <c r="A148" s="5" t="str">
        <f>HYPERLINK("https://onemount.atlassian.net/browse/DBA-5783","DBA-5783")</f>
        <v>DBA-5783</v>
      </c>
      <c r="B148" s="6" t="s">
        <v>21</v>
      </c>
      <c r="C148" s="6" t="s">
        <v>1461</v>
      </c>
      <c r="D148" s="8" t="s">
        <v>17</v>
      </c>
      <c r="E148" s="6" t="s">
        <v>23</v>
      </c>
      <c r="F148" s="6" t="s">
        <v>31</v>
      </c>
      <c r="G148" s="6" t="s">
        <v>1462</v>
      </c>
      <c r="H148" s="10">
        <v>46280</v>
      </c>
      <c r="I148" s="6" t="s">
        <v>1463</v>
      </c>
      <c r="J148" s="6" t="s">
        <v>1464</v>
      </c>
      <c r="K148" s="6" t="s">
        <v>55</v>
      </c>
      <c r="L148" s="6" t="s">
        <v>254</v>
      </c>
      <c r="M148" s="6" t="s">
        <v>1465</v>
      </c>
    </row>
    <row r="149" spans="1:13" ht="13" x14ac:dyDescent="0.15">
      <c r="A149" s="5" t="str">
        <f>HYPERLINK("https://onemount.atlassian.net/browse/DBA-5782","DBA-5782")</f>
        <v>DBA-5782</v>
      </c>
      <c r="B149" s="6" t="s">
        <v>21</v>
      </c>
      <c r="C149" s="6" t="s">
        <v>1466</v>
      </c>
      <c r="D149" s="8" t="s">
        <v>17</v>
      </c>
      <c r="E149" s="6" t="s">
        <v>23</v>
      </c>
      <c r="F149" s="6" t="s">
        <v>31</v>
      </c>
      <c r="G149" s="6" t="s">
        <v>1467</v>
      </c>
      <c r="H149" s="10">
        <v>46280</v>
      </c>
      <c r="I149" s="6" t="s">
        <v>1468</v>
      </c>
      <c r="J149" s="6" t="s">
        <v>855</v>
      </c>
      <c r="K149" s="6" t="s">
        <v>55</v>
      </c>
      <c r="L149" s="6" t="s">
        <v>855</v>
      </c>
      <c r="M149" s="6" t="s">
        <v>1469</v>
      </c>
    </row>
    <row r="150" spans="1:13" ht="13" x14ac:dyDescent="0.15">
      <c r="A150" s="5" t="str">
        <f>HYPERLINK("https://onemount.atlassian.net/browse/DBA-5781","DBA-5781")</f>
        <v>DBA-5781</v>
      </c>
      <c r="B150" s="6" t="s">
        <v>21</v>
      </c>
      <c r="C150" s="6" t="s">
        <v>1470</v>
      </c>
      <c r="D150" s="8" t="s">
        <v>17</v>
      </c>
      <c r="E150" s="6" t="s">
        <v>23</v>
      </c>
      <c r="F150" s="6" t="s">
        <v>24</v>
      </c>
      <c r="G150" s="6" t="s">
        <v>1471</v>
      </c>
      <c r="H150" s="10">
        <v>46278</v>
      </c>
      <c r="I150" s="6" t="s">
        <v>1472</v>
      </c>
      <c r="J150" s="6" t="s">
        <v>510</v>
      </c>
      <c r="K150" s="6" t="s">
        <v>165</v>
      </c>
      <c r="L150" s="6" t="s">
        <v>77</v>
      </c>
      <c r="M150" s="6" t="s">
        <v>1473</v>
      </c>
    </row>
    <row r="151" spans="1:13" ht="13" x14ac:dyDescent="0.15">
      <c r="A151" s="5" t="str">
        <f>HYPERLINK("https://onemount.atlassian.net/browse/DBA-5780","DBA-5780")</f>
        <v>DBA-5780</v>
      </c>
      <c r="B151" s="6" t="s">
        <v>21</v>
      </c>
      <c r="C151" s="6" t="s">
        <v>1474</v>
      </c>
      <c r="D151" s="8" t="s">
        <v>17</v>
      </c>
      <c r="E151" s="6" t="s">
        <v>23</v>
      </c>
      <c r="F151" s="6" t="s">
        <v>24</v>
      </c>
      <c r="G151" s="6" t="s">
        <v>1475</v>
      </c>
      <c r="H151" s="10">
        <v>46277</v>
      </c>
      <c r="I151" s="6" t="s">
        <v>1476</v>
      </c>
      <c r="J151" s="6" t="s">
        <v>64</v>
      </c>
      <c r="K151" s="6" t="s">
        <v>55</v>
      </c>
      <c r="L151" s="6" t="s">
        <v>56</v>
      </c>
      <c r="M151" s="6" t="s">
        <v>1477</v>
      </c>
    </row>
    <row r="152" spans="1:13" ht="13" x14ac:dyDescent="0.15">
      <c r="A152" s="5" t="str">
        <f>HYPERLINK("https://onemount.atlassian.net/browse/DBA-5779","DBA-5779")</f>
        <v>DBA-5779</v>
      </c>
      <c r="B152" s="6" t="s">
        <v>21</v>
      </c>
      <c r="C152" s="6" t="s">
        <v>1478</v>
      </c>
      <c r="D152" s="8" t="s">
        <v>17</v>
      </c>
      <c r="E152" s="6" t="s">
        <v>23</v>
      </c>
      <c r="F152" s="6" t="s">
        <v>24</v>
      </c>
      <c r="G152" s="6" t="s">
        <v>1479</v>
      </c>
      <c r="H152" s="10">
        <v>46280</v>
      </c>
      <c r="I152" s="6" t="s">
        <v>1480</v>
      </c>
      <c r="J152" s="6" t="s">
        <v>55</v>
      </c>
      <c r="K152" s="6" t="s">
        <v>55</v>
      </c>
      <c r="L152" s="6" t="s">
        <v>55</v>
      </c>
      <c r="M152" s="6" t="s">
        <v>1481</v>
      </c>
    </row>
    <row r="153" spans="1:13" ht="13" x14ac:dyDescent="0.15">
      <c r="A153" s="5" t="str">
        <f>HYPERLINK("https://onemount.atlassian.net/browse/DBA-5778","DBA-5778")</f>
        <v>DBA-5778</v>
      </c>
      <c r="B153" s="6" t="s">
        <v>21</v>
      </c>
      <c r="C153" s="6" t="s">
        <v>1482</v>
      </c>
      <c r="D153" s="8" t="s">
        <v>17</v>
      </c>
      <c r="E153" s="6" t="s">
        <v>23</v>
      </c>
      <c r="F153" s="6" t="s">
        <v>31</v>
      </c>
      <c r="G153" s="6" t="s">
        <v>1483</v>
      </c>
      <c r="H153" s="10">
        <v>46277</v>
      </c>
      <c r="I153" s="6" t="s">
        <v>1484</v>
      </c>
      <c r="J153" s="6" t="s">
        <v>35</v>
      </c>
      <c r="K153" s="6" t="s">
        <v>35</v>
      </c>
      <c r="L153" s="6" t="s">
        <v>129</v>
      </c>
      <c r="M153" s="6" t="s">
        <v>1485</v>
      </c>
    </row>
    <row r="154" spans="1:13" ht="13" x14ac:dyDescent="0.15">
      <c r="A154" s="5" t="str">
        <f>HYPERLINK("https://onemount.atlassian.net/browse/DBA-5777","DBA-5777")</f>
        <v>DBA-5777</v>
      </c>
      <c r="B154" s="6" t="s">
        <v>21</v>
      </c>
      <c r="C154" s="6" t="s">
        <v>1486</v>
      </c>
      <c r="D154" s="8" t="s">
        <v>17</v>
      </c>
      <c r="E154" s="6" t="s">
        <v>23</v>
      </c>
      <c r="F154" s="6" t="s">
        <v>52</v>
      </c>
      <c r="G154" s="6" t="s">
        <v>1487</v>
      </c>
      <c r="H154" s="10">
        <v>46277</v>
      </c>
      <c r="I154" s="6" t="s">
        <v>1488</v>
      </c>
      <c r="J154" s="6" t="s">
        <v>1157</v>
      </c>
      <c r="K154" s="6" t="s">
        <v>137</v>
      </c>
      <c r="L154" s="6" t="s">
        <v>1157</v>
      </c>
      <c r="M154" s="6" t="s">
        <v>1489</v>
      </c>
    </row>
    <row r="155" spans="1:13" ht="13" x14ac:dyDescent="0.15">
      <c r="A155" s="5" t="str">
        <f>HYPERLINK("https://onemount.atlassian.net/browse/DBA-5776","DBA-5776")</f>
        <v>DBA-5776</v>
      </c>
      <c r="B155" s="6" t="s">
        <v>21</v>
      </c>
      <c r="C155" s="6" t="s">
        <v>1490</v>
      </c>
      <c r="D155" s="8" t="s">
        <v>17</v>
      </c>
      <c r="E155" s="6" t="s">
        <v>23</v>
      </c>
      <c r="F155" s="6" t="s">
        <v>52</v>
      </c>
      <c r="G155" s="6" t="s">
        <v>1491</v>
      </c>
      <c r="H155" s="10">
        <v>46276</v>
      </c>
      <c r="I155" s="6" t="s">
        <v>1492</v>
      </c>
      <c r="J155" s="6" t="s">
        <v>621</v>
      </c>
      <c r="K155" s="6" t="s">
        <v>55</v>
      </c>
      <c r="L155" s="6" t="s">
        <v>85</v>
      </c>
      <c r="M155" s="6" t="s">
        <v>1493</v>
      </c>
    </row>
    <row r="156" spans="1:13" ht="13" x14ac:dyDescent="0.15">
      <c r="A156" s="5" t="str">
        <f>HYPERLINK("https://onemount.atlassian.net/browse/DBA-5775","DBA-5775")</f>
        <v>DBA-5775</v>
      </c>
      <c r="B156" s="6" t="s">
        <v>21</v>
      </c>
      <c r="C156" s="6" t="s">
        <v>1494</v>
      </c>
      <c r="D156" s="8" t="s">
        <v>17</v>
      </c>
      <c r="E156" s="6" t="s">
        <v>23</v>
      </c>
      <c r="F156" s="6" t="s">
        <v>41</v>
      </c>
      <c r="G156" s="6" t="s">
        <v>1495</v>
      </c>
      <c r="H156" s="10">
        <v>46276</v>
      </c>
      <c r="I156" s="6" t="s">
        <v>1496</v>
      </c>
      <c r="J156" s="6" t="s">
        <v>72</v>
      </c>
      <c r="K156" s="6" t="s">
        <v>72</v>
      </c>
      <c r="L156" s="6" t="s">
        <v>72</v>
      </c>
      <c r="M156" s="6" t="s">
        <v>1497</v>
      </c>
    </row>
    <row r="157" spans="1:13" ht="13" x14ac:dyDescent="0.15">
      <c r="A157" s="5" t="str">
        <f>HYPERLINK("https://onemount.atlassian.net/browse/DBA-5774","DBA-5774")</f>
        <v>DBA-5774</v>
      </c>
      <c r="B157" s="6" t="s">
        <v>21</v>
      </c>
      <c r="C157" s="6" t="s">
        <v>1498</v>
      </c>
      <c r="D157" s="8" t="s">
        <v>17</v>
      </c>
      <c r="E157" s="6" t="s">
        <v>23</v>
      </c>
      <c r="F157" s="6" t="s">
        <v>78</v>
      </c>
      <c r="G157" s="6" t="s">
        <v>1499</v>
      </c>
      <c r="H157" s="10">
        <v>46276</v>
      </c>
      <c r="I157" s="6" t="s">
        <v>1500</v>
      </c>
      <c r="J157" s="6" t="s">
        <v>109</v>
      </c>
      <c r="K157" s="6" t="s">
        <v>46</v>
      </c>
      <c r="L157" s="6" t="s">
        <v>109</v>
      </c>
      <c r="M157" s="6" t="s">
        <v>1501</v>
      </c>
    </row>
    <row r="158" spans="1:13" ht="13" x14ac:dyDescent="0.15">
      <c r="A158" s="5" t="str">
        <f>HYPERLINK("https://onemount.atlassian.net/browse/DBA-5773","DBA-5773")</f>
        <v>DBA-5773</v>
      </c>
      <c r="B158" s="6" t="s">
        <v>21</v>
      </c>
      <c r="C158" s="6" t="s">
        <v>1502</v>
      </c>
      <c r="D158" s="8" t="s">
        <v>17</v>
      </c>
      <c r="E158" s="6" t="s">
        <v>23</v>
      </c>
      <c r="F158" s="6" t="s">
        <v>78</v>
      </c>
      <c r="G158" s="6" t="s">
        <v>1503</v>
      </c>
      <c r="H158" s="10">
        <v>46281</v>
      </c>
      <c r="I158" s="6" t="s">
        <v>1504</v>
      </c>
      <c r="J158" s="6" t="s">
        <v>109</v>
      </c>
      <c r="K158" s="6" t="s">
        <v>72</v>
      </c>
      <c r="L158" s="6" t="s">
        <v>109</v>
      </c>
      <c r="M158" s="6" t="s">
        <v>1505</v>
      </c>
    </row>
    <row r="159" spans="1:13" ht="13" x14ac:dyDescent="0.15">
      <c r="A159" s="5" t="str">
        <f>HYPERLINK("https://onemount.atlassian.net/browse/DBA-5772","DBA-5772")</f>
        <v>DBA-5772</v>
      </c>
      <c r="B159" s="6" t="s">
        <v>21</v>
      </c>
      <c r="C159" s="6" t="s">
        <v>1506</v>
      </c>
      <c r="D159" s="8" t="s">
        <v>17</v>
      </c>
      <c r="E159" s="6" t="s">
        <v>23</v>
      </c>
      <c r="F159" s="6" t="s">
        <v>78</v>
      </c>
      <c r="G159" s="6" t="s">
        <v>1507</v>
      </c>
      <c r="H159" s="10">
        <v>46277</v>
      </c>
      <c r="I159" s="6" t="s">
        <v>1508</v>
      </c>
      <c r="J159" s="6" t="s">
        <v>109</v>
      </c>
      <c r="K159" s="6" t="s">
        <v>72</v>
      </c>
      <c r="L159" s="6" t="s">
        <v>109</v>
      </c>
      <c r="M159" s="6" t="s">
        <v>1509</v>
      </c>
    </row>
    <row r="160" spans="1:13" ht="13" x14ac:dyDescent="0.15">
      <c r="A160" s="5" t="str">
        <f>HYPERLINK("https://onemount.atlassian.net/browse/DBA-5771","DBA-5771")</f>
        <v>DBA-5771</v>
      </c>
      <c r="B160" s="6" t="s">
        <v>21</v>
      </c>
      <c r="C160" s="6" t="s">
        <v>1510</v>
      </c>
      <c r="D160" s="8" t="s">
        <v>17</v>
      </c>
      <c r="E160" s="6" t="s">
        <v>23</v>
      </c>
      <c r="F160" s="6" t="s">
        <v>78</v>
      </c>
      <c r="G160" s="6" t="s">
        <v>1511</v>
      </c>
      <c r="H160" s="10">
        <v>46280</v>
      </c>
      <c r="I160" s="6" t="s">
        <v>1512</v>
      </c>
      <c r="J160" s="6" t="s">
        <v>1513</v>
      </c>
      <c r="K160" s="6" t="s">
        <v>72</v>
      </c>
      <c r="L160" s="6" t="s">
        <v>109</v>
      </c>
      <c r="M160" s="6" t="s">
        <v>1514</v>
      </c>
    </row>
    <row r="161" spans="1:13" ht="13" x14ac:dyDescent="0.15">
      <c r="A161" s="5" t="str">
        <f>HYPERLINK("https://onemount.atlassian.net/browse/DBA-5770","DBA-5770")</f>
        <v>DBA-5770</v>
      </c>
      <c r="B161" s="6" t="s">
        <v>21</v>
      </c>
      <c r="C161" s="6" t="s">
        <v>1515</v>
      </c>
      <c r="D161" s="8" t="s">
        <v>17</v>
      </c>
      <c r="E161" s="6" t="s">
        <v>23</v>
      </c>
      <c r="F161" s="6" t="s">
        <v>31</v>
      </c>
      <c r="G161" s="6" t="s">
        <v>1516</v>
      </c>
      <c r="H161" s="10">
        <v>46276</v>
      </c>
      <c r="I161" s="6" t="s">
        <v>1517</v>
      </c>
      <c r="J161" s="6" t="s">
        <v>374</v>
      </c>
      <c r="K161" s="6" t="s">
        <v>35</v>
      </c>
      <c r="L161" s="6" t="s">
        <v>36</v>
      </c>
      <c r="M161" s="6" t="s">
        <v>1518</v>
      </c>
    </row>
    <row r="162" spans="1:13" ht="13" x14ac:dyDescent="0.15">
      <c r="A162" s="5" t="str">
        <f>HYPERLINK("https://onemount.atlassian.net/browse/DBA-5769","DBA-5769")</f>
        <v>DBA-5769</v>
      </c>
      <c r="B162" s="6" t="s">
        <v>21</v>
      </c>
      <c r="C162" s="6" t="s">
        <v>1519</v>
      </c>
      <c r="D162" s="8" t="s">
        <v>17</v>
      </c>
      <c r="E162" s="6" t="s">
        <v>23</v>
      </c>
      <c r="F162" s="6" t="s">
        <v>78</v>
      </c>
      <c r="G162" s="6" t="s">
        <v>1520</v>
      </c>
      <c r="H162" s="10">
        <v>46277</v>
      </c>
      <c r="I162" s="6" t="s">
        <v>1521</v>
      </c>
      <c r="J162" s="6" t="s">
        <v>109</v>
      </c>
      <c r="K162" s="6" t="s">
        <v>72</v>
      </c>
      <c r="L162" s="6" t="s">
        <v>109</v>
      </c>
      <c r="M162" s="6" t="s">
        <v>1522</v>
      </c>
    </row>
    <row r="163" spans="1:13" ht="13" x14ac:dyDescent="0.15">
      <c r="A163" s="5" t="str">
        <f>HYPERLINK("https://onemount.atlassian.net/browse/DBA-5768","DBA-5768")</f>
        <v>DBA-5768</v>
      </c>
      <c r="B163" s="6" t="s">
        <v>21</v>
      </c>
      <c r="C163" s="6" t="s">
        <v>1523</v>
      </c>
      <c r="D163" s="8" t="s">
        <v>17</v>
      </c>
      <c r="E163" s="6" t="s">
        <v>23</v>
      </c>
      <c r="F163" s="6" t="s">
        <v>31</v>
      </c>
      <c r="G163" s="6" t="s">
        <v>1524</v>
      </c>
      <c r="H163" s="10">
        <v>46277</v>
      </c>
      <c r="I163" s="6" t="s">
        <v>1525</v>
      </c>
      <c r="J163" s="6" t="s">
        <v>118</v>
      </c>
      <c r="K163" s="6" t="s">
        <v>35</v>
      </c>
      <c r="L163" s="6" t="s">
        <v>119</v>
      </c>
      <c r="M163" s="6" t="s">
        <v>1526</v>
      </c>
    </row>
    <row r="164" spans="1:13" ht="13" x14ac:dyDescent="0.15">
      <c r="A164" s="5" t="str">
        <f>HYPERLINK("https://onemount.atlassian.net/browse/DBA-5767","DBA-5767")</f>
        <v>DBA-5767</v>
      </c>
      <c r="B164" s="6" t="s">
        <v>21</v>
      </c>
      <c r="C164" s="6" t="s">
        <v>1527</v>
      </c>
      <c r="D164" s="8" t="s">
        <v>17</v>
      </c>
      <c r="E164" s="6" t="s">
        <v>23</v>
      </c>
      <c r="F164" s="6" t="s">
        <v>31</v>
      </c>
      <c r="G164" s="6" t="s">
        <v>1528</v>
      </c>
      <c r="H164" s="10">
        <v>46277</v>
      </c>
      <c r="I164" s="6" t="s">
        <v>1529</v>
      </c>
      <c r="J164" s="6" t="s">
        <v>128</v>
      </c>
      <c r="K164" s="6" t="s">
        <v>35</v>
      </c>
      <c r="L164" s="6" t="s">
        <v>129</v>
      </c>
      <c r="M164" s="6" t="s">
        <v>1530</v>
      </c>
    </row>
    <row r="165" spans="1:13" ht="13" x14ac:dyDescent="0.15">
      <c r="A165" s="5" t="str">
        <f>HYPERLINK("https://onemount.atlassian.net/browse/DBA-5766","DBA-5766")</f>
        <v>DBA-5766</v>
      </c>
      <c r="B165" s="6" t="s">
        <v>21</v>
      </c>
      <c r="C165" s="6" t="s">
        <v>1531</v>
      </c>
      <c r="D165" s="8" t="s">
        <v>17</v>
      </c>
      <c r="E165" s="6" t="s">
        <v>23</v>
      </c>
      <c r="F165" s="6" t="s">
        <v>78</v>
      </c>
      <c r="G165" s="6" t="s">
        <v>1532</v>
      </c>
      <c r="H165" s="10">
        <v>46277</v>
      </c>
      <c r="I165" s="6" t="s">
        <v>1533</v>
      </c>
      <c r="J165" s="6" t="s">
        <v>1513</v>
      </c>
      <c r="K165" s="6" t="s">
        <v>46</v>
      </c>
      <c r="L165" s="6" t="s">
        <v>109</v>
      </c>
      <c r="M165" s="6" t="s">
        <v>1534</v>
      </c>
    </row>
    <row r="166" spans="1:13" ht="13" x14ac:dyDescent="0.15">
      <c r="A166" s="5" t="str">
        <f>HYPERLINK("https://onemount.atlassian.net/browse/DBA-5765","DBA-5765")</f>
        <v>DBA-5765</v>
      </c>
      <c r="B166" s="6" t="s">
        <v>21</v>
      </c>
      <c r="C166" s="6" t="s">
        <v>1535</v>
      </c>
      <c r="D166" s="8" t="s">
        <v>17</v>
      </c>
      <c r="E166" s="6" t="s">
        <v>23</v>
      </c>
      <c r="F166" s="6" t="s">
        <v>31</v>
      </c>
      <c r="G166" s="6" t="s">
        <v>1536</v>
      </c>
      <c r="H166" s="10">
        <v>46277</v>
      </c>
      <c r="I166" s="6" t="s">
        <v>1537</v>
      </c>
      <c r="J166" s="6" t="s">
        <v>118</v>
      </c>
      <c r="K166" s="6" t="s">
        <v>35</v>
      </c>
      <c r="L166" s="6" t="s">
        <v>119</v>
      </c>
      <c r="M166" s="6" t="s">
        <v>1538</v>
      </c>
    </row>
    <row r="167" spans="1:13" ht="13" x14ac:dyDescent="0.15">
      <c r="A167" s="5" t="str">
        <f>HYPERLINK("https://onemount.atlassian.net/browse/DBA-5764","DBA-5764")</f>
        <v>DBA-5764</v>
      </c>
      <c r="B167" s="6" t="s">
        <v>21</v>
      </c>
      <c r="C167" s="6" t="s">
        <v>801</v>
      </c>
      <c r="D167" s="14" t="s">
        <v>19</v>
      </c>
      <c r="E167" s="6" t="s">
        <v>23</v>
      </c>
      <c r="F167" s="6" t="s">
        <v>41</v>
      </c>
      <c r="G167" s="6" t="s">
        <v>1539</v>
      </c>
      <c r="H167" s="6" t="s">
        <v>43</v>
      </c>
      <c r="I167" s="6" t="s">
        <v>44</v>
      </c>
      <c r="J167" s="6" t="s">
        <v>805</v>
      </c>
      <c r="K167" s="6" t="s">
        <v>28</v>
      </c>
      <c r="L167" s="6" t="s">
        <v>807</v>
      </c>
      <c r="M167" s="6" t="s">
        <v>1540</v>
      </c>
    </row>
    <row r="168" spans="1:13" ht="13" x14ac:dyDescent="0.15">
      <c r="A168" s="5" t="str">
        <f>HYPERLINK("https://onemount.atlassian.net/browse/DBA-5763","DBA-5763")</f>
        <v>DBA-5763</v>
      </c>
      <c r="B168" s="6" t="s">
        <v>21</v>
      </c>
      <c r="C168" s="6" t="s">
        <v>1541</v>
      </c>
      <c r="D168" s="8" t="s">
        <v>17</v>
      </c>
      <c r="E168" s="6" t="s">
        <v>23</v>
      </c>
      <c r="F168" s="6" t="s">
        <v>52</v>
      </c>
      <c r="G168" s="6" t="s">
        <v>1542</v>
      </c>
      <c r="H168" s="10">
        <v>46276</v>
      </c>
      <c r="I168" s="6" t="s">
        <v>1543</v>
      </c>
      <c r="J168" s="6" t="s">
        <v>221</v>
      </c>
      <c r="K168" s="6" t="s">
        <v>137</v>
      </c>
      <c r="L168" s="6" t="s">
        <v>222</v>
      </c>
      <c r="M168" s="6" t="s">
        <v>1544</v>
      </c>
    </row>
    <row r="169" spans="1:13" ht="13" x14ac:dyDescent="0.15">
      <c r="A169" s="5" t="str">
        <f>HYPERLINK("https://onemount.atlassian.net/browse/DBA-5762","DBA-5762")</f>
        <v>DBA-5762</v>
      </c>
      <c r="B169" s="6" t="s">
        <v>21</v>
      </c>
      <c r="C169" s="6" t="s">
        <v>1545</v>
      </c>
      <c r="D169" s="8" t="s">
        <v>17</v>
      </c>
      <c r="E169" s="6" t="s">
        <v>23</v>
      </c>
      <c r="F169" s="6" t="s">
        <v>24</v>
      </c>
      <c r="G169" s="6" t="s">
        <v>1546</v>
      </c>
      <c r="H169" s="10">
        <v>46276</v>
      </c>
      <c r="I169" s="6" t="s">
        <v>1547</v>
      </c>
      <c r="J169" s="6" t="s">
        <v>144</v>
      </c>
      <c r="K169" s="6" t="s">
        <v>46</v>
      </c>
      <c r="L169" s="6" t="s">
        <v>145</v>
      </c>
      <c r="M169" s="6" t="s">
        <v>1548</v>
      </c>
    </row>
    <row r="170" spans="1:13" ht="13" x14ac:dyDescent="0.15">
      <c r="A170" s="5" t="str">
        <f>HYPERLINK("https://onemount.atlassian.net/browse/DBA-5761","DBA-5761")</f>
        <v>DBA-5761</v>
      </c>
      <c r="B170" s="6" t="s">
        <v>21</v>
      </c>
      <c r="C170" s="6" t="s">
        <v>210</v>
      </c>
      <c r="D170" s="8" t="s">
        <v>17</v>
      </c>
      <c r="E170" s="6" t="s">
        <v>23</v>
      </c>
      <c r="F170" s="6" t="s">
        <v>24</v>
      </c>
      <c r="G170" s="6" t="s">
        <v>1549</v>
      </c>
      <c r="H170" s="10">
        <v>46276</v>
      </c>
      <c r="I170" s="6" t="s">
        <v>1550</v>
      </c>
      <c r="J170" s="6" t="s">
        <v>46</v>
      </c>
      <c r="K170" s="6" t="s">
        <v>46</v>
      </c>
      <c r="L170" s="6" t="s">
        <v>214</v>
      </c>
      <c r="M170" s="6" t="s">
        <v>1551</v>
      </c>
    </row>
    <row r="171" spans="1:13" ht="13" x14ac:dyDescent="0.15">
      <c r="A171" s="5" t="str">
        <f>HYPERLINK("https://onemount.atlassian.net/browse/DBA-5760","DBA-5760")</f>
        <v>DBA-5760</v>
      </c>
      <c r="B171" s="6" t="s">
        <v>21</v>
      </c>
      <c r="C171" s="6" t="s">
        <v>1552</v>
      </c>
      <c r="D171" s="8" t="s">
        <v>17</v>
      </c>
      <c r="E171" s="6" t="s">
        <v>23</v>
      </c>
      <c r="F171" s="6" t="s">
        <v>52</v>
      </c>
      <c r="G171" s="6" t="s">
        <v>1553</v>
      </c>
      <c r="H171" s="10">
        <v>46276</v>
      </c>
      <c r="I171" s="6" t="s">
        <v>1554</v>
      </c>
      <c r="J171" s="6" t="s">
        <v>1555</v>
      </c>
      <c r="K171" s="6" t="s">
        <v>46</v>
      </c>
      <c r="L171" s="6" t="s">
        <v>638</v>
      </c>
      <c r="M171" s="6" t="s">
        <v>1556</v>
      </c>
    </row>
    <row r="172" spans="1:13" ht="13" x14ac:dyDescent="0.15">
      <c r="A172" s="5" t="str">
        <f>HYPERLINK("https://onemount.atlassian.net/browse/DBA-5759","DBA-5759")</f>
        <v>DBA-5759</v>
      </c>
      <c r="B172" s="6" t="s">
        <v>21</v>
      </c>
      <c r="C172" s="6" t="s">
        <v>1557</v>
      </c>
      <c r="D172" s="8" t="s">
        <v>17</v>
      </c>
      <c r="E172" s="6" t="s">
        <v>23</v>
      </c>
      <c r="F172" s="6" t="s">
        <v>52</v>
      </c>
      <c r="G172" s="6" t="s">
        <v>1558</v>
      </c>
      <c r="H172" s="10">
        <v>46276</v>
      </c>
      <c r="I172" s="6" t="s">
        <v>1559</v>
      </c>
      <c r="J172" s="6" t="s">
        <v>56</v>
      </c>
      <c r="K172" s="6" t="s">
        <v>55</v>
      </c>
      <c r="L172" s="6" t="s">
        <v>56</v>
      </c>
      <c r="M172" s="6" t="s">
        <v>1560</v>
      </c>
    </row>
    <row r="173" spans="1:13" ht="13" x14ac:dyDescent="0.15">
      <c r="A173" s="5" t="str">
        <f>HYPERLINK("https://onemount.atlassian.net/browse/DBA-5758","DBA-5758")</f>
        <v>DBA-5758</v>
      </c>
      <c r="B173" s="6" t="s">
        <v>21</v>
      </c>
      <c r="C173" s="6" t="s">
        <v>1561</v>
      </c>
      <c r="D173" s="8" t="s">
        <v>17</v>
      </c>
      <c r="E173" s="6" t="s">
        <v>23</v>
      </c>
      <c r="F173" s="6" t="s">
        <v>31</v>
      </c>
      <c r="G173" s="6" t="s">
        <v>1562</v>
      </c>
      <c r="H173" s="10">
        <v>46276</v>
      </c>
      <c r="I173" s="6" t="s">
        <v>1563</v>
      </c>
      <c r="J173" s="6" t="s">
        <v>1564</v>
      </c>
      <c r="K173" s="6" t="s">
        <v>35</v>
      </c>
      <c r="L173" s="6" t="s">
        <v>374</v>
      </c>
      <c r="M173" s="6" t="s">
        <v>1565</v>
      </c>
    </row>
    <row r="174" spans="1:13" ht="13" x14ac:dyDescent="0.15">
      <c r="A174" s="5" t="str">
        <f>HYPERLINK("https://onemount.atlassian.net/browse/DBA-5757","DBA-5757")</f>
        <v>DBA-5757</v>
      </c>
      <c r="B174" s="6" t="s">
        <v>21</v>
      </c>
      <c r="C174" s="6" t="s">
        <v>1566</v>
      </c>
      <c r="D174" s="8" t="s">
        <v>17</v>
      </c>
      <c r="E174" s="6" t="s">
        <v>23</v>
      </c>
      <c r="F174" s="6" t="s">
        <v>52</v>
      </c>
      <c r="G174" s="6" t="s">
        <v>1567</v>
      </c>
      <c r="H174" s="10">
        <v>46274</v>
      </c>
      <c r="I174" s="6" t="s">
        <v>1568</v>
      </c>
      <c r="J174" s="6" t="s">
        <v>55</v>
      </c>
      <c r="K174" s="6" t="s">
        <v>55</v>
      </c>
      <c r="L174" s="6" t="s">
        <v>254</v>
      </c>
      <c r="M174" s="6" t="s">
        <v>1569</v>
      </c>
    </row>
    <row r="175" spans="1:13" ht="13" x14ac:dyDescent="0.15">
      <c r="A175" s="5" t="str">
        <f>HYPERLINK("https://onemount.atlassian.net/browse/DBA-5756","DBA-5756")</f>
        <v>DBA-5756</v>
      </c>
      <c r="B175" s="6" t="s">
        <v>21</v>
      </c>
      <c r="C175" s="6" t="s">
        <v>1570</v>
      </c>
      <c r="D175" s="8" t="s">
        <v>17</v>
      </c>
      <c r="E175" s="6" t="s">
        <v>23</v>
      </c>
      <c r="F175" s="6" t="s">
        <v>52</v>
      </c>
      <c r="G175" s="6" t="s">
        <v>1571</v>
      </c>
      <c r="H175" s="10">
        <v>46275</v>
      </c>
      <c r="I175" s="6" t="s">
        <v>1572</v>
      </c>
      <c r="J175" s="6" t="s">
        <v>463</v>
      </c>
      <c r="K175" s="6" t="s">
        <v>55</v>
      </c>
      <c r="L175" s="6" t="s">
        <v>254</v>
      </c>
      <c r="M175" s="6" t="s">
        <v>1573</v>
      </c>
    </row>
    <row r="176" spans="1:13" ht="13" x14ac:dyDescent="0.15">
      <c r="A176" s="5" t="str">
        <f>HYPERLINK("https://onemount.atlassian.net/browse/DBA-5755","DBA-5755")</f>
        <v>DBA-5755</v>
      </c>
      <c r="B176" s="6" t="s">
        <v>21</v>
      </c>
      <c r="C176" s="6" t="s">
        <v>1574</v>
      </c>
      <c r="D176" s="8" t="s">
        <v>17</v>
      </c>
      <c r="E176" s="6" t="s">
        <v>23</v>
      </c>
      <c r="F176" s="6" t="s">
        <v>24</v>
      </c>
      <c r="G176" s="6" t="s">
        <v>1575</v>
      </c>
      <c r="H176" s="10">
        <v>46274</v>
      </c>
      <c r="I176" s="6" t="s">
        <v>1576</v>
      </c>
      <c r="J176" s="6" t="s">
        <v>93</v>
      </c>
      <c r="K176" s="6" t="s">
        <v>55</v>
      </c>
      <c r="L176" s="6" t="s">
        <v>93</v>
      </c>
      <c r="M176" s="6" t="s">
        <v>1577</v>
      </c>
    </row>
    <row r="177" spans="1:13" ht="13" x14ac:dyDescent="0.15">
      <c r="A177" s="5" t="str">
        <f>HYPERLINK("https://onemount.atlassian.net/browse/DBA-5754","DBA-5754")</f>
        <v>DBA-5754</v>
      </c>
      <c r="B177" s="6" t="s">
        <v>21</v>
      </c>
      <c r="C177" s="6" t="s">
        <v>1578</v>
      </c>
      <c r="D177" s="14" t="s">
        <v>19</v>
      </c>
      <c r="E177" s="6" t="s">
        <v>23</v>
      </c>
      <c r="F177" s="6" t="s">
        <v>41</v>
      </c>
      <c r="G177" s="6" t="s">
        <v>1579</v>
      </c>
      <c r="H177" s="10">
        <v>46276</v>
      </c>
      <c r="I177" s="6" t="s">
        <v>44</v>
      </c>
      <c r="J177" s="6" t="s">
        <v>72</v>
      </c>
      <c r="K177" s="6" t="s">
        <v>72</v>
      </c>
      <c r="L177" s="6" t="s">
        <v>88</v>
      </c>
      <c r="M177" s="6" t="s">
        <v>1580</v>
      </c>
    </row>
    <row r="178" spans="1:13" ht="13" x14ac:dyDescent="0.15">
      <c r="A178" s="5" t="str">
        <f>HYPERLINK("https://onemount.atlassian.net/browse/DBA-5753","DBA-5753")</f>
        <v>DBA-5753</v>
      </c>
      <c r="B178" s="6" t="s">
        <v>21</v>
      </c>
      <c r="C178" s="6" t="s">
        <v>1581</v>
      </c>
      <c r="D178" s="8" t="s">
        <v>17</v>
      </c>
      <c r="E178" s="6" t="s">
        <v>23</v>
      </c>
      <c r="F178" s="6" t="s">
        <v>24</v>
      </c>
      <c r="G178" s="6" t="s">
        <v>1582</v>
      </c>
      <c r="H178" s="10">
        <v>46275</v>
      </c>
      <c r="I178" s="6" t="s">
        <v>1583</v>
      </c>
      <c r="J178" s="6" t="s">
        <v>46</v>
      </c>
      <c r="K178" s="6" t="s">
        <v>46</v>
      </c>
      <c r="L178" s="6" t="s">
        <v>46</v>
      </c>
      <c r="M178" s="6" t="s">
        <v>1584</v>
      </c>
    </row>
    <row r="179" spans="1:13" ht="13" x14ac:dyDescent="0.15">
      <c r="A179" s="5" t="str">
        <f>HYPERLINK("https://onemount.atlassian.net/browse/DBA-5752","DBA-5752")</f>
        <v>DBA-5752</v>
      </c>
      <c r="B179" s="6" t="s">
        <v>21</v>
      </c>
      <c r="C179" s="6" t="s">
        <v>1585</v>
      </c>
      <c r="D179" s="8" t="s">
        <v>17</v>
      </c>
      <c r="E179" s="6" t="s">
        <v>23</v>
      </c>
      <c r="F179" s="6" t="s">
        <v>31</v>
      </c>
      <c r="G179" s="6" t="s">
        <v>1586</v>
      </c>
      <c r="H179" s="10">
        <v>46275</v>
      </c>
      <c r="I179" s="6" t="s">
        <v>1587</v>
      </c>
      <c r="J179" s="6" t="s">
        <v>128</v>
      </c>
      <c r="K179" s="6" t="s">
        <v>35</v>
      </c>
      <c r="L179" s="6" t="s">
        <v>129</v>
      </c>
      <c r="M179" s="6" t="s">
        <v>1588</v>
      </c>
    </row>
    <row r="180" spans="1:13" ht="13" x14ac:dyDescent="0.15">
      <c r="A180" s="5" t="str">
        <f>HYPERLINK("https://onemount.atlassian.net/browse/DBA-5751","DBA-5751")</f>
        <v>DBA-5751</v>
      </c>
      <c r="B180" s="6" t="s">
        <v>21</v>
      </c>
      <c r="C180" s="6" t="s">
        <v>1589</v>
      </c>
      <c r="D180" s="8" t="s">
        <v>17</v>
      </c>
      <c r="E180" s="6" t="s">
        <v>23</v>
      </c>
      <c r="F180" s="6" t="s">
        <v>31</v>
      </c>
      <c r="G180" s="6" t="s">
        <v>1590</v>
      </c>
      <c r="H180" s="10">
        <v>46275</v>
      </c>
      <c r="I180" s="6" t="s">
        <v>1591</v>
      </c>
      <c r="J180" s="6" t="s">
        <v>118</v>
      </c>
      <c r="K180" s="6" t="s">
        <v>35</v>
      </c>
      <c r="L180" s="6" t="s">
        <v>119</v>
      </c>
      <c r="M180" s="6" t="s">
        <v>1592</v>
      </c>
    </row>
    <row r="181" spans="1:13" ht="13" x14ac:dyDescent="0.15">
      <c r="A181" s="5" t="str">
        <f>HYPERLINK("https://onemount.atlassian.net/browse/DBA-5750","DBA-5750")</f>
        <v>DBA-5750</v>
      </c>
      <c r="B181" s="6" t="s">
        <v>21</v>
      </c>
      <c r="C181" s="6" t="s">
        <v>1593</v>
      </c>
      <c r="D181" s="8" t="s">
        <v>17</v>
      </c>
      <c r="E181" s="6" t="s">
        <v>23</v>
      </c>
      <c r="F181" s="6" t="s">
        <v>52</v>
      </c>
      <c r="G181" s="6" t="s">
        <v>1594</v>
      </c>
      <c r="H181" s="10">
        <v>46274</v>
      </c>
      <c r="I181" s="6" t="s">
        <v>1595</v>
      </c>
      <c r="J181" s="6" t="s">
        <v>373</v>
      </c>
      <c r="K181" s="6" t="s">
        <v>35</v>
      </c>
      <c r="L181" s="6" t="s">
        <v>374</v>
      </c>
      <c r="M181" s="6" t="s">
        <v>1596</v>
      </c>
    </row>
    <row r="182" spans="1:13" ht="13" x14ac:dyDescent="0.15">
      <c r="A182" s="5" t="str">
        <f>HYPERLINK("https://onemount.atlassian.net/browse/DBA-5749","DBA-5749")</f>
        <v>DBA-5749</v>
      </c>
      <c r="B182" s="6" t="s">
        <v>21</v>
      </c>
      <c r="C182" s="6" t="s">
        <v>1597</v>
      </c>
      <c r="D182" s="8" t="s">
        <v>17</v>
      </c>
      <c r="E182" s="6" t="s">
        <v>23</v>
      </c>
      <c r="F182" s="6" t="s">
        <v>31</v>
      </c>
      <c r="G182" s="6" t="s">
        <v>1598</v>
      </c>
      <c r="H182" s="10">
        <v>46275</v>
      </c>
      <c r="I182" s="6" t="s">
        <v>1599</v>
      </c>
      <c r="J182" s="6" t="s">
        <v>489</v>
      </c>
      <c r="K182" s="6" t="s">
        <v>35</v>
      </c>
      <c r="L182" s="6" t="s">
        <v>36</v>
      </c>
      <c r="M182" s="6" t="s">
        <v>1600</v>
      </c>
    </row>
    <row r="183" spans="1:13" ht="13" x14ac:dyDescent="0.15">
      <c r="A183" s="5" t="str">
        <f>HYPERLINK("https://onemount.atlassian.net/browse/DBA-5748","DBA-5748")</f>
        <v>DBA-5748</v>
      </c>
      <c r="B183" s="6" t="s">
        <v>21</v>
      </c>
      <c r="C183" s="6" t="s">
        <v>1601</v>
      </c>
      <c r="D183" s="8" t="s">
        <v>17</v>
      </c>
      <c r="E183" s="6" t="s">
        <v>23</v>
      </c>
      <c r="F183" s="6" t="s">
        <v>24</v>
      </c>
      <c r="G183" s="6" t="s">
        <v>1602</v>
      </c>
      <c r="H183" s="10">
        <v>46273</v>
      </c>
      <c r="I183" s="6" t="s">
        <v>1603</v>
      </c>
      <c r="J183" s="6" t="s">
        <v>510</v>
      </c>
      <c r="K183" s="6" t="s">
        <v>46</v>
      </c>
      <c r="L183" s="6" t="s">
        <v>77</v>
      </c>
      <c r="M183" s="6" t="s">
        <v>1604</v>
      </c>
    </row>
    <row r="184" spans="1:13" ht="13" x14ac:dyDescent="0.15">
      <c r="A184" s="5" t="str">
        <f>HYPERLINK("https://onemount.atlassian.net/browse/DBA-5747","DBA-5747")</f>
        <v>DBA-5747</v>
      </c>
      <c r="B184" s="6" t="s">
        <v>21</v>
      </c>
      <c r="C184" s="6" t="s">
        <v>1605</v>
      </c>
      <c r="D184" s="8" t="s">
        <v>17</v>
      </c>
      <c r="E184" s="6" t="s">
        <v>23</v>
      </c>
      <c r="F184" s="6" t="s">
        <v>52</v>
      </c>
      <c r="G184" s="6" t="s">
        <v>1606</v>
      </c>
      <c r="H184" s="10">
        <v>46274</v>
      </c>
      <c r="I184" s="6" t="s">
        <v>1607</v>
      </c>
      <c r="J184" s="6" t="s">
        <v>118</v>
      </c>
      <c r="K184" s="6" t="s">
        <v>35</v>
      </c>
      <c r="L184" s="6" t="s">
        <v>119</v>
      </c>
      <c r="M184" s="6" t="s">
        <v>1608</v>
      </c>
    </row>
    <row r="185" spans="1:13" ht="13" x14ac:dyDescent="0.15">
      <c r="A185" s="5" t="str">
        <f>HYPERLINK("https://onemount.atlassian.net/browse/DBA-5746","DBA-5746")</f>
        <v>DBA-5746</v>
      </c>
      <c r="B185" s="6" t="s">
        <v>21</v>
      </c>
      <c r="C185" s="6" t="s">
        <v>1466</v>
      </c>
      <c r="D185" s="8" t="s">
        <v>17</v>
      </c>
      <c r="E185" s="6" t="s">
        <v>23</v>
      </c>
      <c r="F185" s="6" t="s">
        <v>31</v>
      </c>
      <c r="G185" s="6" t="s">
        <v>1609</v>
      </c>
      <c r="H185" s="10">
        <v>46273</v>
      </c>
      <c r="I185" s="6" t="s">
        <v>1610</v>
      </c>
      <c r="J185" s="6" t="s">
        <v>855</v>
      </c>
      <c r="K185" s="6" t="s">
        <v>55</v>
      </c>
      <c r="L185" s="6" t="s">
        <v>855</v>
      </c>
      <c r="M185" s="6" t="s">
        <v>1611</v>
      </c>
    </row>
    <row r="186" spans="1:13" ht="13" x14ac:dyDescent="0.15">
      <c r="A186" s="5" t="str">
        <f>HYPERLINK("https://onemount.atlassian.net/browse/DBA-5745","DBA-5745")</f>
        <v>DBA-5745</v>
      </c>
      <c r="B186" s="6" t="s">
        <v>21</v>
      </c>
      <c r="C186" s="6" t="s">
        <v>1612</v>
      </c>
      <c r="D186" s="8" t="s">
        <v>17</v>
      </c>
      <c r="E186" s="6" t="s">
        <v>23</v>
      </c>
      <c r="F186" s="6" t="s">
        <v>31</v>
      </c>
      <c r="G186" s="6" t="s">
        <v>1613</v>
      </c>
      <c r="H186" s="10">
        <v>46273</v>
      </c>
      <c r="I186" s="6" t="s">
        <v>1614</v>
      </c>
      <c r="J186" s="6" t="s">
        <v>636</v>
      </c>
      <c r="K186" s="6" t="s">
        <v>35</v>
      </c>
      <c r="L186" s="6" t="s">
        <v>692</v>
      </c>
      <c r="M186" s="6" t="s">
        <v>1615</v>
      </c>
    </row>
    <row r="187" spans="1:13" ht="13" x14ac:dyDescent="0.15">
      <c r="A187" s="5" t="str">
        <f>HYPERLINK("https://onemount.atlassian.net/browse/DBA-5744","DBA-5744")</f>
        <v>DBA-5744</v>
      </c>
      <c r="B187" s="6" t="s">
        <v>21</v>
      </c>
      <c r="C187" s="6" t="s">
        <v>1616</v>
      </c>
      <c r="D187" s="8" t="s">
        <v>17</v>
      </c>
      <c r="E187" s="6" t="s">
        <v>23</v>
      </c>
      <c r="F187" s="6" t="s">
        <v>24</v>
      </c>
      <c r="G187" s="6" t="s">
        <v>1617</v>
      </c>
      <c r="H187" s="10">
        <v>46274</v>
      </c>
      <c r="I187" s="6" t="s">
        <v>1618</v>
      </c>
      <c r="J187" s="6" t="s">
        <v>224</v>
      </c>
      <c r="K187" s="6" t="s">
        <v>72</v>
      </c>
      <c r="L187" s="6" t="s">
        <v>224</v>
      </c>
      <c r="M187" s="6" t="s">
        <v>1619</v>
      </c>
    </row>
    <row r="188" spans="1:13" ht="13" x14ac:dyDescent="0.15">
      <c r="A188" s="5" t="str">
        <f>HYPERLINK("https://onemount.atlassian.net/browse/DBA-5743","DBA-5743")</f>
        <v>DBA-5743</v>
      </c>
      <c r="B188" s="6" t="s">
        <v>21</v>
      </c>
      <c r="C188" s="6" t="s">
        <v>481</v>
      </c>
      <c r="D188" s="8" t="s">
        <v>17</v>
      </c>
      <c r="E188" s="6" t="s">
        <v>23</v>
      </c>
      <c r="F188" s="6" t="s">
        <v>24</v>
      </c>
      <c r="G188" s="6" t="s">
        <v>1620</v>
      </c>
      <c r="H188" s="10">
        <v>46273</v>
      </c>
      <c r="I188" s="6" t="s">
        <v>1621</v>
      </c>
      <c r="J188" s="6" t="s">
        <v>88</v>
      </c>
      <c r="K188" s="6" t="s">
        <v>59</v>
      </c>
      <c r="L188" s="6" t="s">
        <v>88</v>
      </c>
      <c r="M188" s="6" t="s">
        <v>1622</v>
      </c>
    </row>
    <row r="189" spans="1:13" ht="13" x14ac:dyDescent="0.15">
      <c r="A189" s="5" t="str">
        <f>HYPERLINK("https://onemount.atlassian.net/browse/DBA-5742","DBA-5742")</f>
        <v>DBA-5742</v>
      </c>
      <c r="B189" s="6" t="s">
        <v>21</v>
      </c>
      <c r="C189" s="6" t="s">
        <v>1623</v>
      </c>
      <c r="D189" s="8" t="s">
        <v>17</v>
      </c>
      <c r="E189" s="6" t="s">
        <v>23</v>
      </c>
      <c r="F189" s="6" t="s">
        <v>41</v>
      </c>
      <c r="G189" s="6" t="s">
        <v>1624</v>
      </c>
      <c r="H189" s="10">
        <v>46275</v>
      </c>
      <c r="I189" s="6" t="s">
        <v>1625</v>
      </c>
      <c r="J189" s="6" t="s">
        <v>1146</v>
      </c>
      <c r="K189" s="6" t="s">
        <v>168</v>
      </c>
      <c r="L189" s="6" t="s">
        <v>1146</v>
      </c>
      <c r="M189" s="6" t="s">
        <v>1626</v>
      </c>
    </row>
    <row r="190" spans="1:13" ht="13" x14ac:dyDescent="0.15">
      <c r="A190" s="5" t="str">
        <f>HYPERLINK("https://onemount.atlassian.net/browse/DBA-5741","DBA-5741")</f>
        <v>DBA-5741</v>
      </c>
      <c r="B190" s="6" t="s">
        <v>21</v>
      </c>
      <c r="C190" s="6" t="s">
        <v>1627</v>
      </c>
      <c r="D190" s="8" t="s">
        <v>17</v>
      </c>
      <c r="E190" s="6" t="s">
        <v>23</v>
      </c>
      <c r="F190" s="6" t="s">
        <v>52</v>
      </c>
      <c r="G190" s="6" t="s">
        <v>1628</v>
      </c>
      <c r="H190" s="10">
        <v>46276</v>
      </c>
      <c r="I190" s="6" t="s">
        <v>1629</v>
      </c>
      <c r="J190" s="6" t="s">
        <v>85</v>
      </c>
      <c r="K190" s="6" t="s">
        <v>55</v>
      </c>
      <c r="L190" s="6" t="s">
        <v>85</v>
      </c>
      <c r="M190" s="6" t="s">
        <v>1630</v>
      </c>
    </row>
    <row r="191" spans="1:13" ht="13" x14ac:dyDescent="0.15">
      <c r="A191" s="5" t="str">
        <f>HYPERLINK("https://onemount.atlassian.net/browse/DBA-5740","DBA-5740")</f>
        <v>DBA-5740</v>
      </c>
      <c r="B191" s="6" t="s">
        <v>21</v>
      </c>
      <c r="C191" s="6" t="s">
        <v>1631</v>
      </c>
      <c r="D191" s="8" t="s">
        <v>17</v>
      </c>
      <c r="E191" s="6" t="s">
        <v>23</v>
      </c>
      <c r="F191" s="6" t="s">
        <v>24</v>
      </c>
      <c r="G191" s="6" t="s">
        <v>1632</v>
      </c>
      <c r="H191" s="10">
        <v>46273</v>
      </c>
      <c r="I191" s="6" t="s">
        <v>1633</v>
      </c>
      <c r="J191" s="6" t="s">
        <v>164</v>
      </c>
      <c r="K191" s="6" t="s">
        <v>46</v>
      </c>
      <c r="L191" s="6" t="s">
        <v>164</v>
      </c>
      <c r="M191" s="6" t="s">
        <v>1634</v>
      </c>
    </row>
    <row r="192" spans="1:13" ht="13" x14ac:dyDescent="0.15">
      <c r="A192" s="21" t="str">
        <f>HYPERLINK("https://onemount.atlassian.net/browse/DBA-5739","DBA-5739")</f>
        <v>DBA-5739</v>
      </c>
      <c r="B192" s="6" t="s">
        <v>21</v>
      </c>
      <c r="C192" s="6" t="s">
        <v>1635</v>
      </c>
      <c r="D192" s="8" t="s">
        <v>17</v>
      </c>
      <c r="E192" s="6" t="s">
        <v>23</v>
      </c>
      <c r="F192" s="6" t="s">
        <v>52</v>
      </c>
      <c r="G192" s="6" t="s">
        <v>1636</v>
      </c>
      <c r="H192" s="10">
        <v>46273</v>
      </c>
      <c r="I192" s="6" t="s">
        <v>1637</v>
      </c>
      <c r="J192" s="6" t="s">
        <v>56</v>
      </c>
      <c r="K192" s="6" t="s">
        <v>55</v>
      </c>
      <c r="L192" s="6" t="s">
        <v>56</v>
      </c>
      <c r="M192" s="6" t="s">
        <v>1638</v>
      </c>
    </row>
    <row r="193" spans="1:13" ht="13" x14ac:dyDescent="0.15">
      <c r="A193" s="5" t="str">
        <f>HYPERLINK("https://onemount.atlassian.net/browse/DBA-5738","DBA-5738")</f>
        <v>DBA-5738</v>
      </c>
      <c r="B193" s="6" t="s">
        <v>21</v>
      </c>
      <c r="C193" s="6" t="s">
        <v>1639</v>
      </c>
      <c r="D193" s="8" t="s">
        <v>17</v>
      </c>
      <c r="E193" s="6" t="s">
        <v>23</v>
      </c>
      <c r="F193" s="6" t="s">
        <v>52</v>
      </c>
      <c r="G193" s="6" t="s">
        <v>1640</v>
      </c>
      <c r="H193" s="10">
        <v>46273</v>
      </c>
      <c r="I193" s="6" t="s">
        <v>1641</v>
      </c>
      <c r="J193" s="6" t="s">
        <v>56</v>
      </c>
      <c r="K193" s="6" t="s">
        <v>55</v>
      </c>
      <c r="L193" s="6" t="s">
        <v>56</v>
      </c>
      <c r="M193" s="6" t="s">
        <v>1642</v>
      </c>
    </row>
    <row r="194" spans="1:13" ht="13" x14ac:dyDescent="0.15">
      <c r="A194" s="5" t="str">
        <f>HYPERLINK("https://onemount.atlassian.net/browse/DBA-5737","DBA-5737")</f>
        <v>DBA-5737</v>
      </c>
      <c r="B194" s="6" t="s">
        <v>21</v>
      </c>
      <c r="C194" s="6" t="s">
        <v>1597</v>
      </c>
      <c r="D194" s="8" t="s">
        <v>17</v>
      </c>
      <c r="E194" s="6" t="s">
        <v>23</v>
      </c>
      <c r="F194" s="6" t="s">
        <v>31</v>
      </c>
      <c r="G194" s="6" t="s">
        <v>1643</v>
      </c>
      <c r="H194" s="10">
        <v>46272</v>
      </c>
      <c r="I194" s="6" t="s">
        <v>1644</v>
      </c>
      <c r="J194" s="6" t="s">
        <v>246</v>
      </c>
      <c r="K194" s="6" t="s">
        <v>35</v>
      </c>
      <c r="L194" s="6" t="s">
        <v>36</v>
      </c>
      <c r="M194" s="6" t="s">
        <v>1645</v>
      </c>
    </row>
    <row r="195" spans="1:13" ht="13" x14ac:dyDescent="0.15">
      <c r="A195" s="5" t="str">
        <f>HYPERLINK("https://onemount.atlassian.net/browse/DBA-5736","DBA-5736")</f>
        <v>DBA-5736</v>
      </c>
      <c r="B195" s="6" t="s">
        <v>21</v>
      </c>
      <c r="C195" s="6" t="s">
        <v>1646</v>
      </c>
      <c r="D195" s="8" t="s">
        <v>17</v>
      </c>
      <c r="E195" s="6" t="s">
        <v>23</v>
      </c>
      <c r="F195" s="6" t="s">
        <v>52</v>
      </c>
      <c r="G195" s="6" t="s">
        <v>1647</v>
      </c>
      <c r="H195" s="10">
        <v>46272</v>
      </c>
      <c r="I195" s="6" t="s">
        <v>1648</v>
      </c>
      <c r="J195" s="6" t="s">
        <v>759</v>
      </c>
      <c r="K195" s="6" t="s">
        <v>137</v>
      </c>
      <c r="L195" s="6" t="s">
        <v>222</v>
      </c>
      <c r="M195" s="6" t="s">
        <v>1649</v>
      </c>
    </row>
    <row r="196" spans="1:13" ht="13" x14ac:dyDescent="0.15">
      <c r="A196" s="5" t="str">
        <f>HYPERLINK("https://onemount.atlassian.net/browse/DBA-5735","DBA-5735")</f>
        <v>DBA-5735</v>
      </c>
      <c r="B196" s="6" t="s">
        <v>21</v>
      </c>
      <c r="C196" s="6" t="s">
        <v>1650</v>
      </c>
      <c r="D196" s="8" t="s">
        <v>17</v>
      </c>
      <c r="E196" s="6" t="s">
        <v>23</v>
      </c>
      <c r="F196" s="6" t="s">
        <v>31</v>
      </c>
      <c r="G196" s="6" t="s">
        <v>1651</v>
      </c>
      <c r="H196" s="10">
        <v>46271</v>
      </c>
      <c r="I196" s="6" t="s">
        <v>1652</v>
      </c>
      <c r="J196" s="6" t="s">
        <v>118</v>
      </c>
      <c r="K196" s="6" t="s">
        <v>35</v>
      </c>
      <c r="L196" s="6" t="s">
        <v>119</v>
      </c>
      <c r="M196" s="6" t="s">
        <v>1653</v>
      </c>
    </row>
    <row r="197" spans="1:13" ht="13" x14ac:dyDescent="0.15">
      <c r="A197" s="5" t="str">
        <f>HYPERLINK("https://onemount.atlassian.net/browse/DBA-5734","DBA-5734")</f>
        <v>DBA-5734</v>
      </c>
      <c r="B197" s="23" t="str">
        <f t="shared" ref="B197:B199" si="1">HYPERLINK("https://onemount.atlassian.net/browse/DBA-5731","DBA-5731")</f>
        <v>DBA-5731</v>
      </c>
      <c r="C197" s="6" t="s">
        <v>1654</v>
      </c>
      <c r="D197" s="8" t="s">
        <v>17</v>
      </c>
      <c r="E197" s="6" t="s">
        <v>428</v>
      </c>
      <c r="F197" s="6" t="s">
        <v>24</v>
      </c>
      <c r="G197" s="6" t="s">
        <v>1655</v>
      </c>
      <c r="H197" s="10">
        <v>46283</v>
      </c>
      <c r="I197" s="6" t="s">
        <v>1656</v>
      </c>
      <c r="J197" s="6" t="s">
        <v>827</v>
      </c>
      <c r="K197" s="6" t="s">
        <v>55</v>
      </c>
      <c r="L197" s="6" t="s">
        <v>827</v>
      </c>
      <c r="M197" s="6" t="s">
        <v>1657</v>
      </c>
    </row>
    <row r="198" spans="1:13" ht="13" x14ac:dyDescent="0.15">
      <c r="A198" s="5" t="str">
        <f>HYPERLINK("https://onemount.atlassian.net/browse/DBA-5733","DBA-5733")</f>
        <v>DBA-5733</v>
      </c>
      <c r="B198" s="23" t="str">
        <f t="shared" si="1"/>
        <v>DBA-5731</v>
      </c>
      <c r="C198" s="6" t="s">
        <v>1658</v>
      </c>
      <c r="D198" s="8" t="s">
        <v>17</v>
      </c>
      <c r="E198" s="6" t="s">
        <v>428</v>
      </c>
      <c r="F198" s="6" t="s">
        <v>24</v>
      </c>
      <c r="G198" s="6" t="s">
        <v>1659</v>
      </c>
      <c r="H198" s="10">
        <v>46283</v>
      </c>
      <c r="I198" s="6" t="s">
        <v>1660</v>
      </c>
      <c r="J198" s="6" t="s">
        <v>827</v>
      </c>
      <c r="K198" s="6" t="s">
        <v>55</v>
      </c>
      <c r="L198" s="6" t="s">
        <v>827</v>
      </c>
      <c r="M198" s="6" t="s">
        <v>1661</v>
      </c>
    </row>
    <row r="199" spans="1:13" ht="13" x14ac:dyDescent="0.15">
      <c r="A199" s="21" t="str">
        <f>HYPERLINK("https://onemount.atlassian.net/browse/DBA-5732","DBA-5732")</f>
        <v>DBA-5732</v>
      </c>
      <c r="B199" s="23" t="str">
        <f t="shared" si="1"/>
        <v>DBA-5731</v>
      </c>
      <c r="C199" s="6" t="s">
        <v>1662</v>
      </c>
      <c r="D199" s="8" t="s">
        <v>17</v>
      </c>
      <c r="E199" s="6" t="s">
        <v>428</v>
      </c>
      <c r="F199" s="6" t="s">
        <v>24</v>
      </c>
      <c r="G199" s="6" t="s">
        <v>1663</v>
      </c>
      <c r="H199" s="10">
        <v>46283</v>
      </c>
      <c r="I199" s="6" t="s">
        <v>1664</v>
      </c>
      <c r="J199" s="6" t="s">
        <v>827</v>
      </c>
      <c r="K199" s="6" t="s">
        <v>55</v>
      </c>
      <c r="L199" s="6" t="s">
        <v>827</v>
      </c>
      <c r="M199" s="6" t="s">
        <v>1665</v>
      </c>
    </row>
    <row r="200" spans="1:13" ht="13" x14ac:dyDescent="0.15">
      <c r="A200" s="5" t="str">
        <f>HYPERLINK("https://onemount.atlassian.net/browse/DBA-5731","DBA-5731")</f>
        <v>DBA-5731</v>
      </c>
      <c r="B200" s="23" t="str">
        <f>HYPERLINK("https://onemount.atlassian.net/browse/DBA-3006","DBA-3006")</f>
        <v>DBA-3006</v>
      </c>
      <c r="C200" s="6" t="s">
        <v>1666</v>
      </c>
      <c r="D200" s="8" t="s">
        <v>17</v>
      </c>
      <c r="E200" s="6" t="s">
        <v>23</v>
      </c>
      <c r="F200" s="6" t="s">
        <v>24</v>
      </c>
      <c r="G200" s="6" t="s">
        <v>1667</v>
      </c>
      <c r="H200" s="10">
        <v>46283</v>
      </c>
      <c r="I200" s="6" t="s">
        <v>1668</v>
      </c>
      <c r="J200" s="6" t="s">
        <v>827</v>
      </c>
      <c r="K200" s="6" t="s">
        <v>55</v>
      </c>
      <c r="L200" s="6" t="s">
        <v>827</v>
      </c>
      <c r="M200" s="6" t="s">
        <v>1669</v>
      </c>
    </row>
    <row r="201" spans="1:13" ht="13" x14ac:dyDescent="0.15">
      <c r="A201" s="5" t="str">
        <f>HYPERLINK("https://onemount.atlassian.net/browse/DBA-5730","DBA-5730")</f>
        <v>DBA-5730</v>
      </c>
      <c r="B201" s="6" t="s">
        <v>21</v>
      </c>
      <c r="C201" s="6" t="s">
        <v>1670</v>
      </c>
      <c r="D201" s="8" t="s">
        <v>17</v>
      </c>
      <c r="E201" s="6" t="s">
        <v>23</v>
      </c>
      <c r="F201" s="6" t="s">
        <v>24</v>
      </c>
      <c r="G201" s="6" t="s">
        <v>1671</v>
      </c>
      <c r="H201" s="10">
        <v>46271</v>
      </c>
      <c r="I201" s="6" t="s">
        <v>1672</v>
      </c>
      <c r="J201" s="6" t="s">
        <v>55</v>
      </c>
      <c r="K201" s="6" t="s">
        <v>55</v>
      </c>
      <c r="L201" s="6" t="s">
        <v>56</v>
      </c>
      <c r="M201" s="6" t="s">
        <v>1673</v>
      </c>
    </row>
    <row r="202" spans="1:13" ht="13" x14ac:dyDescent="0.15">
      <c r="A202" s="5" t="str">
        <f>HYPERLINK("https://onemount.atlassian.net/browse/DBA-5729","DBA-5729")</f>
        <v>DBA-5729</v>
      </c>
      <c r="B202" s="6" t="s">
        <v>21</v>
      </c>
      <c r="C202" s="6" t="s">
        <v>1674</v>
      </c>
      <c r="D202" s="8" t="s">
        <v>17</v>
      </c>
      <c r="E202" s="6" t="s">
        <v>23</v>
      </c>
      <c r="F202" s="6" t="s">
        <v>31</v>
      </c>
      <c r="G202" s="6" t="s">
        <v>1675</v>
      </c>
      <c r="H202" s="10">
        <v>46270</v>
      </c>
      <c r="I202" s="6" t="s">
        <v>1676</v>
      </c>
      <c r="J202" s="6" t="s">
        <v>55</v>
      </c>
      <c r="K202" s="6" t="s">
        <v>55</v>
      </c>
      <c r="L202" s="6" t="s">
        <v>71</v>
      </c>
      <c r="M202" s="6" t="s">
        <v>1677</v>
      </c>
    </row>
    <row r="203" spans="1:13" ht="13" x14ac:dyDescent="0.15">
      <c r="A203" s="5" t="str">
        <f>HYPERLINK("https://onemount.atlassian.net/browse/DBA-5728","DBA-5728")</f>
        <v>DBA-5728</v>
      </c>
      <c r="B203" s="6" t="s">
        <v>21</v>
      </c>
      <c r="C203" s="6" t="s">
        <v>1678</v>
      </c>
      <c r="D203" s="8" t="s">
        <v>17</v>
      </c>
      <c r="E203" s="6" t="s">
        <v>23</v>
      </c>
      <c r="F203" s="6" t="s">
        <v>41</v>
      </c>
      <c r="G203" s="6" t="s">
        <v>1679</v>
      </c>
      <c r="H203" s="10">
        <v>46270</v>
      </c>
      <c r="I203" s="6" t="s">
        <v>1680</v>
      </c>
      <c r="J203" s="6" t="s">
        <v>224</v>
      </c>
      <c r="K203" s="6" t="s">
        <v>72</v>
      </c>
      <c r="L203" s="6" t="s">
        <v>224</v>
      </c>
      <c r="M203" s="6" t="s">
        <v>1681</v>
      </c>
    </row>
    <row r="204" spans="1:13" ht="13" x14ac:dyDescent="0.15">
      <c r="A204" s="21" t="str">
        <f>HYPERLINK("https://onemount.atlassian.net/browse/DBA-5727","DBA-5727")</f>
        <v>DBA-5727</v>
      </c>
      <c r="B204" s="6" t="s">
        <v>21</v>
      </c>
      <c r="C204" s="6" t="s">
        <v>1682</v>
      </c>
      <c r="D204" s="8" t="s">
        <v>17</v>
      </c>
      <c r="E204" s="6" t="s">
        <v>23</v>
      </c>
      <c r="F204" s="6" t="s">
        <v>41</v>
      </c>
      <c r="G204" s="6" t="s">
        <v>1683</v>
      </c>
      <c r="H204" s="10">
        <v>46271</v>
      </c>
      <c r="I204" s="6" t="s">
        <v>1684</v>
      </c>
      <c r="J204" s="6" t="s">
        <v>72</v>
      </c>
      <c r="K204" s="6" t="s">
        <v>72</v>
      </c>
      <c r="L204" s="6" t="s">
        <v>72</v>
      </c>
      <c r="M204" s="6" t="s">
        <v>1685</v>
      </c>
    </row>
    <row r="205" spans="1:13" ht="13" x14ac:dyDescent="0.15">
      <c r="A205" s="5" t="str">
        <f>HYPERLINK("https://onemount.atlassian.net/browse/DBA-5726","DBA-5726")</f>
        <v>DBA-5726</v>
      </c>
      <c r="B205" s="6" t="s">
        <v>21</v>
      </c>
      <c r="C205" s="6" t="s">
        <v>1466</v>
      </c>
      <c r="D205" s="8" t="s">
        <v>17</v>
      </c>
      <c r="E205" s="6" t="s">
        <v>23</v>
      </c>
      <c r="F205" s="6" t="s">
        <v>52</v>
      </c>
      <c r="G205" s="6" t="s">
        <v>1686</v>
      </c>
      <c r="H205" s="10">
        <v>46270</v>
      </c>
      <c r="I205" s="6" t="s">
        <v>1687</v>
      </c>
      <c r="J205" s="6" t="s">
        <v>855</v>
      </c>
      <c r="K205" s="6" t="s">
        <v>55</v>
      </c>
      <c r="L205" s="6" t="s">
        <v>855</v>
      </c>
      <c r="M205" s="6" t="s">
        <v>1688</v>
      </c>
    </row>
    <row r="206" spans="1:13" ht="13" x14ac:dyDescent="0.15">
      <c r="A206" s="5" t="str">
        <f>HYPERLINK("https://onemount.atlassian.net/browse/DBA-5725","DBA-5725")</f>
        <v>DBA-5725</v>
      </c>
      <c r="B206" s="6" t="s">
        <v>21</v>
      </c>
      <c r="C206" s="6" t="s">
        <v>1689</v>
      </c>
      <c r="D206" s="8" t="s">
        <v>17</v>
      </c>
      <c r="E206" s="6" t="s">
        <v>23</v>
      </c>
      <c r="F206" s="6" t="s">
        <v>52</v>
      </c>
      <c r="G206" s="6" t="s">
        <v>1690</v>
      </c>
      <c r="H206" s="10">
        <v>46270</v>
      </c>
      <c r="I206" s="6" t="s">
        <v>1691</v>
      </c>
      <c r="J206" s="6" t="s">
        <v>1692</v>
      </c>
      <c r="K206" s="6" t="s">
        <v>46</v>
      </c>
      <c r="L206" s="6" t="s">
        <v>414</v>
      </c>
      <c r="M206" s="6" t="s">
        <v>1693</v>
      </c>
    </row>
    <row r="207" spans="1:13" ht="13" x14ac:dyDescent="0.15">
      <c r="A207" s="5" t="str">
        <f>HYPERLINK("https://onemount.atlassian.net/browse/DBA-5724","DBA-5724")</f>
        <v>DBA-5724</v>
      </c>
      <c r="B207" s="6" t="s">
        <v>21</v>
      </c>
      <c r="C207" s="6" t="s">
        <v>1694</v>
      </c>
      <c r="D207" s="8" t="s">
        <v>17</v>
      </c>
      <c r="E207" s="6" t="s">
        <v>23</v>
      </c>
      <c r="F207" s="6" t="s">
        <v>52</v>
      </c>
      <c r="G207" s="6" t="s">
        <v>1695</v>
      </c>
      <c r="H207" s="10">
        <v>46269</v>
      </c>
      <c r="I207" s="6" t="s">
        <v>1696</v>
      </c>
      <c r="J207" s="6" t="s">
        <v>56</v>
      </c>
      <c r="K207" s="6" t="s">
        <v>55</v>
      </c>
      <c r="L207" s="6" t="s">
        <v>56</v>
      </c>
      <c r="M207" s="6" t="s">
        <v>1697</v>
      </c>
    </row>
    <row r="208" spans="1:13" ht="13" x14ac:dyDescent="0.15">
      <c r="A208" s="5" t="str">
        <f>HYPERLINK("https://onemount.atlassian.net/browse/DBA-5723","DBA-5723")</f>
        <v>DBA-5723</v>
      </c>
      <c r="B208" s="6" t="s">
        <v>21</v>
      </c>
      <c r="C208" s="6" t="s">
        <v>1698</v>
      </c>
      <c r="D208" s="8" t="s">
        <v>17</v>
      </c>
      <c r="E208" s="6" t="s">
        <v>23</v>
      </c>
      <c r="F208" s="6" t="s">
        <v>31</v>
      </c>
      <c r="G208" s="6" t="s">
        <v>1699</v>
      </c>
      <c r="H208" s="10">
        <v>46269</v>
      </c>
      <c r="I208" s="6" t="s">
        <v>1700</v>
      </c>
      <c r="J208" s="6" t="s">
        <v>246</v>
      </c>
      <c r="K208" s="6" t="s">
        <v>35</v>
      </c>
      <c r="L208" s="6" t="s">
        <v>36</v>
      </c>
      <c r="M208" s="6" t="s">
        <v>1701</v>
      </c>
    </row>
    <row r="209" spans="1:13" ht="13" x14ac:dyDescent="0.15">
      <c r="A209" s="21" t="str">
        <f>HYPERLINK("https://onemount.atlassian.net/browse/DBA-5722","DBA-5722")</f>
        <v>DBA-5722</v>
      </c>
      <c r="B209" s="6" t="s">
        <v>21</v>
      </c>
      <c r="C209" s="6" t="s">
        <v>1682</v>
      </c>
      <c r="D209" s="8" t="s">
        <v>17</v>
      </c>
      <c r="E209" s="6" t="s">
        <v>23</v>
      </c>
      <c r="F209" s="6" t="s">
        <v>41</v>
      </c>
      <c r="G209" s="6" t="s">
        <v>1702</v>
      </c>
      <c r="H209" s="10">
        <v>46271</v>
      </c>
      <c r="I209" s="6" t="s">
        <v>1703</v>
      </c>
      <c r="J209" s="6" t="s">
        <v>72</v>
      </c>
      <c r="K209" s="6" t="s">
        <v>72</v>
      </c>
      <c r="L209" s="6" t="s">
        <v>72</v>
      </c>
      <c r="M209" s="6" t="s">
        <v>1685</v>
      </c>
    </row>
    <row r="210" spans="1:13" ht="13" x14ac:dyDescent="0.15">
      <c r="A210" s="5" t="str">
        <f>HYPERLINK("https://onemount.atlassian.net/browse/DBA-5721","DBA-5721")</f>
        <v>DBA-5721</v>
      </c>
      <c r="B210" s="6" t="s">
        <v>21</v>
      </c>
      <c r="C210" s="6" t="s">
        <v>1704</v>
      </c>
      <c r="D210" s="8" t="s">
        <v>17</v>
      </c>
      <c r="E210" s="6" t="s">
        <v>23</v>
      </c>
      <c r="F210" s="6" t="s">
        <v>24</v>
      </c>
      <c r="G210" s="6" t="s">
        <v>1705</v>
      </c>
      <c r="H210" s="10">
        <v>46273</v>
      </c>
      <c r="I210" s="6" t="s">
        <v>1706</v>
      </c>
      <c r="J210" s="6" t="s">
        <v>164</v>
      </c>
      <c r="K210" s="6" t="s">
        <v>46</v>
      </c>
      <c r="L210" s="6" t="s">
        <v>164</v>
      </c>
      <c r="M210" s="6" t="s">
        <v>1707</v>
      </c>
    </row>
    <row r="211" spans="1:13" ht="13" x14ac:dyDescent="0.15">
      <c r="A211" s="5" t="str">
        <f>HYPERLINK("https://onemount.atlassian.net/browse/DBA-5720","DBA-5720")</f>
        <v>DBA-5720</v>
      </c>
      <c r="B211" s="6" t="s">
        <v>21</v>
      </c>
      <c r="C211" s="6" t="s">
        <v>1708</v>
      </c>
      <c r="D211" s="8" t="s">
        <v>17</v>
      </c>
      <c r="E211" s="6" t="s">
        <v>23</v>
      </c>
      <c r="F211" s="6" t="s">
        <v>24</v>
      </c>
      <c r="G211" s="6" t="s">
        <v>1709</v>
      </c>
      <c r="H211" s="10">
        <v>46270</v>
      </c>
      <c r="I211" s="6" t="s">
        <v>1710</v>
      </c>
      <c r="J211" s="6" t="s">
        <v>77</v>
      </c>
      <c r="K211" s="6" t="s">
        <v>46</v>
      </c>
      <c r="L211" s="6" t="s">
        <v>77</v>
      </c>
      <c r="M211" s="6" t="s">
        <v>1711</v>
      </c>
    </row>
    <row r="212" spans="1:13" ht="13" x14ac:dyDescent="0.15">
      <c r="A212" s="5" t="str">
        <f>HYPERLINK("https://onemount.atlassian.net/browse/DBA-5719","DBA-5719")</f>
        <v>DBA-5719</v>
      </c>
      <c r="B212" s="6" t="s">
        <v>21</v>
      </c>
      <c r="C212" s="6" t="s">
        <v>1712</v>
      </c>
      <c r="D212" s="8" t="s">
        <v>17</v>
      </c>
      <c r="E212" s="6" t="s">
        <v>23</v>
      </c>
      <c r="F212" s="6" t="s">
        <v>24</v>
      </c>
      <c r="G212" s="6" t="s">
        <v>1713</v>
      </c>
      <c r="H212" s="10">
        <v>46269</v>
      </c>
      <c r="I212" s="6" t="s">
        <v>1714</v>
      </c>
      <c r="J212" s="6" t="s">
        <v>93</v>
      </c>
      <c r="K212" s="6" t="s">
        <v>55</v>
      </c>
      <c r="L212" s="6" t="s">
        <v>93</v>
      </c>
      <c r="M212" s="6" t="s">
        <v>1715</v>
      </c>
    </row>
    <row r="213" spans="1:13" ht="13" x14ac:dyDescent="0.15">
      <c r="A213" s="5" t="str">
        <f>HYPERLINK("https://onemount.atlassian.net/browse/DBA-5718","DBA-5718")</f>
        <v>DBA-5718</v>
      </c>
      <c r="B213" s="6" t="s">
        <v>21</v>
      </c>
      <c r="C213" s="6" t="s">
        <v>1716</v>
      </c>
      <c r="D213" s="8" t="s">
        <v>17</v>
      </c>
      <c r="E213" s="6" t="s">
        <v>23</v>
      </c>
      <c r="F213" s="6" t="s">
        <v>31</v>
      </c>
      <c r="G213" s="6" t="s">
        <v>1717</v>
      </c>
      <c r="H213" s="10">
        <v>46270</v>
      </c>
      <c r="I213" s="6" t="s">
        <v>1718</v>
      </c>
      <c r="J213" s="6" t="s">
        <v>636</v>
      </c>
      <c r="K213" s="6" t="s">
        <v>35</v>
      </c>
      <c r="L213" s="6" t="s">
        <v>692</v>
      </c>
      <c r="M213" s="6" t="s">
        <v>1719</v>
      </c>
    </row>
    <row r="214" spans="1:13" ht="13" x14ac:dyDescent="0.15">
      <c r="A214" s="5" t="str">
        <f>HYPERLINK("https://onemount.atlassian.net/browse/DBA-5717","DBA-5717")</f>
        <v>DBA-5717</v>
      </c>
      <c r="B214" s="6" t="s">
        <v>21</v>
      </c>
      <c r="C214" s="6" t="s">
        <v>1720</v>
      </c>
      <c r="D214" s="8" t="s">
        <v>17</v>
      </c>
      <c r="E214" s="6" t="s">
        <v>23</v>
      </c>
      <c r="F214" s="6" t="s">
        <v>31</v>
      </c>
      <c r="G214" s="6" t="s">
        <v>1721</v>
      </c>
      <c r="H214" s="10">
        <v>46269</v>
      </c>
      <c r="I214" s="6" t="s">
        <v>1722</v>
      </c>
      <c r="J214" s="6" t="s">
        <v>35</v>
      </c>
      <c r="K214" s="6" t="s">
        <v>35</v>
      </c>
      <c r="L214" s="6" t="s">
        <v>35</v>
      </c>
      <c r="M214" s="6" t="s">
        <v>1723</v>
      </c>
    </row>
    <row r="215" spans="1:13" ht="13" x14ac:dyDescent="0.15">
      <c r="A215" s="5" t="str">
        <f>HYPERLINK("https://onemount.atlassian.net/browse/DBA-5716","DBA-5716")</f>
        <v>DBA-5716</v>
      </c>
      <c r="B215" s="6" t="s">
        <v>21</v>
      </c>
      <c r="C215" s="6" t="s">
        <v>1724</v>
      </c>
      <c r="D215" s="8" t="s">
        <v>17</v>
      </c>
      <c r="E215" s="6" t="s">
        <v>23</v>
      </c>
      <c r="F215" s="6" t="s">
        <v>24</v>
      </c>
      <c r="G215" s="6" t="s">
        <v>1725</v>
      </c>
      <c r="H215" s="10">
        <v>46268</v>
      </c>
      <c r="I215" s="6" t="s">
        <v>1726</v>
      </c>
      <c r="J215" s="6" t="s">
        <v>85</v>
      </c>
      <c r="K215" s="6" t="s">
        <v>55</v>
      </c>
      <c r="L215" s="6" t="s">
        <v>85</v>
      </c>
      <c r="M215" s="6" t="s">
        <v>1727</v>
      </c>
    </row>
    <row r="216" spans="1:13" ht="13" x14ac:dyDescent="0.15">
      <c r="A216" s="5" t="str">
        <f>HYPERLINK("https://onemount.atlassian.net/browse/DBA-5715","DBA-5715")</f>
        <v>DBA-5715</v>
      </c>
      <c r="B216" s="6" t="s">
        <v>21</v>
      </c>
      <c r="C216" s="6" t="s">
        <v>1728</v>
      </c>
      <c r="D216" s="8" t="s">
        <v>17</v>
      </c>
      <c r="E216" s="6" t="s">
        <v>23</v>
      </c>
      <c r="F216" s="6" t="s">
        <v>24</v>
      </c>
      <c r="G216" s="6" t="s">
        <v>1729</v>
      </c>
      <c r="H216" s="10">
        <v>46268</v>
      </c>
      <c r="I216" s="6" t="s">
        <v>1730</v>
      </c>
      <c r="J216" s="6" t="s">
        <v>93</v>
      </c>
      <c r="K216" s="6" t="s">
        <v>55</v>
      </c>
      <c r="L216" s="6" t="s">
        <v>93</v>
      </c>
      <c r="M216" s="6" t="s">
        <v>1731</v>
      </c>
    </row>
    <row r="217" spans="1:13" ht="13" x14ac:dyDescent="0.15">
      <c r="A217" s="5" t="str">
        <f>HYPERLINK("https://onemount.atlassian.net/browse/DBA-5714","DBA-5714")</f>
        <v>DBA-5714</v>
      </c>
      <c r="B217" s="6" t="s">
        <v>21</v>
      </c>
      <c r="C217" s="6" t="s">
        <v>1732</v>
      </c>
      <c r="D217" s="8" t="s">
        <v>17</v>
      </c>
      <c r="E217" s="6" t="s">
        <v>23</v>
      </c>
      <c r="F217" s="6" t="s">
        <v>52</v>
      </c>
      <c r="G217" s="6" t="s">
        <v>1733</v>
      </c>
      <c r="H217" s="10">
        <v>46269</v>
      </c>
      <c r="I217" s="6" t="s">
        <v>1734</v>
      </c>
      <c r="J217" s="6" t="s">
        <v>1735</v>
      </c>
      <c r="K217" s="6" t="s">
        <v>46</v>
      </c>
      <c r="L217" s="6" t="s">
        <v>414</v>
      </c>
      <c r="M217" s="6" t="s">
        <v>1736</v>
      </c>
    </row>
    <row r="218" spans="1:13" ht="13" x14ac:dyDescent="0.15">
      <c r="A218" s="5" t="str">
        <f>HYPERLINK("https://onemount.atlassian.net/browse/DBA-5713","DBA-5713")</f>
        <v>DBA-5713</v>
      </c>
      <c r="B218" s="6" t="s">
        <v>21</v>
      </c>
      <c r="C218" s="6" t="s">
        <v>1737</v>
      </c>
      <c r="D218" s="8" t="s">
        <v>17</v>
      </c>
      <c r="E218" s="6" t="s">
        <v>23</v>
      </c>
      <c r="F218" s="6" t="s">
        <v>52</v>
      </c>
      <c r="G218" s="6" t="s">
        <v>1738</v>
      </c>
      <c r="H218" s="10">
        <v>46269</v>
      </c>
      <c r="I218" s="6" t="s">
        <v>1739</v>
      </c>
      <c r="J218" s="6" t="s">
        <v>759</v>
      </c>
      <c r="K218" s="6" t="s">
        <v>137</v>
      </c>
      <c r="L218" s="6" t="s">
        <v>222</v>
      </c>
      <c r="M218" s="6" t="s">
        <v>1740</v>
      </c>
    </row>
    <row r="219" spans="1:13" ht="13" x14ac:dyDescent="0.15">
      <c r="A219" s="5" t="str">
        <f>HYPERLINK("https://onemount.atlassian.net/browse/DBA-5712","DBA-5712")</f>
        <v>DBA-5712</v>
      </c>
      <c r="B219" s="6" t="s">
        <v>21</v>
      </c>
      <c r="C219" s="6" t="s">
        <v>1741</v>
      </c>
      <c r="D219" s="8" t="s">
        <v>17</v>
      </c>
      <c r="E219" s="6" t="s">
        <v>23</v>
      </c>
      <c r="F219" s="6" t="s">
        <v>52</v>
      </c>
      <c r="G219" s="6" t="s">
        <v>1742</v>
      </c>
      <c r="H219" s="10">
        <v>46265</v>
      </c>
      <c r="I219" s="6" t="s">
        <v>1743</v>
      </c>
      <c r="J219" s="6" t="s">
        <v>56</v>
      </c>
      <c r="K219" s="6" t="s">
        <v>55</v>
      </c>
      <c r="L219" s="6" t="s">
        <v>591</v>
      </c>
      <c r="M219" s="6" t="s">
        <v>1744</v>
      </c>
    </row>
    <row r="220" spans="1:13" ht="13" x14ac:dyDescent="0.15">
      <c r="A220" s="5" t="str">
        <f>HYPERLINK("https://onemount.atlassian.net/browse/DBA-5711","DBA-5711")</f>
        <v>DBA-5711</v>
      </c>
      <c r="B220" s="6" t="s">
        <v>21</v>
      </c>
      <c r="C220" s="6" t="s">
        <v>1745</v>
      </c>
      <c r="D220" s="8" t="s">
        <v>17</v>
      </c>
      <c r="E220" s="6" t="s">
        <v>23</v>
      </c>
      <c r="F220" s="6" t="s">
        <v>31</v>
      </c>
      <c r="G220" s="6" t="s">
        <v>1746</v>
      </c>
      <c r="H220" s="10">
        <v>46264</v>
      </c>
      <c r="I220" s="6" t="s">
        <v>1747</v>
      </c>
      <c r="J220" s="6" t="s">
        <v>1187</v>
      </c>
      <c r="K220" s="6" t="s">
        <v>35</v>
      </c>
      <c r="L220" s="6" t="s">
        <v>36</v>
      </c>
      <c r="M220" s="6" t="s">
        <v>1748</v>
      </c>
    </row>
    <row r="221" spans="1:13" ht="13" x14ac:dyDescent="0.15">
      <c r="A221" s="5" t="str">
        <f>HYPERLINK("https://onemount.atlassian.net/browse/DBA-5710","DBA-5710")</f>
        <v>DBA-5710</v>
      </c>
      <c r="B221" s="6" t="s">
        <v>21</v>
      </c>
      <c r="C221" s="6" t="s">
        <v>1749</v>
      </c>
      <c r="D221" s="8" t="s">
        <v>17</v>
      </c>
      <c r="E221" s="6" t="s">
        <v>23</v>
      </c>
      <c r="F221" s="6" t="s">
        <v>31</v>
      </c>
      <c r="G221" s="6" t="s">
        <v>1750</v>
      </c>
      <c r="H221" s="10">
        <v>46264</v>
      </c>
      <c r="I221" s="6" t="s">
        <v>1751</v>
      </c>
      <c r="J221" s="6" t="s">
        <v>1221</v>
      </c>
      <c r="K221" s="6" t="s">
        <v>35</v>
      </c>
      <c r="L221" s="6" t="s">
        <v>1221</v>
      </c>
      <c r="M221" s="6" t="s">
        <v>1752</v>
      </c>
    </row>
    <row r="222" spans="1:13" ht="13" x14ac:dyDescent="0.15">
      <c r="A222" s="5" t="str">
        <f>HYPERLINK("https://onemount.atlassian.net/browse/DBA-5709","DBA-5709")</f>
        <v>DBA-5709</v>
      </c>
      <c r="B222" s="6" t="s">
        <v>21</v>
      </c>
      <c r="C222" s="6" t="s">
        <v>1753</v>
      </c>
      <c r="D222" s="8" t="s">
        <v>17</v>
      </c>
      <c r="E222" s="6" t="s">
        <v>23</v>
      </c>
      <c r="F222" s="6" t="s">
        <v>31</v>
      </c>
      <c r="G222" s="6" t="s">
        <v>1754</v>
      </c>
      <c r="H222" s="10">
        <v>46263</v>
      </c>
      <c r="I222" s="6" t="s">
        <v>1755</v>
      </c>
      <c r="J222" s="6" t="s">
        <v>35</v>
      </c>
      <c r="K222" s="6" t="s">
        <v>35</v>
      </c>
      <c r="L222" s="6" t="s">
        <v>35</v>
      </c>
      <c r="M222" s="6" t="s">
        <v>1756</v>
      </c>
    </row>
    <row r="223" spans="1:13" ht="13" x14ac:dyDescent="0.15">
      <c r="A223" s="5" t="str">
        <f>HYPERLINK("https://onemount.atlassian.net/browse/DBA-5708","DBA-5708")</f>
        <v>DBA-5708</v>
      </c>
      <c r="B223" s="6" t="s">
        <v>21</v>
      </c>
      <c r="C223" s="6" t="s">
        <v>1757</v>
      </c>
      <c r="D223" s="8" t="s">
        <v>17</v>
      </c>
      <c r="E223" s="6" t="s">
        <v>23</v>
      </c>
      <c r="F223" s="6" t="s">
        <v>52</v>
      </c>
      <c r="G223" s="6" t="s">
        <v>1758</v>
      </c>
      <c r="H223" s="10">
        <v>46262</v>
      </c>
      <c r="I223" s="6" t="s">
        <v>1759</v>
      </c>
      <c r="J223" s="6" t="s">
        <v>55</v>
      </c>
      <c r="K223" s="6" t="s">
        <v>55</v>
      </c>
      <c r="L223" s="6" t="s">
        <v>676</v>
      </c>
      <c r="M223" s="6" t="s">
        <v>1760</v>
      </c>
    </row>
    <row r="224" spans="1:13" ht="13" x14ac:dyDescent="0.15">
      <c r="A224" s="5" t="str">
        <f>HYPERLINK("https://onemount.atlassian.net/browse/DBA-5707","DBA-5707")</f>
        <v>DBA-5707</v>
      </c>
      <c r="B224" s="6" t="s">
        <v>21</v>
      </c>
      <c r="C224" s="6" t="s">
        <v>1761</v>
      </c>
      <c r="D224" s="8" t="s">
        <v>17</v>
      </c>
      <c r="E224" s="6" t="s">
        <v>23</v>
      </c>
      <c r="F224" s="6" t="s">
        <v>24</v>
      </c>
      <c r="G224" s="6" t="s">
        <v>1762</v>
      </c>
      <c r="H224" s="10">
        <v>46262</v>
      </c>
      <c r="I224" s="6" t="s">
        <v>1763</v>
      </c>
      <c r="J224" s="6" t="s">
        <v>270</v>
      </c>
      <c r="K224" s="6" t="s">
        <v>55</v>
      </c>
      <c r="L224" s="6" t="s">
        <v>270</v>
      </c>
      <c r="M224" s="6" t="s">
        <v>1764</v>
      </c>
    </row>
    <row r="225" spans="1:13" ht="13" x14ac:dyDescent="0.15">
      <c r="A225" s="5" t="str">
        <f>HYPERLINK("https://onemount.atlassian.net/browse/DBA-5706","DBA-5706")</f>
        <v>DBA-5706</v>
      </c>
      <c r="B225" s="6" t="s">
        <v>21</v>
      </c>
      <c r="C225" s="6" t="s">
        <v>1765</v>
      </c>
      <c r="D225" s="8" t="s">
        <v>17</v>
      </c>
      <c r="E225" s="6" t="s">
        <v>23</v>
      </c>
      <c r="F225" s="6" t="s">
        <v>52</v>
      </c>
      <c r="G225" s="6" t="s">
        <v>1766</v>
      </c>
      <c r="H225" s="10">
        <v>46262</v>
      </c>
      <c r="I225" s="6" t="s">
        <v>1767</v>
      </c>
      <c r="J225" s="6" t="s">
        <v>93</v>
      </c>
      <c r="K225" s="6" t="s">
        <v>55</v>
      </c>
      <c r="L225" s="6" t="s">
        <v>93</v>
      </c>
      <c r="M225" s="6" t="s">
        <v>1768</v>
      </c>
    </row>
    <row r="226" spans="1:13" ht="13" x14ac:dyDescent="0.15">
      <c r="A226" s="5" t="str">
        <f>HYPERLINK("https://onemount.atlassian.net/browse/DBA-5705","DBA-5705")</f>
        <v>DBA-5705</v>
      </c>
      <c r="B226" s="6" t="s">
        <v>21</v>
      </c>
      <c r="C226" s="6" t="s">
        <v>1769</v>
      </c>
      <c r="D226" s="8" t="s">
        <v>17</v>
      </c>
      <c r="E226" s="6" t="s">
        <v>23</v>
      </c>
      <c r="F226" s="6" t="s">
        <v>31</v>
      </c>
      <c r="G226" s="6" t="s">
        <v>1770</v>
      </c>
      <c r="H226" s="10">
        <v>46263</v>
      </c>
      <c r="I226" s="6" t="s">
        <v>1771</v>
      </c>
      <c r="J226" s="6" t="s">
        <v>55</v>
      </c>
      <c r="K226" s="6" t="s">
        <v>55</v>
      </c>
      <c r="L226" s="6" t="s">
        <v>71</v>
      </c>
      <c r="M226" s="6" t="s">
        <v>1772</v>
      </c>
    </row>
    <row r="227" spans="1:13" ht="13" x14ac:dyDescent="0.15">
      <c r="A227" s="5" t="str">
        <f>HYPERLINK("https://onemount.atlassian.net/browse/DBA-5704","DBA-5704")</f>
        <v>DBA-5704</v>
      </c>
      <c r="B227" s="6" t="s">
        <v>21</v>
      </c>
      <c r="C227" s="6" t="s">
        <v>1773</v>
      </c>
      <c r="D227" s="8" t="s">
        <v>17</v>
      </c>
      <c r="E227" s="6" t="s">
        <v>23</v>
      </c>
      <c r="F227" s="6" t="s">
        <v>52</v>
      </c>
      <c r="G227" s="6" t="s">
        <v>1774</v>
      </c>
      <c r="H227" s="10">
        <v>46269</v>
      </c>
      <c r="I227" s="6" t="s">
        <v>1775</v>
      </c>
      <c r="J227" s="6" t="s">
        <v>93</v>
      </c>
      <c r="K227" s="6" t="s">
        <v>55</v>
      </c>
      <c r="L227" s="6" t="s">
        <v>704</v>
      </c>
      <c r="M227" s="6" t="s">
        <v>1776</v>
      </c>
    </row>
    <row r="228" spans="1:13" ht="13" x14ac:dyDescent="0.15">
      <c r="A228" s="5" t="str">
        <f>HYPERLINK("https://onemount.atlassian.net/browse/DBA-5703","DBA-5703")</f>
        <v>DBA-5703</v>
      </c>
      <c r="B228" s="6" t="s">
        <v>21</v>
      </c>
      <c r="C228" s="6" t="s">
        <v>1777</v>
      </c>
      <c r="D228" s="8" t="s">
        <v>17</v>
      </c>
      <c r="E228" s="6" t="s">
        <v>23</v>
      </c>
      <c r="F228" s="6" t="s">
        <v>52</v>
      </c>
      <c r="G228" s="6" t="s">
        <v>1778</v>
      </c>
      <c r="H228" s="10">
        <v>46262</v>
      </c>
      <c r="I228" s="6" t="s">
        <v>1779</v>
      </c>
      <c r="J228" s="6" t="s">
        <v>56</v>
      </c>
      <c r="K228" s="6" t="s">
        <v>55</v>
      </c>
      <c r="L228" s="6" t="s">
        <v>56</v>
      </c>
      <c r="M228" s="6" t="s">
        <v>1780</v>
      </c>
    </row>
    <row r="229" spans="1:13" ht="13" x14ac:dyDescent="0.15">
      <c r="A229" s="21" t="str">
        <f>HYPERLINK("https://onemount.atlassian.net/browse/DBA-5702","DBA-5702")</f>
        <v>DBA-5702</v>
      </c>
      <c r="B229" s="6" t="s">
        <v>21</v>
      </c>
      <c r="C229" s="6" t="s">
        <v>1781</v>
      </c>
      <c r="D229" s="8" t="s">
        <v>17</v>
      </c>
      <c r="E229" s="6" t="s">
        <v>23</v>
      </c>
      <c r="F229" s="6" t="s">
        <v>24</v>
      </c>
      <c r="G229" s="6" t="s">
        <v>1782</v>
      </c>
      <c r="H229" s="10">
        <v>46269</v>
      </c>
      <c r="I229" s="6" t="s">
        <v>1783</v>
      </c>
      <c r="J229" s="6" t="s">
        <v>165</v>
      </c>
      <c r="K229" s="6" t="s">
        <v>165</v>
      </c>
      <c r="L229" s="6" t="s">
        <v>165</v>
      </c>
      <c r="M229" s="6" t="s">
        <v>1784</v>
      </c>
    </row>
    <row r="230" spans="1:13" ht="13" x14ac:dyDescent="0.15">
      <c r="A230" s="5" t="str">
        <f>HYPERLINK("https://onemount.atlassian.net/browse/DBA-5701","DBA-5701")</f>
        <v>DBA-5701</v>
      </c>
      <c r="B230" s="6" t="s">
        <v>21</v>
      </c>
      <c r="C230" s="6" t="s">
        <v>1785</v>
      </c>
      <c r="D230" s="8" t="s">
        <v>17</v>
      </c>
      <c r="E230" s="6" t="s">
        <v>23</v>
      </c>
      <c r="F230" s="6" t="s">
        <v>52</v>
      </c>
      <c r="G230" s="6" t="s">
        <v>1786</v>
      </c>
      <c r="H230" s="10">
        <v>46262</v>
      </c>
      <c r="I230" s="6" t="s">
        <v>1787</v>
      </c>
      <c r="J230" s="6" t="s">
        <v>56</v>
      </c>
      <c r="K230" s="6" t="s">
        <v>55</v>
      </c>
      <c r="L230" s="6" t="s">
        <v>56</v>
      </c>
      <c r="M230" s="6" t="s">
        <v>1788</v>
      </c>
    </row>
    <row r="231" spans="1:13" ht="13" x14ac:dyDescent="0.15">
      <c r="A231" s="5" t="str">
        <f>HYPERLINK("https://onemount.atlassian.net/browse/DBA-5700","DBA-5700")</f>
        <v>DBA-5700</v>
      </c>
      <c r="B231" s="6" t="s">
        <v>21</v>
      </c>
      <c r="C231" s="6" t="s">
        <v>1789</v>
      </c>
      <c r="D231" s="8" t="s">
        <v>17</v>
      </c>
      <c r="E231" s="6" t="s">
        <v>23</v>
      </c>
      <c r="F231" s="6" t="s">
        <v>78</v>
      </c>
      <c r="G231" s="6" t="s">
        <v>1790</v>
      </c>
      <c r="H231" s="10">
        <v>46291</v>
      </c>
      <c r="I231" s="6" t="s">
        <v>1791</v>
      </c>
      <c r="J231" s="6" t="s">
        <v>1513</v>
      </c>
      <c r="K231" s="6" t="s">
        <v>46</v>
      </c>
      <c r="L231" s="6" t="s">
        <v>109</v>
      </c>
      <c r="M231" s="6" t="s">
        <v>1792</v>
      </c>
    </row>
    <row r="232" spans="1:13" ht="13" x14ac:dyDescent="0.15">
      <c r="A232" s="5" t="str">
        <f>HYPERLINK("https://onemount.atlassian.net/browse/DBA-5699","DBA-5699")</f>
        <v>DBA-5699</v>
      </c>
      <c r="B232" s="6" t="s">
        <v>21</v>
      </c>
      <c r="C232" s="6" t="s">
        <v>1793</v>
      </c>
      <c r="D232" s="8" t="s">
        <v>17</v>
      </c>
      <c r="E232" s="6" t="s">
        <v>23</v>
      </c>
      <c r="F232" s="6" t="s">
        <v>78</v>
      </c>
      <c r="G232" s="6" t="s">
        <v>1794</v>
      </c>
      <c r="H232" s="10">
        <v>46277</v>
      </c>
      <c r="I232" s="6" t="s">
        <v>1795</v>
      </c>
      <c r="J232" s="6" t="s">
        <v>1513</v>
      </c>
      <c r="K232" s="6" t="s">
        <v>46</v>
      </c>
      <c r="L232" s="6" t="s">
        <v>109</v>
      </c>
      <c r="M232" s="6" t="s">
        <v>1796</v>
      </c>
    </row>
    <row r="233" spans="1:13" ht="13" x14ac:dyDescent="0.15">
      <c r="A233" s="5" t="str">
        <f>HYPERLINK("https://onemount.atlassian.net/browse/DBA-5698","DBA-5698")</f>
        <v>DBA-5698</v>
      </c>
      <c r="B233" s="6" t="s">
        <v>21</v>
      </c>
      <c r="C233" s="6" t="s">
        <v>1797</v>
      </c>
      <c r="D233" s="8" t="s">
        <v>17</v>
      </c>
      <c r="E233" s="6" t="s">
        <v>23</v>
      </c>
      <c r="F233" s="6" t="s">
        <v>78</v>
      </c>
      <c r="G233" s="6" t="s">
        <v>1798</v>
      </c>
      <c r="H233" s="10">
        <v>46263</v>
      </c>
      <c r="I233" s="6" t="s">
        <v>1799</v>
      </c>
      <c r="J233" s="6" t="s">
        <v>1513</v>
      </c>
      <c r="K233" s="6" t="s">
        <v>46</v>
      </c>
      <c r="L233" s="6" t="s">
        <v>109</v>
      </c>
      <c r="M233" s="6" t="s">
        <v>1800</v>
      </c>
    </row>
    <row r="234" spans="1:13" ht="13" x14ac:dyDescent="0.15">
      <c r="A234" s="5" t="str">
        <f>HYPERLINK("https://onemount.atlassian.net/browse/DBA-5697","DBA-5697")</f>
        <v>DBA-5697</v>
      </c>
      <c r="B234" s="6" t="s">
        <v>21</v>
      </c>
      <c r="C234" s="6" t="s">
        <v>1801</v>
      </c>
      <c r="D234" s="8" t="s">
        <v>17</v>
      </c>
      <c r="E234" s="6" t="s">
        <v>23</v>
      </c>
      <c r="F234" s="6" t="s">
        <v>78</v>
      </c>
      <c r="G234" s="6" t="s">
        <v>1802</v>
      </c>
      <c r="H234" s="10">
        <v>46263</v>
      </c>
      <c r="I234" s="6" t="s">
        <v>1803</v>
      </c>
      <c r="J234" s="6" t="s">
        <v>1513</v>
      </c>
      <c r="K234" s="6" t="s">
        <v>46</v>
      </c>
      <c r="L234" s="6" t="s">
        <v>109</v>
      </c>
      <c r="M234" s="6" t="s">
        <v>1804</v>
      </c>
    </row>
    <row r="235" spans="1:13" ht="13" x14ac:dyDescent="0.15">
      <c r="A235" s="5" t="str">
        <f>HYPERLINK("https://onemount.atlassian.net/browse/DBA-5696","DBA-5696")</f>
        <v>DBA-5696</v>
      </c>
      <c r="B235" s="6" t="s">
        <v>21</v>
      </c>
      <c r="C235" s="6" t="s">
        <v>1805</v>
      </c>
      <c r="D235" s="8" t="s">
        <v>17</v>
      </c>
      <c r="E235" s="6" t="s">
        <v>23</v>
      </c>
      <c r="F235" s="6" t="s">
        <v>78</v>
      </c>
      <c r="G235" s="6" t="s">
        <v>1806</v>
      </c>
      <c r="H235" s="10">
        <v>46263</v>
      </c>
      <c r="I235" s="6" t="s">
        <v>1807</v>
      </c>
      <c r="J235" s="6" t="s">
        <v>1513</v>
      </c>
      <c r="K235" s="6" t="s">
        <v>46</v>
      </c>
      <c r="L235" s="6" t="s">
        <v>109</v>
      </c>
      <c r="M235" s="6" t="s">
        <v>1808</v>
      </c>
    </row>
    <row r="236" spans="1:13" ht="13" x14ac:dyDescent="0.15">
      <c r="A236" s="5" t="str">
        <f>HYPERLINK("https://onemount.atlassian.net/browse/DBA-5695","DBA-5695")</f>
        <v>DBA-5695</v>
      </c>
      <c r="B236" s="6" t="s">
        <v>21</v>
      </c>
      <c r="C236" s="6" t="s">
        <v>1809</v>
      </c>
      <c r="D236" s="8" t="s">
        <v>17</v>
      </c>
      <c r="E236" s="6" t="s">
        <v>1810</v>
      </c>
      <c r="F236" s="6" t="s">
        <v>41</v>
      </c>
      <c r="G236" s="6" t="s">
        <v>1811</v>
      </c>
      <c r="H236" s="10">
        <v>46263</v>
      </c>
      <c r="I236" s="6" t="s">
        <v>1812</v>
      </c>
      <c r="J236" s="6" t="s">
        <v>72</v>
      </c>
      <c r="K236" s="6" t="s">
        <v>72</v>
      </c>
      <c r="L236" s="6" t="s">
        <v>72</v>
      </c>
      <c r="M236" s="6" t="s">
        <v>1813</v>
      </c>
    </row>
    <row r="237" spans="1:13" ht="13" x14ac:dyDescent="0.15">
      <c r="A237" s="5" t="str">
        <f>HYPERLINK("https://onemount.atlassian.net/browse/DBA-5694","DBA-5694")</f>
        <v>DBA-5694</v>
      </c>
      <c r="B237" s="6" t="s">
        <v>21</v>
      </c>
      <c r="C237" s="6" t="s">
        <v>1814</v>
      </c>
      <c r="D237" s="8" t="s">
        <v>17</v>
      </c>
      <c r="E237" s="6" t="s">
        <v>1810</v>
      </c>
      <c r="F237" s="6" t="s">
        <v>41</v>
      </c>
      <c r="G237" s="6" t="s">
        <v>1815</v>
      </c>
      <c r="H237" s="10">
        <v>46263</v>
      </c>
      <c r="I237" s="6" t="s">
        <v>1816</v>
      </c>
      <c r="J237" s="6" t="s">
        <v>72</v>
      </c>
      <c r="K237" s="6" t="s">
        <v>72</v>
      </c>
      <c r="L237" s="6" t="s">
        <v>72</v>
      </c>
      <c r="M237" s="6" t="s">
        <v>1817</v>
      </c>
    </row>
    <row r="238" spans="1:13" ht="13" x14ac:dyDescent="0.15">
      <c r="A238" s="5" t="str">
        <f>HYPERLINK("https://onemount.atlassian.net/browse/DBA-5693","DBA-5693")</f>
        <v>DBA-5693</v>
      </c>
      <c r="B238" s="6" t="s">
        <v>21</v>
      </c>
      <c r="C238" s="6" t="s">
        <v>1818</v>
      </c>
      <c r="D238" s="8" t="s">
        <v>17</v>
      </c>
      <c r="E238" s="6" t="s">
        <v>23</v>
      </c>
      <c r="F238" s="6" t="s">
        <v>41</v>
      </c>
      <c r="G238" s="6" t="s">
        <v>1819</v>
      </c>
      <c r="H238" s="10">
        <v>46263</v>
      </c>
      <c r="I238" s="6" t="s">
        <v>1820</v>
      </c>
      <c r="J238" s="6" t="s">
        <v>1513</v>
      </c>
      <c r="K238" s="6" t="s">
        <v>46</v>
      </c>
      <c r="L238" s="6" t="s">
        <v>109</v>
      </c>
      <c r="M238" s="6" t="s">
        <v>1821</v>
      </c>
    </row>
    <row r="239" spans="1:13" ht="13" x14ac:dyDescent="0.15">
      <c r="A239" s="5" t="str">
        <f>HYPERLINK("https://onemount.atlassian.net/browse/DBA-5692","DBA-5692")</f>
        <v>DBA-5692</v>
      </c>
      <c r="B239" s="6" t="s">
        <v>21</v>
      </c>
      <c r="C239" s="6" t="s">
        <v>1822</v>
      </c>
      <c r="D239" s="8" t="s">
        <v>17</v>
      </c>
      <c r="E239" s="6" t="s">
        <v>1810</v>
      </c>
      <c r="F239" s="6" t="s">
        <v>41</v>
      </c>
      <c r="G239" s="6" t="s">
        <v>1823</v>
      </c>
      <c r="H239" s="10">
        <v>46263</v>
      </c>
      <c r="I239" s="6" t="s">
        <v>1824</v>
      </c>
      <c r="J239" s="6" t="s">
        <v>72</v>
      </c>
      <c r="K239" s="6" t="s">
        <v>72</v>
      </c>
      <c r="L239" s="6" t="s">
        <v>72</v>
      </c>
      <c r="M239" s="6" t="s">
        <v>1825</v>
      </c>
    </row>
    <row r="240" spans="1:13" ht="13" x14ac:dyDescent="0.15">
      <c r="A240" s="5" t="str">
        <f>HYPERLINK("https://onemount.atlassian.net/browse/DBA-5691","DBA-5691")</f>
        <v>DBA-5691</v>
      </c>
      <c r="B240" s="6" t="s">
        <v>21</v>
      </c>
      <c r="C240" s="6" t="s">
        <v>1826</v>
      </c>
      <c r="D240" s="8" t="s">
        <v>17</v>
      </c>
      <c r="E240" s="6" t="s">
        <v>1810</v>
      </c>
      <c r="F240" s="6" t="s">
        <v>41</v>
      </c>
      <c r="G240" s="6" t="s">
        <v>1827</v>
      </c>
      <c r="H240" s="10">
        <v>46263</v>
      </c>
      <c r="I240" s="6" t="s">
        <v>1828</v>
      </c>
      <c r="J240" s="6" t="s">
        <v>72</v>
      </c>
      <c r="K240" s="6" t="s">
        <v>72</v>
      </c>
      <c r="L240" s="6" t="s">
        <v>72</v>
      </c>
      <c r="M240" s="6" t="s">
        <v>1829</v>
      </c>
    </row>
    <row r="241" spans="1:13" ht="13" x14ac:dyDescent="0.15">
      <c r="A241" s="5" t="str">
        <f>HYPERLINK("https://onemount.atlassian.net/browse/DBA-5690","DBA-5690")</f>
        <v>DBA-5690</v>
      </c>
      <c r="B241" s="6" t="s">
        <v>21</v>
      </c>
      <c r="C241" s="6" t="s">
        <v>1830</v>
      </c>
      <c r="D241" s="8" t="s">
        <v>17</v>
      </c>
      <c r="E241" s="6" t="s">
        <v>1810</v>
      </c>
      <c r="F241" s="6" t="s">
        <v>41</v>
      </c>
      <c r="G241" s="6" t="s">
        <v>1831</v>
      </c>
      <c r="H241" s="10">
        <v>46263</v>
      </c>
      <c r="I241" s="6" t="s">
        <v>1832</v>
      </c>
      <c r="J241" s="6" t="s">
        <v>72</v>
      </c>
      <c r="K241" s="6" t="s">
        <v>72</v>
      </c>
      <c r="L241" s="6" t="s">
        <v>72</v>
      </c>
      <c r="M241" s="6" t="s">
        <v>1833</v>
      </c>
    </row>
    <row r="242" spans="1:13" ht="13" x14ac:dyDescent="0.15">
      <c r="A242" s="5" t="str">
        <f>HYPERLINK("https://onemount.atlassian.net/browse/DBA-5689","DBA-5689")</f>
        <v>DBA-5689</v>
      </c>
      <c r="B242" s="6" t="s">
        <v>21</v>
      </c>
      <c r="C242" s="6" t="s">
        <v>1834</v>
      </c>
      <c r="D242" s="8" t="s">
        <v>17</v>
      </c>
      <c r="E242" s="6" t="s">
        <v>23</v>
      </c>
      <c r="F242" s="6" t="s">
        <v>78</v>
      </c>
      <c r="G242" s="6" t="s">
        <v>1835</v>
      </c>
      <c r="H242" s="10">
        <v>46263</v>
      </c>
      <c r="I242" s="6" t="s">
        <v>1836</v>
      </c>
      <c r="J242" s="6" t="s">
        <v>1513</v>
      </c>
      <c r="K242" s="6" t="s">
        <v>46</v>
      </c>
      <c r="L242" s="6" t="s">
        <v>109</v>
      </c>
      <c r="M242" s="6" t="s">
        <v>1837</v>
      </c>
    </row>
    <row r="243" spans="1:13" ht="13" x14ac:dyDescent="0.15">
      <c r="A243" s="5" t="str">
        <f>HYPERLINK("https://onemount.atlassian.net/browse/DBA-5688","DBA-5688")</f>
        <v>DBA-5688</v>
      </c>
      <c r="B243" s="6" t="s">
        <v>21</v>
      </c>
      <c r="C243" s="6" t="s">
        <v>1838</v>
      </c>
      <c r="D243" s="24" t="s">
        <v>18</v>
      </c>
      <c r="E243" s="6" t="s">
        <v>1810</v>
      </c>
      <c r="F243" s="6" t="s">
        <v>41</v>
      </c>
      <c r="G243" s="6" t="s">
        <v>1839</v>
      </c>
      <c r="H243" s="6" t="s">
        <v>43</v>
      </c>
      <c r="I243" s="6" t="s">
        <v>44</v>
      </c>
      <c r="J243" s="6" t="s">
        <v>1513</v>
      </c>
      <c r="K243" s="6" t="s">
        <v>172</v>
      </c>
      <c r="L243" s="6" t="s">
        <v>172</v>
      </c>
      <c r="M243" s="6" t="s">
        <v>1840</v>
      </c>
    </row>
    <row r="244" spans="1:13" ht="13" x14ac:dyDescent="0.15">
      <c r="A244" s="5" t="str">
        <f>HYPERLINK("https://onemount.atlassian.net/browse/DBA-5687","DBA-5687")</f>
        <v>DBA-5687</v>
      </c>
      <c r="B244" s="6" t="s">
        <v>21</v>
      </c>
      <c r="C244" s="6" t="s">
        <v>1841</v>
      </c>
      <c r="D244" s="8" t="s">
        <v>17</v>
      </c>
      <c r="E244" s="6" t="s">
        <v>1810</v>
      </c>
      <c r="F244" s="6" t="s">
        <v>41</v>
      </c>
      <c r="G244" s="6" t="s">
        <v>1842</v>
      </c>
      <c r="H244" s="10">
        <v>46291</v>
      </c>
      <c r="I244" s="6" t="s">
        <v>1843</v>
      </c>
      <c r="J244" s="6" t="s">
        <v>1513</v>
      </c>
      <c r="K244" s="6" t="s">
        <v>172</v>
      </c>
      <c r="L244" s="6" t="s">
        <v>172</v>
      </c>
      <c r="M244" s="6" t="s">
        <v>1844</v>
      </c>
    </row>
    <row r="245" spans="1:13" ht="13" x14ac:dyDescent="0.15">
      <c r="A245" s="21" t="str">
        <f>HYPERLINK("https://onemount.atlassian.net/browse/DBA-5686","DBA-5686")</f>
        <v>DBA-5686</v>
      </c>
      <c r="B245" s="6" t="s">
        <v>21</v>
      </c>
      <c r="C245" s="6" t="s">
        <v>1845</v>
      </c>
      <c r="D245" s="8" t="s">
        <v>17</v>
      </c>
      <c r="E245" s="6" t="s">
        <v>1810</v>
      </c>
      <c r="F245" s="6" t="s">
        <v>41</v>
      </c>
      <c r="G245" s="6" t="s">
        <v>1846</v>
      </c>
      <c r="H245" s="10">
        <v>46263</v>
      </c>
      <c r="I245" s="6" t="s">
        <v>1847</v>
      </c>
      <c r="J245" s="6" t="s">
        <v>72</v>
      </c>
      <c r="K245" s="6" t="s">
        <v>72</v>
      </c>
      <c r="L245" s="6" t="s">
        <v>72</v>
      </c>
      <c r="M245" s="6" t="s">
        <v>1848</v>
      </c>
    </row>
    <row r="246" spans="1:13" ht="13" x14ac:dyDescent="0.15">
      <c r="A246" s="21" t="str">
        <f>HYPERLINK("https://onemount.atlassian.net/browse/DBA-5685","DBA-5685")</f>
        <v>DBA-5685</v>
      </c>
      <c r="B246" s="6" t="s">
        <v>21</v>
      </c>
      <c r="C246" s="6" t="s">
        <v>1849</v>
      </c>
      <c r="D246" s="8" t="s">
        <v>17</v>
      </c>
      <c r="E246" s="6" t="s">
        <v>1810</v>
      </c>
      <c r="F246" s="6" t="s">
        <v>41</v>
      </c>
      <c r="G246" s="6" t="s">
        <v>1850</v>
      </c>
      <c r="H246" s="10">
        <v>46263</v>
      </c>
      <c r="I246" s="6" t="s">
        <v>1851</v>
      </c>
      <c r="J246" s="6" t="s">
        <v>72</v>
      </c>
      <c r="K246" s="6" t="s">
        <v>72</v>
      </c>
      <c r="L246" s="6" t="s">
        <v>72</v>
      </c>
      <c r="M246" s="6" t="s">
        <v>1848</v>
      </c>
    </row>
    <row r="247" spans="1:13" ht="13" x14ac:dyDescent="0.15">
      <c r="A247" s="5" t="str">
        <f>HYPERLINK("https://onemount.atlassian.net/browse/DBA-5684","DBA-5684")</f>
        <v>DBA-5684</v>
      </c>
      <c r="B247" s="6" t="s">
        <v>21</v>
      </c>
      <c r="C247" s="6" t="s">
        <v>1852</v>
      </c>
      <c r="D247" s="8" t="s">
        <v>17</v>
      </c>
      <c r="E247" s="6" t="s">
        <v>23</v>
      </c>
      <c r="F247" s="6" t="s">
        <v>24</v>
      </c>
      <c r="G247" s="6" t="s">
        <v>1853</v>
      </c>
      <c r="H247" s="10">
        <v>46269</v>
      </c>
      <c r="I247" s="6" t="s">
        <v>1854</v>
      </c>
      <c r="J247" s="6" t="s">
        <v>1069</v>
      </c>
      <c r="K247" s="6" t="s">
        <v>165</v>
      </c>
      <c r="L247" s="6" t="s">
        <v>1069</v>
      </c>
      <c r="M247" s="6" t="s">
        <v>1855</v>
      </c>
    </row>
    <row r="248" spans="1:13" ht="13" x14ac:dyDescent="0.15">
      <c r="A248" s="5" t="str">
        <f>HYPERLINK("https://onemount.atlassian.net/browse/DBA-5683","DBA-5683")</f>
        <v>DBA-5683</v>
      </c>
      <c r="B248" s="6" t="s">
        <v>21</v>
      </c>
      <c r="C248" s="6" t="s">
        <v>1856</v>
      </c>
      <c r="D248" s="8" t="s">
        <v>17</v>
      </c>
      <c r="E248" s="6" t="s">
        <v>23</v>
      </c>
      <c r="F248" s="6" t="s">
        <v>24</v>
      </c>
      <c r="G248" s="6" t="s">
        <v>1857</v>
      </c>
      <c r="H248" s="10">
        <v>46269</v>
      </c>
      <c r="I248" s="6" t="s">
        <v>1858</v>
      </c>
      <c r="J248" s="6" t="s">
        <v>165</v>
      </c>
      <c r="K248" s="6" t="s">
        <v>165</v>
      </c>
      <c r="L248" s="6" t="s">
        <v>165</v>
      </c>
      <c r="M248" s="6" t="s">
        <v>1859</v>
      </c>
    </row>
    <row r="249" spans="1:13" ht="13" x14ac:dyDescent="0.15">
      <c r="A249" s="5" t="str">
        <f>HYPERLINK("https://onemount.atlassian.net/browse/DBA-5682","DBA-5682")</f>
        <v>DBA-5682</v>
      </c>
      <c r="B249" s="6" t="s">
        <v>21</v>
      </c>
      <c r="C249" s="6" t="s">
        <v>1860</v>
      </c>
      <c r="D249" s="8" t="s">
        <v>17</v>
      </c>
      <c r="E249" s="6" t="s">
        <v>23</v>
      </c>
      <c r="F249" s="6" t="s">
        <v>24</v>
      </c>
      <c r="G249" s="6" t="s">
        <v>1861</v>
      </c>
      <c r="H249" s="10">
        <v>46262</v>
      </c>
      <c r="I249" s="6" t="s">
        <v>1862</v>
      </c>
      <c r="J249" s="6" t="s">
        <v>165</v>
      </c>
      <c r="K249" s="6" t="s">
        <v>165</v>
      </c>
      <c r="L249" s="6" t="s">
        <v>165</v>
      </c>
      <c r="M249" s="6" t="s">
        <v>1863</v>
      </c>
    </row>
    <row r="250" spans="1:13" ht="13" x14ac:dyDescent="0.15">
      <c r="A250" s="5" t="str">
        <f>HYPERLINK("https://onemount.atlassian.net/browse/DBA-5681","DBA-5681")</f>
        <v>DBA-5681</v>
      </c>
      <c r="B250" s="6" t="s">
        <v>21</v>
      </c>
      <c r="C250" s="6" t="s">
        <v>1864</v>
      </c>
      <c r="D250" s="8" t="s">
        <v>17</v>
      </c>
      <c r="E250" s="6" t="s">
        <v>23</v>
      </c>
      <c r="F250" s="6" t="s">
        <v>24</v>
      </c>
      <c r="G250" s="6" t="s">
        <v>1865</v>
      </c>
      <c r="H250" s="10">
        <v>46262</v>
      </c>
      <c r="I250" s="6" t="s">
        <v>1866</v>
      </c>
      <c r="J250" s="6" t="s">
        <v>55</v>
      </c>
      <c r="K250" s="6" t="s">
        <v>55</v>
      </c>
      <c r="L250" s="6" t="s">
        <v>56</v>
      </c>
      <c r="M250" s="6" t="s">
        <v>1867</v>
      </c>
    </row>
    <row r="251" spans="1:13" ht="13" x14ac:dyDescent="0.15">
      <c r="A251" s="5" t="str">
        <f>HYPERLINK("https://onemount.atlassian.net/browse/DBA-5680","DBA-5680")</f>
        <v>DBA-5680</v>
      </c>
      <c r="B251" s="6" t="s">
        <v>21</v>
      </c>
      <c r="C251" s="6" t="s">
        <v>1868</v>
      </c>
      <c r="D251" s="8" t="s">
        <v>17</v>
      </c>
      <c r="E251" s="6" t="s">
        <v>23</v>
      </c>
      <c r="F251" s="6" t="s">
        <v>52</v>
      </c>
      <c r="G251" s="6" t="s">
        <v>1869</v>
      </c>
      <c r="H251" s="10">
        <v>46261</v>
      </c>
      <c r="I251" s="6" t="s">
        <v>1870</v>
      </c>
      <c r="J251" s="6" t="s">
        <v>93</v>
      </c>
      <c r="K251" s="6" t="s">
        <v>55</v>
      </c>
      <c r="L251" s="6" t="s">
        <v>93</v>
      </c>
      <c r="M251" s="6" t="s">
        <v>1871</v>
      </c>
    </row>
    <row r="252" spans="1:13" ht="13" x14ac:dyDescent="0.15">
      <c r="A252" s="5" t="str">
        <f>HYPERLINK("https://onemount.atlassian.net/browse/DBA-5679","DBA-5679")</f>
        <v>DBA-5679</v>
      </c>
      <c r="B252" s="6" t="s">
        <v>21</v>
      </c>
      <c r="C252" s="6" t="s">
        <v>1872</v>
      </c>
      <c r="D252" s="8" t="s">
        <v>17</v>
      </c>
      <c r="E252" s="6" t="s">
        <v>23</v>
      </c>
      <c r="F252" s="6" t="s">
        <v>31</v>
      </c>
      <c r="G252" s="6" t="s">
        <v>1873</v>
      </c>
      <c r="H252" s="10">
        <v>46261</v>
      </c>
      <c r="I252" s="6" t="s">
        <v>1874</v>
      </c>
      <c r="J252" s="6" t="s">
        <v>181</v>
      </c>
      <c r="K252" s="6" t="s">
        <v>35</v>
      </c>
      <c r="L252" s="6" t="s">
        <v>36</v>
      </c>
      <c r="M252" s="6" t="s">
        <v>1875</v>
      </c>
    </row>
    <row r="253" spans="1:13" ht="13" x14ac:dyDescent="0.15">
      <c r="A253" s="5" t="str">
        <f>HYPERLINK("https://onemount.atlassian.net/browse/DBA-5678","DBA-5678")</f>
        <v>DBA-5678</v>
      </c>
      <c r="B253" s="6" t="s">
        <v>21</v>
      </c>
      <c r="C253" s="6" t="s">
        <v>1876</v>
      </c>
      <c r="D253" s="8" t="s">
        <v>17</v>
      </c>
      <c r="E253" s="6" t="s">
        <v>23</v>
      </c>
      <c r="F253" s="6" t="s">
        <v>24</v>
      </c>
      <c r="G253" s="6" t="s">
        <v>1877</v>
      </c>
      <c r="H253" s="10">
        <v>46269</v>
      </c>
      <c r="I253" s="6" t="s">
        <v>1878</v>
      </c>
      <c r="J253" s="6" t="s">
        <v>1069</v>
      </c>
      <c r="K253" s="6" t="s">
        <v>165</v>
      </c>
      <c r="L253" s="6" t="s">
        <v>1069</v>
      </c>
      <c r="M253" s="6" t="s">
        <v>1879</v>
      </c>
    </row>
    <row r="254" spans="1:13" ht="13" x14ac:dyDescent="0.15">
      <c r="A254" s="5" t="str">
        <f>HYPERLINK("https://onemount.atlassian.net/browse/DBA-5677","DBA-5677")</f>
        <v>DBA-5677</v>
      </c>
      <c r="B254" s="6" t="s">
        <v>21</v>
      </c>
      <c r="C254" s="6" t="s">
        <v>30</v>
      </c>
      <c r="D254" s="8" t="s">
        <v>17</v>
      </c>
      <c r="E254" s="6" t="s">
        <v>23</v>
      </c>
      <c r="F254" s="6" t="s">
        <v>31</v>
      </c>
      <c r="G254" s="6" t="s">
        <v>1880</v>
      </c>
      <c r="H254" s="10">
        <v>46262</v>
      </c>
      <c r="I254" s="6" t="s">
        <v>1881</v>
      </c>
      <c r="J254" s="6" t="s">
        <v>35</v>
      </c>
      <c r="K254" s="6" t="s">
        <v>35</v>
      </c>
      <c r="L254" s="6" t="s">
        <v>35</v>
      </c>
      <c r="M254" s="6" t="s">
        <v>1882</v>
      </c>
    </row>
    <row r="255" spans="1:13" ht="13" x14ac:dyDescent="0.15">
      <c r="A255" s="5" t="str">
        <f>HYPERLINK("https://onemount.atlassian.net/browse/DBA-5676","DBA-5676")</f>
        <v>DBA-5676</v>
      </c>
      <c r="B255" s="6" t="s">
        <v>21</v>
      </c>
      <c r="C255" s="6" t="s">
        <v>1883</v>
      </c>
      <c r="D255" s="8" t="s">
        <v>17</v>
      </c>
      <c r="E255" s="6" t="s">
        <v>23</v>
      </c>
      <c r="F255" s="6" t="s">
        <v>24</v>
      </c>
      <c r="G255" s="6" t="s">
        <v>1884</v>
      </c>
      <c r="H255" s="10">
        <v>46269</v>
      </c>
      <c r="I255" s="6" t="s">
        <v>1885</v>
      </c>
      <c r="J255" s="6" t="s">
        <v>1886</v>
      </c>
      <c r="K255" s="6" t="s">
        <v>165</v>
      </c>
      <c r="L255" s="6" t="s">
        <v>1006</v>
      </c>
      <c r="M255" s="6" t="s">
        <v>1887</v>
      </c>
    </row>
    <row r="256" spans="1:13" ht="13" x14ac:dyDescent="0.15">
      <c r="A256" s="5" t="str">
        <f>HYPERLINK("https://onemount.atlassian.net/browse/DBA-5675","DBA-5675")</f>
        <v>DBA-5675</v>
      </c>
      <c r="B256" s="6" t="s">
        <v>21</v>
      </c>
      <c r="C256" s="6" t="s">
        <v>1888</v>
      </c>
      <c r="D256" s="8" t="s">
        <v>17</v>
      </c>
      <c r="E256" s="6" t="s">
        <v>23</v>
      </c>
      <c r="F256" s="6" t="s">
        <v>24</v>
      </c>
      <c r="G256" s="6" t="s">
        <v>1889</v>
      </c>
      <c r="H256" s="10">
        <v>46262</v>
      </c>
      <c r="I256" s="6" t="s">
        <v>1890</v>
      </c>
      <c r="J256" s="6" t="s">
        <v>270</v>
      </c>
      <c r="K256" s="6" t="s">
        <v>55</v>
      </c>
      <c r="L256" s="6" t="s">
        <v>270</v>
      </c>
      <c r="M256" s="6" t="s">
        <v>1891</v>
      </c>
    </row>
    <row r="257" spans="1:13" ht="13" x14ac:dyDescent="0.15">
      <c r="A257" s="5" t="str">
        <f>HYPERLINK("https://onemount.atlassian.net/browse/DBA-5674","DBA-5674")</f>
        <v>DBA-5674</v>
      </c>
      <c r="B257" s="6" t="s">
        <v>21</v>
      </c>
      <c r="C257" s="22" t="s">
        <v>1892</v>
      </c>
      <c r="D257" s="8" t="s">
        <v>17</v>
      </c>
      <c r="E257" s="6" t="s">
        <v>23</v>
      </c>
      <c r="F257" s="6" t="s">
        <v>41</v>
      </c>
      <c r="G257" s="6" t="s">
        <v>1893</v>
      </c>
      <c r="H257" s="10">
        <v>46263</v>
      </c>
      <c r="I257" s="6" t="s">
        <v>1894</v>
      </c>
      <c r="J257" s="6" t="s">
        <v>1513</v>
      </c>
      <c r="K257" s="6" t="s">
        <v>172</v>
      </c>
      <c r="L257" s="6" t="s">
        <v>172</v>
      </c>
      <c r="M257" s="6"/>
    </row>
    <row r="258" spans="1:13" ht="13" x14ac:dyDescent="0.15">
      <c r="A258" s="5" t="str">
        <f>HYPERLINK("https://onemount.atlassian.net/browse/DBA-5673","DBA-5673")</f>
        <v>DBA-5673</v>
      </c>
      <c r="B258" s="6" t="s">
        <v>21</v>
      </c>
      <c r="C258" s="6" t="s">
        <v>1895</v>
      </c>
      <c r="D258" s="8" t="s">
        <v>17</v>
      </c>
      <c r="E258" s="6" t="s">
        <v>23</v>
      </c>
      <c r="F258" s="6" t="s">
        <v>52</v>
      </c>
      <c r="G258" s="6" t="s">
        <v>1896</v>
      </c>
      <c r="H258" s="10">
        <v>46261</v>
      </c>
      <c r="I258" s="6" t="s">
        <v>1897</v>
      </c>
      <c r="J258" s="6" t="s">
        <v>1898</v>
      </c>
      <c r="K258" s="6" t="s">
        <v>165</v>
      </c>
      <c r="L258" s="6" t="s">
        <v>1097</v>
      </c>
      <c r="M258" s="6" t="s">
        <v>1899</v>
      </c>
    </row>
    <row r="259" spans="1:13" ht="13" x14ac:dyDescent="0.15">
      <c r="A259" s="5" t="str">
        <f>HYPERLINK("https://onemount.atlassian.net/browse/DBA-5672","DBA-5672")</f>
        <v>DBA-5672</v>
      </c>
      <c r="B259" s="6" t="s">
        <v>21</v>
      </c>
      <c r="C259" s="6" t="s">
        <v>1900</v>
      </c>
      <c r="D259" s="8" t="s">
        <v>17</v>
      </c>
      <c r="E259" s="6" t="s">
        <v>23</v>
      </c>
      <c r="F259" s="6" t="s">
        <v>52</v>
      </c>
      <c r="G259" s="6" t="s">
        <v>1901</v>
      </c>
      <c r="H259" s="10">
        <v>46260</v>
      </c>
      <c r="I259" s="6" t="s">
        <v>1902</v>
      </c>
      <c r="J259" s="6" t="s">
        <v>93</v>
      </c>
      <c r="K259" s="6" t="s">
        <v>55</v>
      </c>
      <c r="L259" s="6" t="s">
        <v>93</v>
      </c>
      <c r="M259" s="6" t="s">
        <v>1903</v>
      </c>
    </row>
    <row r="260" spans="1:13" ht="13" x14ac:dyDescent="0.15">
      <c r="A260" s="5" t="str">
        <f>HYPERLINK("https://onemount.atlassian.net/browse/DBA-5671","DBA-5671")</f>
        <v>DBA-5671</v>
      </c>
      <c r="B260" s="6" t="s">
        <v>21</v>
      </c>
      <c r="C260" s="6" t="s">
        <v>1904</v>
      </c>
      <c r="D260" s="14" t="s">
        <v>19</v>
      </c>
      <c r="E260" s="6" t="s">
        <v>23</v>
      </c>
      <c r="F260" s="6" t="s">
        <v>41</v>
      </c>
      <c r="G260" s="6" t="s">
        <v>1905</v>
      </c>
      <c r="H260" s="6" t="s">
        <v>43</v>
      </c>
      <c r="I260" s="6" t="s">
        <v>44</v>
      </c>
      <c r="J260" s="6" t="s">
        <v>72</v>
      </c>
      <c r="K260" s="6" t="s">
        <v>72</v>
      </c>
      <c r="L260" s="6" t="s">
        <v>72</v>
      </c>
      <c r="M260" s="6" t="s">
        <v>1906</v>
      </c>
    </row>
    <row r="261" spans="1:13" ht="13" x14ac:dyDescent="0.15">
      <c r="A261" s="21" t="str">
        <f>HYPERLINK("https://onemount.atlassian.net/browse/DBA-5670","DBA-5670")</f>
        <v>DBA-5670</v>
      </c>
      <c r="B261" s="6" t="s">
        <v>21</v>
      </c>
      <c r="C261" s="6" t="s">
        <v>1907</v>
      </c>
      <c r="D261" s="8" t="s">
        <v>17</v>
      </c>
      <c r="E261" s="6" t="s">
        <v>23</v>
      </c>
      <c r="F261" s="6" t="s">
        <v>31</v>
      </c>
      <c r="G261" s="6" t="s">
        <v>1908</v>
      </c>
      <c r="H261" s="10">
        <v>46261</v>
      </c>
      <c r="I261" s="6" t="s">
        <v>1909</v>
      </c>
      <c r="J261" s="6" t="s">
        <v>1898</v>
      </c>
      <c r="K261" s="6" t="s">
        <v>165</v>
      </c>
      <c r="L261" s="6" t="s">
        <v>1097</v>
      </c>
      <c r="M261" s="6" t="s">
        <v>1910</v>
      </c>
    </row>
    <row r="262" spans="1:13" ht="13" x14ac:dyDescent="0.15">
      <c r="A262" s="5" t="str">
        <f>HYPERLINK("https://onemount.atlassian.net/browse/DBA-5669","DBA-5669")</f>
        <v>DBA-5669</v>
      </c>
      <c r="B262" s="6" t="s">
        <v>21</v>
      </c>
      <c r="C262" s="6" t="s">
        <v>1911</v>
      </c>
      <c r="D262" s="8" t="s">
        <v>17</v>
      </c>
      <c r="E262" s="6" t="s">
        <v>23</v>
      </c>
      <c r="F262" s="6" t="s">
        <v>31</v>
      </c>
      <c r="G262" s="6" t="s">
        <v>1912</v>
      </c>
      <c r="H262" s="10">
        <v>46261</v>
      </c>
      <c r="I262" s="6" t="s">
        <v>1913</v>
      </c>
      <c r="J262" s="6" t="s">
        <v>181</v>
      </c>
      <c r="K262" s="6" t="s">
        <v>35</v>
      </c>
      <c r="L262" s="6" t="s">
        <v>36</v>
      </c>
      <c r="M262" s="6" t="s">
        <v>1914</v>
      </c>
    </row>
    <row r="263" spans="1:13" ht="13" x14ac:dyDescent="0.15">
      <c r="A263" s="5" t="str">
        <f>HYPERLINK("https://onemount.atlassian.net/browse/DBA-5668","DBA-5668")</f>
        <v>DBA-5668</v>
      </c>
      <c r="B263" s="6" t="s">
        <v>21</v>
      </c>
      <c r="C263" s="6" t="s">
        <v>1915</v>
      </c>
      <c r="D263" s="8" t="s">
        <v>17</v>
      </c>
      <c r="E263" s="6" t="s">
        <v>23</v>
      </c>
      <c r="F263" s="6" t="s">
        <v>24</v>
      </c>
      <c r="G263" s="6" t="s">
        <v>1916</v>
      </c>
      <c r="H263" s="10">
        <v>46259</v>
      </c>
      <c r="I263" s="6" t="s">
        <v>1917</v>
      </c>
      <c r="J263" s="6" t="s">
        <v>27</v>
      </c>
      <c r="K263" s="6" t="s">
        <v>28</v>
      </c>
      <c r="L263" s="6" t="s">
        <v>1105</v>
      </c>
      <c r="M263" s="6" t="s">
        <v>1918</v>
      </c>
    </row>
    <row r="264" spans="1:13" ht="13" x14ac:dyDescent="0.15">
      <c r="A264" s="5" t="str">
        <f>HYPERLINK("https://onemount.atlassian.net/browse/DBA-5667","DBA-5667")</f>
        <v>DBA-5667</v>
      </c>
      <c r="B264" s="6" t="s">
        <v>21</v>
      </c>
      <c r="C264" s="6" t="s">
        <v>1919</v>
      </c>
      <c r="D264" s="8" t="s">
        <v>17</v>
      </c>
      <c r="E264" s="6" t="s">
        <v>23</v>
      </c>
      <c r="F264" s="6" t="s">
        <v>24</v>
      </c>
      <c r="G264" s="6" t="s">
        <v>1920</v>
      </c>
      <c r="H264" s="10">
        <v>46259</v>
      </c>
      <c r="I264" s="6" t="s">
        <v>1921</v>
      </c>
      <c r="J264" s="6" t="s">
        <v>27</v>
      </c>
      <c r="K264" s="6" t="s">
        <v>28</v>
      </c>
      <c r="L264" s="6" t="s">
        <v>1105</v>
      </c>
      <c r="M264" s="6" t="s">
        <v>1922</v>
      </c>
    </row>
    <row r="265" spans="1:13" ht="13" x14ac:dyDescent="0.15">
      <c r="A265" s="5" t="str">
        <f>HYPERLINK("https://onemount.atlassian.net/browse/DBA-5666","DBA-5666")</f>
        <v>DBA-5666</v>
      </c>
      <c r="B265" s="6" t="s">
        <v>21</v>
      </c>
      <c r="C265" s="6" t="s">
        <v>1923</v>
      </c>
      <c r="D265" s="8" t="s">
        <v>17</v>
      </c>
      <c r="E265" s="6" t="s">
        <v>23</v>
      </c>
      <c r="F265" s="6" t="s">
        <v>31</v>
      </c>
      <c r="G265" s="6" t="s">
        <v>1924</v>
      </c>
      <c r="H265" s="10">
        <v>46260</v>
      </c>
      <c r="I265" s="6" t="s">
        <v>1925</v>
      </c>
      <c r="J265" s="6" t="s">
        <v>128</v>
      </c>
      <c r="K265" s="6" t="s">
        <v>35</v>
      </c>
      <c r="L265" s="6" t="s">
        <v>129</v>
      </c>
      <c r="M265" s="6" t="s">
        <v>1926</v>
      </c>
    </row>
    <row r="266" spans="1:13" ht="13" x14ac:dyDescent="0.15">
      <c r="A266" s="5" t="str">
        <f>HYPERLINK("https://onemount.atlassian.net/browse/DBA-5665","DBA-5665")</f>
        <v>DBA-5665</v>
      </c>
      <c r="B266" s="6" t="s">
        <v>21</v>
      </c>
      <c r="C266" s="6" t="s">
        <v>1927</v>
      </c>
      <c r="D266" s="8" t="s">
        <v>17</v>
      </c>
      <c r="E266" s="6" t="s">
        <v>23</v>
      </c>
      <c r="F266" s="6" t="s">
        <v>31</v>
      </c>
      <c r="G266" s="6" t="s">
        <v>1928</v>
      </c>
      <c r="H266" s="10">
        <v>46264</v>
      </c>
      <c r="I266" s="6" t="s">
        <v>1929</v>
      </c>
      <c r="J266" s="6" t="s">
        <v>118</v>
      </c>
      <c r="K266" s="6" t="s">
        <v>35</v>
      </c>
      <c r="L266" s="6" t="s">
        <v>119</v>
      </c>
      <c r="M266" s="6" t="s">
        <v>1930</v>
      </c>
    </row>
    <row r="267" spans="1:13" ht="13" x14ac:dyDescent="0.15">
      <c r="A267" s="5" t="str">
        <f>HYPERLINK("https://onemount.atlassian.net/browse/DBA-5664","DBA-5664")</f>
        <v>DBA-5664</v>
      </c>
      <c r="B267" s="6" t="s">
        <v>21</v>
      </c>
      <c r="C267" s="6" t="s">
        <v>1931</v>
      </c>
      <c r="D267" s="8" t="s">
        <v>17</v>
      </c>
      <c r="E267" s="6" t="s">
        <v>23</v>
      </c>
      <c r="F267" s="6" t="s">
        <v>24</v>
      </c>
      <c r="G267" s="6" t="s">
        <v>1932</v>
      </c>
      <c r="H267" s="10">
        <v>46260</v>
      </c>
      <c r="I267" s="6" t="s">
        <v>1933</v>
      </c>
      <c r="J267" s="6" t="s">
        <v>46</v>
      </c>
      <c r="K267" s="6" t="s">
        <v>46</v>
      </c>
      <c r="L267" s="6" t="s">
        <v>46</v>
      </c>
      <c r="M267" s="6" t="s">
        <v>1934</v>
      </c>
    </row>
    <row r="268" spans="1:13" ht="13" x14ac:dyDescent="0.15">
      <c r="A268" s="5" t="str">
        <f>HYPERLINK("https://onemount.atlassian.net/browse/DBA-5663","DBA-5663")</f>
        <v>DBA-5663</v>
      </c>
      <c r="B268" s="6" t="s">
        <v>21</v>
      </c>
      <c r="C268" s="6" t="s">
        <v>1935</v>
      </c>
      <c r="D268" s="8" t="s">
        <v>17</v>
      </c>
      <c r="E268" s="6" t="s">
        <v>23</v>
      </c>
      <c r="F268" s="6" t="s">
        <v>24</v>
      </c>
      <c r="G268" s="6" t="s">
        <v>1936</v>
      </c>
      <c r="H268" s="10">
        <v>46261</v>
      </c>
      <c r="I268" s="6" t="s">
        <v>1937</v>
      </c>
      <c r="J268" s="6" t="s">
        <v>39</v>
      </c>
      <c r="K268" s="6" t="s">
        <v>38</v>
      </c>
      <c r="L268" s="6" t="s">
        <v>39</v>
      </c>
      <c r="M268" s="6" t="s">
        <v>1938</v>
      </c>
    </row>
    <row r="269" spans="1:13" ht="13" x14ac:dyDescent="0.15">
      <c r="A269" s="5" t="str">
        <f>HYPERLINK("https://onemount.atlassian.net/browse/DBA-5662","DBA-5662")</f>
        <v>DBA-5662</v>
      </c>
      <c r="B269" s="6" t="s">
        <v>21</v>
      </c>
      <c r="C269" s="6" t="s">
        <v>1939</v>
      </c>
      <c r="D269" s="8" t="s">
        <v>17</v>
      </c>
      <c r="E269" s="6" t="s">
        <v>23</v>
      </c>
      <c r="F269" s="6" t="s">
        <v>31</v>
      </c>
      <c r="G269" s="6" t="s">
        <v>1940</v>
      </c>
      <c r="H269" s="10">
        <v>46259</v>
      </c>
      <c r="I269" s="6" t="s">
        <v>1941</v>
      </c>
      <c r="J269" s="6" t="s">
        <v>181</v>
      </c>
      <c r="K269" s="6" t="s">
        <v>35</v>
      </c>
      <c r="L269" s="6" t="s">
        <v>36</v>
      </c>
      <c r="M269" s="6" t="s">
        <v>1942</v>
      </c>
    </row>
    <row r="270" spans="1:13" ht="13" x14ac:dyDescent="0.15">
      <c r="A270" s="5" t="str">
        <f>HYPERLINK("https://onemount.atlassian.net/browse/DBA-5661","DBA-5661")</f>
        <v>DBA-5661</v>
      </c>
      <c r="B270" s="6" t="s">
        <v>21</v>
      </c>
      <c r="C270" s="6" t="s">
        <v>1943</v>
      </c>
      <c r="D270" s="8" t="s">
        <v>17</v>
      </c>
      <c r="E270" s="6" t="s">
        <v>23</v>
      </c>
      <c r="F270" s="6" t="s">
        <v>31</v>
      </c>
      <c r="G270" s="6" t="s">
        <v>1944</v>
      </c>
      <c r="H270" s="10">
        <v>46260</v>
      </c>
      <c r="I270" s="6" t="s">
        <v>1945</v>
      </c>
      <c r="J270" s="6" t="s">
        <v>1946</v>
      </c>
      <c r="K270" s="6" t="s">
        <v>46</v>
      </c>
      <c r="L270" s="6" t="s">
        <v>659</v>
      </c>
      <c r="M270" s="6" t="s">
        <v>1947</v>
      </c>
    </row>
    <row r="271" spans="1:13" ht="13" x14ac:dyDescent="0.15">
      <c r="A271" s="5" t="str">
        <f>HYPERLINK("https://onemount.atlassian.net/browse/DBA-5660","DBA-5660")</f>
        <v>DBA-5660</v>
      </c>
      <c r="B271" s="6" t="s">
        <v>21</v>
      </c>
      <c r="C271" s="6" t="s">
        <v>1948</v>
      </c>
      <c r="D271" s="8" t="s">
        <v>17</v>
      </c>
      <c r="E271" s="6" t="s">
        <v>23</v>
      </c>
      <c r="F271" s="6" t="s">
        <v>31</v>
      </c>
      <c r="G271" s="6" t="s">
        <v>1949</v>
      </c>
      <c r="H271" s="10">
        <v>46260</v>
      </c>
      <c r="I271" s="6" t="s">
        <v>1950</v>
      </c>
      <c r="J271" s="6" t="s">
        <v>128</v>
      </c>
      <c r="K271" s="6" t="s">
        <v>35</v>
      </c>
      <c r="L271" s="6" t="s">
        <v>129</v>
      </c>
      <c r="M271" s="6" t="s">
        <v>1951</v>
      </c>
    </row>
    <row r="272" spans="1:13" ht="13" x14ac:dyDescent="0.15">
      <c r="A272" s="5" t="str">
        <f>HYPERLINK("https://onemount.atlassian.net/browse/DBA-5659","DBA-5659")</f>
        <v>DBA-5659</v>
      </c>
      <c r="B272" s="6" t="s">
        <v>21</v>
      </c>
      <c r="C272" s="6" t="s">
        <v>1952</v>
      </c>
      <c r="D272" s="8" t="s">
        <v>17</v>
      </c>
      <c r="E272" s="6" t="s">
        <v>23</v>
      </c>
      <c r="F272" s="6" t="s">
        <v>24</v>
      </c>
      <c r="G272" s="6" t="s">
        <v>1953</v>
      </c>
      <c r="H272" s="10">
        <v>46258</v>
      </c>
      <c r="I272" s="6" t="s">
        <v>1954</v>
      </c>
      <c r="J272" s="6" t="s">
        <v>224</v>
      </c>
      <c r="K272" s="6" t="s">
        <v>72</v>
      </c>
      <c r="L272" s="6" t="s">
        <v>224</v>
      </c>
      <c r="M272" s="6" t="s">
        <v>1955</v>
      </c>
    </row>
    <row r="273" spans="1:13" ht="13" x14ac:dyDescent="0.15">
      <c r="A273" s="5" t="str">
        <f>HYPERLINK("https://onemount.atlassian.net/browse/DBA-5658","DBA-5658")</f>
        <v>DBA-5658</v>
      </c>
      <c r="B273" s="23" t="str">
        <f t="shared" ref="B273:B275" si="2">HYPERLINK("https://onemount.atlassian.net/browse/DBA-5655","DBA-5655")</f>
        <v>DBA-5655</v>
      </c>
      <c r="C273" s="6" t="s">
        <v>1956</v>
      </c>
      <c r="D273" s="8" t="s">
        <v>17</v>
      </c>
      <c r="E273" s="6" t="s">
        <v>428</v>
      </c>
      <c r="F273" s="6" t="s">
        <v>52</v>
      </c>
      <c r="G273" s="6" t="s">
        <v>1957</v>
      </c>
      <c r="H273" s="10">
        <v>46259</v>
      </c>
      <c r="I273" s="6" t="s">
        <v>1958</v>
      </c>
      <c r="J273" s="6" t="s">
        <v>759</v>
      </c>
      <c r="K273" s="6" t="s">
        <v>137</v>
      </c>
      <c r="L273" s="6" t="s">
        <v>222</v>
      </c>
      <c r="M273" s="6" t="s">
        <v>1959</v>
      </c>
    </row>
    <row r="274" spans="1:13" ht="13" x14ac:dyDescent="0.15">
      <c r="A274" s="5" t="str">
        <f>HYPERLINK("https://onemount.atlassian.net/browse/DBA-5657","DBA-5657")</f>
        <v>DBA-5657</v>
      </c>
      <c r="B274" s="23" t="str">
        <f t="shared" si="2"/>
        <v>DBA-5655</v>
      </c>
      <c r="C274" s="6" t="s">
        <v>1960</v>
      </c>
      <c r="D274" s="8" t="s">
        <v>17</v>
      </c>
      <c r="E274" s="6" t="s">
        <v>428</v>
      </c>
      <c r="F274" s="6" t="s">
        <v>52</v>
      </c>
      <c r="G274" s="6" t="s">
        <v>1961</v>
      </c>
      <c r="H274" s="10">
        <v>46259</v>
      </c>
      <c r="I274" s="6" t="s">
        <v>1962</v>
      </c>
      <c r="J274" s="6" t="s">
        <v>759</v>
      </c>
      <c r="K274" s="6" t="s">
        <v>137</v>
      </c>
      <c r="L274" s="6" t="s">
        <v>222</v>
      </c>
      <c r="M274" s="6" t="s">
        <v>1963</v>
      </c>
    </row>
    <row r="275" spans="1:13" ht="13" x14ac:dyDescent="0.15">
      <c r="A275" s="5" t="str">
        <f>HYPERLINK("https://onemount.atlassian.net/browse/DBA-5656","DBA-5656")</f>
        <v>DBA-5656</v>
      </c>
      <c r="B275" s="23" t="str">
        <f t="shared" si="2"/>
        <v>DBA-5655</v>
      </c>
      <c r="C275" s="6" t="s">
        <v>1964</v>
      </c>
      <c r="D275" s="8" t="s">
        <v>17</v>
      </c>
      <c r="E275" s="6" t="s">
        <v>428</v>
      </c>
      <c r="F275" s="6" t="s">
        <v>52</v>
      </c>
      <c r="G275" s="6" t="s">
        <v>1965</v>
      </c>
      <c r="H275" s="10">
        <v>46259</v>
      </c>
      <c r="I275" s="6" t="s">
        <v>1966</v>
      </c>
      <c r="J275" s="6" t="s">
        <v>759</v>
      </c>
      <c r="K275" s="6" t="s">
        <v>137</v>
      </c>
      <c r="L275" s="6" t="s">
        <v>222</v>
      </c>
      <c r="M275" s="6" t="s">
        <v>1967</v>
      </c>
    </row>
    <row r="276" spans="1:13" ht="13" x14ac:dyDescent="0.15">
      <c r="A276" s="5" t="str">
        <f>HYPERLINK("https://onemount.atlassian.net/browse/DBA-5655","DBA-5655")</f>
        <v>DBA-5655</v>
      </c>
      <c r="B276" s="6" t="s">
        <v>21</v>
      </c>
      <c r="C276" s="6" t="s">
        <v>1968</v>
      </c>
      <c r="D276" s="8" t="s">
        <v>17</v>
      </c>
      <c r="E276" s="6" t="s">
        <v>23</v>
      </c>
      <c r="F276" s="6" t="s">
        <v>52</v>
      </c>
      <c r="G276" s="6" t="s">
        <v>1969</v>
      </c>
      <c r="H276" s="10">
        <v>46259</v>
      </c>
      <c r="I276" s="6" t="s">
        <v>1970</v>
      </c>
      <c r="J276" s="6" t="s">
        <v>759</v>
      </c>
      <c r="K276" s="6" t="s">
        <v>137</v>
      </c>
      <c r="L276" s="6" t="s">
        <v>222</v>
      </c>
      <c r="M276" s="6" t="s">
        <v>1971</v>
      </c>
    </row>
    <row r="277" spans="1:13" ht="13" x14ac:dyDescent="0.15">
      <c r="A277" s="5" t="str">
        <f>HYPERLINK("https://onemount.atlassian.net/browse/DBA-5654","DBA-5654")</f>
        <v>DBA-5654</v>
      </c>
      <c r="B277" s="6" t="s">
        <v>21</v>
      </c>
      <c r="C277" s="6" t="s">
        <v>210</v>
      </c>
      <c r="D277" s="8" t="s">
        <v>17</v>
      </c>
      <c r="E277" s="6" t="s">
        <v>23</v>
      </c>
      <c r="F277" s="6" t="s">
        <v>31</v>
      </c>
      <c r="G277" s="6" t="s">
        <v>1972</v>
      </c>
      <c r="H277" s="10">
        <v>46257</v>
      </c>
      <c r="I277" s="6" t="s">
        <v>1973</v>
      </c>
      <c r="J277" s="6" t="s">
        <v>46</v>
      </c>
      <c r="K277" s="6" t="s">
        <v>46</v>
      </c>
      <c r="L277" s="6" t="s">
        <v>214</v>
      </c>
      <c r="M277" s="6" t="s">
        <v>1974</v>
      </c>
    </row>
    <row r="278" spans="1:13" ht="13" x14ac:dyDescent="0.15">
      <c r="A278" s="5" t="str">
        <f>HYPERLINK("https://onemount.atlassian.net/browse/DBA-5653","DBA-5653")</f>
        <v>DBA-5653</v>
      </c>
      <c r="B278" s="6" t="s">
        <v>21</v>
      </c>
      <c r="C278" s="6" t="s">
        <v>1975</v>
      </c>
      <c r="D278" s="8" t="s">
        <v>17</v>
      </c>
      <c r="E278" s="6" t="s">
        <v>23</v>
      </c>
      <c r="F278" s="6" t="s">
        <v>52</v>
      </c>
      <c r="G278" s="6" t="s">
        <v>1976</v>
      </c>
      <c r="H278" s="10">
        <v>46258</v>
      </c>
      <c r="I278" s="6" t="s">
        <v>1977</v>
      </c>
      <c r="J278" s="6" t="s">
        <v>1978</v>
      </c>
      <c r="K278" s="6" t="s">
        <v>46</v>
      </c>
      <c r="L278" s="6" t="s">
        <v>562</v>
      </c>
      <c r="M278" s="6" t="s">
        <v>1979</v>
      </c>
    </row>
    <row r="279" spans="1:13" ht="13" x14ac:dyDescent="0.15">
      <c r="A279" s="5" t="str">
        <f>HYPERLINK("https://onemount.atlassian.net/browse/DBA-5652","DBA-5652")</f>
        <v>DBA-5652</v>
      </c>
      <c r="B279" s="6" t="s">
        <v>21</v>
      </c>
      <c r="C279" s="6" t="s">
        <v>1980</v>
      </c>
      <c r="D279" s="8" t="s">
        <v>17</v>
      </c>
      <c r="E279" s="6" t="s">
        <v>23</v>
      </c>
      <c r="F279" s="6" t="s">
        <v>24</v>
      </c>
      <c r="G279" s="6" t="s">
        <v>1981</v>
      </c>
      <c r="H279" s="10">
        <v>46258</v>
      </c>
      <c r="I279" s="6" t="s">
        <v>1982</v>
      </c>
      <c r="J279" s="6" t="s">
        <v>46</v>
      </c>
      <c r="K279" s="6" t="s">
        <v>46</v>
      </c>
      <c r="L279" s="6" t="s">
        <v>326</v>
      </c>
      <c r="M279" s="6" t="s">
        <v>1983</v>
      </c>
    </row>
    <row r="280" spans="1:13" ht="13" x14ac:dyDescent="0.15">
      <c r="A280" s="5" t="str">
        <f>HYPERLINK("https://onemount.atlassian.net/browse/DBA-5651","DBA-5651")</f>
        <v>DBA-5651</v>
      </c>
      <c r="B280" s="6" t="s">
        <v>21</v>
      </c>
      <c r="C280" s="6" t="s">
        <v>1984</v>
      </c>
      <c r="D280" s="8" t="s">
        <v>17</v>
      </c>
      <c r="E280" s="6" t="s">
        <v>23</v>
      </c>
      <c r="F280" s="6" t="s">
        <v>31</v>
      </c>
      <c r="G280" s="6" t="s">
        <v>1985</v>
      </c>
      <c r="H280" s="10">
        <v>46257</v>
      </c>
      <c r="I280" s="6" t="s">
        <v>1986</v>
      </c>
      <c r="J280" s="6" t="s">
        <v>55</v>
      </c>
      <c r="K280" s="6" t="s">
        <v>55</v>
      </c>
      <c r="L280" s="6" t="s">
        <v>254</v>
      </c>
      <c r="M280" s="6" t="s">
        <v>1987</v>
      </c>
    </row>
    <row r="281" spans="1:13" ht="13" x14ac:dyDescent="0.15">
      <c r="A281" s="5" t="str">
        <f>HYPERLINK("https://onemount.atlassian.net/browse/DBA-5650","DBA-5650")</f>
        <v>DBA-5650</v>
      </c>
      <c r="B281" s="6" t="s">
        <v>21</v>
      </c>
      <c r="C281" s="6" t="s">
        <v>1988</v>
      </c>
      <c r="D281" s="8" t="s">
        <v>17</v>
      </c>
      <c r="E281" s="6" t="s">
        <v>23</v>
      </c>
      <c r="F281" s="6" t="s">
        <v>52</v>
      </c>
      <c r="G281" s="6" t="s">
        <v>1989</v>
      </c>
      <c r="H281" s="10">
        <v>46256</v>
      </c>
      <c r="I281" s="6" t="s">
        <v>1990</v>
      </c>
      <c r="J281" s="6" t="s">
        <v>1978</v>
      </c>
      <c r="K281" s="6" t="s">
        <v>46</v>
      </c>
      <c r="L281" s="6" t="s">
        <v>562</v>
      </c>
      <c r="M281" s="6" t="s">
        <v>1991</v>
      </c>
    </row>
    <row r="282" spans="1:13" ht="13" x14ac:dyDescent="0.15">
      <c r="A282" s="5" t="str">
        <f>HYPERLINK("https://onemount.atlassian.net/browse/DBA-5649","DBA-5649")</f>
        <v>DBA-5649</v>
      </c>
      <c r="B282" s="6" t="s">
        <v>21</v>
      </c>
      <c r="C282" s="6" t="s">
        <v>1992</v>
      </c>
      <c r="D282" s="8" t="s">
        <v>17</v>
      </c>
      <c r="E282" s="6" t="s">
        <v>23</v>
      </c>
      <c r="F282" s="6" t="s">
        <v>24</v>
      </c>
      <c r="G282" s="6" t="s">
        <v>1993</v>
      </c>
      <c r="H282" s="10">
        <v>46256</v>
      </c>
      <c r="I282" s="6" t="s">
        <v>1994</v>
      </c>
      <c r="J282" s="6" t="s">
        <v>1978</v>
      </c>
      <c r="K282" s="6" t="s">
        <v>46</v>
      </c>
      <c r="L282" s="6" t="s">
        <v>562</v>
      </c>
      <c r="M282" s="6" t="s">
        <v>1995</v>
      </c>
    </row>
    <row r="283" spans="1:13" ht="13" x14ac:dyDescent="0.15">
      <c r="A283" s="5" t="str">
        <f>HYPERLINK("https://onemount.atlassian.net/browse/DBA-5648","DBA-5648")</f>
        <v>DBA-5648</v>
      </c>
      <c r="B283" s="6" t="s">
        <v>21</v>
      </c>
      <c r="C283" s="6" t="s">
        <v>1996</v>
      </c>
      <c r="D283" s="8" t="s">
        <v>17</v>
      </c>
      <c r="E283" s="6" t="s">
        <v>23</v>
      </c>
      <c r="F283" s="6" t="s">
        <v>31</v>
      </c>
      <c r="G283" s="6" t="s">
        <v>1997</v>
      </c>
      <c r="H283" s="10">
        <v>46256</v>
      </c>
      <c r="I283" s="6" t="s">
        <v>1998</v>
      </c>
      <c r="J283" s="6" t="s">
        <v>128</v>
      </c>
      <c r="K283" s="6" t="s">
        <v>35</v>
      </c>
      <c r="L283" s="6" t="s">
        <v>129</v>
      </c>
      <c r="M283" s="6" t="s">
        <v>1999</v>
      </c>
    </row>
    <row r="284" spans="1:13" ht="13" x14ac:dyDescent="0.15">
      <c r="A284" s="5" t="str">
        <f>HYPERLINK("https://onemount.atlassian.net/browse/DBA-5647","DBA-5647")</f>
        <v>DBA-5647</v>
      </c>
      <c r="B284" s="6" t="s">
        <v>21</v>
      </c>
      <c r="C284" s="6" t="s">
        <v>2000</v>
      </c>
      <c r="D284" s="8" t="s">
        <v>17</v>
      </c>
      <c r="E284" s="6" t="s">
        <v>23</v>
      </c>
      <c r="F284" s="6" t="s">
        <v>31</v>
      </c>
      <c r="G284" s="6" t="s">
        <v>2001</v>
      </c>
      <c r="H284" s="10">
        <v>46256</v>
      </c>
      <c r="I284" s="6" t="s">
        <v>2002</v>
      </c>
      <c r="J284" s="6" t="s">
        <v>128</v>
      </c>
      <c r="K284" s="6" t="s">
        <v>35</v>
      </c>
      <c r="L284" s="6" t="s">
        <v>129</v>
      </c>
      <c r="M284" s="6" t="s">
        <v>2003</v>
      </c>
    </row>
    <row r="285" spans="1:13" ht="13" x14ac:dyDescent="0.15">
      <c r="A285" s="21" t="str">
        <f>HYPERLINK("https://onemount.atlassian.net/browse/DBA-5646","DBA-5646")</f>
        <v>DBA-5646</v>
      </c>
      <c r="B285" s="6" t="s">
        <v>21</v>
      </c>
      <c r="C285" s="6" t="s">
        <v>1635</v>
      </c>
      <c r="D285" s="8" t="s">
        <v>17</v>
      </c>
      <c r="E285" s="6" t="s">
        <v>23</v>
      </c>
      <c r="F285" s="6" t="s">
        <v>52</v>
      </c>
      <c r="G285" s="6" t="s">
        <v>2004</v>
      </c>
      <c r="H285" s="10">
        <v>46256</v>
      </c>
      <c r="I285" s="6" t="s">
        <v>2005</v>
      </c>
      <c r="J285" s="6" t="s">
        <v>56</v>
      </c>
      <c r="K285" s="6" t="s">
        <v>55</v>
      </c>
      <c r="L285" s="6" t="s">
        <v>56</v>
      </c>
      <c r="M285" s="6" t="s">
        <v>1638</v>
      </c>
    </row>
    <row r="286" spans="1:13" ht="13" x14ac:dyDescent="0.15">
      <c r="A286" s="5" t="str">
        <f>HYPERLINK("https://onemount.atlassian.net/browse/DBA-5645","DBA-5645")</f>
        <v>DBA-5645</v>
      </c>
      <c r="B286" s="23" t="str">
        <f t="shared" ref="B286:B288" si="3">HYPERLINK("https://onemount.atlassian.net/browse/DBA-5642","DBA-5642")</f>
        <v>DBA-5642</v>
      </c>
      <c r="C286" s="6" t="s">
        <v>2006</v>
      </c>
      <c r="D286" s="8" t="s">
        <v>17</v>
      </c>
      <c r="E286" s="6" t="s">
        <v>428</v>
      </c>
      <c r="F286" s="6" t="s">
        <v>52</v>
      </c>
      <c r="G286" s="6" t="s">
        <v>2007</v>
      </c>
      <c r="H286" s="10">
        <v>46256</v>
      </c>
      <c r="I286" s="6" t="s">
        <v>2008</v>
      </c>
      <c r="J286" s="6" t="s">
        <v>2009</v>
      </c>
      <c r="K286" s="6" t="s">
        <v>137</v>
      </c>
      <c r="L286" s="6" t="s">
        <v>222</v>
      </c>
      <c r="M286" s="6" t="s">
        <v>2010</v>
      </c>
    </row>
    <row r="287" spans="1:13" ht="13" x14ac:dyDescent="0.15">
      <c r="A287" s="5" t="str">
        <f>HYPERLINK("https://onemount.atlassian.net/browse/DBA-5644","DBA-5644")</f>
        <v>DBA-5644</v>
      </c>
      <c r="B287" s="23" t="str">
        <f t="shared" si="3"/>
        <v>DBA-5642</v>
      </c>
      <c r="C287" s="6" t="s">
        <v>2011</v>
      </c>
      <c r="D287" s="8" t="s">
        <v>17</v>
      </c>
      <c r="E287" s="6" t="s">
        <v>428</v>
      </c>
      <c r="F287" s="6" t="s">
        <v>52</v>
      </c>
      <c r="G287" s="6" t="s">
        <v>2012</v>
      </c>
      <c r="H287" s="10">
        <v>46256</v>
      </c>
      <c r="I287" s="6" t="s">
        <v>2013</v>
      </c>
      <c r="J287" s="6" t="s">
        <v>2009</v>
      </c>
      <c r="K287" s="6" t="s">
        <v>137</v>
      </c>
      <c r="L287" s="6" t="s">
        <v>222</v>
      </c>
      <c r="M287" s="6" t="s">
        <v>2014</v>
      </c>
    </row>
    <row r="288" spans="1:13" ht="13" x14ac:dyDescent="0.15">
      <c r="A288" s="5" t="str">
        <f>HYPERLINK("https://onemount.atlassian.net/browse/DBA-5643","DBA-5643")</f>
        <v>DBA-5643</v>
      </c>
      <c r="B288" s="23" t="str">
        <f t="shared" si="3"/>
        <v>DBA-5642</v>
      </c>
      <c r="C288" s="6" t="s">
        <v>2015</v>
      </c>
      <c r="D288" s="8" t="s">
        <v>17</v>
      </c>
      <c r="E288" s="6" t="s">
        <v>428</v>
      </c>
      <c r="F288" s="6" t="s">
        <v>52</v>
      </c>
      <c r="G288" s="6" t="s">
        <v>2016</v>
      </c>
      <c r="H288" s="10">
        <v>46256</v>
      </c>
      <c r="I288" s="6" t="s">
        <v>2017</v>
      </c>
      <c r="J288" s="6" t="s">
        <v>2009</v>
      </c>
      <c r="K288" s="6" t="s">
        <v>137</v>
      </c>
      <c r="L288" s="6" t="s">
        <v>222</v>
      </c>
      <c r="M288" s="6" t="s">
        <v>2018</v>
      </c>
    </row>
    <row r="289" spans="1:13" ht="13" x14ac:dyDescent="0.15">
      <c r="A289" s="5" t="str">
        <f>HYPERLINK("https://onemount.atlassian.net/browse/DBA-5642","DBA-5642")</f>
        <v>DBA-5642</v>
      </c>
      <c r="B289" s="6" t="s">
        <v>21</v>
      </c>
      <c r="C289" s="6" t="s">
        <v>2019</v>
      </c>
      <c r="D289" s="8" t="s">
        <v>17</v>
      </c>
      <c r="E289" s="6" t="s">
        <v>23</v>
      </c>
      <c r="F289" s="6" t="s">
        <v>52</v>
      </c>
      <c r="G289" s="6" t="s">
        <v>2020</v>
      </c>
      <c r="H289" s="10">
        <v>46256</v>
      </c>
      <c r="I289" s="6" t="s">
        <v>2021</v>
      </c>
      <c r="J289" s="6" t="s">
        <v>2009</v>
      </c>
      <c r="K289" s="6" t="s">
        <v>137</v>
      </c>
      <c r="L289" s="6" t="s">
        <v>222</v>
      </c>
      <c r="M289" s="6" t="s">
        <v>2022</v>
      </c>
    </row>
    <row r="290" spans="1:13" ht="13" x14ac:dyDescent="0.15">
      <c r="A290" s="5" t="str">
        <f>HYPERLINK("https://onemount.atlassian.net/browse/DBA-5641","DBA-5641")</f>
        <v>DBA-5641</v>
      </c>
      <c r="B290" s="6" t="s">
        <v>21</v>
      </c>
      <c r="C290" s="6" t="s">
        <v>2023</v>
      </c>
      <c r="D290" s="8" t="s">
        <v>17</v>
      </c>
      <c r="E290" s="6" t="s">
        <v>23</v>
      </c>
      <c r="F290" s="6" t="s">
        <v>31</v>
      </c>
      <c r="G290" s="6" t="s">
        <v>2024</v>
      </c>
      <c r="H290" s="10">
        <v>46256</v>
      </c>
      <c r="I290" s="6" t="s">
        <v>2025</v>
      </c>
      <c r="J290" s="6" t="s">
        <v>118</v>
      </c>
      <c r="K290" s="6" t="s">
        <v>35</v>
      </c>
      <c r="L290" s="6" t="s">
        <v>119</v>
      </c>
      <c r="M290" s="6" t="s">
        <v>2026</v>
      </c>
    </row>
    <row r="291" spans="1:13" ht="13" x14ac:dyDescent="0.15">
      <c r="A291" s="5" t="str">
        <f>HYPERLINK("https://onemount.atlassian.net/browse/DBA-5640","DBA-5640")</f>
        <v>DBA-5640</v>
      </c>
      <c r="B291" s="6" t="s">
        <v>21</v>
      </c>
      <c r="C291" s="6" t="s">
        <v>2027</v>
      </c>
      <c r="D291" s="8" t="s">
        <v>17</v>
      </c>
      <c r="E291" s="6" t="s">
        <v>23</v>
      </c>
      <c r="F291" s="6" t="s">
        <v>31</v>
      </c>
      <c r="G291" s="6" t="s">
        <v>2028</v>
      </c>
      <c r="H291" s="10">
        <v>46255</v>
      </c>
      <c r="I291" s="6" t="s">
        <v>2029</v>
      </c>
      <c r="J291" s="6" t="s">
        <v>128</v>
      </c>
      <c r="K291" s="6" t="s">
        <v>35</v>
      </c>
      <c r="L291" s="6" t="s">
        <v>129</v>
      </c>
      <c r="M291" s="6" t="s">
        <v>2030</v>
      </c>
    </row>
    <row r="292" spans="1:13" ht="13" x14ac:dyDescent="0.15">
      <c r="A292" s="5" t="str">
        <f>HYPERLINK("https://onemount.atlassian.net/browse/DBA-5639","DBA-5639")</f>
        <v>DBA-5639</v>
      </c>
      <c r="B292" s="6" t="s">
        <v>21</v>
      </c>
      <c r="C292" s="6" t="s">
        <v>2031</v>
      </c>
      <c r="D292" s="8" t="s">
        <v>17</v>
      </c>
      <c r="E292" s="6" t="s">
        <v>23</v>
      </c>
      <c r="F292" s="6" t="s">
        <v>24</v>
      </c>
      <c r="G292" s="6" t="s">
        <v>2032</v>
      </c>
      <c r="H292" s="10">
        <v>46258</v>
      </c>
      <c r="I292" s="6" t="s">
        <v>2033</v>
      </c>
      <c r="J292" s="6" t="s">
        <v>77</v>
      </c>
      <c r="K292" s="6" t="s">
        <v>46</v>
      </c>
      <c r="L292" s="6" t="s">
        <v>77</v>
      </c>
      <c r="M292" s="6" t="s">
        <v>2034</v>
      </c>
    </row>
    <row r="293" spans="1:13" ht="13" x14ac:dyDescent="0.15">
      <c r="A293" s="5" t="str">
        <f>HYPERLINK("https://onemount.atlassian.net/browse/DBA-5638","DBA-5638")</f>
        <v>DBA-5638</v>
      </c>
      <c r="B293" s="6" t="s">
        <v>21</v>
      </c>
      <c r="C293" s="6" t="s">
        <v>2035</v>
      </c>
      <c r="D293" s="8" t="s">
        <v>17</v>
      </c>
      <c r="E293" s="6" t="s">
        <v>23</v>
      </c>
      <c r="F293" s="6" t="s">
        <v>31</v>
      </c>
      <c r="G293" s="6" t="s">
        <v>2036</v>
      </c>
      <c r="H293" s="10">
        <v>46255</v>
      </c>
      <c r="I293" s="6" t="s">
        <v>2037</v>
      </c>
      <c r="J293" s="6" t="s">
        <v>128</v>
      </c>
      <c r="K293" s="6" t="s">
        <v>35</v>
      </c>
      <c r="L293" s="6" t="s">
        <v>36</v>
      </c>
      <c r="M293" s="6" t="s">
        <v>2038</v>
      </c>
    </row>
    <row r="294" spans="1:13" ht="13" x14ac:dyDescent="0.15">
      <c r="A294" s="5" t="str">
        <f>HYPERLINK("https://onemount.atlassian.net/browse/DBA-5637","DBA-5637")</f>
        <v>DBA-5637</v>
      </c>
      <c r="B294" s="6" t="s">
        <v>21</v>
      </c>
      <c r="C294" s="6" t="s">
        <v>2039</v>
      </c>
      <c r="D294" s="8" t="s">
        <v>17</v>
      </c>
      <c r="E294" s="6" t="s">
        <v>23</v>
      </c>
      <c r="F294" s="6" t="s">
        <v>52</v>
      </c>
      <c r="G294" s="6" t="s">
        <v>2040</v>
      </c>
      <c r="H294" s="10">
        <v>46254</v>
      </c>
      <c r="I294" s="6" t="s">
        <v>2041</v>
      </c>
      <c r="J294" s="6" t="s">
        <v>2042</v>
      </c>
      <c r="K294" s="6" t="s">
        <v>55</v>
      </c>
      <c r="L294" s="6" t="s">
        <v>984</v>
      </c>
      <c r="M294" s="6" t="s">
        <v>2043</v>
      </c>
    </row>
    <row r="295" spans="1:13" ht="13" x14ac:dyDescent="0.15">
      <c r="A295" s="5" t="str">
        <f>HYPERLINK("https://onemount.atlassian.net/browse/DBA-5636","DBA-5636")</f>
        <v>DBA-5636</v>
      </c>
      <c r="B295" s="6" t="s">
        <v>21</v>
      </c>
      <c r="C295" s="6" t="s">
        <v>2044</v>
      </c>
      <c r="D295" s="8" t="s">
        <v>17</v>
      </c>
      <c r="E295" s="6" t="s">
        <v>23</v>
      </c>
      <c r="F295" s="6" t="s">
        <v>52</v>
      </c>
      <c r="G295" s="6" t="s">
        <v>2045</v>
      </c>
      <c r="H295" s="10">
        <v>46254</v>
      </c>
      <c r="I295" s="6" t="s">
        <v>2046</v>
      </c>
      <c r="J295" s="6" t="s">
        <v>270</v>
      </c>
      <c r="K295" s="6" t="s">
        <v>55</v>
      </c>
      <c r="L295" s="6" t="s">
        <v>270</v>
      </c>
      <c r="M295" s="6" t="s">
        <v>2047</v>
      </c>
    </row>
    <row r="296" spans="1:13" ht="13" x14ac:dyDescent="0.15">
      <c r="A296" s="5" t="str">
        <f>HYPERLINK("https://onemount.atlassian.net/browse/DBA-5635","DBA-5635")</f>
        <v>DBA-5635</v>
      </c>
      <c r="B296" s="6" t="s">
        <v>21</v>
      </c>
      <c r="C296" s="6" t="s">
        <v>2048</v>
      </c>
      <c r="D296" s="8" t="s">
        <v>17</v>
      </c>
      <c r="E296" s="6" t="s">
        <v>23</v>
      </c>
      <c r="F296" s="6" t="s">
        <v>24</v>
      </c>
      <c r="G296" s="6" t="s">
        <v>2049</v>
      </c>
      <c r="H296" s="10">
        <v>46255</v>
      </c>
      <c r="I296" s="6" t="s">
        <v>2050</v>
      </c>
      <c r="J296" s="6" t="s">
        <v>46</v>
      </c>
      <c r="K296" s="6" t="s">
        <v>46</v>
      </c>
      <c r="L296" s="6" t="s">
        <v>326</v>
      </c>
      <c r="M296" s="6" t="s">
        <v>2051</v>
      </c>
    </row>
    <row r="297" spans="1:13" ht="13" x14ac:dyDescent="0.15">
      <c r="A297" s="5" t="str">
        <f>HYPERLINK("https://onemount.atlassian.net/browse/DBA-5634","DBA-5634")</f>
        <v>DBA-5634</v>
      </c>
      <c r="B297" s="6" t="s">
        <v>21</v>
      </c>
      <c r="C297" s="6" t="s">
        <v>2052</v>
      </c>
      <c r="D297" s="8" t="s">
        <v>17</v>
      </c>
      <c r="E297" s="6" t="s">
        <v>23</v>
      </c>
      <c r="F297" s="6" t="s">
        <v>52</v>
      </c>
      <c r="G297" s="6" t="s">
        <v>2053</v>
      </c>
      <c r="H297" s="10">
        <v>46255</v>
      </c>
      <c r="I297" s="6" t="s">
        <v>2054</v>
      </c>
      <c r="J297" s="6" t="s">
        <v>56</v>
      </c>
      <c r="K297" s="6" t="s">
        <v>55</v>
      </c>
      <c r="L297" s="6" t="s">
        <v>56</v>
      </c>
      <c r="M297" s="6" t="s">
        <v>2055</v>
      </c>
    </row>
    <row r="298" spans="1:13" ht="13" x14ac:dyDescent="0.15">
      <c r="A298" s="5" t="str">
        <f>HYPERLINK("https://onemount.atlassian.net/browse/DBA-5633","DBA-5633")</f>
        <v>DBA-5633</v>
      </c>
      <c r="B298" s="6" t="s">
        <v>21</v>
      </c>
      <c r="C298" s="6" t="s">
        <v>2056</v>
      </c>
      <c r="D298" s="8" t="s">
        <v>17</v>
      </c>
      <c r="E298" s="6" t="s">
        <v>23</v>
      </c>
      <c r="F298" s="6" t="s">
        <v>24</v>
      </c>
      <c r="G298" s="6" t="s">
        <v>2057</v>
      </c>
      <c r="H298" s="10">
        <v>46260</v>
      </c>
      <c r="I298" s="6" t="s">
        <v>2058</v>
      </c>
      <c r="J298" s="6" t="s">
        <v>2059</v>
      </c>
      <c r="K298" s="6" t="s">
        <v>165</v>
      </c>
      <c r="L298" s="6" t="s">
        <v>165</v>
      </c>
      <c r="M298" s="6" t="s">
        <v>2060</v>
      </c>
    </row>
    <row r="299" spans="1:13" ht="13" x14ac:dyDescent="0.15">
      <c r="A299" s="5" t="str">
        <f>HYPERLINK("https://onemount.atlassian.net/browse/DBA-5632","DBA-5632")</f>
        <v>DBA-5632</v>
      </c>
      <c r="B299" s="6" t="s">
        <v>21</v>
      </c>
      <c r="C299" s="6" t="s">
        <v>2061</v>
      </c>
      <c r="D299" s="8" t="s">
        <v>17</v>
      </c>
      <c r="E299" s="6" t="s">
        <v>23</v>
      </c>
      <c r="F299" s="6" t="s">
        <v>24</v>
      </c>
      <c r="G299" s="6" t="s">
        <v>2062</v>
      </c>
      <c r="H299" s="10">
        <v>46271</v>
      </c>
      <c r="I299" s="6" t="s">
        <v>2063</v>
      </c>
      <c r="J299" s="6" t="s">
        <v>55</v>
      </c>
      <c r="K299" s="6" t="s">
        <v>55</v>
      </c>
      <c r="L299" s="6" t="s">
        <v>55</v>
      </c>
      <c r="M299" s="6" t="s">
        <v>2064</v>
      </c>
    </row>
    <row r="300" spans="1:13" ht="13" x14ac:dyDescent="0.15">
      <c r="A300" s="5" t="str">
        <f>HYPERLINK("https://onemount.atlassian.net/browse/DBA-5631","DBA-5631")</f>
        <v>DBA-5631</v>
      </c>
      <c r="B300" s="6" t="s">
        <v>21</v>
      </c>
      <c r="C300" s="6" t="s">
        <v>2065</v>
      </c>
      <c r="D300" s="8" t="s">
        <v>17</v>
      </c>
      <c r="E300" s="6" t="s">
        <v>23</v>
      </c>
      <c r="F300" s="6" t="s">
        <v>31</v>
      </c>
      <c r="G300" s="6" t="s">
        <v>2066</v>
      </c>
      <c r="H300" s="10">
        <v>46254</v>
      </c>
      <c r="I300" s="6" t="s">
        <v>2067</v>
      </c>
      <c r="J300" s="6" t="s">
        <v>246</v>
      </c>
      <c r="K300" s="6" t="s">
        <v>35</v>
      </c>
      <c r="L300" s="6" t="s">
        <v>181</v>
      </c>
      <c r="M300" s="6" t="s">
        <v>2068</v>
      </c>
    </row>
    <row r="301" spans="1:13" ht="13" x14ac:dyDescent="0.15">
      <c r="A301" s="5" t="str">
        <f>HYPERLINK("https://onemount.atlassian.net/browse/DBA-5630","DBA-5630")</f>
        <v>DBA-5630</v>
      </c>
      <c r="B301" s="6" t="s">
        <v>21</v>
      </c>
      <c r="C301" s="6" t="s">
        <v>2069</v>
      </c>
      <c r="D301" s="8" t="s">
        <v>17</v>
      </c>
      <c r="E301" s="6" t="s">
        <v>23</v>
      </c>
      <c r="F301" s="6" t="s">
        <v>52</v>
      </c>
      <c r="G301" s="6" t="s">
        <v>2070</v>
      </c>
      <c r="H301" s="10">
        <v>46255</v>
      </c>
      <c r="I301" s="6" t="s">
        <v>2071</v>
      </c>
      <c r="J301" s="6" t="s">
        <v>2072</v>
      </c>
      <c r="K301" s="6" t="s">
        <v>46</v>
      </c>
      <c r="L301" s="6" t="s">
        <v>222</v>
      </c>
      <c r="M301" s="6" t="s">
        <v>2073</v>
      </c>
    </row>
    <row r="302" spans="1:13" ht="13" x14ac:dyDescent="0.15">
      <c r="A302" s="21" t="str">
        <f>HYPERLINK("https://onemount.atlassian.net/browse/DBA-5629","DBA-5629")</f>
        <v>DBA-5629</v>
      </c>
      <c r="B302" s="6" t="s">
        <v>21</v>
      </c>
      <c r="C302" s="6" t="s">
        <v>1907</v>
      </c>
      <c r="D302" s="8" t="s">
        <v>17</v>
      </c>
      <c r="E302" s="6" t="s">
        <v>23</v>
      </c>
      <c r="F302" s="6" t="s">
        <v>52</v>
      </c>
      <c r="G302" s="6" t="s">
        <v>2074</v>
      </c>
      <c r="H302" s="10">
        <v>46254</v>
      </c>
      <c r="I302" s="6" t="s">
        <v>2075</v>
      </c>
      <c r="J302" s="6" t="s">
        <v>1898</v>
      </c>
      <c r="K302" s="6" t="s">
        <v>165</v>
      </c>
      <c r="L302" s="6" t="s">
        <v>1097</v>
      </c>
      <c r="M302" s="6" t="s">
        <v>1910</v>
      </c>
    </row>
    <row r="303" spans="1:13" ht="13" x14ac:dyDescent="0.15">
      <c r="A303" s="5" t="str">
        <f>HYPERLINK("https://onemount.atlassian.net/browse/DBA-5628","DBA-5628")</f>
        <v>DBA-5628</v>
      </c>
      <c r="B303" s="6" t="s">
        <v>21</v>
      </c>
      <c r="C303" s="6" t="s">
        <v>2076</v>
      </c>
      <c r="D303" s="8" t="s">
        <v>17</v>
      </c>
      <c r="E303" s="6" t="s">
        <v>23</v>
      </c>
      <c r="F303" s="6" t="s">
        <v>52</v>
      </c>
      <c r="G303" s="6" t="s">
        <v>2077</v>
      </c>
      <c r="H303" s="10">
        <v>46253</v>
      </c>
      <c r="I303" s="6" t="s">
        <v>2078</v>
      </c>
      <c r="J303" s="6" t="s">
        <v>85</v>
      </c>
      <c r="K303" s="6" t="s">
        <v>55</v>
      </c>
      <c r="L303" s="6" t="s">
        <v>85</v>
      </c>
      <c r="M303" s="6" t="s">
        <v>2079</v>
      </c>
    </row>
    <row r="304" spans="1:13" ht="13" x14ac:dyDescent="0.15">
      <c r="A304" s="5" t="str">
        <f>HYPERLINK("https://onemount.atlassian.net/browse/DBA-5627","DBA-5627")</f>
        <v>DBA-5627</v>
      </c>
      <c r="B304" s="6" t="s">
        <v>21</v>
      </c>
      <c r="C304" s="6" t="s">
        <v>2080</v>
      </c>
      <c r="D304" s="8" t="s">
        <v>17</v>
      </c>
      <c r="E304" s="6" t="s">
        <v>23</v>
      </c>
      <c r="F304" s="6" t="s">
        <v>52</v>
      </c>
      <c r="G304" s="6" t="s">
        <v>2081</v>
      </c>
      <c r="H304" s="10">
        <v>46254</v>
      </c>
      <c r="I304" s="6" t="s">
        <v>2082</v>
      </c>
      <c r="J304" s="6" t="s">
        <v>216</v>
      </c>
      <c r="K304" s="6" t="s">
        <v>72</v>
      </c>
      <c r="L304" s="6" t="s">
        <v>216</v>
      </c>
      <c r="M304" s="6" t="s">
        <v>2083</v>
      </c>
    </row>
    <row r="305" spans="1:13" ht="13" x14ac:dyDescent="0.15">
      <c r="A305" s="5" t="str">
        <f>HYPERLINK("https://onemount.atlassian.net/browse/DBA-5626","DBA-5626")</f>
        <v>DBA-5626</v>
      </c>
      <c r="B305" s="6" t="s">
        <v>21</v>
      </c>
      <c r="C305" s="6" t="s">
        <v>2084</v>
      </c>
      <c r="D305" s="8" t="s">
        <v>17</v>
      </c>
      <c r="E305" s="6" t="s">
        <v>23</v>
      </c>
      <c r="F305" s="6" t="s">
        <v>31</v>
      </c>
      <c r="G305" s="6" t="s">
        <v>2085</v>
      </c>
      <c r="H305" s="10">
        <v>46253</v>
      </c>
      <c r="I305" s="6" t="s">
        <v>2086</v>
      </c>
      <c r="J305" s="6" t="s">
        <v>128</v>
      </c>
      <c r="K305" s="6" t="s">
        <v>35</v>
      </c>
      <c r="L305" s="6" t="s">
        <v>129</v>
      </c>
      <c r="M305" s="6" t="s">
        <v>2087</v>
      </c>
    </row>
    <row r="306" spans="1:13" ht="13" x14ac:dyDescent="0.15">
      <c r="A306" s="5" t="str">
        <f>HYPERLINK("https://onemount.atlassian.net/browse/DBA-5625","DBA-5625")</f>
        <v>DBA-5625</v>
      </c>
      <c r="B306" s="6" t="s">
        <v>21</v>
      </c>
      <c r="C306" s="6" t="s">
        <v>2088</v>
      </c>
      <c r="D306" s="8" t="s">
        <v>17</v>
      </c>
      <c r="E306" s="6" t="s">
        <v>23</v>
      </c>
      <c r="F306" s="6" t="s">
        <v>31</v>
      </c>
      <c r="G306" s="6" t="s">
        <v>2089</v>
      </c>
      <c r="H306" s="10">
        <v>46253</v>
      </c>
      <c r="I306" s="6" t="s">
        <v>2090</v>
      </c>
      <c r="J306" s="6" t="s">
        <v>181</v>
      </c>
      <c r="K306" s="6" t="s">
        <v>35</v>
      </c>
      <c r="L306" s="6" t="s">
        <v>638</v>
      </c>
      <c r="M306" s="6" t="s">
        <v>2091</v>
      </c>
    </row>
    <row r="307" spans="1:13" ht="13" x14ac:dyDescent="0.15">
      <c r="A307" s="5" t="str">
        <f>HYPERLINK("https://onemount.atlassian.net/browse/DBA-5624","DBA-5624")</f>
        <v>DBA-5624</v>
      </c>
      <c r="B307" s="6" t="s">
        <v>21</v>
      </c>
      <c r="C307" s="6" t="s">
        <v>2092</v>
      </c>
      <c r="D307" s="8" t="s">
        <v>17</v>
      </c>
      <c r="E307" s="6" t="s">
        <v>23</v>
      </c>
      <c r="F307" s="6" t="s">
        <v>41</v>
      </c>
      <c r="G307" s="6" t="s">
        <v>2093</v>
      </c>
      <c r="H307" s="10">
        <v>46253</v>
      </c>
      <c r="I307" s="6" t="s">
        <v>2094</v>
      </c>
      <c r="J307" s="6" t="s">
        <v>28</v>
      </c>
      <c r="K307" s="6" t="s">
        <v>28</v>
      </c>
      <c r="L307" s="6" t="s">
        <v>1133</v>
      </c>
      <c r="M307" s="6" t="s">
        <v>2095</v>
      </c>
    </row>
    <row r="308" spans="1:13" ht="13" x14ac:dyDescent="0.15">
      <c r="A308" s="5" t="str">
        <f>HYPERLINK("https://onemount.atlassian.net/browse/DBA-5623","DBA-5623")</f>
        <v>DBA-5623</v>
      </c>
      <c r="B308" s="6" t="s">
        <v>21</v>
      </c>
      <c r="C308" s="6" t="s">
        <v>2096</v>
      </c>
      <c r="D308" s="8" t="s">
        <v>17</v>
      </c>
      <c r="E308" s="6" t="s">
        <v>23</v>
      </c>
      <c r="F308" s="6" t="s">
        <v>24</v>
      </c>
      <c r="G308" s="6" t="s">
        <v>2097</v>
      </c>
      <c r="H308" s="10">
        <v>46253</v>
      </c>
      <c r="I308" s="6" t="s">
        <v>2098</v>
      </c>
      <c r="J308" s="6" t="s">
        <v>463</v>
      </c>
      <c r="K308" s="6" t="s">
        <v>55</v>
      </c>
      <c r="L308" s="6" t="s">
        <v>254</v>
      </c>
      <c r="M308" s="6" t="s">
        <v>2099</v>
      </c>
    </row>
    <row r="309" spans="1:13" ht="13" x14ac:dyDescent="0.15">
      <c r="A309" s="5" t="str">
        <f>HYPERLINK("https://onemount.atlassian.net/browse/DBA-5622","DBA-5622")</f>
        <v>DBA-5622</v>
      </c>
      <c r="B309" s="6" t="s">
        <v>21</v>
      </c>
      <c r="C309" s="6" t="s">
        <v>2100</v>
      </c>
      <c r="D309" s="8" t="s">
        <v>17</v>
      </c>
      <c r="E309" s="6" t="s">
        <v>23</v>
      </c>
      <c r="F309" s="6" t="s">
        <v>24</v>
      </c>
      <c r="G309" s="6" t="s">
        <v>2101</v>
      </c>
      <c r="H309" s="10">
        <v>46252</v>
      </c>
      <c r="I309" s="6" t="s">
        <v>2102</v>
      </c>
      <c r="J309" s="6" t="s">
        <v>46</v>
      </c>
      <c r="K309" s="6" t="s">
        <v>46</v>
      </c>
      <c r="L309" s="6" t="s">
        <v>46</v>
      </c>
      <c r="M309" s="6" t="s">
        <v>2103</v>
      </c>
    </row>
    <row r="310" spans="1:13" ht="13" x14ac:dyDescent="0.15">
      <c r="A310" s="5" t="str">
        <f>HYPERLINK("https://onemount.atlassian.net/browse/DBA-5621","DBA-5621")</f>
        <v>DBA-5621</v>
      </c>
      <c r="B310" s="6" t="s">
        <v>21</v>
      </c>
      <c r="C310" s="6" t="s">
        <v>2104</v>
      </c>
      <c r="D310" s="8" t="s">
        <v>17</v>
      </c>
      <c r="E310" s="6" t="s">
        <v>23</v>
      </c>
      <c r="F310" s="6" t="s">
        <v>24</v>
      </c>
      <c r="G310" s="6" t="s">
        <v>2105</v>
      </c>
      <c r="H310" s="10">
        <v>46252</v>
      </c>
      <c r="I310" s="6" t="s">
        <v>2106</v>
      </c>
      <c r="J310" s="6" t="s">
        <v>374</v>
      </c>
      <c r="K310" s="6" t="s">
        <v>35</v>
      </c>
      <c r="L310" s="6" t="s">
        <v>374</v>
      </c>
      <c r="M310" s="6" t="s">
        <v>2107</v>
      </c>
    </row>
    <row r="311" spans="1:13" ht="13" x14ac:dyDescent="0.15">
      <c r="A311" s="5" t="str">
        <f>HYPERLINK("https://onemount.atlassian.net/browse/DBA-5620","DBA-5620")</f>
        <v>DBA-5620</v>
      </c>
      <c r="B311" s="6" t="s">
        <v>21</v>
      </c>
      <c r="C311" s="6" t="s">
        <v>2108</v>
      </c>
      <c r="D311" s="8" t="s">
        <v>17</v>
      </c>
      <c r="E311" s="6" t="s">
        <v>23</v>
      </c>
      <c r="F311" s="6" t="s">
        <v>24</v>
      </c>
      <c r="G311" s="6" t="s">
        <v>2109</v>
      </c>
      <c r="H311" s="10">
        <v>46253</v>
      </c>
      <c r="I311" s="6" t="s">
        <v>2110</v>
      </c>
      <c r="J311" s="6" t="s">
        <v>118</v>
      </c>
      <c r="K311" s="6" t="s">
        <v>35</v>
      </c>
      <c r="L311" s="6" t="s">
        <v>119</v>
      </c>
      <c r="M311" s="6" t="s">
        <v>2111</v>
      </c>
    </row>
    <row r="312" spans="1:13" ht="13" x14ac:dyDescent="0.15">
      <c r="A312" s="5" t="str">
        <f>HYPERLINK("https://onemount.atlassian.net/browse/DBA-5619","DBA-5619")</f>
        <v>DBA-5619</v>
      </c>
      <c r="B312" s="6" t="s">
        <v>21</v>
      </c>
      <c r="C312" s="6" t="s">
        <v>2112</v>
      </c>
      <c r="D312" s="8" t="s">
        <v>17</v>
      </c>
      <c r="E312" s="6" t="s">
        <v>23</v>
      </c>
      <c r="F312" s="6" t="s">
        <v>31</v>
      </c>
      <c r="G312" s="6" t="s">
        <v>2113</v>
      </c>
      <c r="H312" s="10">
        <v>46253</v>
      </c>
      <c r="I312" s="6" t="s">
        <v>2114</v>
      </c>
      <c r="J312" s="6" t="s">
        <v>118</v>
      </c>
      <c r="K312" s="6" t="s">
        <v>35</v>
      </c>
      <c r="L312" s="6" t="s">
        <v>119</v>
      </c>
      <c r="M312" s="6" t="s">
        <v>2115</v>
      </c>
    </row>
    <row r="313" spans="1:13" ht="13" x14ac:dyDescent="0.15">
      <c r="A313" s="5" t="str">
        <f>HYPERLINK("https://onemount.atlassian.net/browse/DBA-5618","DBA-5618")</f>
        <v>DBA-5618</v>
      </c>
      <c r="B313" s="6" t="s">
        <v>21</v>
      </c>
      <c r="C313" s="6" t="s">
        <v>2116</v>
      </c>
      <c r="D313" s="8" t="s">
        <v>17</v>
      </c>
      <c r="E313" s="6" t="s">
        <v>23</v>
      </c>
      <c r="F313" s="6" t="s">
        <v>31</v>
      </c>
      <c r="G313" s="6" t="s">
        <v>2117</v>
      </c>
      <c r="H313" s="10">
        <v>46253</v>
      </c>
      <c r="I313" s="6" t="s">
        <v>2118</v>
      </c>
      <c r="J313" s="6" t="s">
        <v>2119</v>
      </c>
      <c r="K313" s="6" t="s">
        <v>35</v>
      </c>
      <c r="L313" s="6" t="s">
        <v>638</v>
      </c>
      <c r="M313" s="6" t="s">
        <v>2120</v>
      </c>
    </row>
    <row r="314" spans="1:13" ht="13" x14ac:dyDescent="0.15">
      <c r="A314" s="5" t="str">
        <f>HYPERLINK("https://onemount.atlassian.net/browse/DBA-5617","DBA-5617")</f>
        <v>DBA-5617</v>
      </c>
      <c r="B314" s="6" t="s">
        <v>21</v>
      </c>
      <c r="C314" s="6" t="s">
        <v>2121</v>
      </c>
      <c r="D314" s="8" t="s">
        <v>17</v>
      </c>
      <c r="E314" s="6" t="s">
        <v>23</v>
      </c>
      <c r="F314" s="6" t="s">
        <v>31</v>
      </c>
      <c r="G314" s="6" t="s">
        <v>2122</v>
      </c>
      <c r="H314" s="10">
        <v>46253</v>
      </c>
      <c r="I314" s="6" t="s">
        <v>2123</v>
      </c>
      <c r="J314" s="6" t="s">
        <v>463</v>
      </c>
      <c r="K314" s="6" t="s">
        <v>55</v>
      </c>
      <c r="L314" s="6" t="s">
        <v>254</v>
      </c>
      <c r="M314" s="6" t="s">
        <v>2124</v>
      </c>
    </row>
    <row r="315" spans="1:13" ht="13" x14ac:dyDescent="0.15">
      <c r="A315" s="5" t="str">
        <f>HYPERLINK("https://onemount.atlassian.net/browse/DBA-5616","DBA-5616")</f>
        <v>DBA-5616</v>
      </c>
      <c r="B315" s="6" t="s">
        <v>21</v>
      </c>
      <c r="C315" s="6" t="s">
        <v>2125</v>
      </c>
      <c r="D315" s="8" t="s">
        <v>17</v>
      </c>
      <c r="E315" s="6" t="s">
        <v>23</v>
      </c>
      <c r="F315" s="6" t="s">
        <v>31</v>
      </c>
      <c r="G315" s="6" t="s">
        <v>2126</v>
      </c>
      <c r="H315" s="10">
        <v>46253</v>
      </c>
      <c r="I315" s="6" t="s">
        <v>2127</v>
      </c>
      <c r="J315" s="6" t="s">
        <v>489</v>
      </c>
      <c r="K315" s="6" t="s">
        <v>35</v>
      </c>
      <c r="L315" s="6" t="s">
        <v>489</v>
      </c>
      <c r="M315" s="6" t="s">
        <v>2128</v>
      </c>
    </row>
    <row r="316" spans="1:13" ht="13" x14ac:dyDescent="0.15">
      <c r="A316" s="5" t="str">
        <f>HYPERLINK("https://onemount.atlassian.net/browse/DBA-5615","DBA-5615")</f>
        <v>DBA-5615</v>
      </c>
      <c r="B316" s="6" t="s">
        <v>21</v>
      </c>
      <c r="C316" s="6" t="s">
        <v>875</v>
      </c>
      <c r="D316" s="8" t="s">
        <v>17</v>
      </c>
      <c r="E316" s="6" t="s">
        <v>23</v>
      </c>
      <c r="F316" s="6" t="s">
        <v>31</v>
      </c>
      <c r="G316" s="6" t="s">
        <v>2129</v>
      </c>
      <c r="H316" s="10">
        <v>46253</v>
      </c>
      <c r="I316" s="6" t="s">
        <v>2130</v>
      </c>
      <c r="J316" s="6" t="s">
        <v>118</v>
      </c>
      <c r="K316" s="6" t="s">
        <v>35</v>
      </c>
      <c r="L316" s="6" t="s">
        <v>119</v>
      </c>
      <c r="M316" s="6" t="s">
        <v>2131</v>
      </c>
    </row>
    <row r="317" spans="1:13" ht="13" x14ac:dyDescent="0.15">
      <c r="A317" s="5" t="str">
        <f>HYPERLINK("https://onemount.atlassian.net/browse/DBA-5614","DBA-5614")</f>
        <v>DBA-5614</v>
      </c>
      <c r="B317" s="6" t="s">
        <v>21</v>
      </c>
      <c r="C317" s="6" t="s">
        <v>2132</v>
      </c>
      <c r="D317" s="8" t="s">
        <v>17</v>
      </c>
      <c r="E317" s="6" t="s">
        <v>23</v>
      </c>
      <c r="F317" s="6" t="s">
        <v>31</v>
      </c>
      <c r="G317" s="6" t="s">
        <v>2133</v>
      </c>
      <c r="H317" s="10">
        <v>46253</v>
      </c>
      <c r="I317" s="6" t="s">
        <v>2134</v>
      </c>
      <c r="J317" s="6" t="s">
        <v>2135</v>
      </c>
      <c r="K317" s="6" t="s">
        <v>35</v>
      </c>
      <c r="L317" s="6" t="s">
        <v>1232</v>
      </c>
      <c r="M317" s="6" t="s">
        <v>2136</v>
      </c>
    </row>
    <row r="318" spans="1:13" ht="13" x14ac:dyDescent="0.15">
      <c r="A318" s="5" t="str">
        <f>HYPERLINK("https://onemount.atlassian.net/browse/DBA-5613","DBA-5613")</f>
        <v>DBA-5613</v>
      </c>
      <c r="B318" s="6" t="s">
        <v>21</v>
      </c>
      <c r="C318" s="6" t="s">
        <v>537</v>
      </c>
      <c r="D318" s="14" t="s">
        <v>19</v>
      </c>
      <c r="E318" s="6" t="s">
        <v>23</v>
      </c>
      <c r="F318" s="6" t="s">
        <v>41</v>
      </c>
      <c r="G318" s="6" t="s">
        <v>2137</v>
      </c>
      <c r="H318" s="10">
        <v>46251</v>
      </c>
      <c r="I318" s="6" t="s">
        <v>44</v>
      </c>
      <c r="J318" s="6" t="s">
        <v>807</v>
      </c>
      <c r="K318" s="6" t="s">
        <v>28</v>
      </c>
      <c r="L318" s="6" t="s">
        <v>807</v>
      </c>
      <c r="M318" s="6" t="s">
        <v>2138</v>
      </c>
    </row>
    <row r="319" spans="1:13" ht="13" x14ac:dyDescent="0.15">
      <c r="A319" s="5" t="str">
        <f>HYPERLINK("https://onemount.atlassian.net/browse/DBA-5612","DBA-5612")</f>
        <v>DBA-5612</v>
      </c>
      <c r="B319" s="6" t="s">
        <v>21</v>
      </c>
      <c r="C319" s="6" t="s">
        <v>2139</v>
      </c>
      <c r="D319" s="8" t="s">
        <v>17</v>
      </c>
      <c r="E319" s="6" t="s">
        <v>23</v>
      </c>
      <c r="F319" s="6" t="s">
        <v>31</v>
      </c>
      <c r="G319" s="6" t="s">
        <v>2140</v>
      </c>
      <c r="H319" s="10">
        <v>46251</v>
      </c>
      <c r="I319" s="6" t="s">
        <v>2141</v>
      </c>
      <c r="J319" s="6" t="s">
        <v>489</v>
      </c>
      <c r="K319" s="6" t="s">
        <v>35</v>
      </c>
      <c r="L319" s="6" t="s">
        <v>489</v>
      </c>
      <c r="M319" s="6" t="s">
        <v>2142</v>
      </c>
    </row>
    <row r="320" spans="1:13" ht="13" x14ac:dyDescent="0.15">
      <c r="A320" s="5" t="str">
        <f>HYPERLINK("https://onemount.atlassian.net/browse/DBA-5611","DBA-5611")</f>
        <v>DBA-5611</v>
      </c>
      <c r="B320" s="6" t="s">
        <v>21</v>
      </c>
      <c r="C320" s="6" t="s">
        <v>2143</v>
      </c>
      <c r="D320" s="8" t="s">
        <v>17</v>
      </c>
      <c r="E320" s="6" t="s">
        <v>23</v>
      </c>
      <c r="F320" s="6" t="s">
        <v>24</v>
      </c>
      <c r="G320" s="6" t="s">
        <v>2144</v>
      </c>
      <c r="H320" s="10">
        <v>46251</v>
      </c>
      <c r="I320" s="6" t="s">
        <v>2145</v>
      </c>
      <c r="J320" s="6" t="s">
        <v>77</v>
      </c>
      <c r="K320" s="6" t="s">
        <v>46</v>
      </c>
      <c r="L320" s="6" t="s">
        <v>77</v>
      </c>
      <c r="M320" s="6" t="s">
        <v>2146</v>
      </c>
    </row>
    <row r="321" spans="1:13" ht="13" x14ac:dyDescent="0.15">
      <c r="A321" s="5" t="str">
        <f>HYPERLINK("https://onemount.atlassian.net/browse/DBA-5610","DBA-5610")</f>
        <v>DBA-5610</v>
      </c>
      <c r="B321" s="6" t="s">
        <v>21</v>
      </c>
      <c r="C321" s="6" t="s">
        <v>2147</v>
      </c>
      <c r="D321" s="14" t="s">
        <v>19</v>
      </c>
      <c r="E321" s="6" t="s">
        <v>23</v>
      </c>
      <c r="F321" s="6" t="s">
        <v>41</v>
      </c>
      <c r="G321" s="6" t="s">
        <v>2148</v>
      </c>
      <c r="H321" s="6" t="s">
        <v>43</v>
      </c>
      <c r="I321" s="6" t="s">
        <v>44</v>
      </c>
      <c r="J321" s="6" t="s">
        <v>696</v>
      </c>
      <c r="K321" s="6" t="s">
        <v>72</v>
      </c>
      <c r="L321" s="6" t="s">
        <v>182</v>
      </c>
      <c r="M321" s="6" t="s">
        <v>2149</v>
      </c>
    </row>
    <row r="322" spans="1:13" ht="13" x14ac:dyDescent="0.15">
      <c r="A322" s="5" t="str">
        <f>HYPERLINK("https://onemount.atlassian.net/browse/DBA-5609","DBA-5609")</f>
        <v>DBA-5609</v>
      </c>
      <c r="B322" s="6" t="s">
        <v>21</v>
      </c>
      <c r="C322" s="6" t="s">
        <v>2150</v>
      </c>
      <c r="D322" s="8" t="s">
        <v>17</v>
      </c>
      <c r="E322" s="6" t="s">
        <v>23</v>
      </c>
      <c r="F322" s="6" t="s">
        <v>52</v>
      </c>
      <c r="G322" s="6" t="s">
        <v>2151</v>
      </c>
      <c r="H322" s="10">
        <v>46252</v>
      </c>
      <c r="I322" s="6" t="s">
        <v>2152</v>
      </c>
      <c r="J322" s="6" t="s">
        <v>2153</v>
      </c>
      <c r="K322" s="6" t="s">
        <v>55</v>
      </c>
      <c r="L322" s="6" t="s">
        <v>254</v>
      </c>
      <c r="M322" s="6" t="s">
        <v>2154</v>
      </c>
    </row>
    <row r="323" spans="1:13" ht="13" x14ac:dyDescent="0.15">
      <c r="A323" s="5" t="str">
        <f>HYPERLINK("https://onemount.atlassian.net/browse/DBA-5608","DBA-5608")</f>
        <v>DBA-5608</v>
      </c>
      <c r="B323" s="6" t="s">
        <v>21</v>
      </c>
      <c r="C323" s="6" t="s">
        <v>2155</v>
      </c>
      <c r="D323" s="8" t="s">
        <v>17</v>
      </c>
      <c r="E323" s="6" t="s">
        <v>23</v>
      </c>
      <c r="F323" s="6" t="s">
        <v>52</v>
      </c>
      <c r="G323" s="6" t="s">
        <v>2156</v>
      </c>
      <c r="H323" s="10">
        <v>46252</v>
      </c>
      <c r="I323" s="6" t="s">
        <v>2157</v>
      </c>
      <c r="J323" s="6" t="s">
        <v>128</v>
      </c>
      <c r="K323" s="6" t="s">
        <v>35</v>
      </c>
      <c r="L323" s="6" t="s">
        <v>129</v>
      </c>
      <c r="M323" s="6" t="s">
        <v>2158</v>
      </c>
    </row>
    <row r="324" spans="1:13" ht="13" x14ac:dyDescent="0.15">
      <c r="A324" s="5" t="str">
        <f>HYPERLINK("https://onemount.atlassian.net/browse/DBA-5607","DBA-5607")</f>
        <v>DBA-5607</v>
      </c>
      <c r="B324" s="6" t="s">
        <v>21</v>
      </c>
      <c r="C324" s="6" t="s">
        <v>2159</v>
      </c>
      <c r="D324" s="8" t="s">
        <v>17</v>
      </c>
      <c r="E324" s="6" t="s">
        <v>23</v>
      </c>
      <c r="F324" s="6" t="s">
        <v>24</v>
      </c>
      <c r="G324" s="6" t="s">
        <v>2160</v>
      </c>
      <c r="H324" s="10">
        <v>46252</v>
      </c>
      <c r="I324" s="6" t="s">
        <v>2161</v>
      </c>
      <c r="J324" s="6" t="s">
        <v>517</v>
      </c>
      <c r="K324" s="6" t="s">
        <v>165</v>
      </c>
      <c r="L324" s="6" t="s">
        <v>517</v>
      </c>
      <c r="M324" s="6" t="s">
        <v>2162</v>
      </c>
    </row>
    <row r="325" spans="1:13" ht="13" x14ac:dyDescent="0.15">
      <c r="A325" s="5" t="str">
        <f>HYPERLINK("https://onemount.atlassian.net/browse/DBA-5606","DBA-5606")</f>
        <v>DBA-5606</v>
      </c>
      <c r="B325" s="6" t="s">
        <v>21</v>
      </c>
      <c r="C325" s="6" t="s">
        <v>2163</v>
      </c>
      <c r="D325" s="8" t="s">
        <v>17</v>
      </c>
      <c r="E325" s="6" t="s">
        <v>23</v>
      </c>
      <c r="F325" s="6" t="s">
        <v>24</v>
      </c>
      <c r="G325" s="6" t="s">
        <v>2164</v>
      </c>
      <c r="H325" s="10">
        <v>46251</v>
      </c>
      <c r="I325" s="6" t="s">
        <v>2165</v>
      </c>
      <c r="J325" s="6" t="s">
        <v>2166</v>
      </c>
      <c r="K325" s="6" t="s">
        <v>46</v>
      </c>
      <c r="L325" s="6" t="s">
        <v>597</v>
      </c>
      <c r="M325" s="6" t="s">
        <v>2167</v>
      </c>
    </row>
    <row r="326" spans="1:13" ht="13" x14ac:dyDescent="0.15">
      <c r="A326" s="5" t="str">
        <f>HYPERLINK("https://onemount.atlassian.net/browse/DBA-5605","DBA-5605")</f>
        <v>DBA-5605</v>
      </c>
      <c r="B326" s="6" t="s">
        <v>21</v>
      </c>
      <c r="C326" s="6" t="s">
        <v>2168</v>
      </c>
      <c r="D326" s="8" t="s">
        <v>17</v>
      </c>
      <c r="E326" s="6" t="s">
        <v>23</v>
      </c>
      <c r="F326" s="6" t="s">
        <v>52</v>
      </c>
      <c r="G326" s="6" t="s">
        <v>2169</v>
      </c>
      <c r="H326" s="10">
        <v>46249</v>
      </c>
      <c r="I326" s="6" t="s">
        <v>2170</v>
      </c>
      <c r="J326" s="6" t="s">
        <v>93</v>
      </c>
      <c r="K326" s="6" t="s">
        <v>55</v>
      </c>
      <c r="L326" s="6" t="s">
        <v>93</v>
      </c>
      <c r="M326" s="6" t="s">
        <v>2171</v>
      </c>
    </row>
    <row r="327" spans="1:13" ht="13" x14ac:dyDescent="0.15">
      <c r="A327" s="5" t="str">
        <f>HYPERLINK("https://onemount.atlassian.net/browse/DBA-5604","DBA-5604")</f>
        <v>DBA-5604</v>
      </c>
      <c r="B327" s="6" t="s">
        <v>21</v>
      </c>
      <c r="C327" s="6" t="s">
        <v>2172</v>
      </c>
      <c r="D327" s="8" t="s">
        <v>17</v>
      </c>
      <c r="E327" s="6" t="s">
        <v>23</v>
      </c>
      <c r="F327" s="6" t="s">
        <v>52</v>
      </c>
      <c r="G327" s="6" t="s">
        <v>2173</v>
      </c>
      <c r="H327" s="10">
        <v>46249</v>
      </c>
      <c r="I327" s="6" t="s">
        <v>2174</v>
      </c>
      <c r="J327" s="6" t="s">
        <v>93</v>
      </c>
      <c r="K327" s="6" t="s">
        <v>55</v>
      </c>
      <c r="L327" s="6" t="s">
        <v>93</v>
      </c>
      <c r="M327" s="6" t="s">
        <v>2175</v>
      </c>
    </row>
    <row r="328" spans="1:13" ht="13" x14ac:dyDescent="0.15">
      <c r="A328" s="5" t="str">
        <f>HYPERLINK("https://onemount.atlassian.net/browse/DBA-5603","DBA-5603")</f>
        <v>DBA-5603</v>
      </c>
      <c r="B328" s="6" t="s">
        <v>21</v>
      </c>
      <c r="C328" s="6" t="s">
        <v>2176</v>
      </c>
      <c r="D328" s="8" t="s">
        <v>17</v>
      </c>
      <c r="E328" s="6" t="s">
        <v>23</v>
      </c>
      <c r="F328" s="6" t="s">
        <v>52</v>
      </c>
      <c r="G328" s="6" t="s">
        <v>2177</v>
      </c>
      <c r="H328" s="10">
        <v>46249</v>
      </c>
      <c r="I328" s="6" t="s">
        <v>2178</v>
      </c>
      <c r="J328" s="6" t="s">
        <v>85</v>
      </c>
      <c r="K328" s="6" t="s">
        <v>55</v>
      </c>
      <c r="L328" s="6" t="s">
        <v>85</v>
      </c>
      <c r="M328" s="6" t="s">
        <v>2179</v>
      </c>
    </row>
    <row r="329" spans="1:13" ht="13" x14ac:dyDescent="0.15">
      <c r="A329" s="5" t="str">
        <f>HYPERLINK("https://onemount.atlassian.net/browse/DBA-5602","DBA-5602")</f>
        <v>DBA-5602</v>
      </c>
      <c r="B329" s="6" t="s">
        <v>21</v>
      </c>
      <c r="C329" s="6" t="s">
        <v>2180</v>
      </c>
      <c r="D329" s="8" t="s">
        <v>17</v>
      </c>
      <c r="E329" s="6" t="s">
        <v>23</v>
      </c>
      <c r="F329" s="6" t="s">
        <v>52</v>
      </c>
      <c r="G329" s="6" t="s">
        <v>2181</v>
      </c>
      <c r="H329" s="10">
        <v>46249</v>
      </c>
      <c r="I329" s="6" t="s">
        <v>2182</v>
      </c>
      <c r="J329" s="6" t="s">
        <v>93</v>
      </c>
      <c r="K329" s="6" t="s">
        <v>55</v>
      </c>
      <c r="L329" s="6" t="s">
        <v>93</v>
      </c>
      <c r="M329" s="6" t="s">
        <v>2183</v>
      </c>
    </row>
    <row r="330" spans="1:13" ht="13" x14ac:dyDescent="0.15">
      <c r="A330" s="5" t="str">
        <f>HYPERLINK("https://onemount.atlassian.net/browse/DBA-5601","DBA-5601")</f>
        <v>DBA-5601</v>
      </c>
      <c r="B330" s="6" t="s">
        <v>21</v>
      </c>
      <c r="C330" s="6" t="s">
        <v>2184</v>
      </c>
      <c r="D330" s="8" t="s">
        <v>17</v>
      </c>
      <c r="E330" s="6" t="s">
        <v>23</v>
      </c>
      <c r="F330" s="6" t="s">
        <v>52</v>
      </c>
      <c r="G330" s="6" t="s">
        <v>2185</v>
      </c>
      <c r="H330" s="10">
        <v>46249</v>
      </c>
      <c r="I330" s="6" t="s">
        <v>2186</v>
      </c>
      <c r="J330" s="6" t="s">
        <v>293</v>
      </c>
      <c r="K330" s="6" t="s">
        <v>55</v>
      </c>
      <c r="L330" s="6" t="s">
        <v>293</v>
      </c>
      <c r="M330" s="6" t="s">
        <v>2187</v>
      </c>
    </row>
    <row r="331" spans="1:13" ht="13" x14ac:dyDescent="0.15">
      <c r="A331" s="5" t="str">
        <f>HYPERLINK("https://onemount.atlassian.net/browse/DBA-5600","DBA-5600")</f>
        <v>DBA-5600</v>
      </c>
      <c r="B331" s="6" t="s">
        <v>21</v>
      </c>
      <c r="C331" s="6" t="s">
        <v>2188</v>
      </c>
      <c r="D331" s="8" t="s">
        <v>17</v>
      </c>
      <c r="E331" s="6" t="s">
        <v>23</v>
      </c>
      <c r="F331" s="6" t="s">
        <v>78</v>
      </c>
      <c r="G331" s="6" t="s">
        <v>2189</v>
      </c>
      <c r="H331" s="10">
        <v>46249</v>
      </c>
      <c r="I331" s="6" t="s">
        <v>2190</v>
      </c>
      <c r="J331" s="6" t="s">
        <v>1513</v>
      </c>
      <c r="K331" s="6" t="s">
        <v>172</v>
      </c>
      <c r="L331" s="6" t="s">
        <v>172</v>
      </c>
      <c r="M331" s="6" t="s">
        <v>2191</v>
      </c>
    </row>
    <row r="332" spans="1:13" ht="13" x14ac:dyDescent="0.15">
      <c r="A332" s="5" t="str">
        <f>HYPERLINK("https://onemount.atlassian.net/browse/DBA-5599","DBA-5599")</f>
        <v>DBA-5599</v>
      </c>
      <c r="B332" s="6" t="s">
        <v>21</v>
      </c>
      <c r="C332" s="6" t="s">
        <v>2192</v>
      </c>
      <c r="D332" s="8" t="s">
        <v>17</v>
      </c>
      <c r="E332" s="6" t="s">
        <v>23</v>
      </c>
      <c r="F332" s="6" t="s">
        <v>52</v>
      </c>
      <c r="G332" s="6" t="s">
        <v>2193</v>
      </c>
      <c r="H332" s="10">
        <v>46248</v>
      </c>
      <c r="I332" s="6" t="s">
        <v>2194</v>
      </c>
      <c r="J332" s="6" t="s">
        <v>270</v>
      </c>
      <c r="K332" s="6" t="s">
        <v>55</v>
      </c>
      <c r="L332" s="6" t="s">
        <v>270</v>
      </c>
      <c r="M332" s="6" t="s">
        <v>2195</v>
      </c>
    </row>
    <row r="333" spans="1:13" ht="13" x14ac:dyDescent="0.15">
      <c r="A333" s="5" t="str">
        <f>HYPERLINK("https://onemount.atlassian.net/browse/DBA-5598","DBA-5598")</f>
        <v>DBA-5598</v>
      </c>
      <c r="B333" s="6" t="s">
        <v>21</v>
      </c>
      <c r="C333" s="6" t="s">
        <v>2196</v>
      </c>
      <c r="D333" s="8" t="s">
        <v>17</v>
      </c>
      <c r="E333" s="6" t="s">
        <v>23</v>
      </c>
      <c r="F333" s="6" t="s">
        <v>78</v>
      </c>
      <c r="G333" s="6" t="s">
        <v>2197</v>
      </c>
      <c r="H333" s="10">
        <v>46249</v>
      </c>
      <c r="I333" s="6" t="s">
        <v>2198</v>
      </c>
      <c r="J333" s="6" t="s">
        <v>1513</v>
      </c>
      <c r="K333" s="6" t="s">
        <v>46</v>
      </c>
      <c r="L333" s="6" t="s">
        <v>109</v>
      </c>
      <c r="M333" s="6" t="s">
        <v>2199</v>
      </c>
    </row>
    <row r="334" spans="1:13" ht="13" x14ac:dyDescent="0.15">
      <c r="A334" s="5" t="str">
        <f>HYPERLINK("https://onemount.atlassian.net/browse/DBA-5597","DBA-5597")</f>
        <v>DBA-5597</v>
      </c>
      <c r="B334" s="6" t="s">
        <v>21</v>
      </c>
      <c r="C334" s="6" t="s">
        <v>2200</v>
      </c>
      <c r="D334" s="8" t="s">
        <v>17</v>
      </c>
      <c r="E334" s="6" t="s">
        <v>23</v>
      </c>
      <c r="F334" s="6" t="s">
        <v>24</v>
      </c>
      <c r="G334" s="6" t="s">
        <v>2201</v>
      </c>
      <c r="H334" s="10">
        <v>46252</v>
      </c>
      <c r="I334" s="6" t="s">
        <v>2202</v>
      </c>
      <c r="J334" s="6" t="s">
        <v>72</v>
      </c>
      <c r="K334" s="6" t="s">
        <v>46</v>
      </c>
      <c r="L334" s="6" t="s">
        <v>72</v>
      </c>
      <c r="M334" s="6" t="s">
        <v>2203</v>
      </c>
    </row>
    <row r="335" spans="1:13" ht="13" x14ac:dyDescent="0.15">
      <c r="A335" s="5" t="str">
        <f>HYPERLINK("https://onemount.atlassian.net/browse/DBA-5596","DBA-5596")</f>
        <v>DBA-5596</v>
      </c>
      <c r="B335" s="6" t="s">
        <v>21</v>
      </c>
      <c r="C335" s="6" t="s">
        <v>2204</v>
      </c>
      <c r="D335" s="8" t="s">
        <v>17</v>
      </c>
      <c r="E335" s="6" t="s">
        <v>23</v>
      </c>
      <c r="F335" s="6" t="s">
        <v>41</v>
      </c>
      <c r="G335" s="6" t="s">
        <v>2205</v>
      </c>
      <c r="H335" s="10">
        <v>46259</v>
      </c>
      <c r="I335" s="6" t="s">
        <v>2206</v>
      </c>
      <c r="J335" s="6" t="s">
        <v>1102</v>
      </c>
      <c r="K335" s="6" t="s">
        <v>28</v>
      </c>
      <c r="L335" s="6" t="s">
        <v>1102</v>
      </c>
      <c r="M335" s="6" t="s">
        <v>2207</v>
      </c>
    </row>
    <row r="336" spans="1:13" ht="13" x14ac:dyDescent="0.15">
      <c r="A336" s="5" t="str">
        <f>HYPERLINK("https://onemount.atlassian.net/browse/DBA-5595","DBA-5595")</f>
        <v>DBA-5595</v>
      </c>
      <c r="B336" s="6" t="s">
        <v>21</v>
      </c>
      <c r="C336" s="6" t="s">
        <v>2208</v>
      </c>
      <c r="D336" s="14" t="s">
        <v>19</v>
      </c>
      <c r="E336" s="6" t="s">
        <v>23</v>
      </c>
      <c r="F336" s="6" t="s">
        <v>41</v>
      </c>
      <c r="G336" s="6" t="s">
        <v>2209</v>
      </c>
      <c r="H336" s="6" t="s">
        <v>43</v>
      </c>
      <c r="I336" s="6" t="s">
        <v>44</v>
      </c>
      <c r="J336" s="6" t="s">
        <v>72</v>
      </c>
      <c r="K336" s="6" t="s">
        <v>72</v>
      </c>
      <c r="L336" s="6" t="s">
        <v>72</v>
      </c>
      <c r="M336" s="6" t="s">
        <v>2210</v>
      </c>
    </row>
    <row r="337" spans="1:13" ht="13" x14ac:dyDescent="0.15">
      <c r="A337" s="5" t="str">
        <f>HYPERLINK("https://onemount.atlassian.net/browse/DBA-5594","DBA-5594")</f>
        <v>DBA-5594</v>
      </c>
      <c r="B337" s="6" t="s">
        <v>21</v>
      </c>
      <c r="C337" s="6" t="s">
        <v>2211</v>
      </c>
      <c r="D337" s="8" t="s">
        <v>17</v>
      </c>
      <c r="E337" s="6" t="s">
        <v>23</v>
      </c>
      <c r="F337" s="6" t="s">
        <v>24</v>
      </c>
      <c r="G337" s="6" t="s">
        <v>2212</v>
      </c>
      <c r="H337" s="10">
        <v>46248</v>
      </c>
      <c r="I337" s="6" t="s">
        <v>2213</v>
      </c>
      <c r="J337" s="6" t="s">
        <v>270</v>
      </c>
      <c r="K337" s="6" t="s">
        <v>55</v>
      </c>
      <c r="L337" s="6" t="s">
        <v>270</v>
      </c>
      <c r="M337" s="6" t="s">
        <v>2214</v>
      </c>
    </row>
    <row r="338" spans="1:13" ht="13" x14ac:dyDescent="0.15">
      <c r="A338" s="5" t="str">
        <f>HYPERLINK("https://onemount.atlassian.net/browse/DBA-5593","DBA-5593")</f>
        <v>DBA-5593</v>
      </c>
      <c r="B338" s="6" t="s">
        <v>21</v>
      </c>
      <c r="C338" s="6" t="s">
        <v>2215</v>
      </c>
      <c r="D338" s="8" t="s">
        <v>17</v>
      </c>
      <c r="E338" s="6" t="s">
        <v>23</v>
      </c>
      <c r="F338" s="6" t="s">
        <v>24</v>
      </c>
      <c r="G338" s="6" t="s">
        <v>2216</v>
      </c>
      <c r="H338" s="10">
        <v>46249</v>
      </c>
      <c r="I338" s="6" t="s">
        <v>2217</v>
      </c>
      <c r="J338" s="6" t="s">
        <v>56</v>
      </c>
      <c r="K338" s="6" t="s">
        <v>55</v>
      </c>
      <c r="L338" s="6" t="s">
        <v>56</v>
      </c>
      <c r="M338" s="6" t="s">
        <v>2218</v>
      </c>
    </row>
    <row r="339" spans="1:13" ht="13" x14ac:dyDescent="0.15">
      <c r="A339" s="5" t="str">
        <f>HYPERLINK("https://onemount.atlassian.net/browse/DBA-5592","DBA-5592")</f>
        <v>DBA-5592</v>
      </c>
      <c r="B339" s="6" t="s">
        <v>21</v>
      </c>
      <c r="C339" s="6" t="s">
        <v>2219</v>
      </c>
      <c r="D339" s="8" t="s">
        <v>17</v>
      </c>
      <c r="E339" s="6" t="s">
        <v>23</v>
      </c>
      <c r="F339" s="6" t="s">
        <v>31</v>
      </c>
      <c r="G339" s="6" t="s">
        <v>2220</v>
      </c>
      <c r="H339" s="10">
        <v>46249</v>
      </c>
      <c r="I339" s="6" t="s">
        <v>2221</v>
      </c>
      <c r="J339" s="6" t="s">
        <v>128</v>
      </c>
      <c r="K339" s="6" t="s">
        <v>35</v>
      </c>
      <c r="L339" s="6" t="s">
        <v>129</v>
      </c>
      <c r="M339" s="6" t="s">
        <v>2222</v>
      </c>
    </row>
    <row r="340" spans="1:13" ht="13" x14ac:dyDescent="0.15">
      <c r="A340" s="5" t="str">
        <f>HYPERLINK("https://onemount.atlassian.net/browse/DBA-5591","DBA-5591")</f>
        <v>DBA-5591</v>
      </c>
      <c r="B340" s="6" t="s">
        <v>21</v>
      </c>
      <c r="C340" s="6" t="s">
        <v>2223</v>
      </c>
      <c r="D340" s="14" t="s">
        <v>19</v>
      </c>
      <c r="E340" s="6" t="s">
        <v>23</v>
      </c>
      <c r="F340" s="6" t="s">
        <v>41</v>
      </c>
      <c r="G340" s="6" t="s">
        <v>2224</v>
      </c>
      <c r="H340" s="6" t="s">
        <v>43</v>
      </c>
      <c r="I340" s="6" t="s">
        <v>44</v>
      </c>
      <c r="J340" s="6" t="s">
        <v>72</v>
      </c>
      <c r="K340" s="6" t="s">
        <v>72</v>
      </c>
      <c r="L340" s="6" t="s">
        <v>72</v>
      </c>
      <c r="M340" s="6" t="s">
        <v>2225</v>
      </c>
    </row>
    <row r="341" spans="1:13" ht="13" x14ac:dyDescent="0.15">
      <c r="A341" s="5" t="str">
        <f>HYPERLINK("https://onemount.atlassian.net/browse/DBA-5590","DBA-5590")</f>
        <v>DBA-5590</v>
      </c>
      <c r="B341" s="6" t="s">
        <v>21</v>
      </c>
      <c r="C341" s="6" t="s">
        <v>2226</v>
      </c>
      <c r="D341" s="8" t="s">
        <v>17</v>
      </c>
      <c r="E341" s="6" t="s">
        <v>23</v>
      </c>
      <c r="F341" s="6" t="s">
        <v>31</v>
      </c>
      <c r="G341" s="6" t="s">
        <v>2227</v>
      </c>
      <c r="H341" s="10">
        <v>46249</v>
      </c>
      <c r="I341" s="6" t="s">
        <v>2228</v>
      </c>
      <c r="J341" s="6" t="s">
        <v>489</v>
      </c>
      <c r="K341" s="6" t="s">
        <v>35</v>
      </c>
      <c r="L341" s="6" t="s">
        <v>489</v>
      </c>
      <c r="M341" s="6" t="s">
        <v>2229</v>
      </c>
    </row>
    <row r="342" spans="1:13" ht="13" x14ac:dyDescent="0.15">
      <c r="A342" s="5" t="str">
        <f>HYPERLINK("https://onemount.atlassian.net/browse/DBA-5589","DBA-5589")</f>
        <v>DBA-5589</v>
      </c>
      <c r="B342" s="6" t="s">
        <v>21</v>
      </c>
      <c r="C342" s="6" t="s">
        <v>2230</v>
      </c>
      <c r="D342" s="8" t="s">
        <v>17</v>
      </c>
      <c r="E342" s="6" t="s">
        <v>23</v>
      </c>
      <c r="F342" s="6" t="s">
        <v>31</v>
      </c>
      <c r="G342" s="6" t="s">
        <v>2231</v>
      </c>
      <c r="H342" s="10">
        <v>46249</v>
      </c>
      <c r="I342" s="6" t="s">
        <v>2232</v>
      </c>
      <c r="J342" s="6" t="s">
        <v>1886</v>
      </c>
      <c r="K342" s="6" t="s">
        <v>165</v>
      </c>
      <c r="L342" s="6" t="s">
        <v>288</v>
      </c>
      <c r="M342" s="6" t="s">
        <v>2233</v>
      </c>
    </row>
    <row r="343" spans="1:13" ht="13" x14ac:dyDescent="0.15">
      <c r="A343" s="5" t="str">
        <f>HYPERLINK("https://onemount.atlassian.net/browse/DBA-5588","DBA-5588")</f>
        <v>DBA-5588</v>
      </c>
      <c r="B343" s="6" t="s">
        <v>21</v>
      </c>
      <c r="C343" s="6" t="s">
        <v>2234</v>
      </c>
      <c r="D343" s="8" t="s">
        <v>17</v>
      </c>
      <c r="E343" s="6" t="s">
        <v>23</v>
      </c>
      <c r="F343" s="6" t="s">
        <v>31</v>
      </c>
      <c r="G343" s="6" t="s">
        <v>2235</v>
      </c>
      <c r="H343" s="10">
        <v>46249</v>
      </c>
      <c r="I343" s="6" t="s">
        <v>2236</v>
      </c>
      <c r="J343" s="6" t="s">
        <v>2119</v>
      </c>
      <c r="K343" s="6" t="s">
        <v>35</v>
      </c>
      <c r="L343" s="6" t="s">
        <v>181</v>
      </c>
      <c r="M343" s="6" t="s">
        <v>2237</v>
      </c>
    </row>
    <row r="344" spans="1:13" ht="13" x14ac:dyDescent="0.15">
      <c r="A344" s="5" t="str">
        <f>HYPERLINK("https://onemount.atlassian.net/browse/DBA-5587","DBA-5587")</f>
        <v>DBA-5587</v>
      </c>
      <c r="B344" s="6" t="s">
        <v>21</v>
      </c>
      <c r="C344" s="6" t="s">
        <v>2238</v>
      </c>
      <c r="D344" s="8" t="s">
        <v>17</v>
      </c>
      <c r="E344" s="6" t="s">
        <v>23</v>
      </c>
      <c r="F344" s="6" t="s">
        <v>31</v>
      </c>
      <c r="G344" s="6" t="s">
        <v>2239</v>
      </c>
      <c r="H344" s="10">
        <v>46247</v>
      </c>
      <c r="I344" s="6" t="s">
        <v>2240</v>
      </c>
      <c r="J344" s="6" t="s">
        <v>707</v>
      </c>
      <c r="K344" s="6" t="s">
        <v>35</v>
      </c>
      <c r="L344" s="6" t="s">
        <v>707</v>
      </c>
      <c r="M344" s="6" t="s">
        <v>2241</v>
      </c>
    </row>
    <row r="345" spans="1:13" ht="13" x14ac:dyDescent="0.15">
      <c r="A345" s="5" t="str">
        <f>HYPERLINK("https://onemount.atlassian.net/browse/DBA-5586","DBA-5586")</f>
        <v>DBA-5586</v>
      </c>
      <c r="B345" s="6" t="s">
        <v>21</v>
      </c>
      <c r="C345" s="6" t="s">
        <v>2242</v>
      </c>
      <c r="D345" s="8" t="s">
        <v>17</v>
      </c>
      <c r="E345" s="6" t="s">
        <v>23</v>
      </c>
      <c r="F345" s="6" t="s">
        <v>52</v>
      </c>
      <c r="G345" s="6" t="s">
        <v>2243</v>
      </c>
      <c r="H345" s="10">
        <v>46248</v>
      </c>
      <c r="I345" s="6" t="s">
        <v>2244</v>
      </c>
      <c r="J345" s="6" t="s">
        <v>2245</v>
      </c>
      <c r="K345" s="6" t="s">
        <v>137</v>
      </c>
      <c r="L345" s="6" t="s">
        <v>414</v>
      </c>
      <c r="M345" s="6" t="s">
        <v>2246</v>
      </c>
    </row>
    <row r="346" spans="1:13" ht="13" x14ac:dyDescent="0.15">
      <c r="A346" s="5" t="str">
        <f>HYPERLINK("https://onemount.atlassian.net/browse/DBA-5585","DBA-5585")</f>
        <v>DBA-5585</v>
      </c>
      <c r="B346" s="6" t="s">
        <v>21</v>
      </c>
      <c r="C346" s="6" t="s">
        <v>2247</v>
      </c>
      <c r="D346" s="8" t="s">
        <v>17</v>
      </c>
      <c r="E346" s="6" t="s">
        <v>23</v>
      </c>
      <c r="F346" s="6" t="s">
        <v>31</v>
      </c>
      <c r="G346" s="6" t="s">
        <v>2248</v>
      </c>
      <c r="H346" s="10">
        <v>46246</v>
      </c>
      <c r="I346" s="6" t="s">
        <v>2249</v>
      </c>
      <c r="J346" s="6" t="s">
        <v>489</v>
      </c>
      <c r="K346" s="6" t="s">
        <v>35</v>
      </c>
      <c r="L346" s="6" t="s">
        <v>1217</v>
      </c>
      <c r="M346" s="6" t="s">
        <v>2250</v>
      </c>
    </row>
    <row r="347" spans="1:13" ht="13" x14ac:dyDescent="0.15">
      <c r="A347" s="5" t="str">
        <f>HYPERLINK("https://onemount.atlassian.net/browse/DBA-5584","DBA-5584")</f>
        <v>DBA-5584</v>
      </c>
      <c r="B347" s="6" t="s">
        <v>21</v>
      </c>
      <c r="C347" s="6" t="s">
        <v>2251</v>
      </c>
      <c r="D347" s="8" t="s">
        <v>17</v>
      </c>
      <c r="E347" s="6" t="s">
        <v>23</v>
      </c>
      <c r="F347" s="6" t="s">
        <v>52</v>
      </c>
      <c r="G347" s="6" t="s">
        <v>2252</v>
      </c>
      <c r="H347" s="10">
        <v>46246</v>
      </c>
      <c r="I347" s="6" t="s">
        <v>2253</v>
      </c>
      <c r="J347" s="6" t="s">
        <v>93</v>
      </c>
      <c r="K347" s="6" t="s">
        <v>55</v>
      </c>
      <c r="L347" s="6" t="s">
        <v>93</v>
      </c>
      <c r="M347" s="6" t="s">
        <v>2254</v>
      </c>
    </row>
    <row r="348" spans="1:13" ht="13" x14ac:dyDescent="0.15">
      <c r="A348" s="5" t="str">
        <f>HYPERLINK("https://onemount.atlassian.net/browse/DBA-5583","DBA-5583")</f>
        <v>DBA-5583</v>
      </c>
      <c r="B348" s="6" t="s">
        <v>21</v>
      </c>
      <c r="C348" s="6" t="s">
        <v>2255</v>
      </c>
      <c r="D348" s="8" t="s">
        <v>17</v>
      </c>
      <c r="E348" s="6" t="s">
        <v>23</v>
      </c>
      <c r="F348" s="6" t="s">
        <v>41</v>
      </c>
      <c r="G348" s="6" t="s">
        <v>2256</v>
      </c>
      <c r="H348" s="10">
        <v>46246</v>
      </c>
      <c r="I348" s="6" t="s">
        <v>2257</v>
      </c>
      <c r="J348" s="6" t="s">
        <v>1131</v>
      </c>
      <c r="K348" s="6" t="s">
        <v>28</v>
      </c>
      <c r="L348" s="6" t="s">
        <v>1131</v>
      </c>
      <c r="M348" s="6" t="s">
        <v>2258</v>
      </c>
    </row>
    <row r="349" spans="1:13" ht="13" x14ac:dyDescent="0.15">
      <c r="A349" s="5" t="str">
        <f>HYPERLINK("https://onemount.atlassian.net/browse/DBA-5582","DBA-5582")</f>
        <v>DBA-5582</v>
      </c>
      <c r="B349" s="6" t="s">
        <v>21</v>
      </c>
      <c r="C349" s="6" t="s">
        <v>2259</v>
      </c>
      <c r="D349" s="14" t="s">
        <v>19</v>
      </c>
      <c r="E349" s="6" t="s">
        <v>23</v>
      </c>
      <c r="F349" s="6" t="s">
        <v>41</v>
      </c>
      <c r="G349" s="6" t="s">
        <v>2260</v>
      </c>
      <c r="H349" s="10">
        <v>46246</v>
      </c>
      <c r="I349" s="6" t="s">
        <v>44</v>
      </c>
      <c r="J349" s="6" t="s">
        <v>2261</v>
      </c>
      <c r="K349" s="6" t="s">
        <v>28</v>
      </c>
      <c r="L349" s="6" t="s">
        <v>27</v>
      </c>
      <c r="M349" s="6" t="s">
        <v>2262</v>
      </c>
    </row>
    <row r="350" spans="1:13" ht="13" x14ac:dyDescent="0.15">
      <c r="A350" s="5" t="str">
        <f>HYPERLINK("https://onemount.atlassian.net/browse/DBA-5581","DBA-5581")</f>
        <v>DBA-5581</v>
      </c>
      <c r="B350" s="6" t="s">
        <v>21</v>
      </c>
      <c r="C350" s="6" t="s">
        <v>2263</v>
      </c>
      <c r="D350" s="8" t="s">
        <v>17</v>
      </c>
      <c r="E350" s="6" t="s">
        <v>23</v>
      </c>
      <c r="F350" s="6" t="s">
        <v>31</v>
      </c>
      <c r="G350" s="6" t="s">
        <v>2264</v>
      </c>
      <c r="H350" s="10">
        <v>46247</v>
      </c>
      <c r="I350" s="6" t="s">
        <v>2265</v>
      </c>
      <c r="J350" s="6" t="s">
        <v>55</v>
      </c>
      <c r="K350" s="6" t="s">
        <v>55</v>
      </c>
      <c r="L350" s="6" t="s">
        <v>55</v>
      </c>
      <c r="M350" s="6" t="s">
        <v>2266</v>
      </c>
    </row>
    <row r="351" spans="1:13" ht="13" x14ac:dyDescent="0.15">
      <c r="A351" s="5" t="str">
        <f>HYPERLINK("https://onemount.atlassian.net/browse/DBA-5580","DBA-5580")</f>
        <v>DBA-5580</v>
      </c>
      <c r="B351" s="6" t="s">
        <v>21</v>
      </c>
      <c r="C351" s="6" t="s">
        <v>2267</v>
      </c>
      <c r="D351" s="8" t="s">
        <v>17</v>
      </c>
      <c r="E351" s="6" t="s">
        <v>23</v>
      </c>
      <c r="F351" s="6" t="s">
        <v>31</v>
      </c>
      <c r="G351" s="6" t="s">
        <v>2268</v>
      </c>
      <c r="H351" s="10">
        <v>46246</v>
      </c>
      <c r="I351" s="6" t="s">
        <v>2269</v>
      </c>
      <c r="J351" s="6" t="s">
        <v>478</v>
      </c>
      <c r="K351" s="6" t="s">
        <v>35</v>
      </c>
      <c r="L351" s="6" t="s">
        <v>374</v>
      </c>
      <c r="M351" s="6" t="s">
        <v>2270</v>
      </c>
    </row>
    <row r="352" spans="1:13" ht="13" x14ac:dyDescent="0.15">
      <c r="A352" s="5" t="str">
        <f>HYPERLINK("https://onemount.atlassian.net/browse/DBA-5579","DBA-5579")</f>
        <v>DBA-5579</v>
      </c>
      <c r="B352" s="6" t="s">
        <v>21</v>
      </c>
      <c r="C352" s="6" t="s">
        <v>2271</v>
      </c>
      <c r="D352" s="8" t="s">
        <v>17</v>
      </c>
      <c r="E352" s="6" t="s">
        <v>23</v>
      </c>
      <c r="F352" s="6" t="s">
        <v>52</v>
      </c>
      <c r="G352" s="6" t="s">
        <v>2272</v>
      </c>
      <c r="H352" s="10">
        <v>46247</v>
      </c>
      <c r="I352" s="6" t="s">
        <v>2273</v>
      </c>
      <c r="J352" s="6" t="s">
        <v>373</v>
      </c>
      <c r="K352" s="6" t="s">
        <v>35</v>
      </c>
      <c r="L352" s="6" t="s">
        <v>36</v>
      </c>
      <c r="M352" s="6" t="s">
        <v>2274</v>
      </c>
    </row>
    <row r="353" spans="1:13" ht="13" x14ac:dyDescent="0.15">
      <c r="A353" s="21" t="str">
        <f>HYPERLINK("https://onemount.atlassian.net/browse/DBA-5578","DBA-5578")</f>
        <v>DBA-5578</v>
      </c>
      <c r="B353" s="6" t="s">
        <v>21</v>
      </c>
      <c r="C353" s="6" t="s">
        <v>2275</v>
      </c>
      <c r="D353" s="8" t="s">
        <v>17</v>
      </c>
      <c r="E353" s="6" t="s">
        <v>23</v>
      </c>
      <c r="F353" s="6" t="s">
        <v>52</v>
      </c>
      <c r="G353" s="6" t="s">
        <v>2276</v>
      </c>
      <c r="H353" s="10">
        <v>46247</v>
      </c>
      <c r="I353" s="6" t="s">
        <v>2277</v>
      </c>
      <c r="J353" s="6" t="s">
        <v>381</v>
      </c>
      <c r="K353" s="6" t="s">
        <v>46</v>
      </c>
      <c r="L353" s="6" t="s">
        <v>381</v>
      </c>
      <c r="M353" s="6" t="s">
        <v>2278</v>
      </c>
    </row>
    <row r="354" spans="1:13" ht="13" x14ac:dyDescent="0.15">
      <c r="A354" s="5" t="str">
        <f>HYPERLINK("https://onemount.atlassian.net/browse/DBA-5577","DBA-5577")</f>
        <v>DBA-5577</v>
      </c>
      <c r="B354" s="6" t="s">
        <v>21</v>
      </c>
      <c r="C354" s="6" t="s">
        <v>2121</v>
      </c>
      <c r="D354" s="8" t="s">
        <v>17</v>
      </c>
      <c r="E354" s="6" t="s">
        <v>23</v>
      </c>
      <c r="F354" s="6" t="s">
        <v>31</v>
      </c>
      <c r="G354" s="6" t="s">
        <v>2279</v>
      </c>
      <c r="H354" s="10">
        <v>46246</v>
      </c>
      <c r="I354" s="6" t="s">
        <v>2280</v>
      </c>
      <c r="J354" s="6" t="s">
        <v>2281</v>
      </c>
      <c r="K354" s="6" t="s">
        <v>55</v>
      </c>
      <c r="L354" s="6" t="s">
        <v>254</v>
      </c>
      <c r="M354" s="6" t="s">
        <v>2282</v>
      </c>
    </row>
    <row r="355" spans="1:13" ht="13" x14ac:dyDescent="0.15">
      <c r="A355" s="5" t="str">
        <f>HYPERLINK("https://onemount.atlassian.net/browse/DBA-5576","DBA-5576")</f>
        <v>DBA-5576</v>
      </c>
      <c r="B355" s="6" t="s">
        <v>21</v>
      </c>
      <c r="C355" s="6" t="s">
        <v>2283</v>
      </c>
      <c r="D355" s="8" t="s">
        <v>17</v>
      </c>
      <c r="E355" s="6" t="s">
        <v>23</v>
      </c>
      <c r="F355" s="6" t="s">
        <v>31</v>
      </c>
      <c r="G355" s="6" t="s">
        <v>2284</v>
      </c>
      <c r="H355" s="10">
        <v>46245</v>
      </c>
      <c r="I355" s="6" t="s">
        <v>2285</v>
      </c>
      <c r="J355" s="6" t="s">
        <v>1217</v>
      </c>
      <c r="K355" s="6" t="s">
        <v>35</v>
      </c>
      <c r="L355" s="6" t="s">
        <v>1217</v>
      </c>
      <c r="M355" s="6" t="s">
        <v>2286</v>
      </c>
    </row>
    <row r="356" spans="1:13" ht="13" x14ac:dyDescent="0.15">
      <c r="A356" s="5" t="str">
        <f>HYPERLINK("https://onemount.atlassian.net/browse/DBA-5575","DBA-5575")</f>
        <v>DBA-5575</v>
      </c>
      <c r="B356" s="6" t="s">
        <v>21</v>
      </c>
      <c r="C356" s="6" t="s">
        <v>2287</v>
      </c>
      <c r="D356" s="8" t="s">
        <v>17</v>
      </c>
      <c r="E356" s="6" t="s">
        <v>23</v>
      </c>
      <c r="F356" s="6" t="s">
        <v>52</v>
      </c>
      <c r="G356" s="6" t="s">
        <v>2288</v>
      </c>
      <c r="H356" s="10">
        <v>46246</v>
      </c>
      <c r="I356" s="6" t="s">
        <v>2289</v>
      </c>
      <c r="J356" s="6" t="s">
        <v>270</v>
      </c>
      <c r="K356" s="6" t="s">
        <v>55</v>
      </c>
      <c r="L356" s="6" t="s">
        <v>270</v>
      </c>
      <c r="M356" s="6" t="s">
        <v>2290</v>
      </c>
    </row>
    <row r="357" spans="1:13" ht="13" x14ac:dyDescent="0.15">
      <c r="A357" s="5" t="str">
        <f>HYPERLINK("https://onemount.atlassian.net/browse/DBA-5574","DBA-5574")</f>
        <v>DBA-5574</v>
      </c>
      <c r="B357" s="6" t="s">
        <v>21</v>
      </c>
      <c r="C357" s="6" t="s">
        <v>2291</v>
      </c>
      <c r="D357" s="8" t="s">
        <v>17</v>
      </c>
      <c r="E357" s="6" t="s">
        <v>23</v>
      </c>
      <c r="F357" s="6" t="s">
        <v>24</v>
      </c>
      <c r="G357" s="6" t="s">
        <v>2292</v>
      </c>
      <c r="H357" s="10">
        <v>46246</v>
      </c>
      <c r="I357" s="6" t="s">
        <v>2293</v>
      </c>
      <c r="J357" s="6" t="s">
        <v>55</v>
      </c>
      <c r="K357" s="6" t="s">
        <v>55</v>
      </c>
      <c r="L357" s="6" t="s">
        <v>55</v>
      </c>
      <c r="M357" s="6" t="s">
        <v>2294</v>
      </c>
    </row>
    <row r="358" spans="1:13" ht="13" x14ac:dyDescent="0.15">
      <c r="A358" s="5" t="str">
        <f>HYPERLINK("https://onemount.atlassian.net/browse/DBA-5573","DBA-5573")</f>
        <v>DBA-5573</v>
      </c>
      <c r="B358" s="6" t="s">
        <v>21</v>
      </c>
      <c r="C358" s="6" t="s">
        <v>2295</v>
      </c>
      <c r="D358" s="8" t="s">
        <v>17</v>
      </c>
      <c r="E358" s="6" t="s">
        <v>23</v>
      </c>
      <c r="F358" s="6" t="s">
        <v>31</v>
      </c>
      <c r="G358" s="6" t="s">
        <v>2296</v>
      </c>
      <c r="H358" s="10">
        <v>46245</v>
      </c>
      <c r="I358" s="6" t="s">
        <v>2297</v>
      </c>
      <c r="J358" s="6" t="s">
        <v>374</v>
      </c>
      <c r="K358" s="6" t="s">
        <v>35</v>
      </c>
      <c r="L358" s="6" t="s">
        <v>374</v>
      </c>
      <c r="M358" s="6" t="s">
        <v>2298</v>
      </c>
    </row>
    <row r="359" spans="1:13" ht="13" x14ac:dyDescent="0.15">
      <c r="A359" s="5" t="str">
        <f>HYPERLINK("https://onemount.atlassian.net/browse/DBA-5572","DBA-5572")</f>
        <v>DBA-5572</v>
      </c>
      <c r="B359" s="6" t="s">
        <v>21</v>
      </c>
      <c r="C359" s="6" t="s">
        <v>481</v>
      </c>
      <c r="D359" s="8" t="s">
        <v>17</v>
      </c>
      <c r="E359" s="6" t="s">
        <v>23</v>
      </c>
      <c r="F359" s="6" t="s">
        <v>24</v>
      </c>
      <c r="G359" s="6" t="s">
        <v>2299</v>
      </c>
      <c r="H359" s="10">
        <v>46244</v>
      </c>
      <c r="I359" s="6" t="s">
        <v>2300</v>
      </c>
      <c r="J359" s="6" t="s">
        <v>88</v>
      </c>
      <c r="K359" s="6" t="s">
        <v>59</v>
      </c>
      <c r="L359" s="6" t="s">
        <v>88</v>
      </c>
      <c r="M359" s="6" t="s">
        <v>2301</v>
      </c>
    </row>
    <row r="360" spans="1:13" ht="13" x14ac:dyDescent="0.15">
      <c r="A360" s="5" t="str">
        <f>HYPERLINK("https://onemount.atlassian.net/browse/DBA-5571","DBA-5571")</f>
        <v>DBA-5571</v>
      </c>
      <c r="B360" s="6" t="s">
        <v>21</v>
      </c>
      <c r="C360" s="6" t="s">
        <v>2302</v>
      </c>
      <c r="D360" s="8" t="s">
        <v>17</v>
      </c>
      <c r="E360" s="6" t="s">
        <v>23</v>
      </c>
      <c r="F360" s="6" t="s">
        <v>31</v>
      </c>
      <c r="G360" s="6" t="s">
        <v>2303</v>
      </c>
      <c r="H360" s="10">
        <v>46245</v>
      </c>
      <c r="I360" s="6" t="s">
        <v>2304</v>
      </c>
      <c r="J360" s="6" t="s">
        <v>118</v>
      </c>
      <c r="K360" s="6" t="s">
        <v>35</v>
      </c>
      <c r="L360" s="6" t="s">
        <v>119</v>
      </c>
      <c r="M360" s="6" t="s">
        <v>2305</v>
      </c>
    </row>
    <row r="361" spans="1:13" ht="13" x14ac:dyDescent="0.15">
      <c r="A361" s="5" t="str">
        <f>HYPERLINK("https://onemount.atlassian.net/browse/DBA-5570","DBA-5570")</f>
        <v>DBA-5570</v>
      </c>
      <c r="B361" s="6" t="s">
        <v>21</v>
      </c>
      <c r="C361" s="6" t="s">
        <v>2306</v>
      </c>
      <c r="D361" s="8" t="s">
        <v>17</v>
      </c>
      <c r="E361" s="6" t="s">
        <v>23</v>
      </c>
      <c r="F361" s="6" t="s">
        <v>31</v>
      </c>
      <c r="G361" s="6" t="s">
        <v>2307</v>
      </c>
      <c r="H361" s="10">
        <v>46245</v>
      </c>
      <c r="I361" s="6" t="s">
        <v>2308</v>
      </c>
      <c r="J361" s="6" t="s">
        <v>638</v>
      </c>
      <c r="K361" s="6" t="s">
        <v>35</v>
      </c>
      <c r="L361" s="6" t="s">
        <v>36</v>
      </c>
      <c r="M361" s="6" t="s">
        <v>2309</v>
      </c>
    </row>
    <row r="362" spans="1:13" ht="13" x14ac:dyDescent="0.15">
      <c r="A362" s="5" t="str">
        <f>HYPERLINK("https://onemount.atlassian.net/browse/DBA-5569","DBA-5569")</f>
        <v>DBA-5569</v>
      </c>
      <c r="B362" s="6" t="s">
        <v>21</v>
      </c>
      <c r="C362" s="6" t="s">
        <v>2310</v>
      </c>
      <c r="D362" s="8" t="s">
        <v>17</v>
      </c>
      <c r="E362" s="6" t="s">
        <v>23</v>
      </c>
      <c r="F362" s="6" t="s">
        <v>52</v>
      </c>
      <c r="G362" s="6" t="s">
        <v>2311</v>
      </c>
      <c r="H362" s="10">
        <v>46245</v>
      </c>
      <c r="I362" s="6" t="s">
        <v>2312</v>
      </c>
      <c r="J362" s="6" t="s">
        <v>216</v>
      </c>
      <c r="K362" s="6" t="s">
        <v>72</v>
      </c>
      <c r="L362" s="6" t="s">
        <v>216</v>
      </c>
      <c r="M362" s="6" t="s">
        <v>2313</v>
      </c>
    </row>
    <row r="363" spans="1:13" ht="13" x14ac:dyDescent="0.15">
      <c r="A363" s="5" t="str">
        <f>HYPERLINK("https://onemount.atlassian.net/browse/DBA-5568","DBA-5568")</f>
        <v>DBA-5568</v>
      </c>
      <c r="B363" s="6" t="s">
        <v>21</v>
      </c>
      <c r="C363" s="6" t="s">
        <v>2314</v>
      </c>
      <c r="D363" s="8" t="s">
        <v>17</v>
      </c>
      <c r="E363" s="6" t="s">
        <v>23</v>
      </c>
      <c r="F363" s="6" t="s">
        <v>24</v>
      </c>
      <c r="G363" s="6" t="s">
        <v>2315</v>
      </c>
      <c r="H363" s="10">
        <v>46245</v>
      </c>
      <c r="I363" s="6" t="s">
        <v>2316</v>
      </c>
      <c r="J363" s="6" t="s">
        <v>510</v>
      </c>
      <c r="K363" s="6" t="s">
        <v>165</v>
      </c>
      <c r="L363" s="6" t="s">
        <v>77</v>
      </c>
      <c r="M363" s="6" t="s">
        <v>2317</v>
      </c>
    </row>
    <row r="364" spans="1:13" ht="13" x14ac:dyDescent="0.15">
      <c r="A364" s="5" t="str">
        <f>HYPERLINK("https://onemount.atlassian.net/browse/DBA-5567","DBA-5567")</f>
        <v>DBA-5567</v>
      </c>
      <c r="B364" s="6" t="s">
        <v>21</v>
      </c>
      <c r="C364" s="6" t="s">
        <v>2318</v>
      </c>
      <c r="D364" s="8" t="s">
        <v>17</v>
      </c>
      <c r="E364" s="6" t="s">
        <v>23</v>
      </c>
      <c r="F364" s="6" t="s">
        <v>24</v>
      </c>
      <c r="G364" s="6" t="s">
        <v>2319</v>
      </c>
      <c r="H364" s="10">
        <v>46243</v>
      </c>
      <c r="I364" s="6" t="s">
        <v>2320</v>
      </c>
      <c r="J364" s="6" t="s">
        <v>510</v>
      </c>
      <c r="K364" s="6" t="s">
        <v>46</v>
      </c>
      <c r="L364" s="6" t="s">
        <v>77</v>
      </c>
      <c r="M364" s="6" t="s">
        <v>2321</v>
      </c>
    </row>
    <row r="365" spans="1:13" ht="13" x14ac:dyDescent="0.15">
      <c r="A365" s="5" t="str">
        <f>HYPERLINK("https://onemount.atlassian.net/browse/DBA-5566","DBA-5566")</f>
        <v>DBA-5566</v>
      </c>
      <c r="B365" s="6" t="s">
        <v>21</v>
      </c>
      <c r="C365" s="6" t="s">
        <v>2322</v>
      </c>
      <c r="D365" s="8" t="s">
        <v>17</v>
      </c>
      <c r="E365" s="6" t="s">
        <v>23</v>
      </c>
      <c r="F365" s="6" t="s">
        <v>24</v>
      </c>
      <c r="G365" s="6" t="s">
        <v>2323</v>
      </c>
      <c r="H365" s="10">
        <v>46244</v>
      </c>
      <c r="I365" s="6" t="s">
        <v>2324</v>
      </c>
      <c r="J365" s="6" t="s">
        <v>88</v>
      </c>
      <c r="K365" s="6" t="s">
        <v>59</v>
      </c>
      <c r="L365" s="6" t="s">
        <v>88</v>
      </c>
      <c r="M365" s="6" t="s">
        <v>2325</v>
      </c>
    </row>
    <row r="366" spans="1:13" ht="13" x14ac:dyDescent="0.15">
      <c r="A366" s="5" t="str">
        <f>HYPERLINK("https://onemount.atlassian.net/browse/DBA-5565","DBA-5565")</f>
        <v>DBA-5565</v>
      </c>
      <c r="B366" s="6" t="s">
        <v>21</v>
      </c>
      <c r="C366" s="6" t="s">
        <v>2326</v>
      </c>
      <c r="D366" s="8" t="s">
        <v>17</v>
      </c>
      <c r="E366" s="6" t="s">
        <v>23</v>
      </c>
      <c r="F366" s="6" t="s">
        <v>24</v>
      </c>
      <c r="G366" s="6" t="s">
        <v>2327</v>
      </c>
      <c r="H366" s="10">
        <v>46243</v>
      </c>
      <c r="I366" s="6" t="s">
        <v>2328</v>
      </c>
      <c r="J366" s="6" t="s">
        <v>77</v>
      </c>
      <c r="K366" s="6" t="s">
        <v>46</v>
      </c>
      <c r="L366" s="6" t="s">
        <v>77</v>
      </c>
      <c r="M366" s="6" t="s">
        <v>2329</v>
      </c>
    </row>
    <row r="367" spans="1:13" ht="13" x14ac:dyDescent="0.15">
      <c r="A367" s="5" t="str">
        <f>HYPERLINK("https://onemount.atlassian.net/browse/DBA-5564","DBA-5564")</f>
        <v>DBA-5564</v>
      </c>
      <c r="B367" s="6" t="s">
        <v>21</v>
      </c>
      <c r="C367" s="6" t="s">
        <v>2330</v>
      </c>
      <c r="D367" s="8" t="s">
        <v>17</v>
      </c>
      <c r="E367" s="6" t="s">
        <v>23</v>
      </c>
      <c r="F367" s="6" t="s">
        <v>52</v>
      </c>
      <c r="G367" s="6" t="s">
        <v>2331</v>
      </c>
      <c r="H367" s="10">
        <v>46242</v>
      </c>
      <c r="I367" s="6" t="s">
        <v>2332</v>
      </c>
      <c r="J367" s="6" t="s">
        <v>55</v>
      </c>
      <c r="K367" s="6" t="s">
        <v>55</v>
      </c>
      <c r="L367" s="6" t="s">
        <v>984</v>
      </c>
      <c r="M367" s="6" t="s">
        <v>2333</v>
      </c>
    </row>
    <row r="368" spans="1:13" ht="13" x14ac:dyDescent="0.15">
      <c r="A368" s="5" t="str">
        <f>HYPERLINK("https://onemount.atlassian.net/browse/DBA-5563","DBA-5563")</f>
        <v>DBA-5563</v>
      </c>
      <c r="B368" s="6" t="s">
        <v>21</v>
      </c>
      <c r="C368" s="6" t="s">
        <v>2334</v>
      </c>
      <c r="D368" s="8" t="s">
        <v>17</v>
      </c>
      <c r="E368" s="6" t="s">
        <v>23</v>
      </c>
      <c r="F368" s="6" t="s">
        <v>52</v>
      </c>
      <c r="G368" s="6" t="s">
        <v>2335</v>
      </c>
      <c r="H368" s="10">
        <v>46243</v>
      </c>
      <c r="I368" s="6" t="s">
        <v>2336</v>
      </c>
      <c r="J368" s="6" t="s">
        <v>55</v>
      </c>
      <c r="K368" s="6" t="s">
        <v>55</v>
      </c>
      <c r="L368" s="6" t="s">
        <v>93</v>
      </c>
      <c r="M368" s="6" t="s">
        <v>2337</v>
      </c>
    </row>
    <row r="369" spans="1:13" ht="13" x14ac:dyDescent="0.15">
      <c r="A369" s="5" t="str">
        <f>HYPERLINK("https://onemount.atlassian.net/browse/DBA-5562","DBA-5562")</f>
        <v>DBA-5562</v>
      </c>
      <c r="B369" s="6" t="s">
        <v>21</v>
      </c>
      <c r="C369" s="6" t="s">
        <v>2338</v>
      </c>
      <c r="D369" s="8" t="s">
        <v>17</v>
      </c>
      <c r="E369" s="6" t="s">
        <v>23</v>
      </c>
      <c r="F369" s="6" t="s">
        <v>52</v>
      </c>
      <c r="G369" s="6" t="s">
        <v>2339</v>
      </c>
      <c r="H369" s="10">
        <v>46242</v>
      </c>
      <c r="I369" s="6" t="s">
        <v>2340</v>
      </c>
      <c r="J369" s="6" t="s">
        <v>2341</v>
      </c>
      <c r="K369" s="6" t="s">
        <v>55</v>
      </c>
      <c r="L369" s="6" t="s">
        <v>984</v>
      </c>
      <c r="M369" s="6" t="s">
        <v>2342</v>
      </c>
    </row>
    <row r="370" spans="1:13" ht="13" x14ac:dyDescent="0.15">
      <c r="A370" s="5" t="str">
        <f>HYPERLINK("https://onemount.atlassian.net/browse/DBA-5561","DBA-5561")</f>
        <v>DBA-5561</v>
      </c>
      <c r="B370" s="6" t="s">
        <v>21</v>
      </c>
      <c r="C370" s="6" t="s">
        <v>2343</v>
      </c>
      <c r="D370" s="8" t="s">
        <v>17</v>
      </c>
      <c r="E370" s="6" t="s">
        <v>23</v>
      </c>
      <c r="F370" s="6" t="s">
        <v>24</v>
      </c>
      <c r="G370" s="6" t="s">
        <v>2344</v>
      </c>
      <c r="H370" s="10">
        <v>46242</v>
      </c>
      <c r="I370" s="6" t="s">
        <v>2345</v>
      </c>
      <c r="J370" s="6" t="s">
        <v>510</v>
      </c>
      <c r="K370" s="6" t="s">
        <v>46</v>
      </c>
      <c r="L370" s="6" t="s">
        <v>77</v>
      </c>
      <c r="M370" s="6" t="s">
        <v>2346</v>
      </c>
    </row>
    <row r="371" spans="1:13" ht="13" x14ac:dyDescent="0.15">
      <c r="A371" s="5" t="str">
        <f>HYPERLINK("https://onemount.atlassian.net/browse/DBA-5560","DBA-5560")</f>
        <v>DBA-5560</v>
      </c>
      <c r="B371" s="6" t="s">
        <v>21</v>
      </c>
      <c r="C371" s="6" t="s">
        <v>2322</v>
      </c>
      <c r="D371" s="8" t="s">
        <v>17</v>
      </c>
      <c r="E371" s="6" t="s">
        <v>23</v>
      </c>
      <c r="F371" s="6" t="s">
        <v>24</v>
      </c>
      <c r="G371" s="6" t="s">
        <v>2347</v>
      </c>
      <c r="H371" s="10">
        <v>46242</v>
      </c>
      <c r="I371" s="6" t="s">
        <v>2348</v>
      </c>
      <c r="J371" s="6" t="s">
        <v>88</v>
      </c>
      <c r="K371" s="6" t="s">
        <v>59</v>
      </c>
      <c r="L371" s="6" t="s">
        <v>88</v>
      </c>
      <c r="M371" s="6" t="s">
        <v>2349</v>
      </c>
    </row>
    <row r="372" spans="1:13" ht="13" x14ac:dyDescent="0.15">
      <c r="A372" s="5" t="str">
        <f>HYPERLINK("https://onemount.atlassian.net/browse/DBA-5559","DBA-5559")</f>
        <v>DBA-5559</v>
      </c>
      <c r="B372" s="6" t="s">
        <v>21</v>
      </c>
      <c r="C372" s="6" t="s">
        <v>2350</v>
      </c>
      <c r="D372" s="8" t="s">
        <v>17</v>
      </c>
      <c r="E372" s="6" t="s">
        <v>23</v>
      </c>
      <c r="F372" s="6" t="s">
        <v>52</v>
      </c>
      <c r="G372" s="6" t="s">
        <v>2351</v>
      </c>
      <c r="H372" s="10">
        <v>46242</v>
      </c>
      <c r="I372" s="6" t="s">
        <v>2352</v>
      </c>
      <c r="J372" s="6" t="s">
        <v>93</v>
      </c>
      <c r="K372" s="6" t="s">
        <v>55</v>
      </c>
      <c r="L372" s="6" t="s">
        <v>93</v>
      </c>
      <c r="M372" s="6" t="s">
        <v>2353</v>
      </c>
    </row>
    <row r="373" spans="1:13" ht="13" x14ac:dyDescent="0.15">
      <c r="A373" s="5" t="str">
        <f>HYPERLINK("https://onemount.atlassian.net/browse/DBA-5558","DBA-5558")</f>
        <v>DBA-5558</v>
      </c>
      <c r="B373" s="6" t="s">
        <v>21</v>
      </c>
      <c r="C373" s="6" t="s">
        <v>2354</v>
      </c>
      <c r="D373" s="8" t="s">
        <v>17</v>
      </c>
      <c r="E373" s="6" t="s">
        <v>23</v>
      </c>
      <c r="F373" s="6" t="s">
        <v>31</v>
      </c>
      <c r="G373" s="6" t="s">
        <v>2355</v>
      </c>
      <c r="H373" s="10">
        <v>46242</v>
      </c>
      <c r="I373" s="6" t="s">
        <v>2356</v>
      </c>
      <c r="J373" s="6" t="s">
        <v>1221</v>
      </c>
      <c r="K373" s="6" t="s">
        <v>35</v>
      </c>
      <c r="L373" s="6" t="s">
        <v>1221</v>
      </c>
      <c r="M373" s="6" t="s">
        <v>2357</v>
      </c>
    </row>
    <row r="374" spans="1:13" ht="13" x14ac:dyDescent="0.15">
      <c r="A374" s="5" t="str">
        <f>HYPERLINK("https://onemount.atlassian.net/browse/DBA-5557","DBA-5557")</f>
        <v>DBA-5557</v>
      </c>
      <c r="B374" s="6" t="s">
        <v>21</v>
      </c>
      <c r="C374" s="6" t="s">
        <v>2358</v>
      </c>
      <c r="D374" s="8" t="s">
        <v>17</v>
      </c>
      <c r="E374" s="6" t="s">
        <v>23</v>
      </c>
      <c r="F374" s="6" t="s">
        <v>24</v>
      </c>
      <c r="G374" s="6" t="s">
        <v>2359</v>
      </c>
      <c r="H374" s="10">
        <v>46241</v>
      </c>
      <c r="I374" s="6" t="s">
        <v>2360</v>
      </c>
      <c r="J374" s="6" t="s">
        <v>39</v>
      </c>
      <c r="K374" s="6" t="s">
        <v>165</v>
      </c>
      <c r="L374" s="6" t="s">
        <v>1022</v>
      </c>
      <c r="M374" s="6" t="s">
        <v>2361</v>
      </c>
    </row>
    <row r="375" spans="1:13" ht="13" x14ac:dyDescent="0.15">
      <c r="A375" s="5" t="str">
        <f>HYPERLINK("https://onemount.atlassian.net/browse/DBA-5556","DBA-5556")</f>
        <v>DBA-5556</v>
      </c>
      <c r="B375" s="6" t="s">
        <v>21</v>
      </c>
      <c r="C375" s="6" t="s">
        <v>2362</v>
      </c>
      <c r="D375" s="8" t="s">
        <v>17</v>
      </c>
      <c r="E375" s="6" t="s">
        <v>23</v>
      </c>
      <c r="F375" s="6" t="s">
        <v>41</v>
      </c>
      <c r="G375" s="6" t="s">
        <v>2363</v>
      </c>
      <c r="H375" s="10">
        <v>46262</v>
      </c>
      <c r="I375" s="6" t="s">
        <v>2364</v>
      </c>
      <c r="J375" s="6" t="s">
        <v>224</v>
      </c>
      <c r="K375" s="6" t="s">
        <v>72</v>
      </c>
      <c r="L375" s="6" t="s">
        <v>224</v>
      </c>
      <c r="M375" s="6" t="s">
        <v>2365</v>
      </c>
    </row>
    <row r="376" spans="1:13" ht="13" x14ac:dyDescent="0.15">
      <c r="A376" s="5" t="str">
        <f>HYPERLINK("https://onemount.atlassian.net/browse/DBA-5555","DBA-5555")</f>
        <v>DBA-5555</v>
      </c>
      <c r="B376" s="6" t="s">
        <v>21</v>
      </c>
      <c r="C376" s="6" t="s">
        <v>2366</v>
      </c>
      <c r="D376" s="14" t="s">
        <v>19</v>
      </c>
      <c r="E376" s="6" t="s">
        <v>23</v>
      </c>
      <c r="F376" s="6" t="s">
        <v>41</v>
      </c>
      <c r="G376" s="6" t="s">
        <v>2367</v>
      </c>
      <c r="H376" s="10">
        <v>46247</v>
      </c>
      <c r="I376" s="6" t="s">
        <v>44</v>
      </c>
      <c r="J376" s="6" t="s">
        <v>2368</v>
      </c>
      <c r="K376" s="6" t="s">
        <v>46</v>
      </c>
      <c r="L376" s="6" t="s">
        <v>61</v>
      </c>
      <c r="M376" s="6" t="s">
        <v>2369</v>
      </c>
    </row>
    <row r="377" spans="1:13" ht="13" x14ac:dyDescent="0.15">
      <c r="A377" s="5" t="str">
        <f>HYPERLINK("https://onemount.atlassian.net/browse/DBA-5554","DBA-5554")</f>
        <v>DBA-5554</v>
      </c>
      <c r="B377" s="23" t="str">
        <f>HYPERLINK("https://onemount.atlassian.net/browse/DBA-5533","DBA-5533")</f>
        <v>DBA-5533</v>
      </c>
      <c r="C377" s="6" t="s">
        <v>2370</v>
      </c>
      <c r="D377" s="8" t="s">
        <v>17</v>
      </c>
      <c r="E377" s="6" t="s">
        <v>428</v>
      </c>
      <c r="F377" s="6" t="s">
        <v>52</v>
      </c>
      <c r="G377" s="6" t="s">
        <v>2371</v>
      </c>
      <c r="H377" s="10">
        <v>46242</v>
      </c>
      <c r="I377" s="6" t="s">
        <v>2372</v>
      </c>
      <c r="J377" s="6" t="s">
        <v>381</v>
      </c>
      <c r="K377" s="6" t="s">
        <v>46</v>
      </c>
      <c r="L377" s="6" t="s">
        <v>381</v>
      </c>
      <c r="M377" s="6" t="s">
        <v>2373</v>
      </c>
    </row>
    <row r="378" spans="1:13" ht="13" x14ac:dyDescent="0.15">
      <c r="A378" s="5" t="str">
        <f>HYPERLINK("https://onemount.atlassian.net/browse/DBA-5553","DBA-5553")</f>
        <v>DBA-5553</v>
      </c>
      <c r="B378" s="23" t="str">
        <f t="shared" ref="B378:B380" si="4">HYPERLINK("https://onemount.atlassian.net/browse/DBA-5550","DBA-5550")</f>
        <v>DBA-5550</v>
      </c>
      <c r="C378" s="6" t="s">
        <v>2374</v>
      </c>
      <c r="D378" s="8" t="s">
        <v>17</v>
      </c>
      <c r="E378" s="6" t="s">
        <v>428</v>
      </c>
      <c r="F378" s="6" t="s">
        <v>24</v>
      </c>
      <c r="G378" s="6" t="s">
        <v>2375</v>
      </c>
      <c r="H378" s="10">
        <v>46255</v>
      </c>
      <c r="I378" s="6" t="s">
        <v>2376</v>
      </c>
      <c r="J378" s="6" t="s">
        <v>827</v>
      </c>
      <c r="K378" s="6" t="s">
        <v>55</v>
      </c>
      <c r="L378" s="6" t="s">
        <v>827</v>
      </c>
      <c r="M378" s="6" t="s">
        <v>2377</v>
      </c>
    </row>
    <row r="379" spans="1:13" ht="13" x14ac:dyDescent="0.15">
      <c r="A379" s="5" t="str">
        <f>HYPERLINK("https://onemount.atlassian.net/browse/DBA-5552","DBA-5552")</f>
        <v>DBA-5552</v>
      </c>
      <c r="B379" s="23" t="str">
        <f t="shared" si="4"/>
        <v>DBA-5550</v>
      </c>
      <c r="C379" s="6" t="s">
        <v>2378</v>
      </c>
      <c r="D379" s="8" t="s">
        <v>17</v>
      </c>
      <c r="E379" s="6" t="s">
        <v>428</v>
      </c>
      <c r="F379" s="6" t="s">
        <v>24</v>
      </c>
      <c r="G379" s="6" t="s">
        <v>2379</v>
      </c>
      <c r="H379" s="10">
        <v>46255</v>
      </c>
      <c r="I379" s="6" t="s">
        <v>2380</v>
      </c>
      <c r="J379" s="6" t="s">
        <v>827</v>
      </c>
      <c r="K379" s="6" t="s">
        <v>55</v>
      </c>
      <c r="L379" s="6" t="s">
        <v>827</v>
      </c>
      <c r="M379" s="6" t="s">
        <v>2381</v>
      </c>
    </row>
    <row r="380" spans="1:13" ht="13" x14ac:dyDescent="0.15">
      <c r="A380" s="21" t="str">
        <f>HYPERLINK("https://onemount.atlassian.net/browse/DBA-5551","DBA-5551")</f>
        <v>DBA-5551</v>
      </c>
      <c r="B380" s="23" t="str">
        <f t="shared" si="4"/>
        <v>DBA-5550</v>
      </c>
      <c r="C380" s="6" t="s">
        <v>2382</v>
      </c>
      <c r="D380" s="8" t="s">
        <v>17</v>
      </c>
      <c r="E380" s="6" t="s">
        <v>428</v>
      </c>
      <c r="F380" s="6" t="s">
        <v>24</v>
      </c>
      <c r="G380" s="6" t="s">
        <v>2383</v>
      </c>
      <c r="H380" s="10">
        <v>46262</v>
      </c>
      <c r="I380" s="6" t="s">
        <v>2384</v>
      </c>
      <c r="J380" s="6" t="s">
        <v>827</v>
      </c>
      <c r="K380" s="6" t="s">
        <v>55</v>
      </c>
      <c r="L380" s="6" t="s">
        <v>827</v>
      </c>
      <c r="M380" s="6" t="s">
        <v>1665</v>
      </c>
    </row>
    <row r="381" spans="1:13" ht="13" x14ac:dyDescent="0.15">
      <c r="A381" s="5" t="str">
        <f>HYPERLINK("https://onemount.atlassian.net/browse/DBA-5550","DBA-5550")</f>
        <v>DBA-5550</v>
      </c>
      <c r="B381" s="23" t="str">
        <f>HYPERLINK("https://onemount.atlassian.net/browse/DBA-3006","DBA-3006")</f>
        <v>DBA-3006</v>
      </c>
      <c r="C381" s="6" t="s">
        <v>2385</v>
      </c>
      <c r="D381" s="8" t="s">
        <v>17</v>
      </c>
      <c r="E381" s="6" t="s">
        <v>23</v>
      </c>
      <c r="F381" s="6" t="s">
        <v>24</v>
      </c>
      <c r="G381" s="6" t="s">
        <v>2386</v>
      </c>
      <c r="H381" s="10">
        <v>46262</v>
      </c>
      <c r="I381" s="6" t="s">
        <v>2387</v>
      </c>
      <c r="J381" s="6" t="s">
        <v>827</v>
      </c>
      <c r="K381" s="6" t="s">
        <v>55</v>
      </c>
      <c r="L381" s="6" t="s">
        <v>827</v>
      </c>
      <c r="M381" s="6" t="s">
        <v>2388</v>
      </c>
    </row>
    <row r="382" spans="1:13" ht="13" x14ac:dyDescent="0.15">
      <c r="A382" s="5" t="str">
        <f>HYPERLINK("https://onemount.atlassian.net/browse/DBA-5549","DBA-5549")</f>
        <v>DBA-5549</v>
      </c>
      <c r="B382" s="6" t="s">
        <v>21</v>
      </c>
      <c r="C382" s="6" t="s">
        <v>2389</v>
      </c>
      <c r="D382" s="8" t="s">
        <v>17</v>
      </c>
      <c r="E382" s="6" t="s">
        <v>23</v>
      </c>
      <c r="F382" s="6" t="s">
        <v>41</v>
      </c>
      <c r="G382" s="6" t="s">
        <v>2390</v>
      </c>
      <c r="H382" s="10">
        <v>46242</v>
      </c>
      <c r="I382" s="6" t="s">
        <v>2391</v>
      </c>
      <c r="J382" s="6" t="s">
        <v>2392</v>
      </c>
      <c r="K382" s="6" t="s">
        <v>28</v>
      </c>
      <c r="L382" s="6" t="s">
        <v>27</v>
      </c>
      <c r="M382" s="6" t="s">
        <v>2393</v>
      </c>
    </row>
    <row r="383" spans="1:13" ht="13" x14ac:dyDescent="0.15">
      <c r="A383" s="5" t="str">
        <f>HYPERLINK("https://onemount.atlassian.net/browse/DBA-5548","DBA-5548")</f>
        <v>DBA-5548</v>
      </c>
      <c r="B383" s="23" t="str">
        <f t="shared" ref="B383:B386" si="5">HYPERLINK("https://onemount.atlassian.net/browse/DBA-5533","DBA-5533")</f>
        <v>DBA-5533</v>
      </c>
      <c r="C383" s="6" t="s">
        <v>2394</v>
      </c>
      <c r="D383" s="8" t="s">
        <v>17</v>
      </c>
      <c r="E383" s="6" t="s">
        <v>428</v>
      </c>
      <c r="F383" s="6" t="s">
        <v>52</v>
      </c>
      <c r="G383" s="6" t="s">
        <v>2395</v>
      </c>
      <c r="H383" s="10">
        <v>46242</v>
      </c>
      <c r="I383" s="6" t="s">
        <v>2396</v>
      </c>
      <c r="J383" s="6" t="s">
        <v>381</v>
      </c>
      <c r="K383" s="6" t="s">
        <v>46</v>
      </c>
      <c r="L383" s="6" t="s">
        <v>381</v>
      </c>
      <c r="M383" s="6" t="s">
        <v>2397</v>
      </c>
    </row>
    <row r="384" spans="1:13" ht="13" x14ac:dyDescent="0.15">
      <c r="A384" s="5" t="str">
        <f>HYPERLINK("https://onemount.atlassian.net/browse/DBA-5547","DBA-5547")</f>
        <v>DBA-5547</v>
      </c>
      <c r="B384" s="23" t="str">
        <f t="shared" si="5"/>
        <v>DBA-5533</v>
      </c>
      <c r="C384" s="6" t="s">
        <v>2398</v>
      </c>
      <c r="D384" s="8" t="s">
        <v>17</v>
      </c>
      <c r="E384" s="6" t="s">
        <v>428</v>
      </c>
      <c r="F384" s="6" t="s">
        <v>52</v>
      </c>
      <c r="G384" s="6" t="s">
        <v>2399</v>
      </c>
      <c r="H384" s="10">
        <v>46242</v>
      </c>
      <c r="I384" s="6" t="s">
        <v>2400</v>
      </c>
      <c r="J384" s="6" t="s">
        <v>381</v>
      </c>
      <c r="K384" s="6" t="s">
        <v>46</v>
      </c>
      <c r="L384" s="6" t="s">
        <v>381</v>
      </c>
      <c r="M384" s="6" t="s">
        <v>2401</v>
      </c>
    </row>
    <row r="385" spans="1:13" ht="13" x14ac:dyDescent="0.15">
      <c r="A385" s="5" t="str">
        <f>HYPERLINK("https://onemount.atlassian.net/browse/DBA-5546","DBA-5546")</f>
        <v>DBA-5546</v>
      </c>
      <c r="B385" s="23" t="str">
        <f t="shared" si="5"/>
        <v>DBA-5533</v>
      </c>
      <c r="C385" s="6" t="s">
        <v>2402</v>
      </c>
      <c r="D385" s="8" t="s">
        <v>17</v>
      </c>
      <c r="E385" s="6" t="s">
        <v>428</v>
      </c>
      <c r="F385" s="6" t="s">
        <v>52</v>
      </c>
      <c r="G385" s="6" t="s">
        <v>2403</v>
      </c>
      <c r="H385" s="10">
        <v>46241</v>
      </c>
      <c r="I385" s="6" t="s">
        <v>2404</v>
      </c>
      <c r="J385" s="6" t="s">
        <v>381</v>
      </c>
      <c r="K385" s="6" t="s">
        <v>46</v>
      </c>
      <c r="L385" s="6" t="s">
        <v>381</v>
      </c>
      <c r="M385" s="6" t="s">
        <v>2405</v>
      </c>
    </row>
    <row r="386" spans="1:13" ht="13" x14ac:dyDescent="0.15">
      <c r="A386" s="5" t="str">
        <f>HYPERLINK("https://onemount.atlassian.net/browse/DBA-5545","DBA-5545")</f>
        <v>DBA-5545</v>
      </c>
      <c r="B386" s="23" t="str">
        <f t="shared" si="5"/>
        <v>DBA-5533</v>
      </c>
      <c r="C386" s="6" t="s">
        <v>2406</v>
      </c>
      <c r="D386" s="8" t="s">
        <v>17</v>
      </c>
      <c r="E386" s="6" t="s">
        <v>428</v>
      </c>
      <c r="F386" s="6" t="s">
        <v>52</v>
      </c>
      <c r="G386" s="6" t="s">
        <v>2407</v>
      </c>
      <c r="H386" s="10">
        <v>46241</v>
      </c>
      <c r="I386" s="6" t="s">
        <v>2408</v>
      </c>
      <c r="J386" s="6" t="s">
        <v>381</v>
      </c>
      <c r="K386" s="6" t="s">
        <v>46</v>
      </c>
      <c r="L386" s="6" t="s">
        <v>381</v>
      </c>
      <c r="M386" s="6" t="s">
        <v>2409</v>
      </c>
    </row>
    <row r="387" spans="1:13" ht="13" x14ac:dyDescent="0.15">
      <c r="A387" s="5" t="str">
        <f>HYPERLINK("https://onemount.atlassian.net/browse/DBA-5544","DBA-5544")</f>
        <v>DBA-5544</v>
      </c>
      <c r="B387" s="6" t="s">
        <v>21</v>
      </c>
      <c r="C387" s="6" t="s">
        <v>2410</v>
      </c>
      <c r="D387" s="8" t="s">
        <v>17</v>
      </c>
      <c r="E387" s="6" t="s">
        <v>23</v>
      </c>
      <c r="F387" s="6" t="s">
        <v>52</v>
      </c>
      <c r="G387" s="6" t="s">
        <v>2411</v>
      </c>
      <c r="H387" s="10">
        <v>46240</v>
      </c>
      <c r="I387" s="6" t="s">
        <v>2412</v>
      </c>
      <c r="J387" s="6" t="s">
        <v>621</v>
      </c>
      <c r="K387" s="6" t="s">
        <v>55</v>
      </c>
      <c r="L387" s="6" t="s">
        <v>85</v>
      </c>
      <c r="M387" s="6" t="s">
        <v>2413</v>
      </c>
    </row>
    <row r="388" spans="1:13" ht="13" x14ac:dyDescent="0.15">
      <c r="A388" s="21" t="str">
        <f>HYPERLINK("https://onemount.atlassian.net/browse/DBA-5543","DBA-5543")</f>
        <v>DBA-5543</v>
      </c>
      <c r="B388" s="6" t="s">
        <v>21</v>
      </c>
      <c r="C388" s="6" t="s">
        <v>1781</v>
      </c>
      <c r="D388" s="8" t="s">
        <v>17</v>
      </c>
      <c r="E388" s="6" t="s">
        <v>23</v>
      </c>
      <c r="F388" s="6" t="s">
        <v>24</v>
      </c>
      <c r="G388" s="6" t="s">
        <v>2414</v>
      </c>
      <c r="H388" s="10">
        <v>46241</v>
      </c>
      <c r="I388" s="6" t="s">
        <v>2415</v>
      </c>
      <c r="J388" s="6" t="s">
        <v>165</v>
      </c>
      <c r="K388" s="6" t="s">
        <v>165</v>
      </c>
      <c r="L388" s="6" t="s">
        <v>165</v>
      </c>
      <c r="M388" s="6" t="s">
        <v>1784</v>
      </c>
    </row>
    <row r="389" spans="1:13" ht="13" x14ac:dyDescent="0.15">
      <c r="A389" s="5" t="str">
        <f>HYPERLINK("https://onemount.atlassian.net/browse/DBA-5542","DBA-5542")</f>
        <v>DBA-5542</v>
      </c>
      <c r="B389" s="6" t="s">
        <v>21</v>
      </c>
      <c r="C389" s="6" t="s">
        <v>2416</v>
      </c>
      <c r="D389" s="8" t="s">
        <v>17</v>
      </c>
      <c r="E389" s="6" t="s">
        <v>23</v>
      </c>
      <c r="F389" s="6" t="s">
        <v>31</v>
      </c>
      <c r="G389" s="6" t="s">
        <v>2417</v>
      </c>
      <c r="H389" s="10">
        <v>46241</v>
      </c>
      <c r="I389" s="6" t="s">
        <v>2418</v>
      </c>
      <c r="J389" s="6" t="s">
        <v>165</v>
      </c>
      <c r="K389" s="6" t="s">
        <v>165</v>
      </c>
      <c r="L389" s="6" t="s">
        <v>288</v>
      </c>
      <c r="M389" s="6" t="s">
        <v>2419</v>
      </c>
    </row>
    <row r="390" spans="1:13" ht="13" x14ac:dyDescent="0.15">
      <c r="A390" s="5" t="str">
        <f>HYPERLINK("https://onemount.atlassian.net/browse/DBA-5541","DBA-5541")</f>
        <v>DBA-5541</v>
      </c>
      <c r="B390" s="6" t="s">
        <v>21</v>
      </c>
      <c r="C390" s="6" t="s">
        <v>2420</v>
      </c>
      <c r="D390" s="8" t="s">
        <v>17</v>
      </c>
      <c r="E390" s="6" t="s">
        <v>23</v>
      </c>
      <c r="F390" s="6" t="s">
        <v>52</v>
      </c>
      <c r="G390" s="6" t="s">
        <v>2421</v>
      </c>
      <c r="H390" s="10">
        <v>46240</v>
      </c>
      <c r="I390" s="6" t="s">
        <v>2422</v>
      </c>
      <c r="J390" s="6" t="s">
        <v>478</v>
      </c>
      <c r="K390" s="6" t="s">
        <v>35</v>
      </c>
      <c r="L390" s="6" t="s">
        <v>129</v>
      </c>
      <c r="M390" s="6" t="s">
        <v>2423</v>
      </c>
    </row>
    <row r="391" spans="1:13" ht="13" x14ac:dyDescent="0.15">
      <c r="A391" s="5" t="str">
        <f>HYPERLINK("https://onemount.atlassian.net/browse/DBA-5540","DBA-5540")</f>
        <v>DBA-5540</v>
      </c>
      <c r="B391" s="6" t="s">
        <v>21</v>
      </c>
      <c r="C391" s="6" t="s">
        <v>2424</v>
      </c>
      <c r="D391" s="8" t="s">
        <v>17</v>
      </c>
      <c r="E391" s="6" t="s">
        <v>23</v>
      </c>
      <c r="F391" s="6" t="s">
        <v>41</v>
      </c>
      <c r="G391" s="6" t="s">
        <v>2425</v>
      </c>
      <c r="H391" s="10">
        <v>46240</v>
      </c>
      <c r="I391" s="6" t="s">
        <v>2426</v>
      </c>
      <c r="J391" s="6" t="s">
        <v>2427</v>
      </c>
      <c r="K391" s="6" t="s">
        <v>28</v>
      </c>
      <c r="L391" s="6" t="s">
        <v>1000</v>
      </c>
      <c r="M391" s="6" t="s">
        <v>2428</v>
      </c>
    </row>
    <row r="392" spans="1:13" ht="13" x14ac:dyDescent="0.15">
      <c r="A392" s="5" t="str">
        <f>HYPERLINK("https://onemount.atlassian.net/browse/DBA-5539","DBA-5539")</f>
        <v>DBA-5539</v>
      </c>
      <c r="B392" s="6" t="s">
        <v>21</v>
      </c>
      <c r="C392" s="6" t="s">
        <v>2429</v>
      </c>
      <c r="D392" s="8" t="s">
        <v>17</v>
      </c>
      <c r="E392" s="6" t="s">
        <v>23</v>
      </c>
      <c r="F392" s="6" t="s">
        <v>24</v>
      </c>
      <c r="G392" s="6" t="s">
        <v>2430</v>
      </c>
      <c r="H392" s="10">
        <v>46240</v>
      </c>
      <c r="I392" s="6" t="s">
        <v>2431</v>
      </c>
      <c r="J392" s="6" t="s">
        <v>165</v>
      </c>
      <c r="K392" s="6" t="s">
        <v>165</v>
      </c>
      <c r="L392" s="6" t="s">
        <v>165</v>
      </c>
      <c r="M392" s="6" t="s">
        <v>2432</v>
      </c>
    </row>
    <row r="393" spans="1:13" ht="13" x14ac:dyDescent="0.15">
      <c r="A393" s="5" t="str">
        <f>HYPERLINK("https://onemount.atlassian.net/browse/DBA-5538","DBA-5538")</f>
        <v>DBA-5538</v>
      </c>
      <c r="B393" s="6" t="s">
        <v>21</v>
      </c>
      <c r="C393" s="6" t="s">
        <v>2433</v>
      </c>
      <c r="D393" s="8" t="s">
        <v>17</v>
      </c>
      <c r="E393" s="6" t="s">
        <v>23</v>
      </c>
      <c r="F393" s="6" t="s">
        <v>24</v>
      </c>
      <c r="G393" s="6" t="s">
        <v>2434</v>
      </c>
      <c r="H393" s="10">
        <v>46243</v>
      </c>
      <c r="I393" s="6" t="s">
        <v>2435</v>
      </c>
      <c r="J393" s="6" t="s">
        <v>39</v>
      </c>
      <c r="K393" s="6" t="s">
        <v>165</v>
      </c>
      <c r="L393" s="6" t="s">
        <v>1020</v>
      </c>
      <c r="M393" s="6" t="s">
        <v>2436</v>
      </c>
    </row>
    <row r="394" spans="1:13" ht="13" x14ac:dyDescent="0.15">
      <c r="A394" s="5" t="str">
        <f>HYPERLINK("https://onemount.atlassian.net/browse/DBA-5537","DBA-5537")</f>
        <v>DBA-5537</v>
      </c>
      <c r="B394" s="6" t="s">
        <v>21</v>
      </c>
      <c r="C394" s="6" t="s">
        <v>2437</v>
      </c>
      <c r="D394" s="8" t="s">
        <v>17</v>
      </c>
      <c r="E394" s="6" t="s">
        <v>23</v>
      </c>
      <c r="F394" s="6" t="s">
        <v>24</v>
      </c>
      <c r="G394" s="6" t="s">
        <v>2438</v>
      </c>
      <c r="H394" s="10">
        <v>46245</v>
      </c>
      <c r="I394" s="6" t="s">
        <v>2439</v>
      </c>
      <c r="J394" s="6" t="s">
        <v>2440</v>
      </c>
      <c r="K394" s="6" t="s">
        <v>165</v>
      </c>
      <c r="L394" s="6" t="s">
        <v>119</v>
      </c>
      <c r="M394" s="6" t="s">
        <v>2441</v>
      </c>
    </row>
    <row r="395" spans="1:13" ht="13" x14ac:dyDescent="0.15">
      <c r="A395" s="5" t="str">
        <f>HYPERLINK("https://onemount.atlassian.net/browse/DBA-5536","DBA-5536")</f>
        <v>DBA-5536</v>
      </c>
      <c r="B395" s="6" t="s">
        <v>21</v>
      </c>
      <c r="C395" s="6" t="s">
        <v>2442</v>
      </c>
      <c r="D395" s="8" t="s">
        <v>17</v>
      </c>
      <c r="E395" s="6" t="s">
        <v>23</v>
      </c>
      <c r="F395" s="6" t="s">
        <v>31</v>
      </c>
      <c r="G395" s="6" t="s">
        <v>2443</v>
      </c>
      <c r="H395" s="10">
        <v>46241</v>
      </c>
      <c r="I395" s="6" t="s">
        <v>2444</v>
      </c>
      <c r="J395" s="6" t="s">
        <v>478</v>
      </c>
      <c r="K395" s="6" t="s">
        <v>35</v>
      </c>
      <c r="L395" s="6" t="s">
        <v>478</v>
      </c>
      <c r="M395" s="6" t="s">
        <v>2445</v>
      </c>
    </row>
    <row r="396" spans="1:13" ht="13" x14ac:dyDescent="0.15">
      <c r="A396" s="5" t="str">
        <f>HYPERLINK("https://onemount.atlassian.net/browse/DBA-5535","DBA-5535")</f>
        <v>DBA-5535</v>
      </c>
      <c r="B396" s="6" t="s">
        <v>21</v>
      </c>
      <c r="C396" s="6" t="s">
        <v>2446</v>
      </c>
      <c r="D396" s="8" t="s">
        <v>17</v>
      </c>
      <c r="E396" s="6" t="s">
        <v>23</v>
      </c>
      <c r="F396" s="6" t="s">
        <v>24</v>
      </c>
      <c r="G396" s="6" t="s">
        <v>2447</v>
      </c>
      <c r="H396" s="10">
        <v>46239</v>
      </c>
      <c r="I396" s="6" t="s">
        <v>2448</v>
      </c>
      <c r="J396" s="6" t="s">
        <v>93</v>
      </c>
      <c r="K396" s="6" t="s">
        <v>55</v>
      </c>
      <c r="L396" s="6" t="s">
        <v>93</v>
      </c>
      <c r="M396" s="6" t="s">
        <v>2449</v>
      </c>
    </row>
    <row r="397" spans="1:13" ht="13" x14ac:dyDescent="0.15">
      <c r="A397" s="5" t="str">
        <f>HYPERLINK("https://onemount.atlassian.net/browse/DBA-5534","DBA-5534")</f>
        <v>DBA-5534</v>
      </c>
      <c r="B397" s="6" t="s">
        <v>21</v>
      </c>
      <c r="C397" s="6" t="s">
        <v>2450</v>
      </c>
      <c r="D397" s="8" t="s">
        <v>17</v>
      </c>
      <c r="E397" s="6" t="s">
        <v>23</v>
      </c>
      <c r="F397" s="6" t="s">
        <v>24</v>
      </c>
      <c r="G397" s="6" t="s">
        <v>2451</v>
      </c>
      <c r="H397" s="10">
        <v>46239</v>
      </c>
      <c r="I397" s="6" t="s">
        <v>2452</v>
      </c>
      <c r="J397" s="6" t="s">
        <v>2453</v>
      </c>
      <c r="K397" s="6" t="s">
        <v>165</v>
      </c>
      <c r="L397" s="6" t="s">
        <v>119</v>
      </c>
      <c r="M397" s="6" t="s">
        <v>2454</v>
      </c>
    </row>
    <row r="398" spans="1:13" ht="13" x14ac:dyDescent="0.15">
      <c r="A398" s="21" t="str">
        <f>HYPERLINK("https://onemount.atlassian.net/browse/DBA-5533","DBA-5533")</f>
        <v>DBA-5533</v>
      </c>
      <c r="B398" s="6" t="s">
        <v>21</v>
      </c>
      <c r="C398" s="6" t="s">
        <v>2275</v>
      </c>
      <c r="D398" s="8" t="s">
        <v>17</v>
      </c>
      <c r="E398" s="6" t="s">
        <v>23</v>
      </c>
      <c r="F398" s="6" t="s">
        <v>52</v>
      </c>
      <c r="G398" s="6" t="s">
        <v>2455</v>
      </c>
      <c r="H398" s="10">
        <v>46243</v>
      </c>
      <c r="I398" s="6" t="s">
        <v>2456</v>
      </c>
      <c r="J398" s="6" t="s">
        <v>381</v>
      </c>
      <c r="K398" s="6" t="s">
        <v>46</v>
      </c>
      <c r="L398" s="6" t="s">
        <v>381</v>
      </c>
      <c r="M398" s="6" t="s">
        <v>2278</v>
      </c>
    </row>
    <row r="399" spans="1:13" ht="13" x14ac:dyDescent="0.15">
      <c r="A399" s="5" t="str">
        <f>HYPERLINK("https://onemount.atlassian.net/browse/DBA-5532","DBA-5532")</f>
        <v>DBA-5532</v>
      </c>
      <c r="B399" s="6" t="s">
        <v>21</v>
      </c>
      <c r="C399" s="6" t="s">
        <v>2457</v>
      </c>
      <c r="D399" s="8" t="s">
        <v>17</v>
      </c>
      <c r="E399" s="6" t="s">
        <v>23</v>
      </c>
      <c r="F399" s="6" t="s">
        <v>24</v>
      </c>
      <c r="G399" s="6" t="s">
        <v>2458</v>
      </c>
      <c r="H399" s="10">
        <v>46239</v>
      </c>
      <c r="I399" s="6" t="s">
        <v>2459</v>
      </c>
      <c r="J399" s="6" t="s">
        <v>510</v>
      </c>
      <c r="K399" s="6" t="s">
        <v>46</v>
      </c>
      <c r="L399" s="6" t="s">
        <v>77</v>
      </c>
      <c r="M399" s="6" t="s">
        <v>2460</v>
      </c>
    </row>
    <row r="400" spans="1:13" ht="13" x14ac:dyDescent="0.15">
      <c r="A400" s="5" t="str">
        <f>HYPERLINK("https://onemount.atlassian.net/browse/DBA-5531","DBA-5531")</f>
        <v>DBA-5531</v>
      </c>
      <c r="B400" s="6" t="s">
        <v>21</v>
      </c>
      <c r="C400" s="6" t="s">
        <v>2461</v>
      </c>
      <c r="D400" s="8" t="s">
        <v>17</v>
      </c>
      <c r="E400" s="6" t="s">
        <v>23</v>
      </c>
      <c r="F400" s="6" t="s">
        <v>24</v>
      </c>
      <c r="G400" s="6" t="s">
        <v>2462</v>
      </c>
      <c r="H400" s="10">
        <v>46241</v>
      </c>
      <c r="I400" s="6" t="s">
        <v>2463</v>
      </c>
      <c r="J400" s="6" t="s">
        <v>510</v>
      </c>
      <c r="K400" s="6" t="s">
        <v>46</v>
      </c>
      <c r="L400" s="6" t="s">
        <v>77</v>
      </c>
      <c r="M400" s="6" t="s">
        <v>2464</v>
      </c>
    </row>
    <row r="401" spans="1:13" ht="13" x14ac:dyDescent="0.15">
      <c r="A401" s="5" t="str">
        <f>HYPERLINK("https://onemount.atlassian.net/browse/DBA-5530","DBA-5530")</f>
        <v>DBA-5530</v>
      </c>
      <c r="B401" s="6" t="s">
        <v>21</v>
      </c>
      <c r="C401" s="6" t="s">
        <v>2465</v>
      </c>
      <c r="D401" s="8" t="s">
        <v>17</v>
      </c>
      <c r="E401" s="6" t="s">
        <v>23</v>
      </c>
      <c r="F401" s="6" t="s">
        <v>24</v>
      </c>
      <c r="G401" s="6" t="s">
        <v>2466</v>
      </c>
      <c r="H401" s="10">
        <v>46239</v>
      </c>
      <c r="I401" s="6" t="s">
        <v>2467</v>
      </c>
      <c r="J401" s="6" t="s">
        <v>77</v>
      </c>
      <c r="K401" s="6" t="s">
        <v>46</v>
      </c>
      <c r="L401" s="6" t="s">
        <v>77</v>
      </c>
      <c r="M401" s="6" t="s">
        <v>2468</v>
      </c>
    </row>
    <row r="402" spans="1:13" ht="13" x14ac:dyDescent="0.15">
      <c r="A402" s="5" t="str">
        <f>HYPERLINK("https://onemount.atlassian.net/browse/DBA-5529","DBA-5529")</f>
        <v>DBA-5529</v>
      </c>
      <c r="B402" s="6" t="s">
        <v>21</v>
      </c>
      <c r="C402" s="6" t="s">
        <v>2469</v>
      </c>
      <c r="D402" s="8" t="s">
        <v>17</v>
      </c>
      <c r="E402" s="6" t="s">
        <v>23</v>
      </c>
      <c r="F402" s="6" t="s">
        <v>24</v>
      </c>
      <c r="G402" s="6" t="s">
        <v>2470</v>
      </c>
      <c r="H402" s="10">
        <v>46239</v>
      </c>
      <c r="I402" s="6" t="s">
        <v>2471</v>
      </c>
      <c r="J402" s="6" t="s">
        <v>46</v>
      </c>
      <c r="K402" s="6" t="s">
        <v>46</v>
      </c>
      <c r="L402" s="6" t="s">
        <v>640</v>
      </c>
      <c r="M402" s="6" t="s">
        <v>2472</v>
      </c>
    </row>
    <row r="403" spans="1:13" ht="13" x14ac:dyDescent="0.15">
      <c r="A403" s="5" t="str">
        <f>HYPERLINK("https://onemount.atlassian.net/browse/DBA-5528","DBA-5528")</f>
        <v>DBA-5528</v>
      </c>
      <c r="B403" s="6" t="s">
        <v>21</v>
      </c>
      <c r="C403" s="6" t="s">
        <v>2473</v>
      </c>
      <c r="D403" s="8" t="s">
        <v>17</v>
      </c>
      <c r="E403" s="6" t="s">
        <v>23</v>
      </c>
      <c r="F403" s="6" t="s">
        <v>24</v>
      </c>
      <c r="G403" s="6" t="s">
        <v>2474</v>
      </c>
      <c r="H403" s="10">
        <v>46240</v>
      </c>
      <c r="I403" s="6" t="s">
        <v>2475</v>
      </c>
      <c r="J403" s="6" t="s">
        <v>85</v>
      </c>
      <c r="K403" s="6" t="s">
        <v>55</v>
      </c>
      <c r="L403" s="6" t="s">
        <v>85</v>
      </c>
      <c r="M403" s="6" t="s">
        <v>2476</v>
      </c>
    </row>
    <row r="404" spans="1:13" ht="13" x14ac:dyDescent="0.15">
      <c r="A404" s="5" t="str">
        <f>HYPERLINK("https://onemount.atlassian.net/browse/DBA-5527","DBA-5527")</f>
        <v>DBA-5527</v>
      </c>
      <c r="B404" s="6" t="s">
        <v>21</v>
      </c>
      <c r="C404" s="6" t="s">
        <v>2477</v>
      </c>
      <c r="D404" s="8" t="s">
        <v>17</v>
      </c>
      <c r="E404" s="6" t="s">
        <v>23</v>
      </c>
      <c r="F404" s="6" t="s">
        <v>24</v>
      </c>
      <c r="G404" s="6" t="s">
        <v>2478</v>
      </c>
      <c r="H404" s="10">
        <v>46239</v>
      </c>
      <c r="I404" s="6" t="s">
        <v>2479</v>
      </c>
      <c r="J404" s="6" t="s">
        <v>855</v>
      </c>
      <c r="K404" s="6" t="s">
        <v>55</v>
      </c>
      <c r="L404" s="6" t="s">
        <v>855</v>
      </c>
      <c r="M404" s="6" t="s">
        <v>2480</v>
      </c>
    </row>
    <row r="405" spans="1:13" ht="13" x14ac:dyDescent="0.15">
      <c r="A405" s="5" t="str">
        <f>HYPERLINK("https://onemount.atlassian.net/browse/DBA-5526","DBA-5526")</f>
        <v>DBA-5526</v>
      </c>
      <c r="B405" s="6" t="s">
        <v>21</v>
      </c>
      <c r="C405" s="6" t="s">
        <v>2481</v>
      </c>
      <c r="D405" s="8" t="s">
        <v>17</v>
      </c>
      <c r="E405" s="6" t="s">
        <v>23</v>
      </c>
      <c r="F405" s="6" t="s">
        <v>24</v>
      </c>
      <c r="G405" s="6" t="s">
        <v>2482</v>
      </c>
      <c r="H405" s="10">
        <v>46238</v>
      </c>
      <c r="I405" s="6" t="s">
        <v>2483</v>
      </c>
      <c r="J405" s="6" t="s">
        <v>621</v>
      </c>
      <c r="K405" s="6" t="s">
        <v>55</v>
      </c>
      <c r="L405" s="6" t="s">
        <v>85</v>
      </c>
      <c r="M405" s="6" t="s">
        <v>2484</v>
      </c>
    </row>
    <row r="406" spans="1:13" ht="13" x14ac:dyDescent="0.15">
      <c r="A406" s="5" t="str">
        <f>HYPERLINK("https://onemount.atlassian.net/browse/DBA-5525","DBA-5525")</f>
        <v>DBA-5525</v>
      </c>
      <c r="B406" s="6" t="s">
        <v>21</v>
      </c>
      <c r="C406" s="6" t="s">
        <v>2485</v>
      </c>
      <c r="D406" s="8" t="s">
        <v>17</v>
      </c>
      <c r="E406" s="6" t="s">
        <v>23</v>
      </c>
      <c r="F406" s="6" t="s">
        <v>24</v>
      </c>
      <c r="G406" s="6" t="s">
        <v>2486</v>
      </c>
      <c r="H406" s="10">
        <v>46238</v>
      </c>
      <c r="I406" s="6" t="s">
        <v>2487</v>
      </c>
      <c r="J406" s="6" t="s">
        <v>77</v>
      </c>
      <c r="K406" s="6" t="s">
        <v>46</v>
      </c>
      <c r="L406" s="6" t="s">
        <v>77</v>
      </c>
      <c r="M406" s="6" t="s">
        <v>2488</v>
      </c>
    </row>
    <row r="407" spans="1:13" ht="13" x14ac:dyDescent="0.15">
      <c r="A407" s="5" t="str">
        <f>HYPERLINK("https://onemount.atlassian.net/browse/DBA-5524","DBA-5524")</f>
        <v>DBA-5524</v>
      </c>
      <c r="B407" s="6" t="s">
        <v>21</v>
      </c>
      <c r="C407" s="6" t="s">
        <v>2489</v>
      </c>
      <c r="D407" s="8" t="s">
        <v>17</v>
      </c>
      <c r="E407" s="6" t="s">
        <v>23</v>
      </c>
      <c r="F407" s="6" t="s">
        <v>31</v>
      </c>
      <c r="G407" s="6" t="s">
        <v>2490</v>
      </c>
      <c r="H407" s="10">
        <v>46239</v>
      </c>
      <c r="I407" s="6" t="s">
        <v>2491</v>
      </c>
      <c r="J407" s="6" t="s">
        <v>77</v>
      </c>
      <c r="K407" s="6" t="s">
        <v>46</v>
      </c>
      <c r="L407" s="6" t="s">
        <v>77</v>
      </c>
      <c r="M407" s="6" t="s">
        <v>2492</v>
      </c>
    </row>
    <row r="408" spans="1:13" ht="13" x14ac:dyDescent="0.15">
      <c r="A408" s="5" t="str">
        <f>HYPERLINK("https://onemount.atlassian.net/browse/DBA-5523","DBA-5523")</f>
        <v>DBA-5523</v>
      </c>
      <c r="B408" s="6" t="s">
        <v>21</v>
      </c>
      <c r="C408" s="6" t="s">
        <v>2493</v>
      </c>
      <c r="D408" s="8" t="s">
        <v>17</v>
      </c>
      <c r="E408" s="6" t="s">
        <v>23</v>
      </c>
      <c r="F408" s="6" t="s">
        <v>24</v>
      </c>
      <c r="G408" s="6" t="s">
        <v>2494</v>
      </c>
      <c r="H408" s="10">
        <v>46240</v>
      </c>
      <c r="I408" s="6" t="s">
        <v>2495</v>
      </c>
      <c r="J408" s="6" t="s">
        <v>2440</v>
      </c>
      <c r="K408" s="6" t="s">
        <v>46</v>
      </c>
      <c r="L408" s="6" t="s">
        <v>119</v>
      </c>
      <c r="M408" s="6" t="s">
        <v>2496</v>
      </c>
    </row>
    <row r="409" spans="1:13" ht="13" x14ac:dyDescent="0.15">
      <c r="A409" s="5" t="str">
        <f>HYPERLINK("https://onemount.atlassian.net/browse/DBA-5522","DBA-5522")</f>
        <v>DBA-5522</v>
      </c>
      <c r="B409" s="6" t="s">
        <v>21</v>
      </c>
      <c r="C409" s="6" t="s">
        <v>2497</v>
      </c>
      <c r="D409" s="8" t="s">
        <v>17</v>
      </c>
      <c r="E409" s="6" t="s">
        <v>23</v>
      </c>
      <c r="F409" s="6" t="s">
        <v>52</v>
      </c>
      <c r="G409" s="6" t="s">
        <v>2498</v>
      </c>
      <c r="H409" s="10">
        <v>46238</v>
      </c>
      <c r="I409" s="6" t="s">
        <v>2499</v>
      </c>
      <c r="J409" s="6" t="s">
        <v>1161</v>
      </c>
      <c r="K409" s="6" t="s">
        <v>137</v>
      </c>
      <c r="L409" s="6" t="s">
        <v>1161</v>
      </c>
      <c r="M409" s="6" t="s">
        <v>2500</v>
      </c>
    </row>
    <row r="410" spans="1:13" ht="13" x14ac:dyDescent="0.15">
      <c r="A410" s="5" t="str">
        <f>HYPERLINK("https://onemount.atlassian.net/browse/DBA-5521","DBA-5521")</f>
        <v>DBA-5521</v>
      </c>
      <c r="B410" s="6" t="s">
        <v>21</v>
      </c>
      <c r="C410" s="6" t="s">
        <v>2501</v>
      </c>
      <c r="D410" s="8" t="s">
        <v>17</v>
      </c>
      <c r="E410" s="6" t="s">
        <v>23</v>
      </c>
      <c r="F410" s="6" t="s">
        <v>24</v>
      </c>
      <c r="G410" s="6" t="s">
        <v>2502</v>
      </c>
      <c r="H410" s="10">
        <v>46240</v>
      </c>
      <c r="I410" s="6" t="s">
        <v>2503</v>
      </c>
      <c r="J410" s="6" t="s">
        <v>2504</v>
      </c>
      <c r="K410" s="6" t="s">
        <v>72</v>
      </c>
      <c r="L410" s="6" t="s">
        <v>136</v>
      </c>
      <c r="M410" s="6" t="s">
        <v>2505</v>
      </c>
    </row>
    <row r="411" spans="1:13" ht="13" x14ac:dyDescent="0.15">
      <c r="A411" s="5" t="str">
        <f>HYPERLINK("https://onemount.atlassian.net/browse/DBA-5520","DBA-5520")</f>
        <v>DBA-5520</v>
      </c>
      <c r="B411" s="6" t="s">
        <v>21</v>
      </c>
      <c r="C411" s="6" t="s">
        <v>2506</v>
      </c>
      <c r="D411" s="8" t="s">
        <v>17</v>
      </c>
      <c r="E411" s="6" t="s">
        <v>23</v>
      </c>
      <c r="F411" s="6" t="s">
        <v>31</v>
      </c>
      <c r="G411" s="6" t="s">
        <v>2507</v>
      </c>
      <c r="H411" s="10">
        <v>46238</v>
      </c>
      <c r="I411" s="6" t="s">
        <v>2508</v>
      </c>
      <c r="J411" s="6" t="s">
        <v>128</v>
      </c>
      <c r="K411" s="6" t="s">
        <v>35</v>
      </c>
      <c r="L411" s="6" t="s">
        <v>129</v>
      </c>
      <c r="M411" s="6" t="s">
        <v>2509</v>
      </c>
    </row>
    <row r="412" spans="1:13" ht="13" x14ac:dyDescent="0.15">
      <c r="A412" s="5" t="str">
        <f>HYPERLINK("https://onemount.atlassian.net/browse/DBA-5519","DBA-5519")</f>
        <v>DBA-5519</v>
      </c>
      <c r="B412" s="6" t="s">
        <v>21</v>
      </c>
      <c r="C412" s="6" t="s">
        <v>2424</v>
      </c>
      <c r="D412" s="8" t="s">
        <v>17</v>
      </c>
      <c r="E412" s="6" t="s">
        <v>23</v>
      </c>
      <c r="F412" s="6" t="s">
        <v>41</v>
      </c>
      <c r="G412" s="6" t="s">
        <v>2510</v>
      </c>
      <c r="H412" s="10">
        <v>46239</v>
      </c>
      <c r="I412" s="6" t="s">
        <v>2511</v>
      </c>
      <c r="J412" s="6" t="s">
        <v>2427</v>
      </c>
      <c r="K412" s="6" t="s">
        <v>28</v>
      </c>
      <c r="L412" s="6" t="s">
        <v>1000</v>
      </c>
      <c r="M412" s="6" t="s">
        <v>2512</v>
      </c>
    </row>
    <row r="413" spans="1:13" ht="13" x14ac:dyDescent="0.15">
      <c r="A413" s="5" t="str">
        <f>HYPERLINK("https://onemount.atlassian.net/browse/DBA-5518","DBA-5518")</f>
        <v>DBA-5518</v>
      </c>
      <c r="B413" s="6" t="s">
        <v>21</v>
      </c>
      <c r="C413" s="6" t="s">
        <v>2513</v>
      </c>
      <c r="D413" s="8" t="s">
        <v>17</v>
      </c>
      <c r="E413" s="6" t="s">
        <v>23</v>
      </c>
      <c r="F413" s="6" t="s">
        <v>31</v>
      </c>
      <c r="G413" s="6" t="s">
        <v>2514</v>
      </c>
      <c r="H413" s="10">
        <v>46238</v>
      </c>
      <c r="I413" s="6" t="s">
        <v>2515</v>
      </c>
      <c r="J413" s="6" t="s">
        <v>77</v>
      </c>
      <c r="K413" s="6" t="s">
        <v>46</v>
      </c>
      <c r="L413" s="6" t="s">
        <v>77</v>
      </c>
      <c r="M413" s="6" t="s">
        <v>2516</v>
      </c>
    </row>
    <row r="414" spans="1:13" ht="13" x14ac:dyDescent="0.15">
      <c r="A414" s="5" t="str">
        <f>HYPERLINK("https://onemount.atlassian.net/browse/DBA-5517","DBA-5517")</f>
        <v>DBA-5517</v>
      </c>
      <c r="B414" s="6" t="s">
        <v>21</v>
      </c>
      <c r="C414" s="6" t="s">
        <v>2517</v>
      </c>
      <c r="D414" s="8" t="s">
        <v>17</v>
      </c>
      <c r="E414" s="6" t="s">
        <v>23</v>
      </c>
      <c r="F414" s="6" t="s">
        <v>41</v>
      </c>
      <c r="G414" s="6" t="s">
        <v>2518</v>
      </c>
      <c r="H414" s="10">
        <v>46248</v>
      </c>
      <c r="I414" s="6" t="s">
        <v>2519</v>
      </c>
      <c r="J414" s="6" t="s">
        <v>136</v>
      </c>
      <c r="K414" s="6" t="s">
        <v>46</v>
      </c>
      <c r="L414" s="6" t="s">
        <v>136</v>
      </c>
      <c r="M414" s="6" t="s">
        <v>2520</v>
      </c>
    </row>
    <row r="415" spans="1:13" ht="13" x14ac:dyDescent="0.15">
      <c r="A415" s="5" t="str">
        <f>HYPERLINK("https://onemount.atlassian.net/browse/DBA-5516","DBA-5516")</f>
        <v>DBA-5516</v>
      </c>
      <c r="B415" s="6" t="s">
        <v>21</v>
      </c>
      <c r="C415" s="6" t="s">
        <v>2521</v>
      </c>
      <c r="D415" s="14" t="s">
        <v>19</v>
      </c>
      <c r="E415" s="6" t="s">
        <v>23</v>
      </c>
      <c r="F415" s="6" t="s">
        <v>41</v>
      </c>
      <c r="G415" s="6" t="s">
        <v>2522</v>
      </c>
      <c r="H415" s="6" t="s">
        <v>43</v>
      </c>
      <c r="I415" s="6" t="s">
        <v>44</v>
      </c>
      <c r="J415" s="6" t="s">
        <v>950</v>
      </c>
      <c r="K415" s="6" t="s">
        <v>46</v>
      </c>
      <c r="L415" s="6" t="s">
        <v>136</v>
      </c>
      <c r="M415" s="6" t="s">
        <v>2523</v>
      </c>
    </row>
    <row r="416" spans="1:13" ht="13" x14ac:dyDescent="0.15">
      <c r="A416" s="5" t="str">
        <f>HYPERLINK("https://onemount.atlassian.net/browse/DBA-5515","DBA-5515")</f>
        <v>DBA-5515</v>
      </c>
      <c r="B416" s="6" t="s">
        <v>21</v>
      </c>
      <c r="C416" s="6" t="s">
        <v>2410</v>
      </c>
      <c r="D416" s="8" t="s">
        <v>17</v>
      </c>
      <c r="E416" s="6" t="s">
        <v>23</v>
      </c>
      <c r="F416" s="6" t="s">
        <v>24</v>
      </c>
      <c r="G416" s="6" t="s">
        <v>2524</v>
      </c>
      <c r="H416" s="10">
        <v>46238</v>
      </c>
      <c r="I416" s="6" t="s">
        <v>2525</v>
      </c>
      <c r="J416" s="6" t="s">
        <v>621</v>
      </c>
      <c r="K416" s="6" t="s">
        <v>55</v>
      </c>
      <c r="L416" s="6" t="s">
        <v>85</v>
      </c>
      <c r="M416" s="6" t="s">
        <v>2526</v>
      </c>
    </row>
    <row r="417" spans="1:13" ht="13" x14ac:dyDescent="0.15">
      <c r="A417" s="5" t="str">
        <f>HYPERLINK("https://onemount.atlassian.net/browse/DBA-5514","DBA-5514")</f>
        <v>DBA-5514</v>
      </c>
      <c r="B417" s="6" t="s">
        <v>21</v>
      </c>
      <c r="C417" s="6" t="s">
        <v>2527</v>
      </c>
      <c r="D417" s="8" t="s">
        <v>17</v>
      </c>
      <c r="E417" s="6" t="s">
        <v>23</v>
      </c>
      <c r="F417" s="6" t="s">
        <v>24</v>
      </c>
      <c r="G417" s="6" t="s">
        <v>2528</v>
      </c>
      <c r="H417" s="10">
        <v>46238</v>
      </c>
      <c r="I417" s="6" t="s">
        <v>2529</v>
      </c>
      <c r="J417" s="6" t="s">
        <v>621</v>
      </c>
      <c r="K417" s="6" t="s">
        <v>55</v>
      </c>
      <c r="L417" s="6" t="s">
        <v>85</v>
      </c>
      <c r="M417" s="6" t="s">
        <v>2530</v>
      </c>
    </row>
    <row r="418" spans="1:13" ht="13" x14ac:dyDescent="0.15">
      <c r="A418" s="5" t="str">
        <f>HYPERLINK("https://onemount.atlassian.net/browse/DBA-5513","DBA-5513")</f>
        <v>DBA-5513</v>
      </c>
      <c r="B418" s="6" t="s">
        <v>21</v>
      </c>
      <c r="C418" s="6" t="s">
        <v>2531</v>
      </c>
      <c r="D418" s="8" t="s">
        <v>17</v>
      </c>
      <c r="E418" s="6" t="s">
        <v>23</v>
      </c>
      <c r="F418" s="6" t="s">
        <v>24</v>
      </c>
      <c r="G418" s="6" t="s">
        <v>2532</v>
      </c>
      <c r="H418" s="10">
        <v>46237</v>
      </c>
      <c r="I418" s="6" t="s">
        <v>2533</v>
      </c>
      <c r="J418" s="6" t="s">
        <v>88</v>
      </c>
      <c r="K418" s="6" t="s">
        <v>59</v>
      </c>
      <c r="L418" s="6" t="s">
        <v>88</v>
      </c>
      <c r="M418" s="6" t="s">
        <v>2534</v>
      </c>
    </row>
    <row r="419" spans="1:13" ht="13" x14ac:dyDescent="0.15">
      <c r="A419" s="5" t="str">
        <f>HYPERLINK("https://onemount.atlassian.net/browse/DBA-5512","DBA-5512")</f>
        <v>DBA-5512</v>
      </c>
      <c r="B419" s="6" t="s">
        <v>21</v>
      </c>
      <c r="C419" s="6" t="s">
        <v>2535</v>
      </c>
      <c r="D419" s="8" t="s">
        <v>17</v>
      </c>
      <c r="E419" s="6" t="s">
        <v>23</v>
      </c>
      <c r="F419" s="6" t="s">
        <v>52</v>
      </c>
      <c r="G419" s="6" t="s">
        <v>2536</v>
      </c>
      <c r="H419" s="10">
        <v>46235</v>
      </c>
      <c r="I419" s="6" t="s">
        <v>2537</v>
      </c>
      <c r="J419" s="6" t="s">
        <v>676</v>
      </c>
      <c r="K419" s="6" t="s">
        <v>137</v>
      </c>
      <c r="L419" s="6" t="s">
        <v>222</v>
      </c>
      <c r="M419" s="6" t="s">
        <v>2538</v>
      </c>
    </row>
    <row r="420" spans="1:13" ht="13" x14ac:dyDescent="0.15">
      <c r="A420" s="5" t="str">
        <f>HYPERLINK("https://onemount.atlassian.net/browse/DBA-5511","DBA-5511")</f>
        <v>DBA-5511</v>
      </c>
      <c r="B420" s="6" t="s">
        <v>21</v>
      </c>
      <c r="C420" s="6" t="s">
        <v>390</v>
      </c>
      <c r="D420" s="8" t="s">
        <v>17</v>
      </c>
      <c r="E420" s="6" t="s">
        <v>23</v>
      </c>
      <c r="F420" s="6" t="s">
        <v>52</v>
      </c>
      <c r="G420" s="6" t="s">
        <v>2539</v>
      </c>
      <c r="H420" s="10">
        <v>46234</v>
      </c>
      <c r="I420" s="6" t="s">
        <v>2540</v>
      </c>
      <c r="J420" s="6" t="s">
        <v>88</v>
      </c>
      <c r="K420" s="6" t="s">
        <v>59</v>
      </c>
      <c r="L420" s="6" t="s">
        <v>88</v>
      </c>
      <c r="M420" s="6" t="s">
        <v>2541</v>
      </c>
    </row>
    <row r="421" spans="1:13" ht="13" x14ac:dyDescent="0.15">
      <c r="A421" s="5" t="str">
        <f>HYPERLINK("https://onemount.atlassian.net/browse/DBA-5510","DBA-5510")</f>
        <v>DBA-5510</v>
      </c>
      <c r="B421" s="6" t="s">
        <v>21</v>
      </c>
      <c r="C421" s="6" t="s">
        <v>2542</v>
      </c>
      <c r="D421" s="8" t="s">
        <v>17</v>
      </c>
      <c r="E421" s="6" t="s">
        <v>23</v>
      </c>
      <c r="F421" s="6" t="s">
        <v>78</v>
      </c>
      <c r="G421" s="6" t="s">
        <v>2543</v>
      </c>
      <c r="H421" s="10">
        <v>46242</v>
      </c>
      <c r="I421" s="6" t="s">
        <v>2544</v>
      </c>
      <c r="J421" s="6" t="s">
        <v>109</v>
      </c>
      <c r="K421" s="6" t="s">
        <v>46</v>
      </c>
      <c r="L421" s="6" t="s">
        <v>109</v>
      </c>
      <c r="M421" s="6" t="s">
        <v>2545</v>
      </c>
    </row>
    <row r="422" spans="1:13" ht="13" x14ac:dyDescent="0.15">
      <c r="A422" s="5" t="str">
        <f>HYPERLINK("https://onemount.atlassian.net/browse/DBA-5509","DBA-5509")</f>
        <v>DBA-5509</v>
      </c>
      <c r="B422" s="6" t="s">
        <v>21</v>
      </c>
      <c r="C422" s="6" t="s">
        <v>2546</v>
      </c>
      <c r="D422" s="8" t="s">
        <v>17</v>
      </c>
      <c r="E422" s="6" t="s">
        <v>23</v>
      </c>
      <c r="F422" s="6" t="s">
        <v>78</v>
      </c>
      <c r="G422" s="6" t="s">
        <v>2547</v>
      </c>
      <c r="H422" s="10">
        <v>46240</v>
      </c>
      <c r="I422" s="6" t="s">
        <v>2548</v>
      </c>
      <c r="J422" s="6" t="s">
        <v>109</v>
      </c>
      <c r="K422" s="6" t="s">
        <v>46</v>
      </c>
      <c r="L422" s="6" t="s">
        <v>109</v>
      </c>
      <c r="M422" s="6" t="s">
        <v>2549</v>
      </c>
    </row>
    <row r="423" spans="1:13" ht="13" x14ac:dyDescent="0.15">
      <c r="A423" s="5" t="str">
        <f>HYPERLINK("https://onemount.atlassian.net/browse/DBA-5508","DBA-5508")</f>
        <v>DBA-5508</v>
      </c>
      <c r="B423" s="6" t="s">
        <v>21</v>
      </c>
      <c r="C423" s="6" t="s">
        <v>2550</v>
      </c>
      <c r="D423" s="8" t="s">
        <v>17</v>
      </c>
      <c r="E423" s="6" t="s">
        <v>23</v>
      </c>
      <c r="F423" s="6" t="s">
        <v>78</v>
      </c>
      <c r="G423" s="6" t="s">
        <v>2551</v>
      </c>
      <c r="H423" s="10">
        <v>46235</v>
      </c>
      <c r="I423" s="6" t="s">
        <v>2552</v>
      </c>
      <c r="J423" s="6" t="s">
        <v>109</v>
      </c>
      <c r="K423" s="6" t="s">
        <v>46</v>
      </c>
      <c r="L423" s="6" t="s">
        <v>109</v>
      </c>
      <c r="M423" s="6" t="s">
        <v>2553</v>
      </c>
    </row>
    <row r="424" spans="1:13" ht="13" x14ac:dyDescent="0.15">
      <c r="A424" s="5" t="str">
        <f>HYPERLINK("https://onemount.atlassian.net/browse/DBA-5507","DBA-5507")</f>
        <v>DBA-5507</v>
      </c>
      <c r="B424" s="6" t="s">
        <v>21</v>
      </c>
      <c r="C424" s="6" t="s">
        <v>2554</v>
      </c>
      <c r="D424" s="8" t="s">
        <v>17</v>
      </c>
      <c r="E424" s="6" t="s">
        <v>23</v>
      </c>
      <c r="F424" s="6" t="s">
        <v>31</v>
      </c>
      <c r="G424" s="6" t="s">
        <v>2555</v>
      </c>
      <c r="H424" s="10">
        <v>46235</v>
      </c>
      <c r="I424" s="6" t="s">
        <v>2556</v>
      </c>
      <c r="J424" s="6" t="s">
        <v>510</v>
      </c>
      <c r="K424" s="6" t="s">
        <v>46</v>
      </c>
      <c r="L424" s="6" t="s">
        <v>77</v>
      </c>
      <c r="M424" s="6" t="s">
        <v>2557</v>
      </c>
    </row>
    <row r="425" spans="1:13" ht="13" x14ac:dyDescent="0.15">
      <c r="A425" s="5" t="str">
        <f>HYPERLINK("https://onemount.atlassian.net/browse/DBA-5506","DBA-5506")</f>
        <v>DBA-5506</v>
      </c>
      <c r="B425" s="6" t="s">
        <v>21</v>
      </c>
      <c r="C425" s="6" t="s">
        <v>2558</v>
      </c>
      <c r="D425" s="8" t="s">
        <v>17</v>
      </c>
      <c r="E425" s="6" t="s">
        <v>23</v>
      </c>
      <c r="F425" s="6" t="s">
        <v>78</v>
      </c>
      <c r="G425" s="6" t="s">
        <v>2559</v>
      </c>
      <c r="H425" s="10">
        <v>46235</v>
      </c>
      <c r="I425" s="6" t="s">
        <v>2560</v>
      </c>
      <c r="J425" s="6" t="s">
        <v>109</v>
      </c>
      <c r="K425" s="6" t="s">
        <v>46</v>
      </c>
      <c r="L425" s="6" t="s">
        <v>109</v>
      </c>
      <c r="M425" s="6" t="s">
        <v>2561</v>
      </c>
    </row>
    <row r="426" spans="1:13" ht="13" x14ac:dyDescent="0.15">
      <c r="A426" s="5" t="str">
        <f>HYPERLINK("https://onemount.atlassian.net/browse/DBA-5505","DBA-5505")</f>
        <v>DBA-5505</v>
      </c>
      <c r="B426" s="6" t="s">
        <v>21</v>
      </c>
      <c r="C426" s="6" t="s">
        <v>2562</v>
      </c>
      <c r="D426" s="8" t="s">
        <v>17</v>
      </c>
      <c r="E426" s="6" t="s">
        <v>23</v>
      </c>
      <c r="F426" s="6" t="s">
        <v>78</v>
      </c>
      <c r="G426" s="6" t="s">
        <v>2563</v>
      </c>
      <c r="H426" s="10">
        <v>46235</v>
      </c>
      <c r="I426" s="6" t="s">
        <v>2564</v>
      </c>
      <c r="J426" s="6" t="s">
        <v>1513</v>
      </c>
      <c r="K426" s="6" t="s">
        <v>46</v>
      </c>
      <c r="L426" s="6" t="s">
        <v>109</v>
      </c>
      <c r="M426" s="6" t="s">
        <v>2565</v>
      </c>
    </row>
    <row r="427" spans="1:13" ht="13" x14ac:dyDescent="0.15">
      <c r="A427" s="5" t="str">
        <f>HYPERLINK("https://onemount.atlassian.net/browse/DBA-5504","DBA-5504")</f>
        <v>DBA-5504</v>
      </c>
      <c r="B427" s="6" t="s">
        <v>21</v>
      </c>
      <c r="C427" s="6" t="s">
        <v>2566</v>
      </c>
      <c r="D427" s="8" t="s">
        <v>17</v>
      </c>
      <c r="E427" s="6" t="s">
        <v>23</v>
      </c>
      <c r="F427" s="6" t="s">
        <v>52</v>
      </c>
      <c r="G427" s="6" t="s">
        <v>2567</v>
      </c>
      <c r="H427" s="10">
        <v>46234</v>
      </c>
      <c r="I427" s="6" t="s">
        <v>2568</v>
      </c>
      <c r="J427" s="6" t="s">
        <v>85</v>
      </c>
      <c r="K427" s="6" t="s">
        <v>55</v>
      </c>
      <c r="L427" s="6" t="s">
        <v>85</v>
      </c>
      <c r="M427" s="6" t="s">
        <v>2569</v>
      </c>
    </row>
    <row r="428" spans="1:13" ht="13" x14ac:dyDescent="0.15">
      <c r="A428" s="5" t="str">
        <f>HYPERLINK("https://onemount.atlassian.net/browse/DBA-5503","DBA-5503")</f>
        <v>DBA-5503</v>
      </c>
      <c r="B428" s="6" t="s">
        <v>21</v>
      </c>
      <c r="C428" s="6" t="s">
        <v>390</v>
      </c>
      <c r="D428" s="8" t="s">
        <v>17</v>
      </c>
      <c r="E428" s="6" t="s">
        <v>23</v>
      </c>
      <c r="F428" s="6" t="s">
        <v>52</v>
      </c>
      <c r="G428" s="6" t="s">
        <v>2570</v>
      </c>
      <c r="H428" s="10">
        <v>46234</v>
      </c>
      <c r="I428" s="6" t="s">
        <v>2571</v>
      </c>
      <c r="J428" s="6" t="s">
        <v>88</v>
      </c>
      <c r="K428" s="6" t="s">
        <v>59</v>
      </c>
      <c r="L428" s="6" t="s">
        <v>88</v>
      </c>
      <c r="M428" s="6" t="s">
        <v>2572</v>
      </c>
    </row>
    <row r="429" spans="1:13" ht="13" x14ac:dyDescent="0.15">
      <c r="A429" s="5" t="str">
        <f>HYPERLINK("https://onemount.atlassian.net/browse/DBA-5502","DBA-5502")</f>
        <v>DBA-5502</v>
      </c>
      <c r="B429" s="6" t="s">
        <v>21</v>
      </c>
      <c r="C429" s="6" t="s">
        <v>2573</v>
      </c>
      <c r="D429" s="8" t="s">
        <v>17</v>
      </c>
      <c r="E429" s="6" t="s">
        <v>23</v>
      </c>
      <c r="F429" s="6" t="s">
        <v>24</v>
      </c>
      <c r="G429" s="6" t="s">
        <v>2574</v>
      </c>
      <c r="H429" s="10">
        <v>46233</v>
      </c>
      <c r="I429" s="6" t="s">
        <v>2575</v>
      </c>
      <c r="J429" s="6" t="s">
        <v>88</v>
      </c>
      <c r="K429" s="6" t="s">
        <v>59</v>
      </c>
      <c r="L429" s="6" t="s">
        <v>88</v>
      </c>
      <c r="M429" s="6" t="s">
        <v>2576</v>
      </c>
    </row>
    <row r="430" spans="1:13" ht="13" x14ac:dyDescent="0.15">
      <c r="A430" s="5" t="str">
        <f>HYPERLINK("https://onemount.atlassian.net/browse/DBA-5501","DBA-5501")</f>
        <v>DBA-5501</v>
      </c>
      <c r="B430" s="6" t="s">
        <v>21</v>
      </c>
      <c r="C430" s="6" t="s">
        <v>2577</v>
      </c>
      <c r="D430" s="8" t="s">
        <v>17</v>
      </c>
      <c r="E430" s="6" t="s">
        <v>23</v>
      </c>
      <c r="F430" s="6" t="s">
        <v>24</v>
      </c>
      <c r="G430" s="6" t="s">
        <v>2578</v>
      </c>
      <c r="H430" s="10">
        <v>46234</v>
      </c>
      <c r="I430" s="6" t="s">
        <v>2579</v>
      </c>
      <c r="J430" s="6" t="s">
        <v>855</v>
      </c>
      <c r="K430" s="6" t="s">
        <v>55</v>
      </c>
      <c r="L430" s="6" t="s">
        <v>855</v>
      </c>
      <c r="M430" s="6" t="s">
        <v>2580</v>
      </c>
    </row>
    <row r="431" spans="1:13" ht="13" x14ac:dyDescent="0.15">
      <c r="A431" s="5" t="str">
        <f>HYPERLINK("https://onemount.atlassian.net/browse/DBA-5500","DBA-5500")</f>
        <v>DBA-5500</v>
      </c>
      <c r="B431" s="6" t="s">
        <v>21</v>
      </c>
      <c r="C431" s="6" t="s">
        <v>2581</v>
      </c>
      <c r="D431" s="8" t="s">
        <v>17</v>
      </c>
      <c r="E431" s="6" t="s">
        <v>23</v>
      </c>
      <c r="F431" s="6" t="s">
        <v>31</v>
      </c>
      <c r="G431" s="6" t="s">
        <v>2582</v>
      </c>
      <c r="H431" s="10">
        <v>46233</v>
      </c>
      <c r="I431" s="6" t="s">
        <v>2583</v>
      </c>
      <c r="J431" s="6" t="s">
        <v>489</v>
      </c>
      <c r="K431" s="6" t="s">
        <v>35</v>
      </c>
      <c r="L431" s="6" t="s">
        <v>1211</v>
      </c>
      <c r="M431" s="6" t="s">
        <v>2584</v>
      </c>
    </row>
    <row r="432" spans="1:13" ht="13" x14ac:dyDescent="0.15">
      <c r="A432" s="5" t="str">
        <f>HYPERLINK("https://onemount.atlassian.net/browse/DBA-5499","DBA-5499")</f>
        <v>DBA-5499</v>
      </c>
      <c r="B432" s="6" t="s">
        <v>21</v>
      </c>
      <c r="C432" s="6" t="s">
        <v>2585</v>
      </c>
      <c r="D432" s="8" t="s">
        <v>17</v>
      </c>
      <c r="E432" s="6" t="s">
        <v>23</v>
      </c>
      <c r="F432" s="6" t="s">
        <v>31</v>
      </c>
      <c r="G432" s="6" t="s">
        <v>2586</v>
      </c>
      <c r="H432" s="10">
        <v>46234</v>
      </c>
      <c r="I432" s="6" t="s">
        <v>2587</v>
      </c>
      <c r="J432" s="6" t="s">
        <v>181</v>
      </c>
      <c r="K432" s="6" t="s">
        <v>35</v>
      </c>
      <c r="L432" s="6" t="s">
        <v>36</v>
      </c>
      <c r="M432" s="6" t="s">
        <v>2588</v>
      </c>
    </row>
    <row r="433" spans="1:13" ht="13" x14ac:dyDescent="0.15">
      <c r="A433" s="5" t="str">
        <f>HYPERLINK("https://onemount.atlassian.net/browse/DBA-5498","DBA-5498")</f>
        <v>DBA-5498</v>
      </c>
      <c r="B433" s="6" t="s">
        <v>21</v>
      </c>
      <c r="C433" s="6" t="s">
        <v>2589</v>
      </c>
      <c r="D433" s="8" t="s">
        <v>17</v>
      </c>
      <c r="E433" s="6" t="s">
        <v>23</v>
      </c>
      <c r="F433" s="6" t="s">
        <v>24</v>
      </c>
      <c r="G433" s="6" t="s">
        <v>2590</v>
      </c>
      <c r="H433" s="10">
        <v>46233</v>
      </c>
      <c r="I433" s="6" t="s">
        <v>2591</v>
      </c>
      <c r="J433" s="6" t="s">
        <v>93</v>
      </c>
      <c r="K433" s="6" t="s">
        <v>55</v>
      </c>
      <c r="L433" s="6" t="s">
        <v>93</v>
      </c>
      <c r="M433" s="6" t="s">
        <v>2592</v>
      </c>
    </row>
    <row r="434" spans="1:13" ht="13" x14ac:dyDescent="0.15">
      <c r="A434" s="5" t="str">
        <f>HYPERLINK("https://onemount.atlassian.net/browse/DBA-5497","DBA-5497")</f>
        <v>DBA-5497</v>
      </c>
      <c r="B434" s="6" t="s">
        <v>21</v>
      </c>
      <c r="C434" s="6" t="s">
        <v>2593</v>
      </c>
      <c r="D434" s="8" t="s">
        <v>17</v>
      </c>
      <c r="E434" s="6" t="s">
        <v>23</v>
      </c>
      <c r="F434" s="6" t="s">
        <v>24</v>
      </c>
      <c r="G434" s="6" t="s">
        <v>2594</v>
      </c>
      <c r="H434" s="10">
        <v>46234</v>
      </c>
      <c r="I434" s="6" t="s">
        <v>2595</v>
      </c>
      <c r="J434" s="6" t="s">
        <v>56</v>
      </c>
      <c r="K434" s="6" t="s">
        <v>55</v>
      </c>
      <c r="L434" s="6" t="s">
        <v>56</v>
      </c>
      <c r="M434" s="6" t="s">
        <v>2596</v>
      </c>
    </row>
    <row r="435" spans="1:13" ht="13" x14ac:dyDescent="0.15">
      <c r="A435" s="5" t="str">
        <f>HYPERLINK("https://onemount.atlassian.net/browse/DBA-5496","DBA-5496")</f>
        <v>DBA-5496</v>
      </c>
      <c r="B435" s="6" t="s">
        <v>21</v>
      </c>
      <c r="C435" s="6" t="s">
        <v>2597</v>
      </c>
      <c r="D435" s="8" t="s">
        <v>17</v>
      </c>
      <c r="E435" s="6" t="s">
        <v>23</v>
      </c>
      <c r="F435" s="6" t="s">
        <v>24</v>
      </c>
      <c r="G435" s="6" t="s">
        <v>2598</v>
      </c>
      <c r="H435" s="10">
        <v>46234</v>
      </c>
      <c r="I435" s="6" t="s">
        <v>2599</v>
      </c>
      <c r="J435" s="6" t="s">
        <v>85</v>
      </c>
      <c r="K435" s="6" t="s">
        <v>55</v>
      </c>
      <c r="L435" s="6" t="s">
        <v>85</v>
      </c>
      <c r="M435" s="6" t="s">
        <v>2600</v>
      </c>
    </row>
    <row r="436" spans="1:13" ht="13" x14ac:dyDescent="0.15">
      <c r="A436" s="5" t="str">
        <f>HYPERLINK("https://onemount.atlassian.net/browse/DBA-5495","DBA-5495")</f>
        <v>DBA-5495</v>
      </c>
      <c r="B436" s="6" t="s">
        <v>21</v>
      </c>
      <c r="C436" s="6" t="s">
        <v>2601</v>
      </c>
      <c r="D436" s="8" t="s">
        <v>17</v>
      </c>
      <c r="E436" s="6" t="s">
        <v>23</v>
      </c>
      <c r="F436" s="6" t="s">
        <v>24</v>
      </c>
      <c r="G436" s="6" t="s">
        <v>2602</v>
      </c>
      <c r="H436" s="10">
        <v>46232</v>
      </c>
      <c r="I436" s="6" t="s">
        <v>2603</v>
      </c>
      <c r="J436" s="6" t="s">
        <v>621</v>
      </c>
      <c r="K436" s="6" t="s">
        <v>55</v>
      </c>
      <c r="L436" s="6" t="s">
        <v>85</v>
      </c>
      <c r="M436" s="6" t="s">
        <v>2604</v>
      </c>
    </row>
    <row r="437" spans="1:13" ht="13" x14ac:dyDescent="0.15">
      <c r="A437" s="5" t="str">
        <f>HYPERLINK("https://onemount.atlassian.net/browse/DBA-5494","DBA-5494")</f>
        <v>DBA-5494</v>
      </c>
      <c r="B437" s="6" t="s">
        <v>21</v>
      </c>
      <c r="C437" s="6" t="s">
        <v>2605</v>
      </c>
      <c r="D437" s="8" t="s">
        <v>17</v>
      </c>
      <c r="E437" s="6" t="s">
        <v>23</v>
      </c>
      <c r="F437" s="6" t="s">
        <v>52</v>
      </c>
      <c r="G437" s="6" t="s">
        <v>2606</v>
      </c>
      <c r="H437" s="10">
        <v>46232</v>
      </c>
      <c r="I437" s="6" t="s">
        <v>2607</v>
      </c>
      <c r="J437" s="6" t="s">
        <v>55</v>
      </c>
      <c r="K437" s="6" t="s">
        <v>55</v>
      </c>
      <c r="L437" s="6" t="s">
        <v>55</v>
      </c>
      <c r="M437" s="6" t="s">
        <v>2608</v>
      </c>
    </row>
    <row r="438" spans="1:13" ht="13" x14ac:dyDescent="0.15">
      <c r="A438" s="5" t="str">
        <f>HYPERLINK("https://onemount.atlassian.net/browse/DBA-5493","DBA-5493")</f>
        <v>DBA-5493</v>
      </c>
      <c r="B438" s="6" t="s">
        <v>21</v>
      </c>
      <c r="C438" s="6" t="s">
        <v>2609</v>
      </c>
      <c r="D438" s="8" t="s">
        <v>17</v>
      </c>
      <c r="E438" s="6" t="s">
        <v>23</v>
      </c>
      <c r="F438" s="6" t="s">
        <v>31</v>
      </c>
      <c r="G438" s="6" t="s">
        <v>2610</v>
      </c>
      <c r="H438" s="10">
        <v>46232</v>
      </c>
      <c r="I438" s="6" t="s">
        <v>2611</v>
      </c>
      <c r="J438" s="6" t="s">
        <v>636</v>
      </c>
      <c r="K438" s="6" t="s">
        <v>35</v>
      </c>
      <c r="L438" s="6" t="s">
        <v>692</v>
      </c>
      <c r="M438" s="6" t="s">
        <v>2612</v>
      </c>
    </row>
    <row r="439" spans="1:13" ht="13" x14ac:dyDescent="0.15">
      <c r="A439" s="5" t="str">
        <f>HYPERLINK("https://onemount.atlassian.net/browse/DBA-5492","DBA-5492")</f>
        <v>DBA-5492</v>
      </c>
      <c r="B439" s="6" t="s">
        <v>21</v>
      </c>
      <c r="C439" s="6" t="s">
        <v>2613</v>
      </c>
      <c r="D439" s="8" t="s">
        <v>17</v>
      </c>
      <c r="E439" s="6" t="s">
        <v>23</v>
      </c>
      <c r="F439" s="6" t="s">
        <v>52</v>
      </c>
      <c r="G439" s="6" t="s">
        <v>2614</v>
      </c>
      <c r="H439" s="10">
        <v>46233</v>
      </c>
      <c r="I439" s="6" t="s">
        <v>2615</v>
      </c>
      <c r="J439" s="6" t="s">
        <v>621</v>
      </c>
      <c r="K439" s="6" t="s">
        <v>55</v>
      </c>
      <c r="L439" s="6" t="s">
        <v>85</v>
      </c>
      <c r="M439" s="6" t="s">
        <v>2616</v>
      </c>
    </row>
    <row r="440" spans="1:13" ht="13" x14ac:dyDescent="0.15">
      <c r="A440" s="5" t="str">
        <f>HYPERLINK("https://onemount.atlassian.net/browse/DBA-5491","DBA-5491")</f>
        <v>DBA-5491</v>
      </c>
      <c r="B440" s="6" t="s">
        <v>21</v>
      </c>
      <c r="C440" s="6" t="s">
        <v>2617</v>
      </c>
      <c r="D440" s="8" t="s">
        <v>17</v>
      </c>
      <c r="E440" s="6" t="s">
        <v>23</v>
      </c>
      <c r="F440" s="6" t="s">
        <v>31</v>
      </c>
      <c r="G440" s="6" t="s">
        <v>2618</v>
      </c>
      <c r="H440" s="10">
        <v>46233</v>
      </c>
      <c r="I440" s="6" t="s">
        <v>2619</v>
      </c>
      <c r="J440" s="6" t="s">
        <v>628</v>
      </c>
      <c r="K440" s="6" t="s">
        <v>46</v>
      </c>
      <c r="L440" s="6" t="s">
        <v>119</v>
      </c>
      <c r="M440" s="6" t="s">
        <v>2620</v>
      </c>
    </row>
    <row r="441" spans="1:13" ht="13" x14ac:dyDescent="0.15">
      <c r="A441" s="5" t="str">
        <f>HYPERLINK("https://onemount.atlassian.net/browse/DBA-5490","DBA-5490")</f>
        <v>DBA-5490</v>
      </c>
      <c r="B441" s="6" t="s">
        <v>21</v>
      </c>
      <c r="C441" s="6" t="s">
        <v>2621</v>
      </c>
      <c r="D441" s="8" t="s">
        <v>17</v>
      </c>
      <c r="E441" s="6" t="s">
        <v>23</v>
      </c>
      <c r="F441" s="6" t="s">
        <v>52</v>
      </c>
      <c r="G441" s="6" t="s">
        <v>2622</v>
      </c>
      <c r="H441" s="10">
        <v>46232</v>
      </c>
      <c r="I441" s="6" t="s">
        <v>2623</v>
      </c>
      <c r="J441" s="6" t="s">
        <v>55</v>
      </c>
      <c r="K441" s="6" t="s">
        <v>55</v>
      </c>
      <c r="L441" s="6" t="s">
        <v>55</v>
      </c>
      <c r="M441" s="6" t="s">
        <v>2624</v>
      </c>
    </row>
    <row r="442" spans="1:13" ht="13" x14ac:dyDescent="0.15">
      <c r="A442" s="5" t="str">
        <f>HYPERLINK("https://onemount.atlassian.net/browse/DBA-5489","DBA-5489")</f>
        <v>DBA-5489</v>
      </c>
      <c r="B442" s="6" t="s">
        <v>21</v>
      </c>
      <c r="C442" s="6" t="s">
        <v>2625</v>
      </c>
      <c r="D442" s="8" t="s">
        <v>17</v>
      </c>
      <c r="E442" s="6" t="s">
        <v>23</v>
      </c>
      <c r="F442" s="6" t="s">
        <v>52</v>
      </c>
      <c r="G442" s="6" t="s">
        <v>2626</v>
      </c>
      <c r="H442" s="10">
        <v>46233</v>
      </c>
      <c r="I442" s="6" t="s">
        <v>2627</v>
      </c>
      <c r="J442" s="6" t="s">
        <v>2153</v>
      </c>
      <c r="K442" s="6" t="s">
        <v>55</v>
      </c>
      <c r="L442" s="6" t="s">
        <v>891</v>
      </c>
      <c r="M442" s="6" t="s">
        <v>2628</v>
      </c>
    </row>
    <row r="443" spans="1:13" ht="13" x14ac:dyDescent="0.15">
      <c r="A443" s="5" t="str">
        <f>HYPERLINK("https://onemount.atlassian.net/browse/DBA-5488","DBA-5488")</f>
        <v>DBA-5488</v>
      </c>
      <c r="B443" s="6" t="s">
        <v>21</v>
      </c>
      <c r="C443" s="6" t="s">
        <v>2629</v>
      </c>
      <c r="D443" s="8" t="s">
        <v>17</v>
      </c>
      <c r="E443" s="6" t="s">
        <v>23</v>
      </c>
      <c r="F443" s="6" t="s">
        <v>41</v>
      </c>
      <c r="G443" s="6" t="s">
        <v>2630</v>
      </c>
      <c r="H443" s="10">
        <v>46233</v>
      </c>
      <c r="I443" s="6" t="s">
        <v>2631</v>
      </c>
      <c r="J443" s="6" t="s">
        <v>27</v>
      </c>
      <c r="K443" s="6" t="s">
        <v>28</v>
      </c>
      <c r="L443" s="6" t="s">
        <v>27</v>
      </c>
      <c r="M443" s="6" t="s">
        <v>2632</v>
      </c>
    </row>
    <row r="444" spans="1:13" ht="13" x14ac:dyDescent="0.15">
      <c r="A444" s="5" t="str">
        <f>HYPERLINK("https://onemount.atlassian.net/browse/DBA-5487","DBA-5487")</f>
        <v>DBA-5487</v>
      </c>
      <c r="B444" s="6" t="s">
        <v>21</v>
      </c>
      <c r="C444" s="6" t="s">
        <v>2633</v>
      </c>
      <c r="D444" s="8" t="s">
        <v>17</v>
      </c>
      <c r="E444" s="6" t="s">
        <v>23</v>
      </c>
      <c r="F444" s="6" t="s">
        <v>24</v>
      </c>
      <c r="G444" s="6" t="s">
        <v>2634</v>
      </c>
      <c r="H444" s="10">
        <v>46231</v>
      </c>
      <c r="I444" s="6" t="s">
        <v>2635</v>
      </c>
      <c r="J444" s="6" t="s">
        <v>270</v>
      </c>
      <c r="K444" s="6" t="s">
        <v>55</v>
      </c>
      <c r="L444" s="6" t="s">
        <v>270</v>
      </c>
      <c r="M444" s="6" t="s">
        <v>2636</v>
      </c>
    </row>
    <row r="445" spans="1:13" ht="13" x14ac:dyDescent="0.15">
      <c r="A445" s="5" t="str">
        <f>HYPERLINK("https://onemount.atlassian.net/browse/DBA-5486","DBA-5486")</f>
        <v>DBA-5486</v>
      </c>
      <c r="B445" s="6" t="s">
        <v>21</v>
      </c>
      <c r="C445" s="6" t="s">
        <v>2637</v>
      </c>
      <c r="D445" s="8" t="s">
        <v>17</v>
      </c>
      <c r="E445" s="6" t="s">
        <v>23</v>
      </c>
      <c r="F445" s="6" t="s">
        <v>31</v>
      </c>
      <c r="G445" s="6" t="s">
        <v>2638</v>
      </c>
      <c r="H445" s="10">
        <v>46231</v>
      </c>
      <c r="I445" s="6" t="s">
        <v>2639</v>
      </c>
      <c r="J445" s="6" t="s">
        <v>628</v>
      </c>
      <c r="K445" s="6" t="s">
        <v>46</v>
      </c>
      <c r="L445" s="6" t="s">
        <v>119</v>
      </c>
      <c r="M445" s="6" t="s">
        <v>2640</v>
      </c>
    </row>
    <row r="446" spans="1:13" ht="13" x14ac:dyDescent="0.15">
      <c r="A446" s="5" t="str">
        <f>HYPERLINK("https://onemount.atlassian.net/browse/DBA-5485","DBA-5485")</f>
        <v>DBA-5485</v>
      </c>
      <c r="B446" s="6" t="s">
        <v>21</v>
      </c>
      <c r="C446" s="6" t="s">
        <v>2641</v>
      </c>
      <c r="D446" s="8" t="s">
        <v>17</v>
      </c>
      <c r="E446" s="6" t="s">
        <v>23</v>
      </c>
      <c r="F446" s="6" t="s">
        <v>24</v>
      </c>
      <c r="G446" s="6" t="s">
        <v>2642</v>
      </c>
      <c r="H446" s="10">
        <v>46230</v>
      </c>
      <c r="I446" s="6" t="s">
        <v>2643</v>
      </c>
      <c r="J446" s="6" t="s">
        <v>93</v>
      </c>
      <c r="K446" s="6" t="s">
        <v>55</v>
      </c>
      <c r="L446" s="6" t="s">
        <v>956</v>
      </c>
      <c r="M446" s="6" t="s">
        <v>2644</v>
      </c>
    </row>
    <row r="447" spans="1:13" ht="13" x14ac:dyDescent="0.15">
      <c r="A447" s="5" t="str">
        <f>HYPERLINK("https://onemount.atlassian.net/browse/DBA-5484","DBA-5484")</f>
        <v>DBA-5484</v>
      </c>
      <c r="B447" s="6" t="s">
        <v>21</v>
      </c>
      <c r="C447" s="6" t="s">
        <v>329</v>
      </c>
      <c r="D447" s="8" t="s">
        <v>17</v>
      </c>
      <c r="E447" s="6" t="s">
        <v>23</v>
      </c>
      <c r="F447" s="6" t="s">
        <v>24</v>
      </c>
      <c r="G447" s="6" t="s">
        <v>2645</v>
      </c>
      <c r="H447" s="10">
        <v>46230</v>
      </c>
      <c r="I447" s="6" t="s">
        <v>2646</v>
      </c>
      <c r="J447" s="6" t="s">
        <v>39</v>
      </c>
      <c r="K447" s="6" t="s">
        <v>165</v>
      </c>
      <c r="L447" s="6" t="s">
        <v>39</v>
      </c>
      <c r="M447" s="6" t="s">
        <v>2647</v>
      </c>
    </row>
    <row r="448" spans="1:13" ht="13" x14ac:dyDescent="0.15">
      <c r="A448" s="5" t="str">
        <f>HYPERLINK("https://onemount.atlassian.net/browse/DBA-5483","DBA-5483")</f>
        <v>DBA-5483</v>
      </c>
      <c r="B448" s="6" t="s">
        <v>21</v>
      </c>
      <c r="C448" s="6" t="s">
        <v>329</v>
      </c>
      <c r="D448" s="8" t="s">
        <v>17</v>
      </c>
      <c r="E448" s="6" t="s">
        <v>23</v>
      </c>
      <c r="F448" s="6" t="s">
        <v>24</v>
      </c>
      <c r="G448" s="6" t="s">
        <v>2648</v>
      </c>
      <c r="H448" s="10">
        <v>46230</v>
      </c>
      <c r="I448" s="6" t="s">
        <v>2649</v>
      </c>
      <c r="J448" s="6" t="s">
        <v>39</v>
      </c>
      <c r="K448" s="6" t="s">
        <v>165</v>
      </c>
      <c r="L448" s="6" t="s">
        <v>39</v>
      </c>
      <c r="M448" s="6" t="s">
        <v>2650</v>
      </c>
    </row>
    <row r="449" spans="1:13" ht="13" x14ac:dyDescent="0.15">
      <c r="A449" s="5" t="str">
        <f>HYPERLINK("https://onemount.atlassian.net/browse/DBA-5482","DBA-5482")</f>
        <v>DBA-5482</v>
      </c>
      <c r="B449" s="6" t="s">
        <v>21</v>
      </c>
      <c r="C449" s="6" t="s">
        <v>2651</v>
      </c>
      <c r="D449" s="8" t="s">
        <v>17</v>
      </c>
      <c r="E449" s="6" t="s">
        <v>23</v>
      </c>
      <c r="F449" s="6" t="s">
        <v>24</v>
      </c>
      <c r="G449" s="6" t="s">
        <v>2652</v>
      </c>
      <c r="H449" s="10">
        <v>46230</v>
      </c>
      <c r="I449" s="6" t="s">
        <v>2653</v>
      </c>
      <c r="J449" s="6" t="s">
        <v>39</v>
      </c>
      <c r="K449" s="6" t="s">
        <v>165</v>
      </c>
      <c r="L449" s="6" t="s">
        <v>145</v>
      </c>
      <c r="M449" s="6" t="s">
        <v>2654</v>
      </c>
    </row>
    <row r="450" spans="1:13" ht="13" x14ac:dyDescent="0.15">
      <c r="A450" s="5" t="str">
        <f>HYPERLINK("https://onemount.atlassian.net/browse/DBA-5481","DBA-5481")</f>
        <v>DBA-5481</v>
      </c>
      <c r="B450" s="6" t="s">
        <v>21</v>
      </c>
      <c r="C450" s="6" t="s">
        <v>2655</v>
      </c>
      <c r="D450" s="8" t="s">
        <v>17</v>
      </c>
      <c r="E450" s="6" t="s">
        <v>23</v>
      </c>
      <c r="F450" s="6" t="s">
        <v>24</v>
      </c>
      <c r="G450" s="6" t="s">
        <v>2656</v>
      </c>
      <c r="H450" s="10">
        <v>46234</v>
      </c>
      <c r="I450" s="6" t="s">
        <v>2657</v>
      </c>
      <c r="J450" s="6" t="s">
        <v>46</v>
      </c>
      <c r="K450" s="6" t="s">
        <v>46</v>
      </c>
      <c r="L450" s="6" t="s">
        <v>517</v>
      </c>
      <c r="M450" s="6" t="s">
        <v>2658</v>
      </c>
    </row>
    <row r="451" spans="1:13" ht="13" x14ac:dyDescent="0.15">
      <c r="A451" s="5" t="str">
        <f>HYPERLINK("https://onemount.atlassian.net/browse/DBA-5480","DBA-5480")</f>
        <v>DBA-5480</v>
      </c>
      <c r="B451" s="6" t="s">
        <v>21</v>
      </c>
      <c r="C451" s="6" t="s">
        <v>2659</v>
      </c>
      <c r="D451" s="8" t="s">
        <v>17</v>
      </c>
      <c r="E451" s="6" t="s">
        <v>23</v>
      </c>
      <c r="F451" s="6" t="s">
        <v>24</v>
      </c>
      <c r="G451" s="6" t="s">
        <v>2660</v>
      </c>
      <c r="H451" s="10">
        <v>46231</v>
      </c>
      <c r="I451" s="6" t="s">
        <v>2661</v>
      </c>
      <c r="J451" s="6" t="s">
        <v>821</v>
      </c>
      <c r="K451" s="6" t="s">
        <v>55</v>
      </c>
      <c r="L451" s="6" t="s">
        <v>821</v>
      </c>
      <c r="M451" s="6" t="s">
        <v>2662</v>
      </c>
    </row>
    <row r="452" spans="1:13" ht="13" x14ac:dyDescent="0.15">
      <c r="A452" s="5" t="str">
        <f>HYPERLINK("https://onemount.atlassian.net/browse/DBA-5479","DBA-5479")</f>
        <v>DBA-5479</v>
      </c>
      <c r="B452" s="6" t="s">
        <v>21</v>
      </c>
      <c r="C452" s="6" t="s">
        <v>2663</v>
      </c>
      <c r="D452" s="8" t="s">
        <v>17</v>
      </c>
      <c r="E452" s="6" t="s">
        <v>23</v>
      </c>
      <c r="F452" s="6" t="s">
        <v>52</v>
      </c>
      <c r="G452" s="6" t="s">
        <v>2664</v>
      </c>
      <c r="H452" s="10">
        <v>46231</v>
      </c>
      <c r="I452" s="6" t="s">
        <v>2665</v>
      </c>
      <c r="J452" s="6" t="s">
        <v>56</v>
      </c>
      <c r="K452" s="6" t="s">
        <v>55</v>
      </c>
      <c r="L452" s="6" t="s">
        <v>56</v>
      </c>
      <c r="M452" s="6" t="s">
        <v>2666</v>
      </c>
    </row>
    <row r="453" spans="1:13" ht="13" x14ac:dyDescent="0.15">
      <c r="A453" s="5" t="str">
        <f>HYPERLINK("https://onemount.atlassian.net/browse/DBA-5478","DBA-5478")</f>
        <v>DBA-5478</v>
      </c>
      <c r="B453" s="6" t="s">
        <v>21</v>
      </c>
      <c r="C453" s="6" t="s">
        <v>2667</v>
      </c>
      <c r="D453" s="8" t="s">
        <v>17</v>
      </c>
      <c r="E453" s="6" t="s">
        <v>23</v>
      </c>
      <c r="F453" s="6" t="s">
        <v>52</v>
      </c>
      <c r="G453" s="6" t="s">
        <v>2668</v>
      </c>
      <c r="H453" s="10">
        <v>46229</v>
      </c>
      <c r="I453" s="6" t="s">
        <v>2669</v>
      </c>
      <c r="J453" s="6" t="s">
        <v>621</v>
      </c>
      <c r="K453" s="6" t="s">
        <v>55</v>
      </c>
      <c r="L453" s="6" t="s">
        <v>85</v>
      </c>
      <c r="M453" s="6" t="s">
        <v>2670</v>
      </c>
    </row>
    <row r="454" spans="1:13" ht="13" x14ac:dyDescent="0.15">
      <c r="A454" s="5" t="str">
        <f>HYPERLINK("https://onemount.atlassian.net/browse/DBA-5477","DBA-5477")</f>
        <v>DBA-5477</v>
      </c>
      <c r="B454" s="6" t="s">
        <v>21</v>
      </c>
      <c r="C454" s="6" t="s">
        <v>2671</v>
      </c>
      <c r="D454" s="8" t="s">
        <v>17</v>
      </c>
      <c r="E454" s="6" t="s">
        <v>23</v>
      </c>
      <c r="F454" s="6" t="s">
        <v>24</v>
      </c>
      <c r="G454" s="6" t="s">
        <v>2672</v>
      </c>
      <c r="H454" s="10">
        <v>46228</v>
      </c>
      <c r="I454" s="6" t="s">
        <v>2673</v>
      </c>
      <c r="J454" s="6" t="s">
        <v>621</v>
      </c>
      <c r="K454" s="6" t="s">
        <v>55</v>
      </c>
      <c r="L454" s="6" t="s">
        <v>85</v>
      </c>
      <c r="M454" s="6" t="s">
        <v>2674</v>
      </c>
    </row>
    <row r="455" spans="1:13" ht="13" x14ac:dyDescent="0.15">
      <c r="A455" s="5" t="str">
        <f>HYPERLINK("https://onemount.atlassian.net/browse/DBA-5476","DBA-5476")</f>
        <v>DBA-5476</v>
      </c>
      <c r="B455" s="23" t="str">
        <f>HYPERLINK("https://onemount.atlassian.net/browse/DBA-2062","DBA-2062")</f>
        <v>DBA-2062</v>
      </c>
      <c r="C455" s="6" t="s">
        <v>2675</v>
      </c>
      <c r="D455" s="8" t="s">
        <v>17</v>
      </c>
      <c r="E455" s="6" t="s">
        <v>428</v>
      </c>
      <c r="F455" s="6" t="s">
        <v>24</v>
      </c>
      <c r="G455" s="6" t="s">
        <v>2676</v>
      </c>
      <c r="H455" s="10">
        <v>46230</v>
      </c>
      <c r="I455" s="6" t="s">
        <v>2677</v>
      </c>
      <c r="J455" s="6" t="s">
        <v>2678</v>
      </c>
      <c r="K455" s="6" t="s">
        <v>55</v>
      </c>
      <c r="L455" s="6" t="s">
        <v>778</v>
      </c>
      <c r="M455" s="6" t="s">
        <v>2679</v>
      </c>
    </row>
    <row r="456" spans="1:13" ht="13" x14ac:dyDescent="0.15">
      <c r="A456" s="5" t="str">
        <f>HYPERLINK("https://onemount.atlassian.net/browse/DBA-5475","DBA-5475")</f>
        <v>DBA-5475</v>
      </c>
      <c r="B456" s="6" t="s">
        <v>21</v>
      </c>
      <c r="C456" s="6" t="s">
        <v>2680</v>
      </c>
      <c r="D456" s="8" t="s">
        <v>17</v>
      </c>
      <c r="E456" s="6" t="s">
        <v>23</v>
      </c>
      <c r="F456" s="6" t="s">
        <v>24</v>
      </c>
      <c r="G456" s="6" t="s">
        <v>2681</v>
      </c>
      <c r="H456" s="10">
        <v>46231</v>
      </c>
      <c r="I456" s="6" t="s">
        <v>2682</v>
      </c>
      <c r="J456" s="6" t="s">
        <v>56</v>
      </c>
      <c r="K456" s="6" t="s">
        <v>55</v>
      </c>
      <c r="L456" s="6" t="s">
        <v>56</v>
      </c>
      <c r="M456" s="6" t="s">
        <v>2683</v>
      </c>
    </row>
    <row r="457" spans="1:13" ht="13" x14ac:dyDescent="0.15">
      <c r="A457" s="21" t="str">
        <f>HYPERLINK("https://onemount.atlassian.net/browse/DBA-5474","DBA-5474")</f>
        <v>DBA-5474</v>
      </c>
      <c r="B457" s="6" t="s">
        <v>21</v>
      </c>
      <c r="C457" s="6" t="s">
        <v>2684</v>
      </c>
      <c r="D457" s="8" t="s">
        <v>17</v>
      </c>
      <c r="E457" s="6" t="s">
        <v>23</v>
      </c>
      <c r="F457" s="6" t="s">
        <v>31</v>
      </c>
      <c r="G457" s="6" t="s">
        <v>2685</v>
      </c>
      <c r="H457" s="10">
        <v>46228</v>
      </c>
      <c r="I457" s="6" t="s">
        <v>2686</v>
      </c>
      <c r="J457" s="6" t="s">
        <v>2687</v>
      </c>
      <c r="K457" s="6" t="s">
        <v>46</v>
      </c>
      <c r="L457" s="6" t="s">
        <v>404</v>
      </c>
      <c r="M457" s="6" t="s">
        <v>2688</v>
      </c>
    </row>
    <row r="458" spans="1:13" ht="13" x14ac:dyDescent="0.15">
      <c r="A458" s="5" t="str">
        <f>HYPERLINK("https://onemount.atlassian.net/browse/DBA-5473","DBA-5473")</f>
        <v>DBA-5473</v>
      </c>
      <c r="B458" s="6" t="s">
        <v>21</v>
      </c>
      <c r="C458" s="6" t="s">
        <v>2689</v>
      </c>
      <c r="D458" s="8" t="s">
        <v>17</v>
      </c>
      <c r="E458" s="6" t="s">
        <v>23</v>
      </c>
      <c r="F458" s="6" t="s">
        <v>24</v>
      </c>
      <c r="G458" s="6" t="s">
        <v>2690</v>
      </c>
      <c r="H458" s="10">
        <v>46227</v>
      </c>
      <c r="I458" s="6" t="s">
        <v>2691</v>
      </c>
      <c r="J458" s="6" t="s">
        <v>85</v>
      </c>
      <c r="K458" s="6" t="s">
        <v>55</v>
      </c>
      <c r="L458" s="6" t="s">
        <v>85</v>
      </c>
      <c r="M458" s="6" t="s">
        <v>2692</v>
      </c>
    </row>
    <row r="459" spans="1:13" ht="13" x14ac:dyDescent="0.15">
      <c r="A459" s="5" t="str">
        <f>HYPERLINK("https://onemount.atlassian.net/browse/DBA-5472","DBA-5472")</f>
        <v>DBA-5472</v>
      </c>
      <c r="B459" s="6" t="s">
        <v>21</v>
      </c>
      <c r="C459" s="6" t="s">
        <v>2693</v>
      </c>
      <c r="D459" s="8" t="s">
        <v>17</v>
      </c>
      <c r="E459" s="6" t="s">
        <v>23</v>
      </c>
      <c r="F459" s="6" t="s">
        <v>31</v>
      </c>
      <c r="G459" s="6" t="s">
        <v>2694</v>
      </c>
      <c r="H459" s="10">
        <v>46226</v>
      </c>
      <c r="I459" s="6" t="s">
        <v>2695</v>
      </c>
      <c r="J459" s="6" t="s">
        <v>181</v>
      </c>
      <c r="K459" s="6" t="s">
        <v>35</v>
      </c>
      <c r="L459" s="6" t="s">
        <v>638</v>
      </c>
      <c r="M459" s="6" t="s">
        <v>2696</v>
      </c>
    </row>
    <row r="460" spans="1:13" ht="13" x14ac:dyDescent="0.15">
      <c r="A460" s="5" t="str">
        <f>HYPERLINK("https://onemount.atlassian.net/browse/DBA-5471","DBA-5471")</f>
        <v>DBA-5471</v>
      </c>
      <c r="B460" s="6" t="s">
        <v>21</v>
      </c>
      <c r="C460" s="6" t="s">
        <v>2697</v>
      </c>
      <c r="D460" s="8" t="s">
        <v>17</v>
      </c>
      <c r="E460" s="6" t="s">
        <v>23</v>
      </c>
      <c r="F460" s="6" t="s">
        <v>24</v>
      </c>
      <c r="G460" s="6" t="s">
        <v>2698</v>
      </c>
      <c r="H460" s="10">
        <v>46281</v>
      </c>
      <c r="I460" s="6" t="s">
        <v>2699</v>
      </c>
      <c r="J460" s="6" t="s">
        <v>303</v>
      </c>
      <c r="K460" s="6" t="s">
        <v>59</v>
      </c>
      <c r="L460" s="6" t="s">
        <v>88</v>
      </c>
      <c r="M460" s="6" t="s">
        <v>2700</v>
      </c>
    </row>
    <row r="461" spans="1:13" ht="13" x14ac:dyDescent="0.15">
      <c r="A461" s="5" t="str">
        <f>HYPERLINK("https://onemount.atlassian.net/browse/DBA-5470","DBA-5470")</f>
        <v>DBA-5470</v>
      </c>
      <c r="B461" s="6" t="s">
        <v>21</v>
      </c>
      <c r="C461" s="6" t="s">
        <v>2701</v>
      </c>
      <c r="D461" s="8" t="s">
        <v>17</v>
      </c>
      <c r="E461" s="6" t="s">
        <v>23</v>
      </c>
      <c r="F461" s="6" t="s">
        <v>52</v>
      </c>
      <c r="G461" s="6" t="s">
        <v>2702</v>
      </c>
      <c r="H461" s="10">
        <v>46226</v>
      </c>
      <c r="I461" s="6" t="s">
        <v>2703</v>
      </c>
      <c r="J461" s="6" t="s">
        <v>56</v>
      </c>
      <c r="K461" s="6" t="s">
        <v>55</v>
      </c>
      <c r="L461" s="6" t="s">
        <v>56</v>
      </c>
      <c r="M461" s="6" t="s">
        <v>2704</v>
      </c>
    </row>
    <row r="462" spans="1:13" ht="13" x14ac:dyDescent="0.15">
      <c r="A462" s="5" t="str">
        <f>HYPERLINK("https://onemount.atlassian.net/browse/DBA-5469","DBA-5469")</f>
        <v>DBA-5469</v>
      </c>
      <c r="B462" s="6" t="s">
        <v>21</v>
      </c>
      <c r="C462" s="6" t="s">
        <v>2705</v>
      </c>
      <c r="D462" s="8" t="s">
        <v>17</v>
      </c>
      <c r="E462" s="6" t="s">
        <v>23</v>
      </c>
      <c r="F462" s="6" t="s">
        <v>31</v>
      </c>
      <c r="G462" s="6" t="s">
        <v>2706</v>
      </c>
      <c r="H462" s="10">
        <v>46226</v>
      </c>
      <c r="I462" s="6" t="s">
        <v>2707</v>
      </c>
      <c r="J462" s="6" t="s">
        <v>128</v>
      </c>
      <c r="K462" s="6" t="s">
        <v>35</v>
      </c>
      <c r="L462" s="6" t="s">
        <v>129</v>
      </c>
      <c r="M462" s="6" t="s">
        <v>2708</v>
      </c>
    </row>
    <row r="463" spans="1:13" ht="13" x14ac:dyDescent="0.15">
      <c r="A463" s="5" t="str">
        <f>HYPERLINK("https://onemount.atlassian.net/browse/DBA-5468","DBA-5468")</f>
        <v>DBA-5468</v>
      </c>
      <c r="B463" s="6" t="s">
        <v>21</v>
      </c>
      <c r="C463" s="6" t="s">
        <v>2061</v>
      </c>
      <c r="D463" s="8" t="s">
        <v>17</v>
      </c>
      <c r="E463" s="6" t="s">
        <v>23</v>
      </c>
      <c r="F463" s="6" t="s">
        <v>24</v>
      </c>
      <c r="G463" s="6" t="s">
        <v>2709</v>
      </c>
      <c r="H463" s="10">
        <v>46226</v>
      </c>
      <c r="I463" s="6" t="s">
        <v>2710</v>
      </c>
      <c r="J463" s="6" t="s">
        <v>55</v>
      </c>
      <c r="K463" s="6" t="s">
        <v>55</v>
      </c>
      <c r="L463" s="6" t="s">
        <v>55</v>
      </c>
      <c r="M463" s="6" t="s">
        <v>2711</v>
      </c>
    </row>
    <row r="464" spans="1:13" ht="13" x14ac:dyDescent="0.15">
      <c r="A464" s="5" t="str">
        <f>HYPERLINK("https://onemount.atlassian.net/browse/DBA-5467","DBA-5467")</f>
        <v>DBA-5467</v>
      </c>
      <c r="B464" s="6" t="s">
        <v>21</v>
      </c>
      <c r="C464" s="6" t="s">
        <v>2061</v>
      </c>
      <c r="D464" s="8" t="s">
        <v>17</v>
      </c>
      <c r="E464" s="6" t="s">
        <v>23</v>
      </c>
      <c r="F464" s="6" t="s">
        <v>24</v>
      </c>
      <c r="G464" s="6" t="s">
        <v>2712</v>
      </c>
      <c r="H464" s="10">
        <v>46227</v>
      </c>
      <c r="I464" s="6" t="s">
        <v>2713</v>
      </c>
      <c r="J464" s="6" t="s">
        <v>55</v>
      </c>
      <c r="K464" s="6" t="s">
        <v>55</v>
      </c>
      <c r="L464" s="6" t="s">
        <v>55</v>
      </c>
      <c r="M464" s="6" t="s">
        <v>2714</v>
      </c>
    </row>
    <row r="465" spans="1:13" ht="13" x14ac:dyDescent="0.15">
      <c r="A465" s="5" t="str">
        <f>HYPERLINK("https://onemount.atlassian.net/browse/DBA-5466","DBA-5466")</f>
        <v>DBA-5466</v>
      </c>
      <c r="B465" s="6" t="s">
        <v>21</v>
      </c>
      <c r="C465" s="6" t="s">
        <v>2715</v>
      </c>
      <c r="D465" s="8" t="s">
        <v>17</v>
      </c>
      <c r="E465" s="6" t="s">
        <v>23</v>
      </c>
      <c r="F465" s="6" t="s">
        <v>52</v>
      </c>
      <c r="G465" s="6" t="s">
        <v>2716</v>
      </c>
      <c r="H465" s="10">
        <v>46227</v>
      </c>
      <c r="I465" s="6" t="s">
        <v>2717</v>
      </c>
      <c r="J465" s="6" t="s">
        <v>56</v>
      </c>
      <c r="K465" s="6" t="s">
        <v>55</v>
      </c>
      <c r="L465" s="6" t="s">
        <v>56</v>
      </c>
      <c r="M465" s="6" t="s">
        <v>2718</v>
      </c>
    </row>
    <row r="466" spans="1:13" ht="13" x14ac:dyDescent="0.15">
      <c r="A466" s="5" t="str">
        <f>HYPERLINK("https://onemount.atlassian.net/browse/DBA-5465","DBA-5465")</f>
        <v>DBA-5465</v>
      </c>
      <c r="B466" s="6" t="s">
        <v>21</v>
      </c>
      <c r="C466" s="6" t="s">
        <v>2715</v>
      </c>
      <c r="D466" s="8" t="s">
        <v>17</v>
      </c>
      <c r="E466" s="6" t="s">
        <v>23</v>
      </c>
      <c r="F466" s="6" t="s">
        <v>52</v>
      </c>
      <c r="G466" s="6" t="s">
        <v>2719</v>
      </c>
      <c r="H466" s="10">
        <v>46226</v>
      </c>
      <c r="I466" s="6" t="s">
        <v>2720</v>
      </c>
      <c r="J466" s="6" t="s">
        <v>56</v>
      </c>
      <c r="K466" s="6" t="s">
        <v>55</v>
      </c>
      <c r="L466" s="6" t="s">
        <v>56</v>
      </c>
      <c r="M466" s="6" t="s">
        <v>2721</v>
      </c>
    </row>
    <row r="467" spans="1:13" ht="13" x14ac:dyDescent="0.15">
      <c r="A467" s="5" t="str">
        <f>HYPERLINK("https://onemount.atlassian.net/browse/DBA-5464","DBA-5464")</f>
        <v>DBA-5464</v>
      </c>
      <c r="B467" s="6" t="s">
        <v>21</v>
      </c>
      <c r="C467" s="6" t="s">
        <v>2722</v>
      </c>
      <c r="D467" s="8" t="s">
        <v>17</v>
      </c>
      <c r="E467" s="6" t="s">
        <v>23</v>
      </c>
      <c r="F467" s="6" t="s">
        <v>52</v>
      </c>
      <c r="G467" s="6" t="s">
        <v>2723</v>
      </c>
      <c r="H467" s="10">
        <v>46226</v>
      </c>
      <c r="I467" s="6" t="s">
        <v>2724</v>
      </c>
      <c r="J467" s="6" t="s">
        <v>2281</v>
      </c>
      <c r="K467" s="6" t="s">
        <v>55</v>
      </c>
      <c r="L467" s="6" t="s">
        <v>254</v>
      </c>
      <c r="M467" s="6" t="s">
        <v>2725</v>
      </c>
    </row>
    <row r="468" spans="1:13" ht="13" x14ac:dyDescent="0.15">
      <c r="A468" s="5" t="str">
        <f>HYPERLINK("https://onemount.atlassian.net/browse/DBA-5463","DBA-5463")</f>
        <v>DBA-5463</v>
      </c>
      <c r="B468" s="6" t="s">
        <v>21</v>
      </c>
      <c r="C468" s="6" t="s">
        <v>2726</v>
      </c>
      <c r="D468" s="8" t="s">
        <v>17</v>
      </c>
      <c r="E468" s="6" t="s">
        <v>23</v>
      </c>
      <c r="F468" s="6" t="s">
        <v>31</v>
      </c>
      <c r="G468" s="6" t="s">
        <v>2727</v>
      </c>
      <c r="H468" s="10">
        <v>46225</v>
      </c>
      <c r="I468" s="6" t="s">
        <v>2728</v>
      </c>
      <c r="J468" s="6" t="s">
        <v>181</v>
      </c>
      <c r="K468" s="6" t="s">
        <v>35</v>
      </c>
      <c r="L468" s="6" t="s">
        <v>36</v>
      </c>
      <c r="M468" s="6" t="s">
        <v>2729</v>
      </c>
    </row>
    <row r="469" spans="1:13" ht="13" x14ac:dyDescent="0.15">
      <c r="A469" s="5" t="str">
        <f>HYPERLINK("https://onemount.atlassian.net/browse/DBA-5462","DBA-5462")</f>
        <v>DBA-5462</v>
      </c>
      <c r="B469" s="6" t="s">
        <v>21</v>
      </c>
      <c r="C469" s="6" t="s">
        <v>2730</v>
      </c>
      <c r="D469" s="8" t="s">
        <v>17</v>
      </c>
      <c r="E469" s="6" t="s">
        <v>23</v>
      </c>
      <c r="F469" s="6" t="s">
        <v>41</v>
      </c>
      <c r="G469" s="6" t="s">
        <v>2731</v>
      </c>
      <c r="H469" s="10">
        <v>46234</v>
      </c>
      <c r="I469" s="6" t="s">
        <v>2732</v>
      </c>
      <c r="J469" s="6" t="s">
        <v>72</v>
      </c>
      <c r="K469" s="6" t="s">
        <v>72</v>
      </c>
      <c r="L469" s="6" t="s">
        <v>72</v>
      </c>
      <c r="M469" s="6" t="s">
        <v>2733</v>
      </c>
    </row>
    <row r="470" spans="1:13" ht="13" x14ac:dyDescent="0.15">
      <c r="A470" s="5" t="str">
        <f>HYPERLINK("https://onemount.atlassian.net/browse/DBA-5461","DBA-5461")</f>
        <v>DBA-5461</v>
      </c>
      <c r="B470" s="6" t="s">
        <v>21</v>
      </c>
      <c r="C470" s="6" t="s">
        <v>2734</v>
      </c>
      <c r="D470" s="8" t="s">
        <v>17</v>
      </c>
      <c r="E470" s="6" t="s">
        <v>23</v>
      </c>
      <c r="F470" s="6" t="s">
        <v>52</v>
      </c>
      <c r="G470" s="6" t="s">
        <v>2735</v>
      </c>
      <c r="H470" s="10">
        <v>46225</v>
      </c>
      <c r="I470" s="6" t="s">
        <v>2736</v>
      </c>
      <c r="J470" s="6" t="s">
        <v>93</v>
      </c>
      <c r="K470" s="6" t="s">
        <v>55</v>
      </c>
      <c r="L470" s="6" t="s">
        <v>93</v>
      </c>
      <c r="M470" s="6" t="s">
        <v>2737</v>
      </c>
    </row>
    <row r="471" spans="1:13" ht="13" x14ac:dyDescent="0.15">
      <c r="A471" s="5" t="str">
        <f>HYPERLINK("https://onemount.atlassian.net/browse/DBA-5460","DBA-5460")</f>
        <v>DBA-5460</v>
      </c>
      <c r="B471" s="6" t="s">
        <v>21</v>
      </c>
      <c r="C471" s="6" t="s">
        <v>2738</v>
      </c>
      <c r="D471" s="8" t="s">
        <v>17</v>
      </c>
      <c r="E471" s="6" t="s">
        <v>23</v>
      </c>
      <c r="F471" s="6" t="s">
        <v>24</v>
      </c>
      <c r="G471" s="6" t="s">
        <v>2739</v>
      </c>
      <c r="H471" s="10">
        <v>46226</v>
      </c>
      <c r="I471" s="6" t="s">
        <v>2740</v>
      </c>
      <c r="J471" s="6" t="s">
        <v>55</v>
      </c>
      <c r="K471" s="6" t="s">
        <v>55</v>
      </c>
      <c r="L471" s="6" t="s">
        <v>984</v>
      </c>
      <c r="M471" s="6" t="s">
        <v>2741</v>
      </c>
    </row>
    <row r="472" spans="1:13" ht="13" x14ac:dyDescent="0.15">
      <c r="A472" s="5" t="str">
        <f>HYPERLINK("https://onemount.atlassian.net/browse/DBA-5459","DBA-5459")</f>
        <v>DBA-5459</v>
      </c>
      <c r="B472" s="6" t="s">
        <v>21</v>
      </c>
      <c r="C472" s="6" t="s">
        <v>2742</v>
      </c>
      <c r="D472" s="8" t="s">
        <v>17</v>
      </c>
      <c r="E472" s="6" t="s">
        <v>23</v>
      </c>
      <c r="F472" s="6" t="s">
        <v>24</v>
      </c>
      <c r="G472" s="6" t="s">
        <v>2743</v>
      </c>
      <c r="H472" s="10">
        <v>46225</v>
      </c>
      <c r="I472" s="6" t="s">
        <v>2744</v>
      </c>
      <c r="J472" s="6" t="s">
        <v>56</v>
      </c>
      <c r="K472" s="6" t="s">
        <v>55</v>
      </c>
      <c r="L472" s="6" t="s">
        <v>56</v>
      </c>
      <c r="M472" s="6" t="s">
        <v>2745</v>
      </c>
    </row>
    <row r="473" spans="1:13" ht="13" x14ac:dyDescent="0.15">
      <c r="A473" s="5" t="str">
        <f>HYPERLINK("https://onemount.atlassian.net/browse/DBA-5458","DBA-5458")</f>
        <v>DBA-5458</v>
      </c>
      <c r="B473" s="6" t="s">
        <v>21</v>
      </c>
      <c r="C473" s="6" t="s">
        <v>2746</v>
      </c>
      <c r="D473" s="8" t="s">
        <v>17</v>
      </c>
      <c r="E473" s="6" t="s">
        <v>23</v>
      </c>
      <c r="F473" s="6" t="s">
        <v>24</v>
      </c>
      <c r="G473" s="6" t="s">
        <v>2747</v>
      </c>
      <c r="H473" s="10">
        <v>46227</v>
      </c>
      <c r="I473" s="6" t="s">
        <v>2748</v>
      </c>
      <c r="J473" s="6" t="s">
        <v>270</v>
      </c>
      <c r="K473" s="6" t="s">
        <v>55</v>
      </c>
      <c r="L473" s="6" t="s">
        <v>270</v>
      </c>
      <c r="M473" s="6" t="s">
        <v>2749</v>
      </c>
    </row>
    <row r="474" spans="1:13" ht="13" x14ac:dyDescent="0.15">
      <c r="A474" s="5" t="str">
        <f>HYPERLINK("https://onemount.atlassian.net/browse/DBA-5457","DBA-5457")</f>
        <v>DBA-5457</v>
      </c>
      <c r="B474" s="6" t="s">
        <v>21</v>
      </c>
      <c r="C474" s="6" t="s">
        <v>2750</v>
      </c>
      <c r="D474" s="8" t="s">
        <v>17</v>
      </c>
      <c r="E474" s="6" t="s">
        <v>23</v>
      </c>
      <c r="F474" s="6" t="s">
        <v>41</v>
      </c>
      <c r="G474" s="6" t="s">
        <v>2751</v>
      </c>
      <c r="H474" s="10">
        <v>46233</v>
      </c>
      <c r="I474" s="6" t="s">
        <v>2752</v>
      </c>
      <c r="J474" s="6" t="s">
        <v>72</v>
      </c>
      <c r="K474" s="6" t="s">
        <v>72</v>
      </c>
      <c r="L474" s="6" t="s">
        <v>99</v>
      </c>
      <c r="M474" s="6" t="s">
        <v>2753</v>
      </c>
    </row>
    <row r="475" spans="1:13" ht="13" x14ac:dyDescent="0.15">
      <c r="A475" s="5" t="str">
        <f>HYPERLINK("https://onemount.atlassian.net/browse/DBA-5456","DBA-5456")</f>
        <v>DBA-5456</v>
      </c>
      <c r="B475" s="6" t="s">
        <v>21</v>
      </c>
      <c r="C475" s="6" t="s">
        <v>2754</v>
      </c>
      <c r="D475" s="8" t="s">
        <v>17</v>
      </c>
      <c r="E475" s="6" t="s">
        <v>23</v>
      </c>
      <c r="F475" s="6" t="s">
        <v>24</v>
      </c>
      <c r="G475" s="6" t="s">
        <v>2755</v>
      </c>
      <c r="H475" s="10">
        <v>46227</v>
      </c>
      <c r="I475" s="6" t="s">
        <v>2756</v>
      </c>
      <c r="J475" s="6" t="s">
        <v>165</v>
      </c>
      <c r="K475" s="6" t="s">
        <v>165</v>
      </c>
      <c r="L475" s="6" t="s">
        <v>39</v>
      </c>
      <c r="M475" s="6" t="s">
        <v>2757</v>
      </c>
    </row>
    <row r="476" spans="1:13" ht="13" x14ac:dyDescent="0.15">
      <c r="A476" s="5" t="str">
        <f>HYPERLINK("https://onemount.atlassian.net/browse/DBA-5455","DBA-5455")</f>
        <v>DBA-5455</v>
      </c>
      <c r="B476" s="6" t="s">
        <v>21</v>
      </c>
      <c r="C476" s="6" t="s">
        <v>481</v>
      </c>
      <c r="D476" s="8" t="s">
        <v>17</v>
      </c>
      <c r="E476" s="6" t="s">
        <v>23</v>
      </c>
      <c r="F476" s="6" t="s">
        <v>24</v>
      </c>
      <c r="G476" s="6" t="s">
        <v>2758</v>
      </c>
      <c r="H476" s="10">
        <v>46225</v>
      </c>
      <c r="I476" s="6" t="s">
        <v>2759</v>
      </c>
      <c r="J476" s="6" t="s">
        <v>88</v>
      </c>
      <c r="K476" s="6" t="s">
        <v>59</v>
      </c>
      <c r="L476" s="6" t="s">
        <v>88</v>
      </c>
      <c r="M476" s="6" t="s">
        <v>2760</v>
      </c>
    </row>
    <row r="477" spans="1:13" ht="13" x14ac:dyDescent="0.15">
      <c r="A477" s="5" t="str">
        <f>HYPERLINK("https://onemount.atlassian.net/browse/DBA-5454","DBA-5454")</f>
        <v>DBA-5454</v>
      </c>
      <c r="B477" s="6" t="s">
        <v>21</v>
      </c>
      <c r="C477" s="6" t="s">
        <v>2761</v>
      </c>
      <c r="D477" s="8" t="s">
        <v>17</v>
      </c>
      <c r="E477" s="6" t="s">
        <v>23</v>
      </c>
      <c r="F477" s="6" t="s">
        <v>31</v>
      </c>
      <c r="G477" s="6" t="s">
        <v>2762</v>
      </c>
      <c r="H477" s="10">
        <v>46225</v>
      </c>
      <c r="I477" s="6" t="s">
        <v>2763</v>
      </c>
      <c r="J477" s="6" t="s">
        <v>118</v>
      </c>
      <c r="K477" s="6" t="s">
        <v>35</v>
      </c>
      <c r="L477" s="6" t="s">
        <v>119</v>
      </c>
      <c r="M477" s="6" t="s">
        <v>2764</v>
      </c>
    </row>
    <row r="478" spans="1:13" ht="13" x14ac:dyDescent="0.15">
      <c r="A478" s="5" t="str">
        <f>HYPERLINK("https://onemount.atlassian.net/browse/DBA-5453","DBA-5453")</f>
        <v>DBA-5453</v>
      </c>
      <c r="B478" s="6" t="s">
        <v>21</v>
      </c>
      <c r="C478" s="6" t="s">
        <v>2765</v>
      </c>
      <c r="D478" s="8" t="s">
        <v>17</v>
      </c>
      <c r="E478" s="6" t="s">
        <v>23</v>
      </c>
      <c r="F478" s="6" t="s">
        <v>31</v>
      </c>
      <c r="G478" s="6" t="s">
        <v>2766</v>
      </c>
      <c r="H478" s="10">
        <v>46225</v>
      </c>
      <c r="I478" s="6" t="s">
        <v>2767</v>
      </c>
      <c r="J478" s="6" t="s">
        <v>71</v>
      </c>
      <c r="K478" s="6" t="s">
        <v>35</v>
      </c>
      <c r="L478" s="6" t="s">
        <v>71</v>
      </c>
      <c r="M478" s="6" t="s">
        <v>2768</v>
      </c>
    </row>
    <row r="479" spans="1:13" ht="13" x14ac:dyDescent="0.15">
      <c r="A479" s="5" t="str">
        <f>HYPERLINK("https://onemount.atlassian.net/browse/DBA-5452","DBA-5452")</f>
        <v>DBA-5452</v>
      </c>
      <c r="B479" s="6" t="s">
        <v>21</v>
      </c>
      <c r="C479" s="6" t="s">
        <v>2769</v>
      </c>
      <c r="D479" s="8" t="s">
        <v>17</v>
      </c>
      <c r="E479" s="6" t="s">
        <v>23</v>
      </c>
      <c r="F479" s="6" t="s">
        <v>24</v>
      </c>
      <c r="G479" s="6" t="s">
        <v>2770</v>
      </c>
      <c r="H479" s="10">
        <v>46224</v>
      </c>
      <c r="I479" s="6" t="s">
        <v>2771</v>
      </c>
      <c r="J479" s="6" t="s">
        <v>2453</v>
      </c>
      <c r="K479" s="6" t="s">
        <v>165</v>
      </c>
      <c r="L479" s="6" t="s">
        <v>119</v>
      </c>
      <c r="M479" s="6" t="s">
        <v>2772</v>
      </c>
    </row>
    <row r="480" spans="1:13" ht="13" x14ac:dyDescent="0.15">
      <c r="A480" s="5" t="str">
        <f>HYPERLINK("https://onemount.atlassian.net/browse/DBA-5451","DBA-5451")</f>
        <v>DBA-5451</v>
      </c>
      <c r="B480" s="6" t="s">
        <v>21</v>
      </c>
      <c r="C480" s="6" t="s">
        <v>2773</v>
      </c>
      <c r="D480" s="8" t="s">
        <v>17</v>
      </c>
      <c r="E480" s="6" t="s">
        <v>23</v>
      </c>
      <c r="F480" s="6" t="s">
        <v>24</v>
      </c>
      <c r="G480" s="6" t="s">
        <v>2774</v>
      </c>
      <c r="H480" s="10">
        <v>46224</v>
      </c>
      <c r="I480" s="6" t="s">
        <v>2775</v>
      </c>
      <c r="J480" s="6" t="s">
        <v>1898</v>
      </c>
      <c r="K480" s="6" t="s">
        <v>165</v>
      </c>
      <c r="L480" s="6" t="s">
        <v>1097</v>
      </c>
      <c r="M480" s="6" t="s">
        <v>2776</v>
      </c>
    </row>
    <row r="481" spans="1:13" ht="13" x14ac:dyDescent="0.15">
      <c r="A481" s="21" t="str">
        <f>HYPERLINK("https://onemount.atlassian.net/browse/DBA-5450","DBA-5450")</f>
        <v>DBA-5450</v>
      </c>
      <c r="B481" s="6" t="s">
        <v>21</v>
      </c>
      <c r="C481" s="6" t="s">
        <v>2777</v>
      </c>
      <c r="D481" s="8" t="s">
        <v>17</v>
      </c>
      <c r="E481" s="6" t="s">
        <v>23</v>
      </c>
      <c r="F481" s="6" t="s">
        <v>24</v>
      </c>
      <c r="G481" s="6" t="s">
        <v>2778</v>
      </c>
      <c r="H481" s="10">
        <v>46224</v>
      </c>
      <c r="I481" s="6" t="s">
        <v>2779</v>
      </c>
      <c r="J481" s="6" t="s">
        <v>270</v>
      </c>
      <c r="K481" s="6" t="s">
        <v>55</v>
      </c>
      <c r="L481" s="6" t="s">
        <v>270</v>
      </c>
      <c r="M481" s="6" t="s">
        <v>2780</v>
      </c>
    </row>
    <row r="482" spans="1:13" ht="13" x14ac:dyDescent="0.15">
      <c r="A482" s="5" t="str">
        <f>HYPERLINK("https://onemount.atlassian.net/browse/DBA-5449","DBA-5449")</f>
        <v>DBA-5449</v>
      </c>
      <c r="B482" s="6" t="s">
        <v>21</v>
      </c>
      <c r="C482" s="6" t="s">
        <v>2781</v>
      </c>
      <c r="D482" s="8" t="s">
        <v>17</v>
      </c>
      <c r="E482" s="6" t="s">
        <v>23</v>
      </c>
      <c r="F482" s="6" t="s">
        <v>31</v>
      </c>
      <c r="G482" s="6" t="s">
        <v>2782</v>
      </c>
      <c r="H482" s="10">
        <v>46224</v>
      </c>
      <c r="I482" s="6" t="s">
        <v>2783</v>
      </c>
      <c r="J482" s="6" t="s">
        <v>128</v>
      </c>
      <c r="K482" s="6" t="s">
        <v>35</v>
      </c>
      <c r="L482" s="6" t="s">
        <v>374</v>
      </c>
      <c r="M482" s="6" t="s">
        <v>2784</v>
      </c>
    </row>
    <row r="483" spans="1:13" ht="13" x14ac:dyDescent="0.15">
      <c r="A483" s="5" t="str">
        <f>HYPERLINK("https://onemount.atlassian.net/browse/DBA-5448","DBA-5448")</f>
        <v>DBA-5448</v>
      </c>
      <c r="B483" s="6" t="s">
        <v>21</v>
      </c>
      <c r="C483" s="6" t="s">
        <v>2785</v>
      </c>
      <c r="D483" s="8" t="s">
        <v>17</v>
      </c>
      <c r="E483" s="6" t="s">
        <v>23</v>
      </c>
      <c r="F483" s="6" t="s">
        <v>52</v>
      </c>
      <c r="G483" s="6" t="s">
        <v>2786</v>
      </c>
      <c r="H483" s="10">
        <v>46225</v>
      </c>
      <c r="I483" s="6" t="s">
        <v>2787</v>
      </c>
      <c r="J483" s="6" t="s">
        <v>759</v>
      </c>
      <c r="K483" s="6" t="s">
        <v>137</v>
      </c>
      <c r="L483" s="6" t="s">
        <v>222</v>
      </c>
      <c r="M483" s="6" t="s">
        <v>2788</v>
      </c>
    </row>
    <row r="484" spans="1:13" ht="13" x14ac:dyDescent="0.15">
      <c r="A484" s="5" t="str">
        <f>HYPERLINK("https://onemount.atlassian.net/browse/DBA-5447","DBA-5447")</f>
        <v>DBA-5447</v>
      </c>
      <c r="B484" s="6" t="s">
        <v>21</v>
      </c>
      <c r="C484" s="6" t="s">
        <v>2789</v>
      </c>
      <c r="D484" s="8" t="s">
        <v>17</v>
      </c>
      <c r="E484" s="6" t="s">
        <v>23</v>
      </c>
      <c r="F484" s="6" t="s">
        <v>24</v>
      </c>
      <c r="G484" s="6" t="s">
        <v>2790</v>
      </c>
      <c r="H484" s="10">
        <v>46228</v>
      </c>
      <c r="I484" s="6" t="s">
        <v>2791</v>
      </c>
      <c r="J484" s="6" t="s">
        <v>165</v>
      </c>
      <c r="K484" s="6" t="s">
        <v>165</v>
      </c>
      <c r="L484" s="6" t="s">
        <v>165</v>
      </c>
      <c r="M484" s="6" t="s">
        <v>2792</v>
      </c>
    </row>
    <row r="485" spans="1:13" ht="13" x14ac:dyDescent="0.15">
      <c r="A485" s="5" t="str">
        <f>HYPERLINK("https://onemount.atlassian.net/browse/DBA-5446","DBA-5446")</f>
        <v>DBA-5446</v>
      </c>
      <c r="B485" s="23" t="str">
        <f t="shared" ref="B485:B487" si="6">HYPERLINK("https://onemount.atlassian.net/browse/DBA-5443","DBA-5443")</f>
        <v>DBA-5443</v>
      </c>
      <c r="C485" s="6" t="s">
        <v>2793</v>
      </c>
      <c r="D485" s="8" t="s">
        <v>17</v>
      </c>
      <c r="E485" s="6" t="s">
        <v>428</v>
      </c>
      <c r="F485" s="6" t="s">
        <v>24</v>
      </c>
      <c r="G485" s="6" t="s">
        <v>2794</v>
      </c>
      <c r="H485" s="10">
        <v>46227</v>
      </c>
      <c r="I485" s="6" t="s">
        <v>2795</v>
      </c>
      <c r="J485" s="6" t="s">
        <v>2796</v>
      </c>
      <c r="K485" s="6" t="s">
        <v>55</v>
      </c>
      <c r="L485" s="6" t="s">
        <v>827</v>
      </c>
      <c r="M485" s="6" t="s">
        <v>2797</v>
      </c>
    </row>
    <row r="486" spans="1:13" ht="13" x14ac:dyDescent="0.15">
      <c r="A486" s="5" t="str">
        <f>HYPERLINK("https://onemount.atlassian.net/browse/DBA-5445","DBA-5445")</f>
        <v>DBA-5445</v>
      </c>
      <c r="B486" s="23" t="str">
        <f t="shared" si="6"/>
        <v>DBA-5443</v>
      </c>
      <c r="C486" s="6" t="s">
        <v>2798</v>
      </c>
      <c r="D486" s="8" t="s">
        <v>17</v>
      </c>
      <c r="E486" s="6" t="s">
        <v>428</v>
      </c>
      <c r="F486" s="6" t="s">
        <v>24</v>
      </c>
      <c r="G486" s="6" t="s">
        <v>2799</v>
      </c>
      <c r="H486" s="10">
        <v>46227</v>
      </c>
      <c r="I486" s="6" t="s">
        <v>2800</v>
      </c>
      <c r="J486" s="6" t="s">
        <v>2796</v>
      </c>
      <c r="K486" s="6" t="s">
        <v>55</v>
      </c>
      <c r="L486" s="6" t="s">
        <v>827</v>
      </c>
      <c r="M486" s="6" t="s">
        <v>2801</v>
      </c>
    </row>
    <row r="487" spans="1:13" ht="13" x14ac:dyDescent="0.15">
      <c r="A487" s="21" t="str">
        <f>HYPERLINK("https://onemount.atlassian.net/browse/DBA-5444","DBA-5444")</f>
        <v>DBA-5444</v>
      </c>
      <c r="B487" s="23" t="str">
        <f t="shared" si="6"/>
        <v>DBA-5443</v>
      </c>
      <c r="C487" s="6" t="s">
        <v>2802</v>
      </c>
      <c r="D487" s="8" t="s">
        <v>17</v>
      </c>
      <c r="E487" s="6" t="s">
        <v>428</v>
      </c>
      <c r="F487" s="6" t="s">
        <v>24</v>
      </c>
      <c r="G487" s="6" t="s">
        <v>2803</v>
      </c>
      <c r="H487" s="10">
        <v>46227</v>
      </c>
      <c r="I487" s="6" t="s">
        <v>2804</v>
      </c>
      <c r="J487" s="6" t="s">
        <v>2796</v>
      </c>
      <c r="K487" s="6" t="s">
        <v>55</v>
      </c>
      <c r="L487" s="6" t="s">
        <v>827</v>
      </c>
      <c r="M487" s="6" t="s">
        <v>1665</v>
      </c>
    </row>
    <row r="488" spans="1:13" ht="13" x14ac:dyDescent="0.15">
      <c r="A488" s="5" t="str">
        <f>HYPERLINK("https://onemount.atlassian.net/browse/DBA-5443","DBA-5443")</f>
        <v>DBA-5443</v>
      </c>
      <c r="B488" s="23" t="str">
        <f>HYPERLINK("https://onemount.atlassian.net/browse/DBA-3006","DBA-3006")</f>
        <v>DBA-3006</v>
      </c>
      <c r="C488" s="6" t="s">
        <v>2805</v>
      </c>
      <c r="D488" s="8" t="s">
        <v>17</v>
      </c>
      <c r="E488" s="6" t="s">
        <v>23</v>
      </c>
      <c r="F488" s="6" t="s">
        <v>24</v>
      </c>
      <c r="G488" s="6" t="s">
        <v>2806</v>
      </c>
      <c r="H488" s="10">
        <v>46227</v>
      </c>
      <c r="I488" s="6" t="s">
        <v>2807</v>
      </c>
      <c r="J488" s="6" t="s">
        <v>2796</v>
      </c>
      <c r="K488" s="6" t="s">
        <v>55</v>
      </c>
      <c r="L488" s="6" t="s">
        <v>827</v>
      </c>
      <c r="M488" s="6" t="s">
        <v>2808</v>
      </c>
    </row>
    <row r="489" spans="1:13" ht="13" x14ac:dyDescent="0.15">
      <c r="A489" s="5" t="str">
        <f>HYPERLINK("https://onemount.atlassian.net/browse/DBA-5442","DBA-5442")</f>
        <v>DBA-5442</v>
      </c>
      <c r="B489" s="6" t="s">
        <v>21</v>
      </c>
      <c r="C489" s="6" t="s">
        <v>2809</v>
      </c>
      <c r="D489" s="8" t="s">
        <v>17</v>
      </c>
      <c r="E489" s="6" t="s">
        <v>23</v>
      </c>
      <c r="F489" s="6" t="s">
        <v>31</v>
      </c>
      <c r="G489" s="6" t="s">
        <v>2810</v>
      </c>
      <c r="H489" s="10">
        <v>46224</v>
      </c>
      <c r="I489" s="6" t="s">
        <v>2811</v>
      </c>
      <c r="J489" s="6" t="s">
        <v>181</v>
      </c>
      <c r="K489" s="6" t="s">
        <v>35</v>
      </c>
      <c r="L489" s="6" t="s">
        <v>181</v>
      </c>
      <c r="M489" s="6" t="s">
        <v>2812</v>
      </c>
    </row>
    <row r="490" spans="1:13" ht="13" x14ac:dyDescent="0.15">
      <c r="A490" s="5" t="str">
        <f>HYPERLINK("https://onemount.atlassian.net/browse/DBA-5441","DBA-5441")</f>
        <v>DBA-5441</v>
      </c>
      <c r="B490" s="6" t="s">
        <v>21</v>
      </c>
      <c r="C490" s="6" t="s">
        <v>2813</v>
      </c>
      <c r="D490" s="8" t="s">
        <v>17</v>
      </c>
      <c r="E490" s="6" t="s">
        <v>23</v>
      </c>
      <c r="F490" s="6" t="s">
        <v>87</v>
      </c>
      <c r="G490" s="6" t="s">
        <v>2814</v>
      </c>
      <c r="H490" s="10">
        <v>46225</v>
      </c>
      <c r="I490" s="6" t="s">
        <v>2815</v>
      </c>
      <c r="J490" s="6" t="s">
        <v>146</v>
      </c>
      <c r="K490" s="6" t="s">
        <v>46</v>
      </c>
      <c r="L490" s="6" t="s">
        <v>146</v>
      </c>
      <c r="M490" s="6" t="s">
        <v>2816</v>
      </c>
    </row>
    <row r="491" spans="1:13" ht="13" x14ac:dyDescent="0.15">
      <c r="A491" s="5" t="str">
        <f>HYPERLINK("https://onemount.atlassian.net/browse/DBA-5440","DBA-5440")</f>
        <v>DBA-5440</v>
      </c>
      <c r="B491" s="6" t="s">
        <v>21</v>
      </c>
      <c r="C491" s="6" t="s">
        <v>2813</v>
      </c>
      <c r="D491" s="8" t="s">
        <v>17</v>
      </c>
      <c r="E491" s="6" t="s">
        <v>23</v>
      </c>
      <c r="F491" s="6" t="s">
        <v>87</v>
      </c>
      <c r="G491" s="6" t="s">
        <v>2817</v>
      </c>
      <c r="H491" s="10">
        <v>46225</v>
      </c>
      <c r="I491" s="6" t="s">
        <v>2818</v>
      </c>
      <c r="J491" s="6" t="s">
        <v>146</v>
      </c>
      <c r="K491" s="6" t="s">
        <v>46</v>
      </c>
      <c r="L491" s="6" t="s">
        <v>146</v>
      </c>
      <c r="M491" s="6" t="s">
        <v>2819</v>
      </c>
    </row>
    <row r="492" spans="1:13" ht="13" x14ac:dyDescent="0.15">
      <c r="A492" s="5" t="str">
        <f>HYPERLINK("https://onemount.atlassian.net/browse/DBA-5439","DBA-5439")</f>
        <v>DBA-5439</v>
      </c>
      <c r="B492" s="6" t="s">
        <v>21</v>
      </c>
      <c r="C492" s="6" t="s">
        <v>2813</v>
      </c>
      <c r="D492" s="8" t="s">
        <v>17</v>
      </c>
      <c r="E492" s="6" t="s">
        <v>23</v>
      </c>
      <c r="F492" s="6" t="s">
        <v>87</v>
      </c>
      <c r="G492" s="6" t="s">
        <v>2820</v>
      </c>
      <c r="H492" s="10">
        <v>46225</v>
      </c>
      <c r="I492" s="6" t="s">
        <v>2821</v>
      </c>
      <c r="J492" s="6" t="s">
        <v>146</v>
      </c>
      <c r="K492" s="6" t="s">
        <v>46</v>
      </c>
      <c r="L492" s="6" t="s">
        <v>146</v>
      </c>
      <c r="M492" s="6" t="s">
        <v>2822</v>
      </c>
    </row>
    <row r="493" spans="1:13" ht="13" x14ac:dyDescent="0.15">
      <c r="A493" s="5" t="str">
        <f>HYPERLINK("https://onemount.atlassian.net/browse/DBA-5438","DBA-5438")</f>
        <v>DBA-5438</v>
      </c>
      <c r="B493" s="6" t="s">
        <v>21</v>
      </c>
      <c r="C493" s="6" t="s">
        <v>2823</v>
      </c>
      <c r="D493" s="8" t="s">
        <v>17</v>
      </c>
      <c r="E493" s="6" t="s">
        <v>23</v>
      </c>
      <c r="F493" s="6" t="s">
        <v>31</v>
      </c>
      <c r="G493" s="6" t="s">
        <v>2824</v>
      </c>
      <c r="H493" s="10">
        <v>46224</v>
      </c>
      <c r="I493" s="6" t="s">
        <v>2825</v>
      </c>
      <c r="J493" s="6" t="s">
        <v>118</v>
      </c>
      <c r="K493" s="6" t="s">
        <v>35</v>
      </c>
      <c r="L493" s="6" t="s">
        <v>119</v>
      </c>
      <c r="M493" s="6" t="s">
        <v>2826</v>
      </c>
    </row>
    <row r="494" spans="1:13" ht="13" x14ac:dyDescent="0.15">
      <c r="A494" s="5" t="str">
        <f>HYPERLINK("https://onemount.atlassian.net/browse/DBA-5437","DBA-5437")</f>
        <v>DBA-5437</v>
      </c>
      <c r="B494" s="6" t="s">
        <v>21</v>
      </c>
      <c r="C494" s="6" t="s">
        <v>2827</v>
      </c>
      <c r="D494" s="8" t="s">
        <v>17</v>
      </c>
      <c r="E494" s="6" t="s">
        <v>23</v>
      </c>
      <c r="F494" s="6" t="s">
        <v>24</v>
      </c>
      <c r="G494" s="6" t="s">
        <v>2828</v>
      </c>
      <c r="H494" s="10">
        <v>46226</v>
      </c>
      <c r="I494" s="6" t="s">
        <v>2829</v>
      </c>
      <c r="J494" s="6" t="s">
        <v>165</v>
      </c>
      <c r="K494" s="6" t="s">
        <v>165</v>
      </c>
      <c r="L494" s="6" t="s">
        <v>1052</v>
      </c>
      <c r="M494" s="6" t="s">
        <v>2830</v>
      </c>
    </row>
    <row r="495" spans="1:13" ht="13" x14ac:dyDescent="0.15">
      <c r="A495" s="5" t="str">
        <f>HYPERLINK("https://onemount.atlassian.net/browse/DBA-5436","DBA-5436")</f>
        <v>DBA-5436</v>
      </c>
      <c r="B495" s="6" t="s">
        <v>21</v>
      </c>
      <c r="C495" s="6" t="s">
        <v>2831</v>
      </c>
      <c r="D495" s="8" t="s">
        <v>17</v>
      </c>
      <c r="E495" s="6" t="s">
        <v>23</v>
      </c>
      <c r="F495" s="6" t="s">
        <v>31</v>
      </c>
      <c r="G495" s="6" t="s">
        <v>2832</v>
      </c>
      <c r="H495" s="10">
        <v>46224</v>
      </c>
      <c r="I495" s="6" t="s">
        <v>2833</v>
      </c>
      <c r="J495" s="6" t="s">
        <v>118</v>
      </c>
      <c r="K495" s="6" t="s">
        <v>35</v>
      </c>
      <c r="L495" s="6" t="s">
        <v>119</v>
      </c>
      <c r="M495" s="6" t="s">
        <v>2834</v>
      </c>
    </row>
    <row r="496" spans="1:13" ht="13" x14ac:dyDescent="0.15">
      <c r="A496" s="5" t="str">
        <f>HYPERLINK("https://onemount.atlassian.net/browse/DBA-5435","DBA-5435")</f>
        <v>DBA-5435</v>
      </c>
      <c r="B496" s="6" t="s">
        <v>21</v>
      </c>
      <c r="C496" s="6" t="s">
        <v>2835</v>
      </c>
      <c r="D496" s="8" t="s">
        <v>17</v>
      </c>
      <c r="E496" s="6" t="s">
        <v>23</v>
      </c>
      <c r="F496" s="6" t="s">
        <v>52</v>
      </c>
      <c r="G496" s="6" t="s">
        <v>2836</v>
      </c>
      <c r="H496" s="10">
        <v>46224</v>
      </c>
      <c r="I496" s="6" t="s">
        <v>2837</v>
      </c>
      <c r="J496" s="6" t="s">
        <v>146</v>
      </c>
      <c r="K496" s="6" t="s">
        <v>35</v>
      </c>
      <c r="L496" s="6" t="s">
        <v>129</v>
      </c>
      <c r="M496" s="6" t="s">
        <v>2838</v>
      </c>
    </row>
    <row r="497" spans="1:13" ht="13" x14ac:dyDescent="0.15">
      <c r="A497" s="5" t="str">
        <f>HYPERLINK("https://onemount.atlassian.net/browse/DBA-5434","DBA-5434")</f>
        <v>DBA-5434</v>
      </c>
      <c r="B497" s="6" t="s">
        <v>21</v>
      </c>
      <c r="C497" s="6" t="s">
        <v>2839</v>
      </c>
      <c r="D497" s="8" t="s">
        <v>17</v>
      </c>
      <c r="E497" s="6" t="s">
        <v>23</v>
      </c>
      <c r="F497" s="6" t="s">
        <v>24</v>
      </c>
      <c r="G497" s="6" t="s">
        <v>2840</v>
      </c>
      <c r="H497" s="10">
        <v>46224</v>
      </c>
      <c r="I497" s="6" t="s">
        <v>2841</v>
      </c>
      <c r="J497" s="6" t="s">
        <v>56</v>
      </c>
      <c r="K497" s="6" t="s">
        <v>55</v>
      </c>
      <c r="L497" s="6" t="s">
        <v>56</v>
      </c>
      <c r="M497" s="6" t="s">
        <v>2842</v>
      </c>
    </row>
    <row r="498" spans="1:13" ht="13" x14ac:dyDescent="0.15">
      <c r="A498" s="5" t="str">
        <f>HYPERLINK("https://onemount.atlassian.net/browse/DBA-5433","DBA-5433")</f>
        <v>DBA-5433</v>
      </c>
      <c r="B498" s="6" t="s">
        <v>21</v>
      </c>
      <c r="C498" s="6" t="s">
        <v>2843</v>
      </c>
      <c r="D498" s="8" t="s">
        <v>17</v>
      </c>
      <c r="E498" s="6" t="s">
        <v>23</v>
      </c>
      <c r="F498" s="6" t="s">
        <v>52</v>
      </c>
      <c r="G498" s="6" t="s">
        <v>2844</v>
      </c>
      <c r="H498" s="10">
        <v>46223</v>
      </c>
      <c r="I498" s="6" t="s">
        <v>2845</v>
      </c>
      <c r="J498" s="6" t="s">
        <v>534</v>
      </c>
      <c r="K498" s="6" t="s">
        <v>46</v>
      </c>
      <c r="L498" s="6" t="s">
        <v>534</v>
      </c>
      <c r="M498" s="6" t="s">
        <v>2846</v>
      </c>
    </row>
    <row r="499" spans="1:13" ht="13" x14ac:dyDescent="0.15">
      <c r="A499" s="5" t="str">
        <f>HYPERLINK("https://onemount.atlassian.net/browse/DBA-5432","DBA-5432")</f>
        <v>DBA-5432</v>
      </c>
      <c r="B499" s="6" t="s">
        <v>21</v>
      </c>
      <c r="C499" s="6" t="s">
        <v>2847</v>
      </c>
      <c r="D499" s="8" t="s">
        <v>17</v>
      </c>
      <c r="E499" s="6" t="s">
        <v>23</v>
      </c>
      <c r="F499" s="6" t="s">
        <v>52</v>
      </c>
      <c r="G499" s="6" t="s">
        <v>2848</v>
      </c>
      <c r="H499" s="10">
        <v>46225</v>
      </c>
      <c r="I499" s="6" t="s">
        <v>2849</v>
      </c>
      <c r="J499" s="6" t="s">
        <v>759</v>
      </c>
      <c r="K499" s="6" t="s">
        <v>137</v>
      </c>
      <c r="L499" s="6" t="s">
        <v>222</v>
      </c>
      <c r="M499" s="6" t="s">
        <v>2850</v>
      </c>
    </row>
    <row r="500" spans="1:13" ht="13" x14ac:dyDescent="0.15">
      <c r="A500" s="5" t="str">
        <f>HYPERLINK("https://onemount.atlassian.net/browse/DBA-5431","DBA-5431")</f>
        <v>DBA-5431</v>
      </c>
      <c r="B500" s="6" t="s">
        <v>21</v>
      </c>
      <c r="C500" s="6" t="s">
        <v>2851</v>
      </c>
      <c r="D500" s="8" t="s">
        <v>17</v>
      </c>
      <c r="E500" s="6" t="s">
        <v>23</v>
      </c>
      <c r="F500" s="6" t="s">
        <v>31</v>
      </c>
      <c r="G500" s="6" t="s">
        <v>2852</v>
      </c>
      <c r="H500" s="10">
        <v>46224</v>
      </c>
      <c r="I500" s="6" t="s">
        <v>2853</v>
      </c>
      <c r="J500" s="6" t="s">
        <v>128</v>
      </c>
      <c r="K500" s="6" t="s">
        <v>35</v>
      </c>
      <c r="L500" s="6" t="s">
        <v>129</v>
      </c>
      <c r="M500" s="6" t="s">
        <v>2854</v>
      </c>
    </row>
    <row r="501" spans="1:13" ht="13" x14ac:dyDescent="0.15">
      <c r="A501" s="5" t="str">
        <f>HYPERLINK("https://onemount.atlassian.net/browse/DBA-5430","DBA-5430")</f>
        <v>DBA-5430</v>
      </c>
      <c r="B501" s="6" t="s">
        <v>21</v>
      </c>
      <c r="C501" s="6" t="s">
        <v>2855</v>
      </c>
      <c r="D501" s="8" t="s">
        <v>17</v>
      </c>
      <c r="E501" s="6" t="s">
        <v>23</v>
      </c>
      <c r="F501" s="6" t="s">
        <v>52</v>
      </c>
      <c r="G501" s="6" t="s">
        <v>2856</v>
      </c>
      <c r="H501" s="10">
        <v>46223</v>
      </c>
      <c r="I501" s="6" t="s">
        <v>2857</v>
      </c>
      <c r="J501" s="6" t="s">
        <v>1464</v>
      </c>
      <c r="K501" s="6" t="s">
        <v>55</v>
      </c>
      <c r="L501" s="6" t="s">
        <v>891</v>
      </c>
      <c r="M501" s="6" t="s">
        <v>2858</v>
      </c>
    </row>
    <row r="502" spans="1:13" ht="13" x14ac:dyDescent="0.15">
      <c r="A502" s="5" t="str">
        <f>HYPERLINK("https://onemount.atlassian.net/browse/DBA-5429","DBA-5429")</f>
        <v>DBA-5429</v>
      </c>
      <c r="B502" s="6" t="s">
        <v>21</v>
      </c>
      <c r="C502" s="6" t="s">
        <v>2322</v>
      </c>
      <c r="D502" s="8" t="s">
        <v>17</v>
      </c>
      <c r="E502" s="6" t="s">
        <v>23</v>
      </c>
      <c r="F502" s="6" t="s">
        <v>24</v>
      </c>
      <c r="G502" s="6" t="s">
        <v>2859</v>
      </c>
      <c r="H502" s="10">
        <v>46223</v>
      </c>
      <c r="I502" s="6" t="s">
        <v>2860</v>
      </c>
      <c r="J502" s="6" t="s">
        <v>88</v>
      </c>
      <c r="K502" s="6" t="s">
        <v>59</v>
      </c>
      <c r="L502" s="6" t="s">
        <v>88</v>
      </c>
      <c r="M502" s="6" t="s">
        <v>2861</v>
      </c>
    </row>
    <row r="503" spans="1:13" ht="13" x14ac:dyDescent="0.15">
      <c r="A503" s="5" t="str">
        <f>HYPERLINK("https://onemount.atlassian.net/browse/DBA-5428","DBA-5428")</f>
        <v>DBA-5428</v>
      </c>
      <c r="B503" s="6" t="s">
        <v>21</v>
      </c>
      <c r="C503" s="6" t="s">
        <v>2862</v>
      </c>
      <c r="D503" s="8" t="s">
        <v>17</v>
      </c>
      <c r="E503" s="6" t="s">
        <v>23</v>
      </c>
      <c r="F503" s="6" t="s">
        <v>52</v>
      </c>
      <c r="G503" s="6" t="s">
        <v>2863</v>
      </c>
      <c r="H503" s="10">
        <v>46224</v>
      </c>
      <c r="I503" s="6" t="s">
        <v>2864</v>
      </c>
      <c r="J503" s="6" t="s">
        <v>621</v>
      </c>
      <c r="K503" s="6" t="s">
        <v>55</v>
      </c>
      <c r="L503" s="6" t="s">
        <v>85</v>
      </c>
      <c r="M503" s="6" t="s">
        <v>2865</v>
      </c>
    </row>
    <row r="504" spans="1:13" ht="13" x14ac:dyDescent="0.15">
      <c r="A504" s="5" t="str">
        <f>HYPERLINK("https://onemount.atlassian.net/browse/DBA-5427","DBA-5427")</f>
        <v>DBA-5427</v>
      </c>
      <c r="B504" s="6" t="s">
        <v>21</v>
      </c>
      <c r="C504" s="6" t="s">
        <v>2866</v>
      </c>
      <c r="D504" s="8" t="s">
        <v>17</v>
      </c>
      <c r="E504" s="6" t="s">
        <v>23</v>
      </c>
      <c r="F504" s="6" t="s">
        <v>24</v>
      </c>
      <c r="G504" s="6" t="s">
        <v>2867</v>
      </c>
      <c r="H504" s="10">
        <v>46224</v>
      </c>
      <c r="I504" s="6" t="s">
        <v>2868</v>
      </c>
      <c r="J504" s="6" t="s">
        <v>2869</v>
      </c>
      <c r="K504" s="6" t="s">
        <v>46</v>
      </c>
      <c r="L504" s="6" t="s">
        <v>164</v>
      </c>
      <c r="M504" s="6" t="s">
        <v>2870</v>
      </c>
    </row>
    <row r="505" spans="1:13" ht="13" x14ac:dyDescent="0.15">
      <c r="A505" s="5" t="str">
        <f>HYPERLINK("https://onemount.atlassian.net/browse/DBA-5426","DBA-5426")</f>
        <v>DBA-5426</v>
      </c>
      <c r="B505" s="6" t="s">
        <v>21</v>
      </c>
      <c r="C505" s="6" t="s">
        <v>2871</v>
      </c>
      <c r="D505" s="8" t="s">
        <v>17</v>
      </c>
      <c r="E505" s="6" t="s">
        <v>23</v>
      </c>
      <c r="F505" s="6" t="s">
        <v>52</v>
      </c>
      <c r="G505" s="6" t="s">
        <v>2872</v>
      </c>
      <c r="H505" s="10">
        <v>46222</v>
      </c>
      <c r="I505" s="6" t="s">
        <v>2873</v>
      </c>
      <c r="J505" s="6" t="s">
        <v>2453</v>
      </c>
      <c r="K505" s="6" t="s">
        <v>46</v>
      </c>
      <c r="L505" s="6" t="s">
        <v>119</v>
      </c>
      <c r="M505" s="6" t="s">
        <v>2874</v>
      </c>
    </row>
    <row r="506" spans="1:13" ht="13" x14ac:dyDescent="0.15">
      <c r="A506" s="5" t="str">
        <f>HYPERLINK("https://onemount.atlassian.net/browse/DBA-5425","DBA-5425")</f>
        <v>DBA-5425</v>
      </c>
      <c r="B506" s="6" t="s">
        <v>21</v>
      </c>
      <c r="C506" s="6" t="s">
        <v>2875</v>
      </c>
      <c r="D506" s="8" t="s">
        <v>17</v>
      </c>
      <c r="E506" s="6" t="s">
        <v>23</v>
      </c>
      <c r="F506" s="6" t="s">
        <v>24</v>
      </c>
      <c r="G506" s="6" t="s">
        <v>2876</v>
      </c>
      <c r="H506" s="10">
        <v>46224</v>
      </c>
      <c r="I506" s="6" t="s">
        <v>2877</v>
      </c>
      <c r="J506" s="6" t="s">
        <v>55</v>
      </c>
      <c r="K506" s="6" t="s">
        <v>55</v>
      </c>
      <c r="L506" s="6" t="s">
        <v>958</v>
      </c>
      <c r="M506" s="6" t="s">
        <v>2878</v>
      </c>
    </row>
    <row r="507" spans="1:13" ht="13" x14ac:dyDescent="0.15">
      <c r="A507" s="5" t="str">
        <f>HYPERLINK("https://onemount.atlassian.net/browse/DBA-5424","DBA-5424")</f>
        <v>DBA-5424</v>
      </c>
      <c r="B507" s="6" t="s">
        <v>21</v>
      </c>
      <c r="C507" s="6" t="s">
        <v>2879</v>
      </c>
      <c r="D507" s="8" t="s">
        <v>17</v>
      </c>
      <c r="E507" s="6" t="s">
        <v>23</v>
      </c>
      <c r="F507" s="6" t="s">
        <v>24</v>
      </c>
      <c r="G507" s="6" t="s">
        <v>2880</v>
      </c>
      <c r="H507" s="10">
        <v>46221</v>
      </c>
      <c r="I507" s="6" t="s">
        <v>2881</v>
      </c>
      <c r="J507" s="6" t="s">
        <v>56</v>
      </c>
      <c r="K507" s="6" t="s">
        <v>55</v>
      </c>
      <c r="L507" s="6" t="s">
        <v>56</v>
      </c>
      <c r="M507" s="6" t="s">
        <v>2882</v>
      </c>
    </row>
    <row r="508" spans="1:13" ht="13" x14ac:dyDescent="0.15">
      <c r="A508" s="5" t="str">
        <f>HYPERLINK("https://onemount.atlassian.net/browse/DBA-5423","DBA-5423")</f>
        <v>DBA-5423</v>
      </c>
      <c r="B508" s="6" t="s">
        <v>21</v>
      </c>
      <c r="C508" s="6" t="s">
        <v>2883</v>
      </c>
      <c r="D508" s="8" t="s">
        <v>17</v>
      </c>
      <c r="E508" s="6" t="s">
        <v>23</v>
      </c>
      <c r="F508" s="6" t="s">
        <v>31</v>
      </c>
      <c r="G508" s="6" t="s">
        <v>2884</v>
      </c>
      <c r="H508" s="10">
        <v>46220</v>
      </c>
      <c r="I508" s="6" t="s">
        <v>2885</v>
      </c>
      <c r="J508" s="6" t="s">
        <v>2886</v>
      </c>
      <c r="K508" s="6" t="s">
        <v>35</v>
      </c>
      <c r="L508" s="6" t="s">
        <v>489</v>
      </c>
      <c r="M508" s="6" t="s">
        <v>2887</v>
      </c>
    </row>
    <row r="509" spans="1:13" ht="13" x14ac:dyDescent="0.15">
      <c r="A509" s="5" t="str">
        <f>HYPERLINK("https://onemount.atlassian.net/browse/DBA-5422","DBA-5422")</f>
        <v>DBA-5422</v>
      </c>
      <c r="B509" s="6" t="s">
        <v>21</v>
      </c>
      <c r="C509" s="6" t="s">
        <v>2888</v>
      </c>
      <c r="D509" s="8" t="s">
        <v>17</v>
      </c>
      <c r="E509" s="6" t="s">
        <v>23</v>
      </c>
      <c r="F509" s="6" t="s">
        <v>31</v>
      </c>
      <c r="G509" s="6" t="s">
        <v>2889</v>
      </c>
      <c r="H509" s="10">
        <v>46221</v>
      </c>
      <c r="I509" s="6" t="s">
        <v>2890</v>
      </c>
      <c r="J509" s="6" t="s">
        <v>118</v>
      </c>
      <c r="K509" s="6" t="s">
        <v>35</v>
      </c>
      <c r="L509" s="6" t="s">
        <v>119</v>
      </c>
      <c r="M509" s="6" t="s">
        <v>2891</v>
      </c>
    </row>
    <row r="510" spans="1:13" ht="13" x14ac:dyDescent="0.15">
      <c r="A510" s="5" t="str">
        <f>HYPERLINK("https://onemount.atlassian.net/browse/DBA-5421","DBA-5421")</f>
        <v>DBA-5421</v>
      </c>
      <c r="B510" s="6" t="s">
        <v>21</v>
      </c>
      <c r="C510" s="6" t="s">
        <v>2879</v>
      </c>
      <c r="D510" s="8" t="s">
        <v>17</v>
      </c>
      <c r="E510" s="6" t="s">
        <v>23</v>
      </c>
      <c r="F510" s="6" t="s">
        <v>52</v>
      </c>
      <c r="G510" s="6" t="s">
        <v>2892</v>
      </c>
      <c r="H510" s="10">
        <v>46221</v>
      </c>
      <c r="I510" s="6" t="s">
        <v>2893</v>
      </c>
      <c r="J510" s="6" t="s">
        <v>56</v>
      </c>
      <c r="K510" s="6" t="s">
        <v>55</v>
      </c>
      <c r="L510" s="6" t="s">
        <v>56</v>
      </c>
      <c r="M510" s="6" t="s">
        <v>2894</v>
      </c>
    </row>
    <row r="511" spans="1:13" ht="13" x14ac:dyDescent="0.15">
      <c r="A511" s="5" t="str">
        <f>HYPERLINK("https://onemount.atlassian.net/browse/DBA-5420","DBA-5420")</f>
        <v>DBA-5420</v>
      </c>
      <c r="B511" s="6" t="s">
        <v>21</v>
      </c>
      <c r="C511" s="6" t="s">
        <v>2895</v>
      </c>
      <c r="D511" s="8" t="s">
        <v>17</v>
      </c>
      <c r="E511" s="6" t="s">
        <v>23</v>
      </c>
      <c r="F511" s="6" t="s">
        <v>52</v>
      </c>
      <c r="G511" s="6" t="s">
        <v>2896</v>
      </c>
      <c r="H511" s="10">
        <v>46220</v>
      </c>
      <c r="I511" s="6" t="s">
        <v>2897</v>
      </c>
      <c r="J511" s="6" t="s">
        <v>2453</v>
      </c>
      <c r="K511" s="6" t="s">
        <v>46</v>
      </c>
      <c r="L511" s="6" t="s">
        <v>119</v>
      </c>
      <c r="M511" s="6" t="s">
        <v>2898</v>
      </c>
    </row>
    <row r="512" spans="1:13" ht="13" x14ac:dyDescent="0.15">
      <c r="A512" s="5" t="str">
        <f>HYPERLINK("https://onemount.atlassian.net/browse/DBA-5419","DBA-5419")</f>
        <v>DBA-5419</v>
      </c>
      <c r="B512" s="6" t="s">
        <v>21</v>
      </c>
      <c r="C512" s="6" t="s">
        <v>2899</v>
      </c>
      <c r="D512" s="8" t="s">
        <v>17</v>
      </c>
      <c r="E512" s="6" t="s">
        <v>23</v>
      </c>
      <c r="F512" s="6" t="s">
        <v>31</v>
      </c>
      <c r="G512" s="6" t="s">
        <v>2900</v>
      </c>
      <c r="H512" s="10">
        <v>46221</v>
      </c>
      <c r="I512" s="6" t="s">
        <v>2901</v>
      </c>
      <c r="J512" s="6" t="s">
        <v>118</v>
      </c>
      <c r="K512" s="6" t="s">
        <v>35</v>
      </c>
      <c r="L512" s="6" t="s">
        <v>119</v>
      </c>
      <c r="M512" s="6" t="s">
        <v>2902</v>
      </c>
    </row>
    <row r="513" spans="1:13" ht="13" x14ac:dyDescent="0.15">
      <c r="A513" s="5" t="str">
        <f>HYPERLINK("https://onemount.atlassian.net/browse/DBA-5418","DBA-5418")</f>
        <v>DBA-5418</v>
      </c>
      <c r="B513" s="6" t="s">
        <v>21</v>
      </c>
      <c r="C513" s="6" t="s">
        <v>2903</v>
      </c>
      <c r="D513" s="8" t="s">
        <v>17</v>
      </c>
      <c r="E513" s="6" t="s">
        <v>23</v>
      </c>
      <c r="F513" s="6" t="s">
        <v>41</v>
      </c>
      <c r="G513" s="6" t="s">
        <v>2904</v>
      </c>
      <c r="H513" s="10">
        <v>46221</v>
      </c>
      <c r="I513" s="6" t="s">
        <v>2905</v>
      </c>
      <c r="J513" s="6" t="s">
        <v>2906</v>
      </c>
      <c r="K513" s="6" t="s">
        <v>28</v>
      </c>
      <c r="L513" s="6" t="s">
        <v>1111</v>
      </c>
      <c r="M513" s="6" t="s">
        <v>2907</v>
      </c>
    </row>
    <row r="514" spans="1:13" ht="13" x14ac:dyDescent="0.15">
      <c r="A514" s="5" t="str">
        <f>HYPERLINK("https://onemount.atlassian.net/browse/DBA-5417","DBA-5417")</f>
        <v>DBA-5417</v>
      </c>
      <c r="B514" s="6" t="s">
        <v>21</v>
      </c>
      <c r="C514" s="6" t="s">
        <v>1466</v>
      </c>
      <c r="D514" s="8" t="s">
        <v>17</v>
      </c>
      <c r="E514" s="6" t="s">
        <v>23</v>
      </c>
      <c r="F514" s="6" t="s">
        <v>31</v>
      </c>
      <c r="G514" s="6" t="s">
        <v>2908</v>
      </c>
      <c r="H514" s="10">
        <v>46220</v>
      </c>
      <c r="I514" s="6" t="s">
        <v>2909</v>
      </c>
      <c r="J514" s="6" t="s">
        <v>855</v>
      </c>
      <c r="K514" s="6" t="s">
        <v>55</v>
      </c>
      <c r="L514" s="6" t="s">
        <v>855</v>
      </c>
      <c r="M514" s="6" t="s">
        <v>2910</v>
      </c>
    </row>
    <row r="515" spans="1:13" ht="13" x14ac:dyDescent="0.15">
      <c r="A515" s="5" t="str">
        <f>HYPERLINK("https://onemount.atlassian.net/browse/DBA-5416","DBA-5416")</f>
        <v>DBA-5416</v>
      </c>
      <c r="B515" s="6" t="s">
        <v>21</v>
      </c>
      <c r="C515" s="6" t="s">
        <v>2911</v>
      </c>
      <c r="D515" s="8" t="s">
        <v>17</v>
      </c>
      <c r="E515" s="6" t="s">
        <v>23</v>
      </c>
      <c r="F515" s="6" t="s">
        <v>31</v>
      </c>
      <c r="G515" s="6" t="s">
        <v>2912</v>
      </c>
      <c r="H515" s="10">
        <v>46221</v>
      </c>
      <c r="I515" s="6" t="s">
        <v>2913</v>
      </c>
      <c r="J515" s="6" t="s">
        <v>2914</v>
      </c>
      <c r="K515" s="6" t="s">
        <v>55</v>
      </c>
      <c r="L515" s="6" t="s">
        <v>956</v>
      </c>
      <c r="M515" s="6" t="s">
        <v>2915</v>
      </c>
    </row>
    <row r="516" spans="1:13" ht="13" x14ac:dyDescent="0.15">
      <c r="A516" s="5" t="str">
        <f>HYPERLINK("https://onemount.atlassian.net/browse/DBA-5415","DBA-5415")</f>
        <v>DBA-5415</v>
      </c>
      <c r="B516" s="6" t="s">
        <v>21</v>
      </c>
      <c r="C516" s="6" t="s">
        <v>2916</v>
      </c>
      <c r="D516" s="8" t="s">
        <v>17</v>
      </c>
      <c r="E516" s="6" t="s">
        <v>23</v>
      </c>
      <c r="F516" s="6" t="s">
        <v>52</v>
      </c>
      <c r="G516" s="6" t="s">
        <v>2917</v>
      </c>
      <c r="H516" s="10">
        <v>46220</v>
      </c>
      <c r="I516" s="6" t="s">
        <v>2918</v>
      </c>
      <c r="J516" s="6" t="s">
        <v>2919</v>
      </c>
      <c r="K516" s="6" t="s">
        <v>46</v>
      </c>
      <c r="L516" s="6" t="s">
        <v>188</v>
      </c>
      <c r="M516" s="6" t="s">
        <v>2920</v>
      </c>
    </row>
    <row r="517" spans="1:13" ht="13" x14ac:dyDescent="0.15">
      <c r="A517" s="5" t="str">
        <f>HYPERLINK("https://onemount.atlassian.net/browse/DBA-5414","DBA-5414")</f>
        <v>DBA-5414</v>
      </c>
      <c r="B517" s="23" t="str">
        <f>HYPERLINK("https://onemount.atlassian.net/browse/DBA-1909","DBA-1909")</f>
        <v>DBA-1909</v>
      </c>
      <c r="C517" s="6" t="s">
        <v>2921</v>
      </c>
      <c r="D517" s="8" t="s">
        <v>17</v>
      </c>
      <c r="E517" s="6" t="s">
        <v>428</v>
      </c>
      <c r="F517" s="6" t="s">
        <v>24</v>
      </c>
      <c r="G517" s="6" t="s">
        <v>2922</v>
      </c>
      <c r="H517" s="10">
        <v>46226</v>
      </c>
      <c r="I517" s="6" t="s">
        <v>2923</v>
      </c>
      <c r="J517" s="6" t="s">
        <v>2924</v>
      </c>
      <c r="K517" s="6" t="s">
        <v>165</v>
      </c>
      <c r="L517" s="6" t="s">
        <v>1052</v>
      </c>
      <c r="M517" s="6" t="s">
        <v>2925</v>
      </c>
    </row>
    <row r="518" spans="1:13" ht="13" x14ac:dyDescent="0.15">
      <c r="A518" s="5" t="str">
        <f>HYPERLINK("https://onemount.atlassian.net/browse/DBA-5413","DBA-5413")</f>
        <v>DBA-5413</v>
      </c>
      <c r="B518" s="6" t="s">
        <v>21</v>
      </c>
      <c r="C518" s="6" t="s">
        <v>2926</v>
      </c>
      <c r="D518" s="8" t="s">
        <v>17</v>
      </c>
      <c r="E518" s="6" t="s">
        <v>23</v>
      </c>
      <c r="F518" s="6" t="s">
        <v>52</v>
      </c>
      <c r="G518" s="6" t="s">
        <v>2927</v>
      </c>
      <c r="H518" s="10">
        <v>46219</v>
      </c>
      <c r="I518" s="6" t="s">
        <v>2928</v>
      </c>
      <c r="J518" s="6" t="s">
        <v>139</v>
      </c>
      <c r="K518" s="6" t="s">
        <v>124</v>
      </c>
      <c r="L518" s="6" t="s">
        <v>139</v>
      </c>
      <c r="M518" s="6" t="s">
        <v>2929</v>
      </c>
    </row>
    <row r="519" spans="1:13" ht="13" x14ac:dyDescent="0.15">
      <c r="A519" s="5" t="str">
        <f>HYPERLINK("https://onemount.atlassian.net/browse/DBA-5412","DBA-5412")</f>
        <v>DBA-5412</v>
      </c>
      <c r="B519" s="6" t="s">
        <v>21</v>
      </c>
      <c r="C519" s="6" t="s">
        <v>2930</v>
      </c>
      <c r="D519" s="8" t="s">
        <v>17</v>
      </c>
      <c r="E519" s="6" t="s">
        <v>23</v>
      </c>
      <c r="F519" s="6" t="s">
        <v>31</v>
      </c>
      <c r="G519" s="6" t="s">
        <v>2931</v>
      </c>
      <c r="H519" s="10">
        <v>46219</v>
      </c>
      <c r="I519" s="6" t="s">
        <v>2932</v>
      </c>
      <c r="J519" s="6" t="s">
        <v>2886</v>
      </c>
      <c r="K519" s="6" t="s">
        <v>35</v>
      </c>
      <c r="L519" s="6" t="s">
        <v>489</v>
      </c>
      <c r="M519" s="6" t="s">
        <v>2933</v>
      </c>
    </row>
    <row r="520" spans="1:13" ht="13" x14ac:dyDescent="0.15">
      <c r="A520" s="21" t="str">
        <f>HYPERLINK("https://onemount.atlassian.net/browse/DBA-5411","DBA-5411")</f>
        <v>DBA-5411</v>
      </c>
      <c r="B520" s="6" t="s">
        <v>21</v>
      </c>
      <c r="C520" s="6" t="s">
        <v>2684</v>
      </c>
      <c r="D520" s="8" t="s">
        <v>17</v>
      </c>
      <c r="E520" s="6" t="s">
        <v>23</v>
      </c>
      <c r="F520" s="6" t="s">
        <v>31</v>
      </c>
      <c r="G520" s="6" t="s">
        <v>2934</v>
      </c>
      <c r="H520" s="10">
        <v>46219</v>
      </c>
      <c r="I520" s="6" t="s">
        <v>2935</v>
      </c>
      <c r="J520" s="6" t="s">
        <v>2687</v>
      </c>
      <c r="K520" s="6" t="s">
        <v>46</v>
      </c>
      <c r="L520" s="6" t="s">
        <v>404</v>
      </c>
      <c r="M520" s="6" t="s">
        <v>2936</v>
      </c>
    </row>
    <row r="521" spans="1:13" ht="13" x14ac:dyDescent="0.15">
      <c r="A521" s="5" t="str">
        <f>HYPERLINK("https://onemount.atlassian.net/browse/DBA-5410","DBA-5410")</f>
        <v>DBA-5410</v>
      </c>
      <c r="B521" s="6" t="s">
        <v>21</v>
      </c>
      <c r="C521" s="6" t="s">
        <v>2937</v>
      </c>
      <c r="D521" s="8" t="s">
        <v>17</v>
      </c>
      <c r="E521" s="6" t="s">
        <v>23</v>
      </c>
      <c r="F521" s="6" t="s">
        <v>52</v>
      </c>
      <c r="G521" s="6" t="s">
        <v>2938</v>
      </c>
      <c r="H521" s="10">
        <v>46220</v>
      </c>
      <c r="I521" s="6" t="s">
        <v>2939</v>
      </c>
      <c r="J521" s="6" t="s">
        <v>72</v>
      </c>
      <c r="K521" s="6" t="s">
        <v>72</v>
      </c>
      <c r="L521" s="6" t="s">
        <v>72</v>
      </c>
      <c r="M521" s="6" t="s">
        <v>2940</v>
      </c>
    </row>
    <row r="522" spans="1:13" ht="13" x14ac:dyDescent="0.15">
      <c r="A522" s="21" t="str">
        <f>HYPERLINK("https://onemount.atlassian.net/browse/DBA-5409","DBA-5409")</f>
        <v>DBA-5409</v>
      </c>
      <c r="B522" s="6" t="s">
        <v>21</v>
      </c>
      <c r="C522" s="6" t="s">
        <v>481</v>
      </c>
      <c r="D522" s="8" t="s">
        <v>17</v>
      </c>
      <c r="E522" s="6" t="s">
        <v>23</v>
      </c>
      <c r="F522" s="6" t="s">
        <v>24</v>
      </c>
      <c r="G522" s="6" t="s">
        <v>2941</v>
      </c>
      <c r="H522" s="10">
        <v>46220</v>
      </c>
      <c r="I522" s="6" t="s">
        <v>2942</v>
      </c>
      <c r="J522" s="6" t="s">
        <v>88</v>
      </c>
      <c r="K522" s="6" t="s">
        <v>59</v>
      </c>
      <c r="L522" s="6" t="s">
        <v>88</v>
      </c>
      <c r="M522" s="6" t="s">
        <v>2943</v>
      </c>
    </row>
    <row r="523" spans="1:13" ht="13" x14ac:dyDescent="0.15">
      <c r="A523" s="5" t="str">
        <f>HYPERLINK("https://onemount.atlassian.net/browse/DBA-5408","DBA-5408")</f>
        <v>DBA-5408</v>
      </c>
      <c r="B523" s="6" t="s">
        <v>21</v>
      </c>
      <c r="C523" s="6" t="s">
        <v>2754</v>
      </c>
      <c r="D523" s="8" t="s">
        <v>17</v>
      </c>
      <c r="E523" s="6" t="s">
        <v>23</v>
      </c>
      <c r="F523" s="6" t="s">
        <v>24</v>
      </c>
      <c r="G523" s="6" t="s">
        <v>2944</v>
      </c>
      <c r="H523" s="10">
        <v>46220</v>
      </c>
      <c r="I523" s="6" t="s">
        <v>2945</v>
      </c>
      <c r="J523" s="6" t="s">
        <v>165</v>
      </c>
      <c r="K523" s="6" t="s">
        <v>165</v>
      </c>
      <c r="L523" s="6" t="s">
        <v>39</v>
      </c>
      <c r="M523" s="6" t="s">
        <v>2946</v>
      </c>
    </row>
    <row r="524" spans="1:13" ht="13" x14ac:dyDescent="0.15">
      <c r="A524" s="5" t="str">
        <f>HYPERLINK("https://onemount.atlassian.net/browse/DBA-5407","DBA-5407")</f>
        <v>DBA-5407</v>
      </c>
      <c r="B524" s="6" t="s">
        <v>21</v>
      </c>
      <c r="C524" s="6" t="s">
        <v>2947</v>
      </c>
      <c r="D524" s="8" t="s">
        <v>17</v>
      </c>
      <c r="E524" s="6" t="s">
        <v>23</v>
      </c>
      <c r="F524" s="6" t="s">
        <v>52</v>
      </c>
      <c r="G524" s="6" t="s">
        <v>2948</v>
      </c>
      <c r="H524" s="10">
        <v>46220</v>
      </c>
      <c r="I524" s="6" t="s">
        <v>2949</v>
      </c>
      <c r="J524" s="6" t="s">
        <v>56</v>
      </c>
      <c r="K524" s="6" t="s">
        <v>55</v>
      </c>
      <c r="L524" s="6" t="s">
        <v>56</v>
      </c>
      <c r="M524" s="6" t="s">
        <v>2950</v>
      </c>
    </row>
    <row r="525" spans="1:13" ht="13" x14ac:dyDescent="0.15">
      <c r="A525" s="5" t="str">
        <f>HYPERLINK("https://onemount.atlassian.net/browse/DBA-5406","DBA-5406")</f>
        <v>DBA-5406</v>
      </c>
      <c r="B525" s="6" t="s">
        <v>21</v>
      </c>
      <c r="C525" s="6" t="s">
        <v>2951</v>
      </c>
      <c r="D525" s="8" t="s">
        <v>17</v>
      </c>
      <c r="E525" s="6" t="s">
        <v>23</v>
      </c>
      <c r="F525" s="6" t="s">
        <v>52</v>
      </c>
      <c r="G525" s="6" t="s">
        <v>2952</v>
      </c>
      <c r="H525" s="10">
        <v>46218</v>
      </c>
      <c r="I525" s="6" t="s">
        <v>2953</v>
      </c>
      <c r="J525" s="6" t="s">
        <v>93</v>
      </c>
      <c r="K525" s="6" t="s">
        <v>55</v>
      </c>
      <c r="L525" s="6" t="s">
        <v>956</v>
      </c>
      <c r="M525" s="6" t="s">
        <v>2954</v>
      </c>
    </row>
    <row r="526" spans="1:13" ht="13" x14ac:dyDescent="0.15">
      <c r="A526" s="5" t="str">
        <f>HYPERLINK("https://onemount.atlassian.net/browse/DBA-5405","DBA-5405")</f>
        <v>DBA-5405</v>
      </c>
      <c r="B526" s="6" t="s">
        <v>21</v>
      </c>
      <c r="C526" s="6" t="s">
        <v>2955</v>
      </c>
      <c r="D526" s="8" t="s">
        <v>17</v>
      </c>
      <c r="E526" s="6" t="s">
        <v>23</v>
      </c>
      <c r="F526" s="6" t="s">
        <v>41</v>
      </c>
      <c r="G526" s="6" t="s">
        <v>2956</v>
      </c>
      <c r="H526" s="10">
        <v>46249</v>
      </c>
      <c r="I526" s="6" t="s">
        <v>2957</v>
      </c>
      <c r="J526" s="6" t="s">
        <v>2958</v>
      </c>
      <c r="K526" s="6" t="s">
        <v>168</v>
      </c>
      <c r="L526" s="6" t="s">
        <v>1172</v>
      </c>
      <c r="M526" s="6" t="s">
        <v>2959</v>
      </c>
    </row>
    <row r="527" spans="1:13" ht="13" x14ac:dyDescent="0.15">
      <c r="A527" s="5" t="str">
        <f>HYPERLINK("https://onemount.atlassian.net/browse/DBA-5404","DBA-5404")</f>
        <v>DBA-5404</v>
      </c>
      <c r="B527" s="6" t="s">
        <v>21</v>
      </c>
      <c r="C527" s="6" t="s">
        <v>2960</v>
      </c>
      <c r="D527" s="8" t="s">
        <v>17</v>
      </c>
      <c r="E527" s="6" t="s">
        <v>23</v>
      </c>
      <c r="F527" s="6" t="s">
        <v>24</v>
      </c>
      <c r="G527" s="6" t="s">
        <v>2961</v>
      </c>
      <c r="H527" s="10">
        <v>46219</v>
      </c>
      <c r="I527" s="6" t="s">
        <v>2962</v>
      </c>
      <c r="J527" s="6" t="s">
        <v>56</v>
      </c>
      <c r="K527" s="6" t="s">
        <v>55</v>
      </c>
      <c r="L527" s="6" t="s">
        <v>56</v>
      </c>
      <c r="M527" s="6" t="s">
        <v>2963</v>
      </c>
    </row>
    <row r="528" spans="1:13" ht="13" x14ac:dyDescent="0.15">
      <c r="A528" s="21" t="str">
        <f>HYPERLINK("https://onemount.atlassian.net/browse/DBA-5403","DBA-5403")</f>
        <v>DBA-5403</v>
      </c>
      <c r="B528" s="6" t="s">
        <v>21</v>
      </c>
      <c r="C528" s="6" t="s">
        <v>2964</v>
      </c>
      <c r="D528" s="8" t="s">
        <v>17</v>
      </c>
      <c r="E528" s="6" t="s">
        <v>23</v>
      </c>
      <c r="F528" s="6" t="s">
        <v>52</v>
      </c>
      <c r="G528" s="6" t="s">
        <v>2965</v>
      </c>
      <c r="H528" s="10">
        <v>46218</v>
      </c>
      <c r="I528" s="6" t="s">
        <v>2966</v>
      </c>
      <c r="J528" s="6" t="s">
        <v>2967</v>
      </c>
      <c r="K528" s="6" t="s">
        <v>55</v>
      </c>
      <c r="L528" s="6" t="s">
        <v>270</v>
      </c>
      <c r="M528" s="6" t="s">
        <v>2968</v>
      </c>
    </row>
    <row r="529" spans="1:13" ht="13" x14ac:dyDescent="0.15">
      <c r="A529" s="5" t="str">
        <f>HYPERLINK("https://onemount.atlassian.net/browse/DBA-5402","DBA-5402")</f>
        <v>DBA-5402</v>
      </c>
      <c r="B529" s="6" t="s">
        <v>21</v>
      </c>
      <c r="C529" s="6" t="s">
        <v>2969</v>
      </c>
      <c r="D529" s="8" t="s">
        <v>17</v>
      </c>
      <c r="E529" s="6" t="s">
        <v>23</v>
      </c>
      <c r="F529" s="6" t="s">
        <v>87</v>
      </c>
      <c r="G529" s="6" t="s">
        <v>2970</v>
      </c>
      <c r="H529" s="10">
        <v>46242</v>
      </c>
      <c r="I529" s="6" t="s">
        <v>2971</v>
      </c>
      <c r="J529" s="6" t="s">
        <v>146</v>
      </c>
      <c r="K529" s="6" t="s">
        <v>46</v>
      </c>
      <c r="L529" s="6" t="s">
        <v>146</v>
      </c>
      <c r="M529" s="6" t="s">
        <v>2972</v>
      </c>
    </row>
    <row r="530" spans="1:13" ht="13" x14ac:dyDescent="0.15">
      <c r="A530" s="5" t="str">
        <f>HYPERLINK("https://onemount.atlassian.net/browse/DBA-5401","DBA-5401")</f>
        <v>DBA-5401</v>
      </c>
      <c r="B530" s="6" t="s">
        <v>21</v>
      </c>
      <c r="C530" s="6" t="s">
        <v>2973</v>
      </c>
      <c r="D530" s="8" t="s">
        <v>17</v>
      </c>
      <c r="E530" s="6" t="s">
        <v>23</v>
      </c>
      <c r="F530" s="6" t="s">
        <v>24</v>
      </c>
      <c r="G530" s="6" t="s">
        <v>2974</v>
      </c>
      <c r="H530" s="10">
        <v>46219</v>
      </c>
      <c r="I530" s="6" t="s">
        <v>2975</v>
      </c>
      <c r="J530" s="6" t="s">
        <v>56</v>
      </c>
      <c r="K530" s="6" t="s">
        <v>55</v>
      </c>
      <c r="L530" s="6" t="s">
        <v>56</v>
      </c>
      <c r="M530" s="6" t="s">
        <v>2976</v>
      </c>
    </row>
    <row r="531" spans="1:13" ht="13" x14ac:dyDescent="0.15">
      <c r="A531" s="5" t="str">
        <f>HYPERLINK("https://onemount.atlassian.net/browse/DBA-5400","DBA-5400")</f>
        <v>DBA-5400</v>
      </c>
      <c r="B531" s="6" t="s">
        <v>21</v>
      </c>
      <c r="C531" s="6" t="s">
        <v>2977</v>
      </c>
      <c r="D531" s="8" t="s">
        <v>17</v>
      </c>
      <c r="E531" s="6" t="s">
        <v>23</v>
      </c>
      <c r="F531" s="6" t="s">
        <v>87</v>
      </c>
      <c r="G531" s="6" t="s">
        <v>2978</v>
      </c>
      <c r="H531" s="10">
        <v>46219</v>
      </c>
      <c r="I531" s="6" t="s">
        <v>2979</v>
      </c>
      <c r="J531" s="6" t="s">
        <v>146</v>
      </c>
      <c r="K531" s="6" t="s">
        <v>46</v>
      </c>
      <c r="L531" s="6" t="s">
        <v>146</v>
      </c>
      <c r="M531" s="6" t="s">
        <v>2980</v>
      </c>
    </row>
    <row r="532" spans="1:13" ht="13" x14ac:dyDescent="0.15">
      <c r="A532" s="5" t="str">
        <f>HYPERLINK("https://onemount.atlassian.net/browse/DBA-5399","DBA-5399")</f>
        <v>DBA-5399</v>
      </c>
      <c r="B532" s="6" t="s">
        <v>21</v>
      </c>
      <c r="C532" s="6" t="s">
        <v>2981</v>
      </c>
      <c r="D532" s="8" t="s">
        <v>17</v>
      </c>
      <c r="E532" s="6" t="s">
        <v>23</v>
      </c>
      <c r="F532" s="6" t="s">
        <v>31</v>
      </c>
      <c r="G532" s="6" t="s">
        <v>2982</v>
      </c>
      <c r="H532" s="10">
        <v>46218</v>
      </c>
      <c r="I532" s="6" t="s">
        <v>2983</v>
      </c>
      <c r="J532" s="6" t="s">
        <v>2984</v>
      </c>
      <c r="K532" s="6" t="s">
        <v>35</v>
      </c>
      <c r="L532" s="6" t="s">
        <v>638</v>
      </c>
      <c r="M532" s="6" t="s">
        <v>2985</v>
      </c>
    </row>
    <row r="533" spans="1:13" ht="13" x14ac:dyDescent="0.15">
      <c r="A533" s="5" t="str">
        <f>HYPERLINK("https://onemount.atlassian.net/browse/DBA-5398","DBA-5398")</f>
        <v>DBA-5398</v>
      </c>
      <c r="B533" s="6" t="s">
        <v>21</v>
      </c>
      <c r="C533" s="6" t="s">
        <v>2986</v>
      </c>
      <c r="D533" s="8" t="s">
        <v>17</v>
      </c>
      <c r="E533" s="6" t="s">
        <v>23</v>
      </c>
      <c r="F533" s="6" t="s">
        <v>31</v>
      </c>
      <c r="G533" s="6" t="s">
        <v>2987</v>
      </c>
      <c r="H533" s="10">
        <v>46220</v>
      </c>
      <c r="I533" s="6" t="s">
        <v>2988</v>
      </c>
      <c r="J533" s="6" t="s">
        <v>2989</v>
      </c>
      <c r="K533" s="6" t="s">
        <v>35</v>
      </c>
      <c r="L533" s="6" t="s">
        <v>374</v>
      </c>
      <c r="M533" s="6" t="s">
        <v>2990</v>
      </c>
    </row>
    <row r="534" spans="1:13" ht="13" x14ac:dyDescent="0.15">
      <c r="A534" s="5" t="str">
        <f>HYPERLINK("https://onemount.atlassian.net/browse/DBA-5397","DBA-5397")</f>
        <v>DBA-5397</v>
      </c>
      <c r="B534" s="6" t="s">
        <v>21</v>
      </c>
      <c r="C534" s="6" t="s">
        <v>2991</v>
      </c>
      <c r="D534" s="8" t="s">
        <v>17</v>
      </c>
      <c r="E534" s="6" t="s">
        <v>23</v>
      </c>
      <c r="F534" s="6" t="s">
        <v>41</v>
      </c>
      <c r="G534" s="6" t="s">
        <v>2992</v>
      </c>
      <c r="H534" s="10">
        <v>46220</v>
      </c>
      <c r="I534" s="6" t="s">
        <v>2993</v>
      </c>
      <c r="J534" s="6" t="s">
        <v>67</v>
      </c>
      <c r="K534" s="6" t="s">
        <v>59</v>
      </c>
      <c r="L534" s="6" t="s">
        <v>67</v>
      </c>
      <c r="M534" s="6" t="s">
        <v>2994</v>
      </c>
    </row>
    <row r="535" spans="1:13" ht="13" x14ac:dyDescent="0.15">
      <c r="A535" s="5" t="str">
        <f>HYPERLINK("https://onemount.atlassian.net/browse/DBA-5396","DBA-5396")</f>
        <v>DBA-5396</v>
      </c>
      <c r="B535" s="6" t="s">
        <v>21</v>
      </c>
      <c r="C535" s="6" t="s">
        <v>2995</v>
      </c>
      <c r="D535" s="8" t="s">
        <v>17</v>
      </c>
      <c r="E535" s="6" t="s">
        <v>23</v>
      </c>
      <c r="F535" s="6" t="s">
        <v>52</v>
      </c>
      <c r="G535" s="6" t="s">
        <v>2996</v>
      </c>
      <c r="H535" s="10">
        <v>46217</v>
      </c>
      <c r="I535" s="6" t="s">
        <v>2997</v>
      </c>
      <c r="J535" s="6" t="s">
        <v>55</v>
      </c>
      <c r="K535" s="6" t="s">
        <v>55</v>
      </c>
      <c r="L535" s="6" t="s">
        <v>56</v>
      </c>
      <c r="M535" s="6" t="s">
        <v>2998</v>
      </c>
    </row>
    <row r="536" spans="1:13" ht="13" x14ac:dyDescent="0.15">
      <c r="A536" s="5" t="str">
        <f>HYPERLINK("https://onemount.atlassian.net/browse/DBA-5395","DBA-5395")</f>
        <v>DBA-5395</v>
      </c>
      <c r="B536" s="6" t="s">
        <v>21</v>
      </c>
      <c r="C536" s="6" t="s">
        <v>2999</v>
      </c>
      <c r="D536" s="8" t="s">
        <v>17</v>
      </c>
      <c r="E536" s="6" t="s">
        <v>23</v>
      </c>
      <c r="F536" s="6" t="s">
        <v>52</v>
      </c>
      <c r="G536" s="6" t="s">
        <v>3000</v>
      </c>
      <c r="H536" s="10">
        <v>46217</v>
      </c>
      <c r="I536" s="6" t="s">
        <v>3001</v>
      </c>
      <c r="J536" s="6" t="s">
        <v>1187</v>
      </c>
      <c r="K536" s="6" t="s">
        <v>35</v>
      </c>
      <c r="L536" s="6" t="s">
        <v>1187</v>
      </c>
      <c r="M536" s="6" t="s">
        <v>3002</v>
      </c>
    </row>
    <row r="537" spans="1:13" ht="13" x14ac:dyDescent="0.15">
      <c r="A537" s="5" t="str">
        <f>HYPERLINK("https://onemount.atlassian.net/browse/DBA-5394","DBA-5394")</f>
        <v>DBA-5394</v>
      </c>
      <c r="B537" s="6" t="s">
        <v>21</v>
      </c>
      <c r="C537" s="6" t="s">
        <v>3003</v>
      </c>
      <c r="D537" s="8" t="s">
        <v>17</v>
      </c>
      <c r="E537" s="6" t="s">
        <v>23</v>
      </c>
      <c r="F537" s="6" t="s">
        <v>52</v>
      </c>
      <c r="G537" s="6" t="s">
        <v>3004</v>
      </c>
      <c r="H537" s="10">
        <v>46218</v>
      </c>
      <c r="I537" s="6" t="s">
        <v>3005</v>
      </c>
      <c r="J537" s="6" t="s">
        <v>139</v>
      </c>
      <c r="K537" s="6" t="s">
        <v>124</v>
      </c>
      <c r="L537" s="6" t="s">
        <v>139</v>
      </c>
      <c r="M537" s="6" t="s">
        <v>3006</v>
      </c>
    </row>
    <row r="538" spans="1:13" ht="13" x14ac:dyDescent="0.15">
      <c r="A538" s="5" t="str">
        <f>HYPERLINK("https://onemount.atlassian.net/browse/DBA-5393","DBA-5393")</f>
        <v>DBA-5393</v>
      </c>
      <c r="B538" s="23" t="str">
        <f>HYPERLINK("https://onemount.atlassian.net/browse/DBA-1909","DBA-1909")</f>
        <v>DBA-1909</v>
      </c>
      <c r="C538" s="6" t="s">
        <v>3007</v>
      </c>
      <c r="D538" s="8" t="s">
        <v>17</v>
      </c>
      <c r="E538" s="6" t="s">
        <v>428</v>
      </c>
      <c r="F538" s="6" t="s">
        <v>24</v>
      </c>
      <c r="G538" s="6" t="s">
        <v>3008</v>
      </c>
      <c r="H538" s="10">
        <v>46221</v>
      </c>
      <c r="I538" s="6" t="s">
        <v>3009</v>
      </c>
      <c r="J538" s="6" t="s">
        <v>2924</v>
      </c>
      <c r="K538" s="6" t="s">
        <v>28</v>
      </c>
      <c r="L538" s="6" t="s">
        <v>28</v>
      </c>
      <c r="M538" s="6" t="s">
        <v>3010</v>
      </c>
    </row>
    <row r="539" spans="1:13" ht="13" x14ac:dyDescent="0.15">
      <c r="A539" s="5" t="str">
        <f>HYPERLINK("https://onemount.atlassian.net/browse/DBA-5392","DBA-5392")</f>
        <v>DBA-5392</v>
      </c>
      <c r="B539" s="6" t="s">
        <v>21</v>
      </c>
      <c r="C539" s="6" t="s">
        <v>2613</v>
      </c>
      <c r="D539" s="8" t="s">
        <v>17</v>
      </c>
      <c r="E539" s="6" t="s">
        <v>23</v>
      </c>
      <c r="F539" s="6" t="s">
        <v>24</v>
      </c>
      <c r="G539" s="6" t="s">
        <v>3011</v>
      </c>
      <c r="H539" s="10">
        <v>46218</v>
      </c>
      <c r="I539" s="6" t="s">
        <v>3012</v>
      </c>
      <c r="J539" s="6" t="s">
        <v>621</v>
      </c>
      <c r="K539" s="6" t="s">
        <v>55</v>
      </c>
      <c r="L539" s="6" t="s">
        <v>85</v>
      </c>
      <c r="M539" s="6" t="s">
        <v>3013</v>
      </c>
    </row>
    <row r="540" spans="1:13" ht="13" x14ac:dyDescent="0.15">
      <c r="A540" s="5" t="str">
        <f>HYPERLINK("https://onemount.atlassian.net/browse/DBA-5391","DBA-5391")</f>
        <v>DBA-5391</v>
      </c>
      <c r="B540" s="6" t="s">
        <v>21</v>
      </c>
      <c r="C540" s="6" t="s">
        <v>3014</v>
      </c>
      <c r="D540" s="8" t="s">
        <v>17</v>
      </c>
      <c r="E540" s="6" t="s">
        <v>23</v>
      </c>
      <c r="F540" s="6" t="s">
        <v>87</v>
      </c>
      <c r="G540" s="6" t="s">
        <v>3015</v>
      </c>
      <c r="H540" s="10">
        <v>46218</v>
      </c>
      <c r="I540" s="6" t="s">
        <v>3016</v>
      </c>
      <c r="J540" s="6" t="s">
        <v>146</v>
      </c>
      <c r="K540" s="6" t="s">
        <v>46</v>
      </c>
      <c r="L540" s="6" t="s">
        <v>146</v>
      </c>
      <c r="M540" s="6" t="s">
        <v>3017</v>
      </c>
    </row>
    <row r="541" spans="1:13" ht="13" x14ac:dyDescent="0.15">
      <c r="A541" s="5" t="str">
        <f>HYPERLINK("https://onemount.atlassian.net/browse/DBA-5390","DBA-5390")</f>
        <v>DBA-5390</v>
      </c>
      <c r="B541" s="6" t="s">
        <v>21</v>
      </c>
      <c r="C541" s="6" t="s">
        <v>3018</v>
      </c>
      <c r="D541" s="8" t="s">
        <v>17</v>
      </c>
      <c r="E541" s="6" t="s">
        <v>23</v>
      </c>
      <c r="F541" s="6" t="s">
        <v>24</v>
      </c>
      <c r="G541" s="6" t="s">
        <v>3019</v>
      </c>
      <c r="H541" s="10">
        <v>46219</v>
      </c>
      <c r="I541" s="6" t="s">
        <v>3020</v>
      </c>
      <c r="J541" s="6" t="s">
        <v>55</v>
      </c>
      <c r="K541" s="6" t="s">
        <v>55</v>
      </c>
      <c r="L541" s="6" t="s">
        <v>55</v>
      </c>
      <c r="M541" s="6" t="s">
        <v>3021</v>
      </c>
    </row>
    <row r="542" spans="1:13" ht="13" x14ac:dyDescent="0.15">
      <c r="A542" s="5" t="str">
        <f>HYPERLINK("https://onemount.atlassian.net/browse/DBA-5389","DBA-5389")</f>
        <v>DBA-5389</v>
      </c>
      <c r="B542" s="6" t="s">
        <v>21</v>
      </c>
      <c r="C542" s="6" t="s">
        <v>3022</v>
      </c>
      <c r="D542" s="8" t="s">
        <v>17</v>
      </c>
      <c r="E542" s="6" t="s">
        <v>23</v>
      </c>
      <c r="F542" s="6" t="s">
        <v>87</v>
      </c>
      <c r="G542" s="6" t="s">
        <v>3023</v>
      </c>
      <c r="H542" s="10">
        <v>46218</v>
      </c>
      <c r="I542" s="6" t="s">
        <v>3024</v>
      </c>
      <c r="J542" s="6" t="s">
        <v>146</v>
      </c>
      <c r="K542" s="6" t="s">
        <v>46</v>
      </c>
      <c r="L542" s="6" t="s">
        <v>499</v>
      </c>
      <c r="M542" s="6" t="s">
        <v>3025</v>
      </c>
    </row>
    <row r="543" spans="1:13" ht="13" x14ac:dyDescent="0.15">
      <c r="A543" s="5" t="str">
        <f>HYPERLINK("https://onemount.atlassian.net/browse/DBA-5388","DBA-5388")</f>
        <v>DBA-5388</v>
      </c>
      <c r="B543" s="6" t="s">
        <v>21</v>
      </c>
      <c r="C543" s="6" t="s">
        <v>3026</v>
      </c>
      <c r="D543" s="8" t="s">
        <v>17</v>
      </c>
      <c r="E543" s="6" t="s">
        <v>23</v>
      </c>
      <c r="F543" s="6" t="s">
        <v>24</v>
      </c>
      <c r="G543" s="6" t="s">
        <v>3027</v>
      </c>
      <c r="H543" s="10">
        <v>46217</v>
      </c>
      <c r="I543" s="6" t="s">
        <v>3028</v>
      </c>
      <c r="J543" s="6" t="s">
        <v>55</v>
      </c>
      <c r="K543" s="6" t="s">
        <v>55</v>
      </c>
      <c r="L543" s="6" t="s">
        <v>93</v>
      </c>
      <c r="M543" s="6" t="s">
        <v>3029</v>
      </c>
    </row>
    <row r="544" spans="1:13" ht="13" x14ac:dyDescent="0.15">
      <c r="A544" s="5" t="str">
        <f>HYPERLINK("https://onemount.atlassian.net/browse/DBA-5387","DBA-5387")</f>
        <v>DBA-5387</v>
      </c>
      <c r="B544" s="6" t="s">
        <v>21</v>
      </c>
      <c r="C544" s="6" t="s">
        <v>3030</v>
      </c>
      <c r="D544" s="8" t="s">
        <v>17</v>
      </c>
      <c r="E544" s="6" t="s">
        <v>23</v>
      </c>
      <c r="F544" s="6" t="s">
        <v>52</v>
      </c>
      <c r="G544" s="6" t="s">
        <v>3031</v>
      </c>
      <c r="H544" s="10">
        <v>46218</v>
      </c>
      <c r="I544" s="6" t="s">
        <v>3032</v>
      </c>
      <c r="J544" s="6" t="s">
        <v>2453</v>
      </c>
      <c r="K544" s="6" t="s">
        <v>46</v>
      </c>
      <c r="L544" s="6" t="s">
        <v>119</v>
      </c>
      <c r="M544" s="6" t="s">
        <v>3033</v>
      </c>
    </row>
    <row r="545" spans="1:13" ht="13" x14ac:dyDescent="0.15">
      <c r="A545" s="5" t="str">
        <f>HYPERLINK("https://onemount.atlassian.net/browse/DBA-5386","DBA-5386")</f>
        <v>DBA-5386</v>
      </c>
      <c r="B545" s="6" t="s">
        <v>21</v>
      </c>
      <c r="C545" s="6" t="s">
        <v>3034</v>
      </c>
      <c r="D545" s="8" t="s">
        <v>17</v>
      </c>
      <c r="E545" s="6" t="s">
        <v>23</v>
      </c>
      <c r="F545" s="6" t="s">
        <v>31</v>
      </c>
      <c r="G545" s="6" t="s">
        <v>3035</v>
      </c>
      <c r="H545" s="10">
        <v>46217</v>
      </c>
      <c r="I545" s="6" t="s">
        <v>3036</v>
      </c>
      <c r="J545" s="6" t="s">
        <v>1187</v>
      </c>
      <c r="K545" s="6" t="s">
        <v>35</v>
      </c>
      <c r="L545" s="6" t="s">
        <v>1187</v>
      </c>
      <c r="M545" s="6" t="s">
        <v>3037</v>
      </c>
    </row>
    <row r="546" spans="1:13" ht="13" x14ac:dyDescent="0.15">
      <c r="A546" s="5" t="str">
        <f>HYPERLINK("https://onemount.atlassian.net/browse/DBA-5385","DBA-5385")</f>
        <v>DBA-5385</v>
      </c>
      <c r="B546" s="6" t="s">
        <v>21</v>
      </c>
      <c r="C546" s="6" t="s">
        <v>3038</v>
      </c>
      <c r="D546" s="8" t="s">
        <v>17</v>
      </c>
      <c r="E546" s="6" t="s">
        <v>23</v>
      </c>
      <c r="F546" s="6" t="s">
        <v>24</v>
      </c>
      <c r="G546" s="6" t="s">
        <v>3039</v>
      </c>
      <c r="H546" s="10">
        <v>46219</v>
      </c>
      <c r="I546" s="6" t="s">
        <v>3040</v>
      </c>
      <c r="J546" s="6" t="s">
        <v>3041</v>
      </c>
      <c r="K546" s="6" t="s">
        <v>28</v>
      </c>
      <c r="L546" s="6" t="s">
        <v>1140</v>
      </c>
      <c r="M546" s="6" t="s">
        <v>3042</v>
      </c>
    </row>
    <row r="547" spans="1:13" ht="13" x14ac:dyDescent="0.15">
      <c r="A547" s="5" t="str">
        <f>HYPERLINK("https://onemount.atlassian.net/browse/DBA-5384","DBA-5384")</f>
        <v>DBA-5384</v>
      </c>
      <c r="B547" s="6" t="s">
        <v>21</v>
      </c>
      <c r="C547" s="6" t="s">
        <v>3043</v>
      </c>
      <c r="D547" s="8" t="s">
        <v>17</v>
      </c>
      <c r="E547" s="6" t="s">
        <v>23</v>
      </c>
      <c r="F547" s="6" t="s">
        <v>52</v>
      </c>
      <c r="G547" s="6" t="s">
        <v>3044</v>
      </c>
      <c r="H547" s="10">
        <v>46218</v>
      </c>
      <c r="I547" s="6" t="s">
        <v>3045</v>
      </c>
      <c r="J547" s="6" t="s">
        <v>146</v>
      </c>
      <c r="K547" s="6" t="s">
        <v>35</v>
      </c>
      <c r="L547" s="6" t="s">
        <v>129</v>
      </c>
      <c r="M547" s="6" t="s">
        <v>3046</v>
      </c>
    </row>
    <row r="548" spans="1:13" ht="13" x14ac:dyDescent="0.15">
      <c r="A548" s="5" t="str">
        <f>HYPERLINK("https://onemount.atlassian.net/browse/DBA-5383","DBA-5383")</f>
        <v>DBA-5383</v>
      </c>
      <c r="B548" s="6" t="s">
        <v>21</v>
      </c>
      <c r="C548" s="6" t="s">
        <v>3047</v>
      </c>
      <c r="D548" s="8" t="s">
        <v>17</v>
      </c>
      <c r="E548" s="6" t="s">
        <v>23</v>
      </c>
      <c r="F548" s="6" t="s">
        <v>87</v>
      </c>
      <c r="G548" s="6" t="s">
        <v>3048</v>
      </c>
      <c r="H548" s="10">
        <v>46218</v>
      </c>
      <c r="I548" s="6" t="s">
        <v>3049</v>
      </c>
      <c r="J548" s="6" t="s">
        <v>1898</v>
      </c>
      <c r="K548" s="6" t="s">
        <v>165</v>
      </c>
      <c r="L548" s="6" t="s">
        <v>1097</v>
      </c>
      <c r="M548" s="6" t="s">
        <v>3050</v>
      </c>
    </row>
    <row r="549" spans="1:13" ht="13" x14ac:dyDescent="0.15">
      <c r="A549" s="5" t="str">
        <f>HYPERLINK("https://onemount.atlassian.net/browse/DBA-5382","DBA-5382")</f>
        <v>DBA-5382</v>
      </c>
      <c r="B549" s="6" t="s">
        <v>21</v>
      </c>
      <c r="C549" s="6" t="s">
        <v>3051</v>
      </c>
      <c r="D549" s="8" t="s">
        <v>17</v>
      </c>
      <c r="E549" s="6" t="s">
        <v>23</v>
      </c>
      <c r="F549" s="6" t="s">
        <v>52</v>
      </c>
      <c r="G549" s="6" t="s">
        <v>3052</v>
      </c>
      <c r="H549" s="10">
        <v>46217</v>
      </c>
      <c r="I549" s="6" t="s">
        <v>3053</v>
      </c>
      <c r="J549" s="6" t="s">
        <v>534</v>
      </c>
      <c r="K549" s="6" t="s">
        <v>46</v>
      </c>
      <c r="L549" s="6" t="s">
        <v>72</v>
      </c>
      <c r="M549" s="6" t="s">
        <v>3054</v>
      </c>
    </row>
    <row r="550" spans="1:13" ht="13" x14ac:dyDescent="0.15">
      <c r="A550" s="5" t="str">
        <f>HYPERLINK("https://onemount.atlassian.net/browse/DBA-5381","DBA-5381")</f>
        <v>DBA-5381</v>
      </c>
      <c r="B550" s="6" t="s">
        <v>21</v>
      </c>
      <c r="C550" s="6" t="s">
        <v>3055</v>
      </c>
      <c r="D550" s="8" t="s">
        <v>17</v>
      </c>
      <c r="E550" s="6" t="s">
        <v>23</v>
      </c>
      <c r="F550" s="6" t="s">
        <v>41</v>
      </c>
      <c r="G550" s="6" t="s">
        <v>3056</v>
      </c>
      <c r="H550" s="10">
        <v>46218</v>
      </c>
      <c r="I550" s="6" t="s">
        <v>3057</v>
      </c>
      <c r="J550" s="6" t="s">
        <v>3058</v>
      </c>
      <c r="K550" s="6" t="s">
        <v>28</v>
      </c>
      <c r="L550" s="6" t="s">
        <v>1102</v>
      </c>
      <c r="M550" s="6" t="s">
        <v>3059</v>
      </c>
    </row>
    <row r="551" spans="1:13" ht="13" x14ac:dyDescent="0.15">
      <c r="A551" s="5" t="str">
        <f>HYPERLINK("https://onemount.atlassian.net/browse/DBA-5380","DBA-5380")</f>
        <v>DBA-5380</v>
      </c>
      <c r="B551" s="6" t="s">
        <v>21</v>
      </c>
      <c r="C551" s="6" t="s">
        <v>3060</v>
      </c>
      <c r="D551" s="8" t="s">
        <v>17</v>
      </c>
      <c r="E551" s="6" t="s">
        <v>23</v>
      </c>
      <c r="F551" s="6" t="s">
        <v>31</v>
      </c>
      <c r="G551" s="6" t="s">
        <v>3061</v>
      </c>
      <c r="H551" s="10">
        <v>46216</v>
      </c>
      <c r="I551" s="6" t="s">
        <v>3062</v>
      </c>
      <c r="J551" s="6" t="s">
        <v>707</v>
      </c>
      <c r="K551" s="6" t="s">
        <v>35</v>
      </c>
      <c r="L551" s="6" t="s">
        <v>707</v>
      </c>
      <c r="M551" s="6" t="s">
        <v>3063</v>
      </c>
    </row>
    <row r="552" spans="1:13" ht="13" x14ac:dyDescent="0.15">
      <c r="A552" s="5" t="str">
        <f>HYPERLINK("https://onemount.atlassian.net/browse/DBA-5379","DBA-5379")</f>
        <v>DBA-5379</v>
      </c>
      <c r="B552" s="6" t="s">
        <v>21</v>
      </c>
      <c r="C552" s="6" t="s">
        <v>3064</v>
      </c>
      <c r="D552" s="8" t="s">
        <v>17</v>
      </c>
      <c r="E552" s="6" t="s">
        <v>23</v>
      </c>
      <c r="F552" s="6" t="s">
        <v>52</v>
      </c>
      <c r="G552" s="6" t="s">
        <v>3065</v>
      </c>
      <c r="H552" s="10">
        <v>46217</v>
      </c>
      <c r="I552" s="6" t="s">
        <v>3066</v>
      </c>
      <c r="J552" s="6" t="s">
        <v>128</v>
      </c>
      <c r="K552" s="6" t="s">
        <v>35</v>
      </c>
      <c r="L552" s="6" t="s">
        <v>1238</v>
      </c>
      <c r="M552" s="6" t="s">
        <v>3067</v>
      </c>
    </row>
    <row r="553" spans="1:13" ht="13" x14ac:dyDescent="0.15">
      <c r="A553" s="5" t="str">
        <f>HYPERLINK("https://onemount.atlassian.net/browse/DBA-5378","DBA-5378")</f>
        <v>DBA-5378</v>
      </c>
      <c r="B553" s="6" t="s">
        <v>21</v>
      </c>
      <c r="C553" s="6" t="s">
        <v>3068</v>
      </c>
      <c r="D553" s="8" t="s">
        <v>17</v>
      </c>
      <c r="E553" s="6" t="s">
        <v>23</v>
      </c>
      <c r="F553" s="6" t="s">
        <v>24</v>
      </c>
      <c r="G553" s="6" t="s">
        <v>3069</v>
      </c>
      <c r="H553" s="10">
        <v>46216</v>
      </c>
      <c r="I553" s="6" t="s">
        <v>3070</v>
      </c>
      <c r="J553" s="6" t="s">
        <v>77</v>
      </c>
      <c r="K553" s="6" t="s">
        <v>165</v>
      </c>
      <c r="L553" s="6" t="s">
        <v>77</v>
      </c>
      <c r="M553" s="6" t="s">
        <v>3071</v>
      </c>
    </row>
    <row r="554" spans="1:13" ht="13" x14ac:dyDescent="0.15">
      <c r="A554" s="5" t="str">
        <f>HYPERLINK("https://onemount.atlassian.net/browse/DBA-5377","DBA-5377")</f>
        <v>DBA-5377</v>
      </c>
      <c r="B554" s="6" t="s">
        <v>21</v>
      </c>
      <c r="C554" s="6" t="s">
        <v>3072</v>
      </c>
      <c r="D554" s="8" t="s">
        <v>17</v>
      </c>
      <c r="E554" s="6" t="s">
        <v>23</v>
      </c>
      <c r="F554" s="6" t="s">
        <v>52</v>
      </c>
      <c r="G554" s="6" t="s">
        <v>3073</v>
      </c>
      <c r="H554" s="10">
        <v>46215</v>
      </c>
      <c r="I554" s="6" t="s">
        <v>3074</v>
      </c>
      <c r="J554" s="6" t="s">
        <v>3075</v>
      </c>
      <c r="K554" s="6" t="s">
        <v>46</v>
      </c>
      <c r="L554" s="6" t="s">
        <v>85</v>
      </c>
      <c r="M554" s="6" t="s">
        <v>3076</v>
      </c>
    </row>
    <row r="555" spans="1:13" ht="13" x14ac:dyDescent="0.15">
      <c r="A555" s="5" t="str">
        <f>HYPERLINK("https://onemount.atlassian.net/browse/DBA-5376","DBA-5376")</f>
        <v>DBA-5376</v>
      </c>
      <c r="B555" s="6" t="s">
        <v>21</v>
      </c>
      <c r="C555" s="6" t="s">
        <v>3077</v>
      </c>
      <c r="D555" s="8" t="s">
        <v>17</v>
      </c>
      <c r="E555" s="6" t="s">
        <v>23</v>
      </c>
      <c r="F555" s="6" t="s">
        <v>31</v>
      </c>
      <c r="G555" s="6" t="s">
        <v>3078</v>
      </c>
      <c r="H555" s="10">
        <v>46215</v>
      </c>
      <c r="I555" s="6" t="s">
        <v>3079</v>
      </c>
      <c r="J555" s="6" t="s">
        <v>146</v>
      </c>
      <c r="K555" s="6" t="s">
        <v>124</v>
      </c>
      <c r="L555" s="6" t="s">
        <v>146</v>
      </c>
      <c r="M555" s="6" t="s">
        <v>3080</v>
      </c>
    </row>
    <row r="556" spans="1:13" ht="13" x14ac:dyDescent="0.15">
      <c r="A556" s="5" t="str">
        <f>HYPERLINK("https://onemount.atlassian.net/browse/DBA-5375","DBA-5375")</f>
        <v>DBA-5375</v>
      </c>
      <c r="B556" s="6" t="s">
        <v>21</v>
      </c>
      <c r="C556" s="6" t="s">
        <v>3081</v>
      </c>
      <c r="D556" s="8" t="s">
        <v>17</v>
      </c>
      <c r="E556" s="6" t="s">
        <v>23</v>
      </c>
      <c r="F556" s="6" t="s">
        <v>24</v>
      </c>
      <c r="G556" s="6" t="s">
        <v>3082</v>
      </c>
      <c r="H556" s="10">
        <v>46214</v>
      </c>
      <c r="I556" s="6" t="s">
        <v>3083</v>
      </c>
      <c r="J556" s="6" t="s">
        <v>77</v>
      </c>
      <c r="K556" s="6" t="s">
        <v>165</v>
      </c>
      <c r="L556" s="6" t="s">
        <v>77</v>
      </c>
      <c r="M556" s="6" t="s">
        <v>3084</v>
      </c>
    </row>
    <row r="557" spans="1:13" ht="13" x14ac:dyDescent="0.15">
      <c r="A557" s="5" t="str">
        <f>HYPERLINK("https://onemount.atlassian.net/browse/DBA-5374","DBA-5374")</f>
        <v>DBA-5374</v>
      </c>
      <c r="B557" s="6" t="s">
        <v>21</v>
      </c>
      <c r="C557" s="6" t="s">
        <v>3085</v>
      </c>
      <c r="D557" s="8" t="s">
        <v>17</v>
      </c>
      <c r="E557" s="6" t="s">
        <v>23</v>
      </c>
      <c r="F557" s="6" t="s">
        <v>52</v>
      </c>
      <c r="G557" s="6" t="s">
        <v>3086</v>
      </c>
      <c r="H557" s="10">
        <v>46215</v>
      </c>
      <c r="I557" s="6" t="s">
        <v>3087</v>
      </c>
      <c r="J557" s="6" t="s">
        <v>55</v>
      </c>
      <c r="K557" s="6" t="s">
        <v>55</v>
      </c>
      <c r="L557" s="6" t="s">
        <v>56</v>
      </c>
      <c r="M557" s="6" t="s">
        <v>3088</v>
      </c>
    </row>
    <row r="558" spans="1:13" ht="13" x14ac:dyDescent="0.15">
      <c r="A558" s="5" t="str">
        <f>HYPERLINK("https://onemount.atlassian.net/browse/DBA-5373","DBA-5373")</f>
        <v>DBA-5373</v>
      </c>
      <c r="B558" s="6" t="s">
        <v>21</v>
      </c>
      <c r="C558" s="6" t="s">
        <v>3089</v>
      </c>
      <c r="D558" s="8" t="s">
        <v>17</v>
      </c>
      <c r="E558" s="6" t="s">
        <v>23</v>
      </c>
      <c r="F558" s="6" t="s">
        <v>41</v>
      </c>
      <c r="G558" s="6" t="s">
        <v>3090</v>
      </c>
      <c r="H558" s="10">
        <v>46215</v>
      </c>
      <c r="I558" s="6" t="s">
        <v>3091</v>
      </c>
      <c r="J558" s="6" t="s">
        <v>27</v>
      </c>
      <c r="K558" s="6" t="s">
        <v>28</v>
      </c>
      <c r="L558" s="6" t="s">
        <v>27</v>
      </c>
      <c r="M558" s="6" t="s">
        <v>3092</v>
      </c>
    </row>
    <row r="559" spans="1:13" ht="13" x14ac:dyDescent="0.15">
      <c r="A559" s="5" t="str">
        <f>HYPERLINK("https://onemount.atlassian.net/browse/DBA-5372","DBA-5372")</f>
        <v>DBA-5372</v>
      </c>
      <c r="B559" s="6" t="s">
        <v>21</v>
      </c>
      <c r="C559" s="6" t="s">
        <v>3093</v>
      </c>
      <c r="D559" s="8" t="s">
        <v>17</v>
      </c>
      <c r="E559" s="6" t="s">
        <v>23</v>
      </c>
      <c r="F559" s="6" t="s">
        <v>52</v>
      </c>
      <c r="G559" s="6" t="s">
        <v>3094</v>
      </c>
      <c r="H559" s="10">
        <v>46214</v>
      </c>
      <c r="I559" s="6" t="s">
        <v>3095</v>
      </c>
      <c r="J559" s="6" t="s">
        <v>3096</v>
      </c>
      <c r="K559" s="6" t="s">
        <v>55</v>
      </c>
      <c r="L559" s="6" t="s">
        <v>762</v>
      </c>
      <c r="M559" s="6" t="s">
        <v>3097</v>
      </c>
    </row>
    <row r="560" spans="1:13" ht="13" x14ac:dyDescent="0.15">
      <c r="A560" s="5" t="str">
        <f>HYPERLINK("https://onemount.atlassian.net/browse/DBA-5371","DBA-5371")</f>
        <v>DBA-5371</v>
      </c>
      <c r="B560" s="6" t="s">
        <v>21</v>
      </c>
      <c r="C560" s="6" t="s">
        <v>3098</v>
      </c>
      <c r="D560" s="8" t="s">
        <v>17</v>
      </c>
      <c r="E560" s="6" t="s">
        <v>23</v>
      </c>
      <c r="F560" s="6" t="s">
        <v>52</v>
      </c>
      <c r="G560" s="6" t="s">
        <v>3099</v>
      </c>
      <c r="H560" s="10">
        <v>46214</v>
      </c>
      <c r="I560" s="6" t="s">
        <v>3100</v>
      </c>
      <c r="J560" s="6" t="s">
        <v>55</v>
      </c>
      <c r="K560" s="6" t="s">
        <v>55</v>
      </c>
      <c r="L560" s="6" t="s">
        <v>56</v>
      </c>
      <c r="M560" s="6" t="s">
        <v>3101</v>
      </c>
    </row>
    <row r="561" spans="1:13" ht="13" x14ac:dyDescent="0.15">
      <c r="A561" s="5" t="str">
        <f>HYPERLINK("https://onemount.atlassian.net/browse/DBA-5370","DBA-5370")</f>
        <v>DBA-5370</v>
      </c>
      <c r="B561" s="6" t="s">
        <v>21</v>
      </c>
      <c r="C561" s="6" t="s">
        <v>3102</v>
      </c>
      <c r="D561" s="8" t="s">
        <v>17</v>
      </c>
      <c r="E561" s="6" t="s">
        <v>23</v>
      </c>
      <c r="F561" s="6" t="s">
        <v>52</v>
      </c>
      <c r="G561" s="6" t="s">
        <v>3103</v>
      </c>
      <c r="H561" s="10">
        <v>46214</v>
      </c>
      <c r="I561" s="6" t="s">
        <v>3104</v>
      </c>
      <c r="J561" s="6" t="s">
        <v>510</v>
      </c>
      <c r="K561" s="6" t="s">
        <v>46</v>
      </c>
      <c r="L561" s="6" t="s">
        <v>77</v>
      </c>
      <c r="M561" s="6" t="s">
        <v>3105</v>
      </c>
    </row>
    <row r="562" spans="1:13" ht="13" x14ac:dyDescent="0.15">
      <c r="A562" s="5" t="str">
        <f>HYPERLINK("https://onemount.atlassian.net/browse/DBA-5369","DBA-5369")</f>
        <v>DBA-5369</v>
      </c>
      <c r="B562" s="6" t="s">
        <v>21</v>
      </c>
      <c r="C562" s="6" t="s">
        <v>3106</v>
      </c>
      <c r="D562" s="8" t="s">
        <v>17</v>
      </c>
      <c r="E562" s="6" t="s">
        <v>23</v>
      </c>
      <c r="F562" s="6" t="s">
        <v>52</v>
      </c>
      <c r="G562" s="6" t="s">
        <v>3107</v>
      </c>
      <c r="H562" s="10">
        <v>46214</v>
      </c>
      <c r="I562" s="6" t="s">
        <v>3108</v>
      </c>
      <c r="J562" s="6" t="s">
        <v>216</v>
      </c>
      <c r="K562" s="6" t="s">
        <v>72</v>
      </c>
      <c r="L562" s="6" t="s">
        <v>216</v>
      </c>
      <c r="M562" s="6" t="s">
        <v>3109</v>
      </c>
    </row>
    <row r="563" spans="1:13" ht="13" x14ac:dyDescent="0.15">
      <c r="A563" s="5" t="str">
        <f>HYPERLINK("https://onemount.atlassian.net/browse/DBA-5368","DBA-5368")</f>
        <v>DBA-5368</v>
      </c>
      <c r="B563" s="6" t="s">
        <v>21</v>
      </c>
      <c r="C563" s="6" t="s">
        <v>3110</v>
      </c>
      <c r="D563" s="8" t="s">
        <v>17</v>
      </c>
      <c r="E563" s="6" t="s">
        <v>23</v>
      </c>
      <c r="F563" s="6" t="s">
        <v>52</v>
      </c>
      <c r="G563" s="6" t="s">
        <v>3111</v>
      </c>
      <c r="H563" s="10">
        <v>46213</v>
      </c>
      <c r="I563" s="6" t="s">
        <v>3112</v>
      </c>
      <c r="J563" s="6" t="s">
        <v>2281</v>
      </c>
      <c r="K563" s="6" t="s">
        <v>55</v>
      </c>
      <c r="L563" s="6" t="s">
        <v>254</v>
      </c>
      <c r="M563" s="6" t="s">
        <v>3113</v>
      </c>
    </row>
    <row r="564" spans="1:13" ht="13" x14ac:dyDescent="0.15">
      <c r="A564" s="5" t="str">
        <f>HYPERLINK("https://onemount.atlassian.net/browse/DBA-5367","DBA-5367")</f>
        <v>DBA-5367</v>
      </c>
      <c r="B564" s="6" t="s">
        <v>21</v>
      </c>
      <c r="C564" s="6" t="s">
        <v>3114</v>
      </c>
      <c r="D564" s="8" t="s">
        <v>17</v>
      </c>
      <c r="E564" s="6" t="s">
        <v>23</v>
      </c>
      <c r="F564" s="6" t="s">
        <v>52</v>
      </c>
      <c r="G564" s="6" t="s">
        <v>3115</v>
      </c>
      <c r="H564" s="10">
        <v>46213</v>
      </c>
      <c r="I564" s="6" t="s">
        <v>3116</v>
      </c>
      <c r="J564" s="6" t="s">
        <v>478</v>
      </c>
      <c r="K564" s="6" t="s">
        <v>35</v>
      </c>
      <c r="L564" s="6" t="s">
        <v>478</v>
      </c>
      <c r="M564" s="6" t="s">
        <v>3117</v>
      </c>
    </row>
    <row r="565" spans="1:13" ht="13" x14ac:dyDescent="0.15">
      <c r="A565" s="5" t="str">
        <f>HYPERLINK("https://onemount.atlassian.net/browse/DBA-5366","DBA-5366")</f>
        <v>DBA-5366</v>
      </c>
      <c r="B565" s="6" t="s">
        <v>21</v>
      </c>
      <c r="C565" s="6" t="s">
        <v>3118</v>
      </c>
      <c r="D565" s="8" t="s">
        <v>17</v>
      </c>
      <c r="E565" s="6" t="s">
        <v>23</v>
      </c>
      <c r="F565" s="6" t="s">
        <v>52</v>
      </c>
      <c r="G565" s="6" t="s">
        <v>3119</v>
      </c>
      <c r="H565" s="10">
        <v>46213</v>
      </c>
      <c r="I565" s="6" t="s">
        <v>3120</v>
      </c>
      <c r="J565" s="6" t="s">
        <v>316</v>
      </c>
      <c r="K565" s="6" t="s">
        <v>46</v>
      </c>
      <c r="L565" s="6" t="s">
        <v>316</v>
      </c>
      <c r="M565" s="6" t="s">
        <v>3121</v>
      </c>
    </row>
    <row r="566" spans="1:13" ht="13" x14ac:dyDescent="0.15">
      <c r="A566" s="5" t="str">
        <f>HYPERLINK("https://onemount.atlassian.net/browse/DBA-5365","DBA-5365")</f>
        <v>DBA-5365</v>
      </c>
      <c r="B566" s="6" t="s">
        <v>21</v>
      </c>
      <c r="C566" s="6" t="s">
        <v>3122</v>
      </c>
      <c r="D566" s="8" t="s">
        <v>17</v>
      </c>
      <c r="E566" s="6" t="s">
        <v>23</v>
      </c>
      <c r="F566" s="6" t="s">
        <v>52</v>
      </c>
      <c r="G566" s="6" t="s">
        <v>3123</v>
      </c>
      <c r="H566" s="10">
        <v>46213</v>
      </c>
      <c r="I566" s="6" t="s">
        <v>3124</v>
      </c>
      <c r="J566" s="6" t="s">
        <v>316</v>
      </c>
      <c r="K566" s="6" t="s">
        <v>46</v>
      </c>
      <c r="L566" s="6" t="s">
        <v>316</v>
      </c>
      <c r="M566" s="6" t="s">
        <v>3125</v>
      </c>
    </row>
    <row r="567" spans="1:13" ht="13" x14ac:dyDescent="0.15">
      <c r="A567" s="21" t="str">
        <f>HYPERLINK("https://onemount.atlassian.net/browse/DBA-5364","DBA-5364")</f>
        <v>DBA-5364</v>
      </c>
      <c r="B567" s="6" t="s">
        <v>21</v>
      </c>
      <c r="C567" s="6" t="s">
        <v>3126</v>
      </c>
      <c r="D567" s="8" t="s">
        <v>17</v>
      </c>
      <c r="E567" s="6" t="s">
        <v>23</v>
      </c>
      <c r="F567" s="6" t="s">
        <v>52</v>
      </c>
      <c r="G567" s="6" t="s">
        <v>3127</v>
      </c>
      <c r="H567" s="10">
        <v>46213</v>
      </c>
      <c r="I567" s="6" t="s">
        <v>3128</v>
      </c>
      <c r="J567" s="6" t="s">
        <v>55</v>
      </c>
      <c r="K567" s="6" t="s">
        <v>55</v>
      </c>
      <c r="L567" s="6" t="s">
        <v>93</v>
      </c>
      <c r="M567" s="6" t="s">
        <v>3129</v>
      </c>
    </row>
    <row r="568" spans="1:13" ht="13" x14ac:dyDescent="0.15">
      <c r="A568" s="5" t="str">
        <f>HYPERLINK("https://onemount.atlassian.net/browse/DBA-5363","DBA-5363")</f>
        <v>DBA-5363</v>
      </c>
      <c r="B568" s="6" t="s">
        <v>21</v>
      </c>
      <c r="C568" s="6" t="s">
        <v>3130</v>
      </c>
      <c r="D568" s="8" t="s">
        <v>17</v>
      </c>
      <c r="E568" s="6" t="s">
        <v>23</v>
      </c>
      <c r="F568" s="6" t="s">
        <v>52</v>
      </c>
      <c r="G568" s="6" t="s">
        <v>3131</v>
      </c>
      <c r="H568" s="10">
        <v>46215</v>
      </c>
      <c r="I568" s="6" t="s">
        <v>3132</v>
      </c>
      <c r="J568" s="6" t="s">
        <v>85</v>
      </c>
      <c r="K568" s="6" t="s">
        <v>55</v>
      </c>
      <c r="L568" s="6" t="s">
        <v>85</v>
      </c>
      <c r="M568" s="6" t="s">
        <v>3133</v>
      </c>
    </row>
    <row r="569" spans="1:13" ht="13" x14ac:dyDescent="0.15">
      <c r="A569" s="5" t="str">
        <f>HYPERLINK("https://onemount.atlassian.net/browse/DBA-5362","DBA-5362")</f>
        <v>DBA-5362</v>
      </c>
      <c r="B569" s="6" t="s">
        <v>21</v>
      </c>
      <c r="C569" s="6" t="s">
        <v>3134</v>
      </c>
      <c r="D569" s="8" t="s">
        <v>17</v>
      </c>
      <c r="E569" s="6" t="s">
        <v>23</v>
      </c>
      <c r="F569" s="6" t="s">
        <v>52</v>
      </c>
      <c r="G569" s="6" t="s">
        <v>3135</v>
      </c>
      <c r="H569" s="10">
        <v>46214</v>
      </c>
      <c r="I569" s="6" t="s">
        <v>3136</v>
      </c>
      <c r="J569" s="6" t="s">
        <v>254</v>
      </c>
      <c r="K569" s="6" t="s">
        <v>55</v>
      </c>
      <c r="L569" s="6" t="s">
        <v>254</v>
      </c>
      <c r="M569" s="6" t="s">
        <v>3137</v>
      </c>
    </row>
    <row r="570" spans="1:13" ht="13" x14ac:dyDescent="0.15">
      <c r="A570" s="5" t="str">
        <f>HYPERLINK("https://onemount.atlassian.net/browse/DBA-5361","DBA-5361")</f>
        <v>DBA-5361</v>
      </c>
      <c r="B570" s="6" t="s">
        <v>21</v>
      </c>
      <c r="C570" s="6" t="s">
        <v>3138</v>
      </c>
      <c r="D570" s="8" t="s">
        <v>17</v>
      </c>
      <c r="E570" s="6" t="s">
        <v>23</v>
      </c>
      <c r="F570" s="6" t="s">
        <v>24</v>
      </c>
      <c r="G570" s="6" t="s">
        <v>3139</v>
      </c>
      <c r="H570" s="10">
        <v>46214</v>
      </c>
      <c r="I570" s="6" t="s">
        <v>3140</v>
      </c>
      <c r="J570" s="6" t="s">
        <v>3141</v>
      </c>
      <c r="K570" s="6" t="s">
        <v>46</v>
      </c>
      <c r="L570" s="6" t="s">
        <v>72</v>
      </c>
      <c r="M570" s="6" t="s">
        <v>3142</v>
      </c>
    </row>
    <row r="571" spans="1:13" ht="13" x14ac:dyDescent="0.15">
      <c r="A571" s="5" t="str">
        <f>HYPERLINK("https://onemount.atlassian.net/browse/DBA-5360","DBA-5360")</f>
        <v>DBA-5360</v>
      </c>
      <c r="B571" s="6" t="s">
        <v>21</v>
      </c>
      <c r="C571" s="6" t="s">
        <v>3143</v>
      </c>
      <c r="D571" s="8" t="s">
        <v>17</v>
      </c>
      <c r="E571" s="6" t="s">
        <v>23</v>
      </c>
      <c r="F571" s="6" t="s">
        <v>52</v>
      </c>
      <c r="G571" s="6" t="s">
        <v>3144</v>
      </c>
      <c r="H571" s="10">
        <v>46212</v>
      </c>
      <c r="I571" s="6" t="s">
        <v>3145</v>
      </c>
      <c r="J571" s="6" t="s">
        <v>55</v>
      </c>
      <c r="K571" s="6" t="s">
        <v>55</v>
      </c>
      <c r="L571" s="6" t="s">
        <v>93</v>
      </c>
      <c r="M571" s="6" t="s">
        <v>3146</v>
      </c>
    </row>
    <row r="572" spans="1:13" ht="13" x14ac:dyDescent="0.15">
      <c r="A572" s="5" t="str">
        <f>HYPERLINK("https://onemount.atlassian.net/browse/DBA-5359","DBA-5359")</f>
        <v>DBA-5359</v>
      </c>
      <c r="B572" s="6" t="s">
        <v>21</v>
      </c>
      <c r="C572" s="6" t="s">
        <v>3147</v>
      </c>
      <c r="D572" s="8" t="s">
        <v>17</v>
      </c>
      <c r="E572" s="6" t="s">
        <v>23</v>
      </c>
      <c r="F572" s="6" t="s">
        <v>52</v>
      </c>
      <c r="G572" s="6" t="s">
        <v>3148</v>
      </c>
      <c r="H572" s="10">
        <v>46212</v>
      </c>
      <c r="I572" s="6" t="s">
        <v>3149</v>
      </c>
      <c r="J572" s="6" t="s">
        <v>374</v>
      </c>
      <c r="K572" s="6" t="s">
        <v>35</v>
      </c>
      <c r="L572" s="6" t="s">
        <v>374</v>
      </c>
      <c r="M572" s="6" t="s">
        <v>3150</v>
      </c>
    </row>
    <row r="573" spans="1:13" ht="13" x14ac:dyDescent="0.15">
      <c r="A573" s="5" t="str">
        <f>HYPERLINK("https://onemount.atlassian.net/browse/DBA-5358","DBA-5358")</f>
        <v>DBA-5358</v>
      </c>
      <c r="B573" s="6" t="s">
        <v>21</v>
      </c>
      <c r="C573" s="6" t="s">
        <v>3151</v>
      </c>
      <c r="D573" s="8" t="s">
        <v>17</v>
      </c>
      <c r="E573" s="6" t="s">
        <v>23</v>
      </c>
      <c r="F573" s="6" t="s">
        <v>52</v>
      </c>
      <c r="G573" s="6" t="s">
        <v>3152</v>
      </c>
      <c r="H573" s="10">
        <v>46213</v>
      </c>
      <c r="I573" s="6" t="s">
        <v>3153</v>
      </c>
      <c r="J573" s="6" t="s">
        <v>510</v>
      </c>
      <c r="K573" s="6" t="s">
        <v>165</v>
      </c>
      <c r="L573" s="6" t="s">
        <v>77</v>
      </c>
      <c r="M573" s="6" t="s">
        <v>3154</v>
      </c>
    </row>
    <row r="574" spans="1:13" ht="13" x14ac:dyDescent="0.15">
      <c r="A574" s="5" t="str">
        <f>HYPERLINK("https://onemount.atlassian.net/browse/DBA-5357","DBA-5357")</f>
        <v>DBA-5357</v>
      </c>
      <c r="B574" s="6" t="s">
        <v>21</v>
      </c>
      <c r="C574" s="6" t="s">
        <v>3026</v>
      </c>
      <c r="D574" s="8" t="s">
        <v>17</v>
      </c>
      <c r="E574" s="6" t="s">
        <v>23</v>
      </c>
      <c r="F574" s="6" t="s">
        <v>52</v>
      </c>
      <c r="G574" s="6" t="s">
        <v>3155</v>
      </c>
      <c r="H574" s="10">
        <v>46212</v>
      </c>
      <c r="I574" s="6" t="s">
        <v>3156</v>
      </c>
      <c r="J574" s="6" t="s">
        <v>55</v>
      </c>
      <c r="K574" s="6" t="s">
        <v>55</v>
      </c>
      <c r="L574" s="6" t="s">
        <v>93</v>
      </c>
      <c r="M574" s="6" t="s">
        <v>3157</v>
      </c>
    </row>
    <row r="575" spans="1:13" ht="13" x14ac:dyDescent="0.15">
      <c r="A575" s="5" t="str">
        <f>HYPERLINK("https://onemount.atlassian.net/browse/DBA-5356","DBA-5356")</f>
        <v>DBA-5356</v>
      </c>
      <c r="B575" s="6" t="s">
        <v>21</v>
      </c>
      <c r="C575" s="6" t="s">
        <v>1466</v>
      </c>
      <c r="D575" s="8" t="s">
        <v>17</v>
      </c>
      <c r="E575" s="6" t="s">
        <v>23</v>
      </c>
      <c r="F575" s="6" t="s">
        <v>52</v>
      </c>
      <c r="G575" s="6" t="s">
        <v>3158</v>
      </c>
      <c r="H575" s="10">
        <v>46212</v>
      </c>
      <c r="I575" s="6" t="s">
        <v>3159</v>
      </c>
      <c r="J575" s="6" t="s">
        <v>855</v>
      </c>
      <c r="K575" s="6" t="s">
        <v>55</v>
      </c>
      <c r="L575" s="6" t="s">
        <v>855</v>
      </c>
      <c r="M575" s="6" t="s">
        <v>3160</v>
      </c>
    </row>
    <row r="576" spans="1:13" ht="13" x14ac:dyDescent="0.15">
      <c r="A576" s="5" t="str">
        <f>HYPERLINK("https://onemount.atlassian.net/browse/DBA-5355","DBA-5355")</f>
        <v>DBA-5355</v>
      </c>
      <c r="B576" s="6" t="s">
        <v>21</v>
      </c>
      <c r="C576" s="6" t="s">
        <v>1635</v>
      </c>
      <c r="D576" s="8" t="s">
        <v>17</v>
      </c>
      <c r="E576" s="6" t="s">
        <v>23</v>
      </c>
      <c r="F576" s="6" t="s">
        <v>52</v>
      </c>
      <c r="G576" s="6" t="s">
        <v>3161</v>
      </c>
      <c r="H576" s="10">
        <v>46213</v>
      </c>
      <c r="I576" s="6" t="s">
        <v>3162</v>
      </c>
      <c r="J576" s="6" t="s">
        <v>56</v>
      </c>
      <c r="K576" s="6" t="s">
        <v>55</v>
      </c>
      <c r="L576" s="6" t="s">
        <v>56</v>
      </c>
      <c r="M576" s="6" t="s">
        <v>3163</v>
      </c>
    </row>
    <row r="577" spans="1:13" ht="13" x14ac:dyDescent="0.15">
      <c r="A577" s="5" t="str">
        <f>HYPERLINK("https://onemount.atlassian.net/browse/DBA-5354","DBA-5354")</f>
        <v>DBA-5354</v>
      </c>
      <c r="B577" s="6" t="s">
        <v>21</v>
      </c>
      <c r="C577" s="6" t="s">
        <v>3164</v>
      </c>
      <c r="D577" s="8" t="s">
        <v>17</v>
      </c>
      <c r="E577" s="6" t="s">
        <v>23</v>
      </c>
      <c r="F577" s="6" t="s">
        <v>52</v>
      </c>
      <c r="G577" s="6" t="s">
        <v>3165</v>
      </c>
      <c r="H577" s="10">
        <v>46212</v>
      </c>
      <c r="I577" s="6" t="s">
        <v>3166</v>
      </c>
      <c r="J577" s="6" t="s">
        <v>56</v>
      </c>
      <c r="K577" s="6" t="s">
        <v>55</v>
      </c>
      <c r="L577" s="6" t="s">
        <v>56</v>
      </c>
      <c r="M577" s="6" t="s">
        <v>3167</v>
      </c>
    </row>
    <row r="578" spans="1:13" ht="13" x14ac:dyDescent="0.15">
      <c r="A578" s="5" t="str">
        <f>HYPERLINK("https://onemount.atlassian.net/browse/DBA-5353","DBA-5353")</f>
        <v>DBA-5353</v>
      </c>
      <c r="B578" s="6" t="s">
        <v>21</v>
      </c>
      <c r="C578" s="6" t="s">
        <v>3168</v>
      </c>
      <c r="D578" s="8" t="s">
        <v>17</v>
      </c>
      <c r="E578" s="6" t="s">
        <v>23</v>
      </c>
      <c r="F578" s="6" t="s">
        <v>52</v>
      </c>
      <c r="G578" s="6" t="s">
        <v>3169</v>
      </c>
      <c r="H578" s="10">
        <v>46211</v>
      </c>
      <c r="I578" s="6" t="s">
        <v>3170</v>
      </c>
      <c r="J578" s="6" t="s">
        <v>374</v>
      </c>
      <c r="K578" s="6" t="s">
        <v>35</v>
      </c>
      <c r="L578" s="6" t="s">
        <v>374</v>
      </c>
      <c r="M578" s="6" t="s">
        <v>3171</v>
      </c>
    </row>
    <row r="579" spans="1:13" ht="13" x14ac:dyDescent="0.15">
      <c r="A579" s="5" t="str">
        <f>HYPERLINK("https://onemount.atlassian.net/browse/DBA-5352","DBA-5352")</f>
        <v>DBA-5352</v>
      </c>
      <c r="B579" s="6" t="s">
        <v>21</v>
      </c>
      <c r="C579" s="6" t="s">
        <v>3060</v>
      </c>
      <c r="D579" s="8" t="s">
        <v>17</v>
      </c>
      <c r="E579" s="6" t="s">
        <v>23</v>
      </c>
      <c r="F579" s="6" t="s">
        <v>31</v>
      </c>
      <c r="G579" s="6" t="s">
        <v>3172</v>
      </c>
      <c r="H579" s="10">
        <v>46212</v>
      </c>
      <c r="I579" s="6" t="s">
        <v>3173</v>
      </c>
      <c r="J579" s="6" t="s">
        <v>707</v>
      </c>
      <c r="K579" s="6" t="s">
        <v>35</v>
      </c>
      <c r="L579" s="6" t="s">
        <v>707</v>
      </c>
      <c r="M579" s="6" t="s">
        <v>3174</v>
      </c>
    </row>
    <row r="580" spans="1:13" ht="13" x14ac:dyDescent="0.15">
      <c r="A580" s="5" t="str">
        <f>HYPERLINK("https://onemount.atlassian.net/browse/DBA-5351","DBA-5351")</f>
        <v>DBA-5351</v>
      </c>
      <c r="B580" s="6" t="s">
        <v>21</v>
      </c>
      <c r="C580" s="6" t="s">
        <v>3175</v>
      </c>
      <c r="D580" s="8" t="s">
        <v>17</v>
      </c>
      <c r="E580" s="6" t="s">
        <v>23</v>
      </c>
      <c r="F580" s="6" t="s">
        <v>31</v>
      </c>
      <c r="G580" s="6" t="s">
        <v>3176</v>
      </c>
      <c r="H580" s="10">
        <v>46212</v>
      </c>
      <c r="I580" s="6" t="s">
        <v>3177</v>
      </c>
      <c r="J580" s="6" t="s">
        <v>118</v>
      </c>
      <c r="K580" s="6" t="s">
        <v>35</v>
      </c>
      <c r="L580" s="6" t="s">
        <v>119</v>
      </c>
      <c r="M580" s="6" t="s">
        <v>3178</v>
      </c>
    </row>
    <row r="581" spans="1:13" ht="13" x14ac:dyDescent="0.15">
      <c r="A581" s="5" t="str">
        <f>HYPERLINK("https://onemount.atlassian.net/browse/DBA-5350","DBA-5350")</f>
        <v>DBA-5350</v>
      </c>
      <c r="B581" s="6" t="s">
        <v>21</v>
      </c>
      <c r="C581" s="6" t="s">
        <v>3179</v>
      </c>
      <c r="D581" s="8" t="s">
        <v>17</v>
      </c>
      <c r="E581" s="6" t="s">
        <v>23</v>
      </c>
      <c r="F581" s="6" t="s">
        <v>31</v>
      </c>
      <c r="G581" s="6" t="s">
        <v>3180</v>
      </c>
      <c r="H581" s="10">
        <v>46264</v>
      </c>
      <c r="I581" s="6" t="s">
        <v>3181</v>
      </c>
      <c r="J581" s="6" t="s">
        <v>3182</v>
      </c>
      <c r="K581" s="6" t="s">
        <v>35</v>
      </c>
      <c r="L581" s="6" t="s">
        <v>489</v>
      </c>
      <c r="M581" s="6" t="s">
        <v>3183</v>
      </c>
    </row>
    <row r="582" spans="1:13" ht="13" x14ac:dyDescent="0.15">
      <c r="A582" s="5" t="str">
        <f>HYPERLINK("https://onemount.atlassian.net/browse/DBA-5349","DBA-5349")</f>
        <v>DBA-5349</v>
      </c>
      <c r="B582" s="6" t="s">
        <v>21</v>
      </c>
      <c r="C582" s="6" t="s">
        <v>3184</v>
      </c>
      <c r="D582" s="8" t="s">
        <v>17</v>
      </c>
      <c r="E582" s="6" t="s">
        <v>23</v>
      </c>
      <c r="F582" s="6" t="s">
        <v>87</v>
      </c>
      <c r="G582" s="6" t="s">
        <v>3185</v>
      </c>
      <c r="H582" s="10">
        <v>46212</v>
      </c>
      <c r="I582" s="6" t="s">
        <v>3186</v>
      </c>
      <c r="J582" s="6" t="s">
        <v>146</v>
      </c>
      <c r="K582" s="6" t="s">
        <v>46</v>
      </c>
      <c r="L582" s="6" t="s">
        <v>146</v>
      </c>
      <c r="M582" s="6" t="s">
        <v>3187</v>
      </c>
    </row>
    <row r="583" spans="1:13" ht="13" x14ac:dyDescent="0.15">
      <c r="A583" s="5" t="str">
        <f>HYPERLINK("https://onemount.atlassian.net/browse/DBA-5348","DBA-5348")</f>
        <v>DBA-5348</v>
      </c>
      <c r="B583" s="6" t="s">
        <v>21</v>
      </c>
      <c r="C583" s="6" t="s">
        <v>3188</v>
      </c>
      <c r="D583" s="8" t="s">
        <v>17</v>
      </c>
      <c r="E583" s="6" t="s">
        <v>23</v>
      </c>
      <c r="F583" s="6" t="s">
        <v>52</v>
      </c>
      <c r="G583" s="6" t="s">
        <v>3189</v>
      </c>
      <c r="H583" s="10">
        <v>46212</v>
      </c>
      <c r="I583" s="6" t="s">
        <v>3190</v>
      </c>
      <c r="J583" s="6" t="s">
        <v>55</v>
      </c>
      <c r="K583" s="6" t="s">
        <v>55</v>
      </c>
      <c r="L583" s="6" t="s">
        <v>56</v>
      </c>
      <c r="M583" s="6" t="s">
        <v>3191</v>
      </c>
    </row>
    <row r="584" spans="1:13" ht="13" x14ac:dyDescent="0.15">
      <c r="A584" s="5" t="str">
        <f>HYPERLINK("https://onemount.atlassian.net/browse/DBA-5347","DBA-5347")</f>
        <v>DBA-5347</v>
      </c>
      <c r="B584" s="6" t="s">
        <v>21</v>
      </c>
      <c r="C584" s="6" t="s">
        <v>3192</v>
      </c>
      <c r="D584" s="8" t="s">
        <v>17</v>
      </c>
      <c r="E584" s="6" t="s">
        <v>23</v>
      </c>
      <c r="F584" s="6" t="s">
        <v>52</v>
      </c>
      <c r="G584" s="6" t="s">
        <v>3193</v>
      </c>
      <c r="H584" s="10">
        <v>46212</v>
      </c>
      <c r="I584" s="6" t="s">
        <v>3194</v>
      </c>
      <c r="J584" s="6" t="s">
        <v>39</v>
      </c>
      <c r="K584" s="6" t="s">
        <v>46</v>
      </c>
      <c r="L584" s="6" t="s">
        <v>582</v>
      </c>
      <c r="M584" s="6" t="s">
        <v>3195</v>
      </c>
    </row>
    <row r="585" spans="1:13" ht="13" x14ac:dyDescent="0.15">
      <c r="A585" s="5" t="str">
        <f>HYPERLINK("https://onemount.atlassian.net/browse/DBA-5346","DBA-5346")</f>
        <v>DBA-5346</v>
      </c>
      <c r="B585" s="6" t="s">
        <v>21</v>
      </c>
      <c r="C585" s="6" t="s">
        <v>2521</v>
      </c>
      <c r="D585" s="8" t="s">
        <v>17</v>
      </c>
      <c r="E585" s="6" t="s">
        <v>23</v>
      </c>
      <c r="F585" s="6" t="s">
        <v>41</v>
      </c>
      <c r="G585" s="6" t="s">
        <v>3196</v>
      </c>
      <c r="H585" s="10">
        <v>46214</v>
      </c>
      <c r="I585" s="6" t="s">
        <v>3197</v>
      </c>
      <c r="J585" s="6" t="s">
        <v>136</v>
      </c>
      <c r="K585" s="6" t="s">
        <v>72</v>
      </c>
      <c r="L585" s="6" t="s">
        <v>136</v>
      </c>
      <c r="M585" s="6" t="s">
        <v>3198</v>
      </c>
    </row>
    <row r="586" spans="1:13" ht="13" x14ac:dyDescent="0.15">
      <c r="A586" s="5" t="str">
        <f>HYPERLINK("https://onemount.atlassian.net/browse/DBA-5345","DBA-5345")</f>
        <v>DBA-5345</v>
      </c>
      <c r="B586" s="6" t="s">
        <v>21</v>
      </c>
      <c r="C586" s="6" t="s">
        <v>3199</v>
      </c>
      <c r="D586" s="8" t="s">
        <v>17</v>
      </c>
      <c r="E586" s="6" t="s">
        <v>23</v>
      </c>
      <c r="F586" s="6" t="s">
        <v>31</v>
      </c>
      <c r="G586" s="6" t="s">
        <v>3200</v>
      </c>
      <c r="H586" s="10">
        <v>46210</v>
      </c>
      <c r="I586" s="6" t="s">
        <v>3201</v>
      </c>
      <c r="J586" s="6" t="s">
        <v>374</v>
      </c>
      <c r="K586" s="6" t="s">
        <v>35</v>
      </c>
      <c r="L586" s="6" t="s">
        <v>374</v>
      </c>
      <c r="M586" s="6" t="s">
        <v>3202</v>
      </c>
    </row>
    <row r="587" spans="1:13" ht="13" x14ac:dyDescent="0.15">
      <c r="A587" s="5" t="str">
        <f>HYPERLINK("https://onemount.atlassian.net/browse/DBA-5344","DBA-5344")</f>
        <v>DBA-5344</v>
      </c>
      <c r="B587" s="6" t="s">
        <v>21</v>
      </c>
      <c r="C587" s="6" t="s">
        <v>3203</v>
      </c>
      <c r="D587" s="8" t="s">
        <v>17</v>
      </c>
      <c r="E587" s="6" t="s">
        <v>23</v>
      </c>
      <c r="F587" s="6" t="s">
        <v>52</v>
      </c>
      <c r="G587" s="6" t="s">
        <v>3204</v>
      </c>
      <c r="H587" s="10">
        <v>46211</v>
      </c>
      <c r="I587" s="6" t="s">
        <v>3205</v>
      </c>
      <c r="J587" s="6" t="s">
        <v>1464</v>
      </c>
      <c r="K587" s="6" t="s">
        <v>55</v>
      </c>
      <c r="L587" s="6" t="s">
        <v>254</v>
      </c>
      <c r="M587" s="6" t="s">
        <v>3206</v>
      </c>
    </row>
    <row r="588" spans="1:13" ht="13" x14ac:dyDescent="0.15">
      <c r="A588" s="5" t="str">
        <f>HYPERLINK("https://onemount.atlassian.net/browse/DBA-5343","DBA-5343")</f>
        <v>DBA-5343</v>
      </c>
      <c r="B588" s="6" t="s">
        <v>21</v>
      </c>
      <c r="C588" s="6" t="s">
        <v>3207</v>
      </c>
      <c r="D588" s="8" t="s">
        <v>17</v>
      </c>
      <c r="E588" s="6" t="s">
        <v>23</v>
      </c>
      <c r="F588" s="6" t="s">
        <v>24</v>
      </c>
      <c r="G588" s="6" t="s">
        <v>3208</v>
      </c>
      <c r="H588" s="10">
        <v>46210</v>
      </c>
      <c r="I588" s="6" t="s">
        <v>3209</v>
      </c>
      <c r="J588" s="6" t="s">
        <v>510</v>
      </c>
      <c r="K588" s="6" t="s">
        <v>165</v>
      </c>
      <c r="L588" s="6" t="s">
        <v>77</v>
      </c>
      <c r="M588" s="6" t="s">
        <v>3210</v>
      </c>
    </row>
    <row r="589" spans="1:13" ht="13" x14ac:dyDescent="0.15">
      <c r="A589" s="5" t="str">
        <f>HYPERLINK("https://onemount.atlassian.net/browse/DBA-5342","DBA-5342")</f>
        <v>DBA-5342</v>
      </c>
      <c r="B589" s="6" t="s">
        <v>21</v>
      </c>
      <c r="C589" s="6" t="s">
        <v>3211</v>
      </c>
      <c r="D589" s="8" t="s">
        <v>17</v>
      </c>
      <c r="E589" s="6" t="s">
        <v>23</v>
      </c>
      <c r="F589" s="6" t="s">
        <v>24</v>
      </c>
      <c r="G589" s="6" t="s">
        <v>3212</v>
      </c>
      <c r="H589" s="10">
        <v>46211</v>
      </c>
      <c r="I589" s="6" t="s">
        <v>3213</v>
      </c>
      <c r="J589" s="6" t="s">
        <v>55</v>
      </c>
      <c r="K589" s="6" t="s">
        <v>55</v>
      </c>
      <c r="L589" s="6" t="s">
        <v>56</v>
      </c>
      <c r="M589" s="6" t="s">
        <v>3214</v>
      </c>
    </row>
    <row r="590" spans="1:13" ht="13" x14ac:dyDescent="0.15">
      <c r="A590" s="5" t="str">
        <f>HYPERLINK("https://onemount.atlassian.net/browse/DBA-5341","DBA-5341")</f>
        <v>DBA-5341</v>
      </c>
      <c r="B590" s="6" t="s">
        <v>21</v>
      </c>
      <c r="C590" s="6" t="s">
        <v>3215</v>
      </c>
      <c r="D590" s="8" t="s">
        <v>17</v>
      </c>
      <c r="E590" s="6" t="s">
        <v>23</v>
      </c>
      <c r="F590" s="6" t="s">
        <v>41</v>
      </c>
      <c r="G590" s="6" t="s">
        <v>3216</v>
      </c>
      <c r="H590" s="10">
        <v>46211</v>
      </c>
      <c r="I590" s="6" t="s">
        <v>3217</v>
      </c>
      <c r="J590" s="6" t="s">
        <v>72</v>
      </c>
      <c r="K590" s="6" t="s">
        <v>72</v>
      </c>
      <c r="L590" s="6" t="s">
        <v>72</v>
      </c>
      <c r="M590" s="6" t="s">
        <v>3218</v>
      </c>
    </row>
    <row r="591" spans="1:13" ht="13" x14ac:dyDescent="0.15">
      <c r="A591" s="21" t="str">
        <f>HYPERLINK("https://onemount.atlassian.net/browse/DBA-5340","DBA-5340")</f>
        <v>DBA-5340</v>
      </c>
      <c r="B591" s="6" t="s">
        <v>21</v>
      </c>
      <c r="C591" s="6" t="s">
        <v>3219</v>
      </c>
      <c r="D591" s="8" t="s">
        <v>17</v>
      </c>
      <c r="E591" s="6" t="s">
        <v>23</v>
      </c>
      <c r="F591" s="6" t="s">
        <v>24</v>
      </c>
      <c r="G591" s="6" t="s">
        <v>3220</v>
      </c>
      <c r="H591" s="10">
        <v>46211</v>
      </c>
      <c r="I591" s="6" t="s">
        <v>3221</v>
      </c>
      <c r="J591" s="6" t="s">
        <v>510</v>
      </c>
      <c r="K591" s="6" t="s">
        <v>165</v>
      </c>
      <c r="L591" s="6" t="s">
        <v>77</v>
      </c>
      <c r="M591" s="6" t="s">
        <v>3222</v>
      </c>
    </row>
    <row r="592" spans="1:13" ht="13" x14ac:dyDescent="0.15">
      <c r="A592" s="5" t="str">
        <f>HYPERLINK("https://onemount.atlassian.net/browse/DBA-5339","DBA-5339")</f>
        <v>DBA-5339</v>
      </c>
      <c r="B592" s="6" t="s">
        <v>21</v>
      </c>
      <c r="C592" s="6" t="s">
        <v>3223</v>
      </c>
      <c r="D592" s="8" t="s">
        <v>17</v>
      </c>
      <c r="E592" s="6" t="s">
        <v>23</v>
      </c>
      <c r="F592" s="6" t="s">
        <v>52</v>
      </c>
      <c r="G592" s="6" t="s">
        <v>3224</v>
      </c>
      <c r="H592" s="10">
        <v>46210</v>
      </c>
      <c r="I592" s="6" t="s">
        <v>3225</v>
      </c>
      <c r="J592" s="6" t="s">
        <v>621</v>
      </c>
      <c r="K592" s="6" t="s">
        <v>55</v>
      </c>
      <c r="L592" s="6" t="s">
        <v>85</v>
      </c>
      <c r="M592" s="6" t="s">
        <v>3226</v>
      </c>
    </row>
    <row r="593" spans="1:13" ht="13" x14ac:dyDescent="0.15">
      <c r="A593" s="5" t="str">
        <f>HYPERLINK("https://onemount.atlassian.net/browse/DBA-5338","DBA-5338")</f>
        <v>DBA-5338</v>
      </c>
      <c r="B593" s="6" t="s">
        <v>21</v>
      </c>
      <c r="C593" s="6" t="s">
        <v>3227</v>
      </c>
      <c r="D593" s="8" t="s">
        <v>17</v>
      </c>
      <c r="E593" s="6" t="s">
        <v>23</v>
      </c>
      <c r="F593" s="6" t="s">
        <v>52</v>
      </c>
      <c r="G593" s="6" t="s">
        <v>3228</v>
      </c>
      <c r="H593" s="10">
        <v>46210</v>
      </c>
      <c r="I593" s="6" t="s">
        <v>3229</v>
      </c>
      <c r="J593" s="6" t="s">
        <v>56</v>
      </c>
      <c r="K593" s="6" t="s">
        <v>55</v>
      </c>
      <c r="L593" s="6" t="s">
        <v>56</v>
      </c>
      <c r="M593" s="6" t="s">
        <v>3230</v>
      </c>
    </row>
    <row r="594" spans="1:13" ht="13" x14ac:dyDescent="0.15">
      <c r="A594" s="5" t="str">
        <f>HYPERLINK("https://onemount.atlassian.net/browse/DBA-5337","DBA-5337")</f>
        <v>DBA-5337</v>
      </c>
      <c r="B594" s="6" t="s">
        <v>21</v>
      </c>
      <c r="C594" s="6" t="s">
        <v>3231</v>
      </c>
      <c r="D594" s="8" t="s">
        <v>17</v>
      </c>
      <c r="E594" s="6" t="s">
        <v>23</v>
      </c>
      <c r="F594" s="6" t="s">
        <v>31</v>
      </c>
      <c r="G594" s="6" t="s">
        <v>3232</v>
      </c>
      <c r="H594" s="10">
        <v>46209</v>
      </c>
      <c r="I594" s="6" t="s">
        <v>3233</v>
      </c>
      <c r="J594" s="6" t="s">
        <v>1054</v>
      </c>
      <c r="K594" s="6" t="s">
        <v>165</v>
      </c>
      <c r="L594" s="6" t="s">
        <v>1054</v>
      </c>
      <c r="M594" s="6" t="s">
        <v>3234</v>
      </c>
    </row>
    <row r="595" spans="1:13" ht="13" x14ac:dyDescent="0.15">
      <c r="A595" s="5" t="str">
        <f>HYPERLINK("https://onemount.atlassian.net/browse/DBA-5336","DBA-5336")</f>
        <v>DBA-5336</v>
      </c>
      <c r="B595" s="6" t="s">
        <v>21</v>
      </c>
      <c r="C595" s="6" t="s">
        <v>3235</v>
      </c>
      <c r="D595" s="8" t="s">
        <v>17</v>
      </c>
      <c r="E595" s="6" t="s">
        <v>23</v>
      </c>
      <c r="F595" s="6" t="s">
        <v>24</v>
      </c>
      <c r="G595" s="6" t="s">
        <v>3236</v>
      </c>
      <c r="H595" s="10">
        <v>46207</v>
      </c>
      <c r="I595" s="6" t="s">
        <v>3237</v>
      </c>
      <c r="J595" s="6" t="s">
        <v>165</v>
      </c>
      <c r="K595" s="6" t="s">
        <v>165</v>
      </c>
      <c r="L595" s="6" t="s">
        <v>1052</v>
      </c>
      <c r="M595" s="6" t="s">
        <v>3238</v>
      </c>
    </row>
    <row r="596" spans="1:13" ht="13" x14ac:dyDescent="0.15">
      <c r="A596" s="5" t="str">
        <f>HYPERLINK("https://onemount.atlassian.net/browse/DBA-5335","DBA-5335")</f>
        <v>DBA-5335</v>
      </c>
      <c r="B596" s="6" t="s">
        <v>21</v>
      </c>
      <c r="C596" s="6" t="s">
        <v>3143</v>
      </c>
      <c r="D596" s="8" t="s">
        <v>17</v>
      </c>
      <c r="E596" s="6" t="s">
        <v>23</v>
      </c>
      <c r="F596" s="6" t="s">
        <v>52</v>
      </c>
      <c r="G596" s="6" t="s">
        <v>3239</v>
      </c>
      <c r="H596" s="10">
        <v>46208</v>
      </c>
      <c r="I596" s="6" t="s">
        <v>3240</v>
      </c>
      <c r="J596" s="6" t="s">
        <v>55</v>
      </c>
      <c r="K596" s="6" t="s">
        <v>55</v>
      </c>
      <c r="L596" s="6" t="s">
        <v>93</v>
      </c>
      <c r="M596" s="6" t="s">
        <v>3241</v>
      </c>
    </row>
    <row r="597" spans="1:13" ht="13" x14ac:dyDescent="0.15">
      <c r="A597" s="5" t="str">
        <f>HYPERLINK("https://onemount.atlassian.net/browse/DBA-5334","DBA-5334")</f>
        <v>DBA-5334</v>
      </c>
      <c r="B597" s="6" t="s">
        <v>21</v>
      </c>
      <c r="C597" s="6" t="s">
        <v>3026</v>
      </c>
      <c r="D597" s="8" t="s">
        <v>17</v>
      </c>
      <c r="E597" s="6" t="s">
        <v>23</v>
      </c>
      <c r="F597" s="6" t="s">
        <v>52</v>
      </c>
      <c r="G597" s="6" t="s">
        <v>3242</v>
      </c>
      <c r="H597" s="10">
        <v>46207</v>
      </c>
      <c r="I597" s="6" t="s">
        <v>3243</v>
      </c>
      <c r="J597" s="6" t="s">
        <v>55</v>
      </c>
      <c r="K597" s="6" t="s">
        <v>55</v>
      </c>
      <c r="L597" s="6" t="s">
        <v>93</v>
      </c>
      <c r="M597" s="6" t="s">
        <v>3244</v>
      </c>
    </row>
    <row r="598" spans="1:13" ht="13" x14ac:dyDescent="0.15">
      <c r="A598" s="5" t="str">
        <f>HYPERLINK("https://onemount.atlassian.net/browse/DBA-5333","DBA-5333")</f>
        <v>DBA-5333</v>
      </c>
      <c r="B598" s="6" t="s">
        <v>21</v>
      </c>
      <c r="C598" s="6" t="s">
        <v>3245</v>
      </c>
      <c r="D598" s="8" t="s">
        <v>17</v>
      </c>
      <c r="E598" s="6" t="s">
        <v>23</v>
      </c>
      <c r="F598" s="6" t="s">
        <v>24</v>
      </c>
      <c r="G598" s="6" t="s">
        <v>3246</v>
      </c>
      <c r="H598" s="10">
        <v>46206</v>
      </c>
      <c r="I598" s="6" t="s">
        <v>3247</v>
      </c>
      <c r="J598" s="6" t="s">
        <v>1898</v>
      </c>
      <c r="K598" s="6" t="s">
        <v>165</v>
      </c>
      <c r="L598" s="6" t="s">
        <v>1097</v>
      </c>
      <c r="M598" s="6" t="s">
        <v>3248</v>
      </c>
    </row>
    <row r="599" spans="1:13" ht="13" x14ac:dyDescent="0.15">
      <c r="A599" s="5" t="str">
        <f>HYPERLINK("https://onemount.atlassian.net/browse/DBA-5332","DBA-5332")</f>
        <v>DBA-5332</v>
      </c>
      <c r="B599" s="6" t="s">
        <v>21</v>
      </c>
      <c r="C599" s="6" t="s">
        <v>3249</v>
      </c>
      <c r="D599" s="8" t="s">
        <v>17</v>
      </c>
      <c r="E599" s="6" t="s">
        <v>23</v>
      </c>
      <c r="F599" s="6" t="s">
        <v>52</v>
      </c>
      <c r="G599" s="6" t="s">
        <v>3250</v>
      </c>
      <c r="H599" s="10">
        <v>46207</v>
      </c>
      <c r="I599" s="6" t="s">
        <v>3251</v>
      </c>
      <c r="J599" s="6" t="s">
        <v>3252</v>
      </c>
      <c r="K599" s="6" t="s">
        <v>137</v>
      </c>
      <c r="L599" s="6" t="s">
        <v>222</v>
      </c>
      <c r="M599" s="6" t="s">
        <v>3253</v>
      </c>
    </row>
    <row r="600" spans="1:13" ht="13" x14ac:dyDescent="0.15">
      <c r="A600" s="5" t="str">
        <f>HYPERLINK("https://onemount.atlassian.net/browse/DBA-5331","DBA-5331")</f>
        <v>DBA-5331</v>
      </c>
      <c r="B600" s="6" t="s">
        <v>21</v>
      </c>
      <c r="C600" s="6" t="s">
        <v>3254</v>
      </c>
      <c r="D600" s="14" t="s">
        <v>19</v>
      </c>
      <c r="E600" s="6" t="s">
        <v>1810</v>
      </c>
      <c r="F600" s="6" t="s">
        <v>41</v>
      </c>
      <c r="G600" s="6" t="s">
        <v>3255</v>
      </c>
      <c r="H600" s="6" t="s">
        <v>43</v>
      </c>
      <c r="I600" s="6" t="s">
        <v>44</v>
      </c>
      <c r="J600" s="6" t="s">
        <v>1513</v>
      </c>
      <c r="K600" s="6" t="s">
        <v>172</v>
      </c>
      <c r="L600" s="6" t="s">
        <v>172</v>
      </c>
      <c r="M600" s="6" t="s">
        <v>3256</v>
      </c>
    </row>
    <row r="601" spans="1:13" ht="13" x14ac:dyDescent="0.15">
      <c r="A601" s="5" t="str">
        <f>HYPERLINK("https://onemount.atlassian.net/browse/DBA-5330","DBA-5330")</f>
        <v>DBA-5330</v>
      </c>
      <c r="B601" s="6" t="s">
        <v>21</v>
      </c>
      <c r="C601" s="6" t="s">
        <v>3257</v>
      </c>
      <c r="D601" s="8" t="s">
        <v>17</v>
      </c>
      <c r="E601" s="6" t="s">
        <v>23</v>
      </c>
      <c r="F601" s="6" t="s">
        <v>24</v>
      </c>
      <c r="G601" s="6" t="s">
        <v>3258</v>
      </c>
      <c r="H601" s="10">
        <v>46207</v>
      </c>
      <c r="I601" s="6" t="s">
        <v>3259</v>
      </c>
      <c r="J601" s="6" t="s">
        <v>55</v>
      </c>
      <c r="K601" s="6" t="s">
        <v>55</v>
      </c>
      <c r="L601" s="6" t="s">
        <v>55</v>
      </c>
      <c r="M601" s="6" t="s">
        <v>3260</v>
      </c>
    </row>
    <row r="602" spans="1:13" ht="13" x14ac:dyDescent="0.15">
      <c r="A602" s="5" t="str">
        <f>HYPERLINK("https://onemount.atlassian.net/browse/DBA-5329","DBA-5329")</f>
        <v>DBA-5329</v>
      </c>
      <c r="B602" s="6" t="s">
        <v>21</v>
      </c>
      <c r="C602" s="6" t="s">
        <v>3261</v>
      </c>
      <c r="D602" s="8" t="s">
        <v>17</v>
      </c>
      <c r="E602" s="6" t="s">
        <v>23</v>
      </c>
      <c r="F602" s="6" t="s">
        <v>24</v>
      </c>
      <c r="G602" s="6" t="s">
        <v>3262</v>
      </c>
      <c r="H602" s="10">
        <v>46207</v>
      </c>
      <c r="I602" s="6" t="s">
        <v>3263</v>
      </c>
      <c r="J602" s="6" t="s">
        <v>1898</v>
      </c>
      <c r="K602" s="6" t="s">
        <v>165</v>
      </c>
      <c r="L602" s="6" t="s">
        <v>1097</v>
      </c>
      <c r="M602" s="6" t="s">
        <v>3264</v>
      </c>
    </row>
    <row r="603" spans="1:13" ht="13" x14ac:dyDescent="0.15">
      <c r="A603" s="5" t="str">
        <f>HYPERLINK("https://onemount.atlassian.net/browse/DBA-5328","DBA-5328")</f>
        <v>DBA-5328</v>
      </c>
      <c r="B603" s="6" t="s">
        <v>21</v>
      </c>
      <c r="C603" s="22" t="s">
        <v>3265</v>
      </c>
      <c r="D603" s="8" t="s">
        <v>17</v>
      </c>
      <c r="E603" s="6" t="s">
        <v>23</v>
      </c>
      <c r="F603" s="6" t="s">
        <v>78</v>
      </c>
      <c r="G603" s="6" t="s">
        <v>3266</v>
      </c>
      <c r="H603" s="10">
        <v>46207</v>
      </c>
      <c r="I603" s="6" t="s">
        <v>3267</v>
      </c>
      <c r="J603" s="6" t="s">
        <v>1513</v>
      </c>
      <c r="K603" s="6" t="s">
        <v>46</v>
      </c>
      <c r="L603" s="6" t="s">
        <v>109</v>
      </c>
      <c r="M603" s="6"/>
    </row>
    <row r="604" spans="1:13" ht="13" x14ac:dyDescent="0.15">
      <c r="A604" s="21" t="str">
        <f>HYPERLINK("https://onemount.atlassian.net/browse/DBA-5327","DBA-5327")</f>
        <v>DBA-5327</v>
      </c>
      <c r="B604" s="6" t="s">
        <v>21</v>
      </c>
      <c r="C604" s="6" t="s">
        <v>3126</v>
      </c>
      <c r="D604" s="8" t="s">
        <v>17</v>
      </c>
      <c r="E604" s="6" t="s">
        <v>23</v>
      </c>
      <c r="F604" s="6" t="s">
        <v>52</v>
      </c>
      <c r="G604" s="6" t="s">
        <v>3268</v>
      </c>
      <c r="H604" s="10">
        <v>46206</v>
      </c>
      <c r="I604" s="6" t="s">
        <v>3269</v>
      </c>
      <c r="J604" s="6" t="s">
        <v>55</v>
      </c>
      <c r="K604" s="6" t="s">
        <v>55</v>
      </c>
      <c r="L604" s="6" t="s">
        <v>93</v>
      </c>
      <c r="M604" s="6" t="s">
        <v>3129</v>
      </c>
    </row>
    <row r="605" spans="1:13" ht="13" x14ac:dyDescent="0.15">
      <c r="A605" s="5" t="str">
        <f>HYPERLINK("https://onemount.atlassian.net/browse/DBA-5326","DBA-5326")</f>
        <v>DBA-5326</v>
      </c>
      <c r="B605" s="6" t="s">
        <v>21</v>
      </c>
      <c r="C605" s="6" t="s">
        <v>3270</v>
      </c>
      <c r="D605" s="8" t="s">
        <v>17</v>
      </c>
      <c r="E605" s="6" t="s">
        <v>23</v>
      </c>
      <c r="F605" s="6" t="s">
        <v>78</v>
      </c>
      <c r="G605" s="6" t="s">
        <v>3271</v>
      </c>
      <c r="H605" s="10">
        <v>46207</v>
      </c>
      <c r="I605" s="6" t="s">
        <v>3272</v>
      </c>
      <c r="J605" s="6" t="s">
        <v>109</v>
      </c>
      <c r="K605" s="6" t="s">
        <v>46</v>
      </c>
      <c r="L605" s="6" t="s">
        <v>109</v>
      </c>
      <c r="M605" s="6" t="s">
        <v>3273</v>
      </c>
    </row>
    <row r="606" spans="1:13" ht="13" x14ac:dyDescent="0.15">
      <c r="A606" s="5" t="str">
        <f>HYPERLINK("https://onemount.atlassian.net/browse/DBA-5325","DBA-5325")</f>
        <v>DBA-5325</v>
      </c>
      <c r="B606" s="6" t="s">
        <v>21</v>
      </c>
      <c r="C606" s="6" t="s">
        <v>3274</v>
      </c>
      <c r="D606" s="8" t="s">
        <v>17</v>
      </c>
      <c r="E606" s="6" t="s">
        <v>23</v>
      </c>
      <c r="F606" s="6" t="s">
        <v>78</v>
      </c>
      <c r="G606" s="6" t="s">
        <v>3275</v>
      </c>
      <c r="H606" s="10">
        <v>46207</v>
      </c>
      <c r="I606" s="6" t="s">
        <v>3276</v>
      </c>
      <c r="J606" s="6" t="s">
        <v>109</v>
      </c>
      <c r="K606" s="6" t="s">
        <v>46</v>
      </c>
      <c r="L606" s="6" t="s">
        <v>109</v>
      </c>
      <c r="M606" s="6" t="s">
        <v>3277</v>
      </c>
    </row>
    <row r="607" spans="1:13" ht="13" x14ac:dyDescent="0.15">
      <c r="A607" s="5" t="str">
        <f>HYPERLINK("https://onemount.atlassian.net/browse/DBA-5324","DBA-5324")</f>
        <v>DBA-5324</v>
      </c>
      <c r="B607" s="6" t="s">
        <v>21</v>
      </c>
      <c r="C607" s="6" t="s">
        <v>2613</v>
      </c>
      <c r="D607" s="8" t="s">
        <v>17</v>
      </c>
      <c r="E607" s="6" t="s">
        <v>23</v>
      </c>
      <c r="F607" s="6" t="s">
        <v>52</v>
      </c>
      <c r="G607" s="6" t="s">
        <v>3278</v>
      </c>
      <c r="H607" s="10">
        <v>46206</v>
      </c>
      <c r="I607" s="6" t="s">
        <v>3279</v>
      </c>
      <c r="J607" s="6" t="s">
        <v>621</v>
      </c>
      <c r="K607" s="6" t="s">
        <v>55</v>
      </c>
      <c r="L607" s="6" t="s">
        <v>85</v>
      </c>
      <c r="M607" s="6" t="s">
        <v>3280</v>
      </c>
    </row>
    <row r="608" spans="1:13" ht="13" x14ac:dyDescent="0.15">
      <c r="A608" s="5" t="str">
        <f>HYPERLINK("https://onemount.atlassian.net/browse/DBA-5323","DBA-5323")</f>
        <v>DBA-5323</v>
      </c>
      <c r="B608" s="6" t="s">
        <v>21</v>
      </c>
      <c r="C608" s="6" t="s">
        <v>3281</v>
      </c>
      <c r="D608" s="8" t="s">
        <v>17</v>
      </c>
      <c r="E608" s="6" t="s">
        <v>23</v>
      </c>
      <c r="F608" s="6" t="s">
        <v>52</v>
      </c>
      <c r="G608" s="6" t="s">
        <v>3282</v>
      </c>
      <c r="H608" s="10">
        <v>46205</v>
      </c>
      <c r="I608" s="6" t="s">
        <v>3283</v>
      </c>
      <c r="J608" s="6" t="s">
        <v>374</v>
      </c>
      <c r="K608" s="6" t="s">
        <v>35</v>
      </c>
      <c r="L608" s="6" t="s">
        <v>374</v>
      </c>
      <c r="M608" s="6" t="s">
        <v>3284</v>
      </c>
    </row>
    <row r="609" spans="1:13" ht="13" x14ac:dyDescent="0.15">
      <c r="A609" s="5" t="str">
        <f>HYPERLINK("https://onemount.atlassian.net/browse/DBA-5322","DBA-5322")</f>
        <v>DBA-5322</v>
      </c>
      <c r="B609" s="6" t="s">
        <v>21</v>
      </c>
      <c r="C609" s="6" t="s">
        <v>3285</v>
      </c>
      <c r="D609" s="8" t="s">
        <v>17</v>
      </c>
      <c r="E609" s="6" t="s">
        <v>23</v>
      </c>
      <c r="F609" s="6" t="s">
        <v>52</v>
      </c>
      <c r="G609" s="6" t="s">
        <v>3286</v>
      </c>
      <c r="H609" s="10">
        <v>46205</v>
      </c>
      <c r="I609" s="6" t="s">
        <v>3287</v>
      </c>
      <c r="J609" s="6" t="s">
        <v>85</v>
      </c>
      <c r="K609" s="6" t="s">
        <v>55</v>
      </c>
      <c r="L609" s="6" t="s">
        <v>85</v>
      </c>
      <c r="M609" s="6" t="s">
        <v>3288</v>
      </c>
    </row>
    <row r="610" spans="1:13" ht="13" x14ac:dyDescent="0.15">
      <c r="A610" s="21" t="str">
        <f>HYPERLINK("https://onemount.atlassian.net/browse/DBA-5321","DBA-5321")</f>
        <v>DBA-5321</v>
      </c>
      <c r="B610" s="6" t="s">
        <v>21</v>
      </c>
      <c r="C610" s="6" t="s">
        <v>3289</v>
      </c>
      <c r="D610" s="8" t="s">
        <v>17</v>
      </c>
      <c r="E610" s="6" t="s">
        <v>23</v>
      </c>
      <c r="F610" s="6" t="s">
        <v>24</v>
      </c>
      <c r="G610" s="6" t="s">
        <v>3290</v>
      </c>
      <c r="H610" s="10">
        <v>46206</v>
      </c>
      <c r="I610" s="6" t="s">
        <v>3291</v>
      </c>
      <c r="J610" s="6" t="s">
        <v>56</v>
      </c>
      <c r="K610" s="6" t="s">
        <v>55</v>
      </c>
      <c r="L610" s="6" t="s">
        <v>56</v>
      </c>
      <c r="M610" s="6" t="s">
        <v>3292</v>
      </c>
    </row>
    <row r="611" spans="1:13" ht="13" x14ac:dyDescent="0.15">
      <c r="A611" s="5" t="str">
        <f>HYPERLINK("https://onemount.atlassian.net/browse/DBA-5320","DBA-5320")</f>
        <v>DBA-5320</v>
      </c>
      <c r="B611" s="6" t="s">
        <v>21</v>
      </c>
      <c r="C611" s="6" t="s">
        <v>3293</v>
      </c>
      <c r="D611" s="8" t="s">
        <v>17</v>
      </c>
      <c r="E611" s="6" t="s">
        <v>23</v>
      </c>
      <c r="F611" s="6" t="s">
        <v>52</v>
      </c>
      <c r="G611" s="6" t="s">
        <v>3294</v>
      </c>
      <c r="H611" s="10">
        <v>46206</v>
      </c>
      <c r="I611" s="6" t="s">
        <v>3295</v>
      </c>
      <c r="J611" s="6" t="s">
        <v>71</v>
      </c>
      <c r="K611" s="6" t="s">
        <v>35</v>
      </c>
      <c r="L611" s="6" t="s">
        <v>71</v>
      </c>
      <c r="M611" s="6" t="s">
        <v>3296</v>
      </c>
    </row>
    <row r="612" spans="1:13" ht="13" x14ac:dyDescent="0.15">
      <c r="A612" s="5" t="str">
        <f>HYPERLINK("https://onemount.atlassian.net/browse/DBA-5319","DBA-5319")</f>
        <v>DBA-5319</v>
      </c>
      <c r="B612" s="6" t="s">
        <v>21</v>
      </c>
      <c r="C612" s="6" t="s">
        <v>3297</v>
      </c>
      <c r="D612" s="8" t="s">
        <v>17</v>
      </c>
      <c r="E612" s="6" t="s">
        <v>23</v>
      </c>
      <c r="F612" s="6" t="s">
        <v>24</v>
      </c>
      <c r="G612" s="6" t="s">
        <v>3298</v>
      </c>
      <c r="H612" s="10">
        <v>46204</v>
      </c>
      <c r="I612" s="6" t="s">
        <v>3299</v>
      </c>
      <c r="J612" s="6" t="s">
        <v>224</v>
      </c>
      <c r="K612" s="6" t="s">
        <v>165</v>
      </c>
      <c r="L612" s="6" t="s">
        <v>224</v>
      </c>
      <c r="M612" s="6" t="s">
        <v>3300</v>
      </c>
    </row>
    <row r="613" spans="1:13" ht="13" x14ac:dyDescent="0.15">
      <c r="A613" s="5" t="str">
        <f>HYPERLINK("https://onemount.atlassian.net/browse/DBA-5318","DBA-5318")</f>
        <v>DBA-5318</v>
      </c>
      <c r="B613" s="6" t="s">
        <v>21</v>
      </c>
      <c r="C613" s="6" t="s">
        <v>2991</v>
      </c>
      <c r="D613" s="8" t="s">
        <v>17</v>
      </c>
      <c r="E613" s="6" t="s">
        <v>23</v>
      </c>
      <c r="F613" s="6" t="s">
        <v>41</v>
      </c>
      <c r="G613" s="6" t="s">
        <v>3301</v>
      </c>
      <c r="H613" s="10">
        <v>46207</v>
      </c>
      <c r="I613" s="6" t="s">
        <v>3302</v>
      </c>
      <c r="J613" s="6" t="s">
        <v>67</v>
      </c>
      <c r="K613" s="6" t="s">
        <v>59</v>
      </c>
      <c r="L613" s="6" t="s">
        <v>67</v>
      </c>
      <c r="M613" s="6" t="s">
        <v>3303</v>
      </c>
    </row>
    <row r="614" spans="1:13" ht="13" x14ac:dyDescent="0.15">
      <c r="A614" s="5" t="str">
        <f>HYPERLINK("https://onemount.atlassian.net/browse/DBA-5317","DBA-5317")</f>
        <v>DBA-5317</v>
      </c>
      <c r="B614" s="6" t="s">
        <v>21</v>
      </c>
      <c r="C614" s="6" t="s">
        <v>2330</v>
      </c>
      <c r="D614" s="8" t="s">
        <v>17</v>
      </c>
      <c r="E614" s="6" t="s">
        <v>23</v>
      </c>
      <c r="F614" s="6" t="s">
        <v>52</v>
      </c>
      <c r="G614" s="6" t="s">
        <v>3304</v>
      </c>
      <c r="H614" s="10">
        <v>46205</v>
      </c>
      <c r="I614" s="6" t="s">
        <v>3305</v>
      </c>
      <c r="J614" s="6" t="s">
        <v>55</v>
      </c>
      <c r="K614" s="6" t="s">
        <v>55</v>
      </c>
      <c r="L614" s="6" t="s">
        <v>986</v>
      </c>
      <c r="M614" s="6" t="s">
        <v>3306</v>
      </c>
    </row>
    <row r="615" spans="1:13" ht="13" x14ac:dyDescent="0.15">
      <c r="A615" s="5" t="str">
        <f>HYPERLINK("https://onemount.atlassian.net/browse/DBA-5316","DBA-5316")</f>
        <v>DBA-5316</v>
      </c>
      <c r="B615" s="6" t="s">
        <v>21</v>
      </c>
      <c r="C615" s="6" t="s">
        <v>1466</v>
      </c>
      <c r="D615" s="8" t="s">
        <v>17</v>
      </c>
      <c r="E615" s="6" t="s">
        <v>23</v>
      </c>
      <c r="F615" s="6" t="s">
        <v>52</v>
      </c>
      <c r="G615" s="6" t="s">
        <v>3307</v>
      </c>
      <c r="H615" s="10">
        <v>46204</v>
      </c>
      <c r="I615" s="6" t="s">
        <v>3308</v>
      </c>
      <c r="J615" s="6" t="s">
        <v>855</v>
      </c>
      <c r="K615" s="6" t="s">
        <v>55</v>
      </c>
      <c r="L615" s="6" t="s">
        <v>855</v>
      </c>
      <c r="M615" s="6" t="s">
        <v>3309</v>
      </c>
    </row>
    <row r="616" spans="1:13" ht="13" x14ac:dyDescent="0.15">
      <c r="A616" s="5" t="str">
        <f>HYPERLINK("https://onemount.atlassian.net/browse/DBA-5315","DBA-5315")</f>
        <v>DBA-5315</v>
      </c>
      <c r="B616" s="6" t="s">
        <v>21</v>
      </c>
      <c r="C616" s="6" t="s">
        <v>3126</v>
      </c>
      <c r="D616" s="8" t="s">
        <v>17</v>
      </c>
      <c r="E616" s="6" t="s">
        <v>23</v>
      </c>
      <c r="F616" s="6" t="s">
        <v>52</v>
      </c>
      <c r="G616" s="6" t="s">
        <v>3310</v>
      </c>
      <c r="H616" s="10">
        <v>46203</v>
      </c>
      <c r="I616" s="6" t="s">
        <v>3311</v>
      </c>
      <c r="J616" s="6" t="s">
        <v>55</v>
      </c>
      <c r="K616" s="6" t="s">
        <v>55</v>
      </c>
      <c r="L616" s="6" t="s">
        <v>93</v>
      </c>
      <c r="M616" s="6" t="s">
        <v>3312</v>
      </c>
    </row>
    <row r="617" spans="1:13" ht="13" x14ac:dyDescent="0.15">
      <c r="A617" s="5" t="str">
        <f>HYPERLINK("https://onemount.atlassian.net/browse/DBA-5314","DBA-5314")</f>
        <v>DBA-5314</v>
      </c>
      <c r="B617" s="6" t="s">
        <v>21</v>
      </c>
      <c r="C617" s="6" t="s">
        <v>3313</v>
      </c>
      <c r="D617" s="8" t="s">
        <v>17</v>
      </c>
      <c r="E617" s="6" t="s">
        <v>23</v>
      </c>
      <c r="F617" s="6" t="s">
        <v>24</v>
      </c>
      <c r="G617" s="6" t="s">
        <v>3314</v>
      </c>
      <c r="H617" s="10">
        <v>46203</v>
      </c>
      <c r="I617" s="6" t="s">
        <v>3315</v>
      </c>
      <c r="J617" s="6" t="s">
        <v>1898</v>
      </c>
      <c r="K617" s="6" t="s">
        <v>165</v>
      </c>
      <c r="L617" s="6" t="s">
        <v>1097</v>
      </c>
      <c r="M617" s="6" t="s">
        <v>3316</v>
      </c>
    </row>
    <row r="618" spans="1:13" ht="13" x14ac:dyDescent="0.15">
      <c r="A618" s="5" t="str">
        <f>HYPERLINK("https://onemount.atlassian.net/browse/DBA-5313","DBA-5313")</f>
        <v>DBA-5313</v>
      </c>
      <c r="B618" s="6" t="s">
        <v>21</v>
      </c>
      <c r="C618" s="6" t="s">
        <v>3317</v>
      </c>
      <c r="D618" s="8" t="s">
        <v>17</v>
      </c>
      <c r="E618" s="6" t="s">
        <v>23</v>
      </c>
      <c r="F618" s="6" t="s">
        <v>52</v>
      </c>
      <c r="G618" s="6" t="s">
        <v>3318</v>
      </c>
      <c r="H618" s="10">
        <v>46203</v>
      </c>
      <c r="I618" s="6" t="s">
        <v>3319</v>
      </c>
      <c r="J618" s="6" t="s">
        <v>93</v>
      </c>
      <c r="K618" s="6" t="s">
        <v>55</v>
      </c>
      <c r="L618" s="6" t="s">
        <v>93</v>
      </c>
      <c r="M618" s="6" t="s">
        <v>3320</v>
      </c>
    </row>
    <row r="619" spans="1:13" ht="13" x14ac:dyDescent="0.15">
      <c r="A619" s="5" t="str">
        <f>HYPERLINK("https://onemount.atlassian.net/browse/DBA-5312","DBA-5312")</f>
        <v>DBA-5312</v>
      </c>
      <c r="B619" s="6" t="s">
        <v>21</v>
      </c>
      <c r="C619" s="6" t="s">
        <v>3321</v>
      </c>
      <c r="D619" s="8" t="s">
        <v>17</v>
      </c>
      <c r="E619" s="6" t="s">
        <v>23</v>
      </c>
      <c r="F619" s="6" t="s">
        <v>31</v>
      </c>
      <c r="G619" s="6" t="s">
        <v>3322</v>
      </c>
      <c r="H619" s="10">
        <v>46204</v>
      </c>
      <c r="I619" s="6" t="s">
        <v>3323</v>
      </c>
      <c r="J619" s="6" t="s">
        <v>478</v>
      </c>
      <c r="K619" s="6" t="s">
        <v>35</v>
      </c>
      <c r="L619" s="6" t="s">
        <v>129</v>
      </c>
      <c r="M619" s="6" t="s">
        <v>3324</v>
      </c>
    </row>
    <row r="620" spans="1:13" ht="13" x14ac:dyDescent="0.15">
      <c r="A620" s="5" t="str">
        <f>HYPERLINK("https://onemount.atlassian.net/browse/DBA-5311","DBA-5311")</f>
        <v>DBA-5311</v>
      </c>
      <c r="B620" s="6" t="s">
        <v>21</v>
      </c>
      <c r="C620" s="6" t="s">
        <v>2916</v>
      </c>
      <c r="D620" s="8" t="s">
        <v>17</v>
      </c>
      <c r="E620" s="6" t="s">
        <v>23</v>
      </c>
      <c r="F620" s="6" t="s">
        <v>52</v>
      </c>
      <c r="G620" s="6" t="s">
        <v>3325</v>
      </c>
      <c r="H620" s="10">
        <v>46203</v>
      </c>
      <c r="I620" s="6" t="s">
        <v>3326</v>
      </c>
      <c r="J620" s="6" t="s">
        <v>2919</v>
      </c>
      <c r="K620" s="6" t="s">
        <v>72</v>
      </c>
      <c r="L620" s="6" t="s">
        <v>188</v>
      </c>
      <c r="M620" s="6" t="s">
        <v>3327</v>
      </c>
    </row>
    <row r="621" spans="1:13" ht="13" x14ac:dyDescent="0.15">
      <c r="A621" s="5" t="str">
        <f>HYPERLINK("https://onemount.atlassian.net/browse/DBA-5310","DBA-5310")</f>
        <v>DBA-5310</v>
      </c>
      <c r="B621" s="6" t="s">
        <v>21</v>
      </c>
      <c r="C621" s="6" t="s">
        <v>3328</v>
      </c>
      <c r="D621" s="8" t="s">
        <v>17</v>
      </c>
      <c r="E621" s="6" t="s">
        <v>23</v>
      </c>
      <c r="F621" s="6" t="s">
        <v>52</v>
      </c>
      <c r="G621" s="6" t="s">
        <v>3329</v>
      </c>
      <c r="H621" s="10">
        <v>46203</v>
      </c>
      <c r="I621" s="6" t="s">
        <v>3330</v>
      </c>
      <c r="J621" s="6" t="s">
        <v>46</v>
      </c>
      <c r="K621" s="6" t="s">
        <v>46</v>
      </c>
      <c r="L621" s="6" t="s">
        <v>214</v>
      </c>
      <c r="M621" s="6" t="s">
        <v>3331</v>
      </c>
    </row>
    <row r="622" spans="1:13" ht="13" x14ac:dyDescent="0.15">
      <c r="A622" s="5" t="str">
        <f>HYPERLINK("https://onemount.atlassian.net/browse/DBA-5309","DBA-5309")</f>
        <v>DBA-5309</v>
      </c>
      <c r="B622" s="6" t="s">
        <v>21</v>
      </c>
      <c r="C622" s="6" t="s">
        <v>3332</v>
      </c>
      <c r="D622" s="8" t="s">
        <v>17</v>
      </c>
      <c r="E622" s="6" t="s">
        <v>23</v>
      </c>
      <c r="F622" s="6" t="s">
        <v>24</v>
      </c>
      <c r="G622" s="6" t="s">
        <v>3333</v>
      </c>
      <c r="H622" s="10">
        <v>46203</v>
      </c>
      <c r="I622" s="6" t="s">
        <v>3334</v>
      </c>
      <c r="J622" s="6" t="s">
        <v>1898</v>
      </c>
      <c r="K622" s="6" t="s">
        <v>165</v>
      </c>
      <c r="L622" s="6" t="s">
        <v>1097</v>
      </c>
      <c r="M622" s="6" t="s">
        <v>3335</v>
      </c>
    </row>
    <row r="623" spans="1:13" ht="13" x14ac:dyDescent="0.15">
      <c r="A623" s="5" t="str">
        <f>HYPERLINK("https://onemount.atlassian.net/browse/DBA-5307","DBA-5307")</f>
        <v>DBA-5307</v>
      </c>
      <c r="B623" s="6" t="s">
        <v>21</v>
      </c>
      <c r="C623" s="6" t="s">
        <v>3336</v>
      </c>
      <c r="D623" s="8" t="s">
        <v>17</v>
      </c>
      <c r="E623" s="6" t="s">
        <v>23</v>
      </c>
      <c r="F623" s="6" t="s">
        <v>24</v>
      </c>
      <c r="G623" s="6" t="s">
        <v>3337</v>
      </c>
      <c r="H623" s="10">
        <v>46203</v>
      </c>
      <c r="I623" s="6" t="s">
        <v>3338</v>
      </c>
      <c r="J623" s="6" t="s">
        <v>93</v>
      </c>
      <c r="K623" s="6" t="s">
        <v>55</v>
      </c>
      <c r="L623" s="6" t="s">
        <v>93</v>
      </c>
      <c r="M623" s="6" t="s">
        <v>3339</v>
      </c>
    </row>
    <row r="624" spans="1:13" ht="13" x14ac:dyDescent="0.15">
      <c r="A624" s="5" t="str">
        <f>HYPERLINK("https://onemount.atlassian.net/browse/DBA-5306","DBA-5306")</f>
        <v>DBA-5306</v>
      </c>
      <c r="B624" s="6" t="s">
        <v>21</v>
      </c>
      <c r="C624" s="6" t="s">
        <v>3340</v>
      </c>
      <c r="D624" s="8" t="s">
        <v>17</v>
      </c>
      <c r="E624" s="6" t="s">
        <v>23</v>
      </c>
      <c r="F624" s="6" t="s">
        <v>24</v>
      </c>
      <c r="G624" s="6" t="s">
        <v>3341</v>
      </c>
      <c r="H624" s="10">
        <v>46203</v>
      </c>
      <c r="I624" s="6" t="s">
        <v>3342</v>
      </c>
      <c r="J624" s="6" t="s">
        <v>85</v>
      </c>
      <c r="K624" s="6" t="s">
        <v>55</v>
      </c>
      <c r="L624" s="6" t="s">
        <v>85</v>
      </c>
      <c r="M624" s="6" t="s">
        <v>3343</v>
      </c>
    </row>
    <row r="625" spans="1:13" ht="13" x14ac:dyDescent="0.15">
      <c r="A625" s="5" t="str">
        <f>HYPERLINK("https://onemount.atlassian.net/browse/DBA-5305","DBA-5305")</f>
        <v>DBA-5305</v>
      </c>
      <c r="B625" s="6" t="s">
        <v>21</v>
      </c>
      <c r="C625" s="6" t="s">
        <v>3344</v>
      </c>
      <c r="D625" s="8" t="s">
        <v>17</v>
      </c>
      <c r="E625" s="6" t="s">
        <v>23</v>
      </c>
      <c r="F625" s="6" t="s">
        <v>52</v>
      </c>
      <c r="G625" s="6" t="s">
        <v>3345</v>
      </c>
      <c r="H625" s="10">
        <v>46202</v>
      </c>
      <c r="I625" s="6" t="s">
        <v>3346</v>
      </c>
      <c r="J625" s="6" t="s">
        <v>821</v>
      </c>
      <c r="K625" s="6" t="s">
        <v>55</v>
      </c>
      <c r="L625" s="6" t="s">
        <v>821</v>
      </c>
      <c r="M625" s="6" t="s">
        <v>3347</v>
      </c>
    </row>
    <row r="626" spans="1:13" ht="13" x14ac:dyDescent="0.15">
      <c r="A626" s="5" t="str">
        <f>HYPERLINK("https://onemount.atlassian.net/browse/DBA-5304","DBA-5304")</f>
        <v>DBA-5304</v>
      </c>
      <c r="B626" s="6" t="s">
        <v>21</v>
      </c>
      <c r="C626" s="6" t="s">
        <v>2330</v>
      </c>
      <c r="D626" s="8" t="s">
        <v>17</v>
      </c>
      <c r="E626" s="6" t="s">
        <v>23</v>
      </c>
      <c r="F626" s="6" t="s">
        <v>52</v>
      </c>
      <c r="G626" s="6" t="s">
        <v>3348</v>
      </c>
      <c r="H626" s="10">
        <v>46202</v>
      </c>
      <c r="I626" s="6" t="s">
        <v>3349</v>
      </c>
      <c r="J626" s="6" t="s">
        <v>55</v>
      </c>
      <c r="K626" s="6" t="s">
        <v>55</v>
      </c>
      <c r="L626" s="6" t="s">
        <v>93</v>
      </c>
      <c r="M626" s="6" t="s">
        <v>3350</v>
      </c>
    </row>
    <row r="627" spans="1:13" ht="13" x14ac:dyDescent="0.15">
      <c r="A627" s="5" t="str">
        <f>HYPERLINK("https://onemount.atlassian.net/browse/DBA-5303","DBA-5303")</f>
        <v>DBA-5303</v>
      </c>
      <c r="B627" s="6" t="s">
        <v>21</v>
      </c>
      <c r="C627" s="6" t="s">
        <v>3351</v>
      </c>
      <c r="D627" s="8" t="s">
        <v>17</v>
      </c>
      <c r="E627" s="6" t="s">
        <v>23</v>
      </c>
      <c r="F627" s="6" t="s">
        <v>31</v>
      </c>
      <c r="G627" s="6" t="s">
        <v>3352</v>
      </c>
      <c r="H627" s="10">
        <v>46202</v>
      </c>
      <c r="I627" s="6" t="s">
        <v>3353</v>
      </c>
      <c r="J627" s="6" t="s">
        <v>707</v>
      </c>
      <c r="K627" s="6" t="s">
        <v>35</v>
      </c>
      <c r="L627" s="6" t="s">
        <v>707</v>
      </c>
      <c r="M627" s="6" t="s">
        <v>3354</v>
      </c>
    </row>
    <row r="628" spans="1:13" ht="13" x14ac:dyDescent="0.15">
      <c r="A628" s="5" t="str">
        <f>HYPERLINK("https://onemount.atlassian.net/browse/DBA-5302","DBA-5302")</f>
        <v>DBA-5302</v>
      </c>
      <c r="B628" s="6" t="s">
        <v>21</v>
      </c>
      <c r="C628" s="6" t="s">
        <v>3355</v>
      </c>
      <c r="D628" s="8" t="s">
        <v>17</v>
      </c>
      <c r="E628" s="6" t="s">
        <v>23</v>
      </c>
      <c r="F628" s="6" t="s">
        <v>52</v>
      </c>
      <c r="G628" s="6" t="s">
        <v>3356</v>
      </c>
      <c r="H628" s="10">
        <v>46203</v>
      </c>
      <c r="I628" s="6" t="s">
        <v>3357</v>
      </c>
      <c r="J628" s="6" t="s">
        <v>56</v>
      </c>
      <c r="K628" s="6" t="s">
        <v>55</v>
      </c>
      <c r="L628" s="6" t="s">
        <v>56</v>
      </c>
      <c r="M628" s="6" t="s">
        <v>3358</v>
      </c>
    </row>
    <row r="629" spans="1:13" ht="13" x14ac:dyDescent="0.15">
      <c r="A629" s="5" t="str">
        <f>HYPERLINK("https://onemount.atlassian.net/browse/DBA-5301","DBA-5301")</f>
        <v>DBA-5301</v>
      </c>
      <c r="B629" s="6" t="s">
        <v>21</v>
      </c>
      <c r="C629" s="6" t="s">
        <v>2481</v>
      </c>
      <c r="D629" s="8" t="s">
        <v>17</v>
      </c>
      <c r="E629" s="6" t="s">
        <v>23</v>
      </c>
      <c r="F629" s="6" t="s">
        <v>52</v>
      </c>
      <c r="G629" s="6" t="s">
        <v>3359</v>
      </c>
      <c r="H629" s="10">
        <v>46202</v>
      </c>
      <c r="I629" s="6" t="s">
        <v>3360</v>
      </c>
      <c r="J629" s="6" t="s">
        <v>621</v>
      </c>
      <c r="K629" s="6" t="s">
        <v>55</v>
      </c>
      <c r="L629" s="6" t="s">
        <v>85</v>
      </c>
      <c r="M629" s="6" t="s">
        <v>3361</v>
      </c>
    </row>
    <row r="630" spans="1:13" ht="13" x14ac:dyDescent="0.15">
      <c r="A630" s="5" t="str">
        <f>HYPERLINK("https://onemount.atlassian.net/browse/DBA-5300","DBA-5300")</f>
        <v>DBA-5300</v>
      </c>
      <c r="B630" s="6" t="s">
        <v>21</v>
      </c>
      <c r="C630" s="6" t="s">
        <v>3362</v>
      </c>
      <c r="D630" s="8" t="s">
        <v>17</v>
      </c>
      <c r="E630" s="6" t="s">
        <v>23</v>
      </c>
      <c r="F630" s="6" t="s">
        <v>52</v>
      </c>
      <c r="G630" s="6" t="s">
        <v>3363</v>
      </c>
      <c r="H630" s="10">
        <v>46202</v>
      </c>
      <c r="I630" s="6" t="s">
        <v>3364</v>
      </c>
      <c r="J630" s="6" t="s">
        <v>93</v>
      </c>
      <c r="K630" s="6" t="s">
        <v>55</v>
      </c>
      <c r="L630" s="6" t="s">
        <v>93</v>
      </c>
      <c r="M630" s="6" t="s">
        <v>3365</v>
      </c>
    </row>
    <row r="631" spans="1:13" ht="13" x14ac:dyDescent="0.15">
      <c r="A631" s="5" t="str">
        <f>HYPERLINK("https://onemount.atlassian.net/browse/DBA-5299","DBA-5299")</f>
        <v>DBA-5299</v>
      </c>
      <c r="B631" s="6" t="s">
        <v>21</v>
      </c>
      <c r="C631" s="6" t="s">
        <v>3366</v>
      </c>
      <c r="D631" s="8" t="s">
        <v>17</v>
      </c>
      <c r="E631" s="6" t="s">
        <v>23</v>
      </c>
      <c r="F631" s="6" t="s">
        <v>41</v>
      </c>
      <c r="G631" s="6" t="s">
        <v>3367</v>
      </c>
      <c r="H631" s="10">
        <v>46204</v>
      </c>
      <c r="I631" s="6" t="s">
        <v>3368</v>
      </c>
      <c r="J631" s="6" t="s">
        <v>3369</v>
      </c>
      <c r="K631" s="6" t="s">
        <v>168</v>
      </c>
      <c r="L631" s="6" t="s">
        <v>1172</v>
      </c>
      <c r="M631" s="6" t="s">
        <v>3370</v>
      </c>
    </row>
    <row r="632" spans="1:13" ht="13" x14ac:dyDescent="0.15">
      <c r="A632" s="5" t="str">
        <f>HYPERLINK("https://onemount.atlassian.net/browse/DBA-5298","DBA-5298")</f>
        <v>DBA-5298</v>
      </c>
      <c r="B632" s="6" t="s">
        <v>21</v>
      </c>
      <c r="C632" s="6" t="s">
        <v>3371</v>
      </c>
      <c r="D632" s="8" t="s">
        <v>17</v>
      </c>
      <c r="E632" s="6" t="s">
        <v>23</v>
      </c>
      <c r="F632" s="6" t="s">
        <v>52</v>
      </c>
      <c r="G632" s="6" t="s">
        <v>3372</v>
      </c>
      <c r="H632" s="10">
        <v>46202</v>
      </c>
      <c r="I632" s="6" t="s">
        <v>3373</v>
      </c>
      <c r="J632" s="6" t="s">
        <v>64</v>
      </c>
      <c r="K632" s="6" t="s">
        <v>55</v>
      </c>
      <c r="L632" s="6" t="s">
        <v>56</v>
      </c>
      <c r="M632" s="6" t="s">
        <v>3374</v>
      </c>
    </row>
    <row r="633" spans="1:13" ht="13" x14ac:dyDescent="0.15">
      <c r="A633" s="5" t="str">
        <f>HYPERLINK("https://onemount.atlassian.net/browse/DBA-5295","DBA-5295")</f>
        <v>DBA-5295</v>
      </c>
      <c r="B633" s="6" t="s">
        <v>21</v>
      </c>
      <c r="C633" s="6" t="s">
        <v>3375</v>
      </c>
      <c r="D633" s="8" t="s">
        <v>17</v>
      </c>
      <c r="E633" s="6" t="s">
        <v>23</v>
      </c>
      <c r="F633" s="6" t="s">
        <v>41</v>
      </c>
      <c r="G633" s="6" t="s">
        <v>3376</v>
      </c>
      <c r="H633" s="10">
        <v>46204</v>
      </c>
      <c r="I633" s="6" t="s">
        <v>3377</v>
      </c>
      <c r="J633" s="6" t="s">
        <v>3369</v>
      </c>
      <c r="K633" s="6" t="s">
        <v>168</v>
      </c>
      <c r="L633" s="6" t="s">
        <v>1172</v>
      </c>
      <c r="M633" s="6" t="s">
        <v>3378</v>
      </c>
    </row>
    <row r="634" spans="1:13" ht="13" x14ac:dyDescent="0.15">
      <c r="A634" s="5" t="str">
        <f>HYPERLINK("https://onemount.atlassian.net/browse/DBA-5293","DBA-5293")</f>
        <v>DBA-5293</v>
      </c>
      <c r="B634" s="6" t="s">
        <v>21</v>
      </c>
      <c r="C634" s="6" t="s">
        <v>3379</v>
      </c>
      <c r="D634" s="8" t="s">
        <v>17</v>
      </c>
      <c r="E634" s="6" t="s">
        <v>23</v>
      </c>
      <c r="F634" s="6" t="s">
        <v>52</v>
      </c>
      <c r="G634" s="6" t="s">
        <v>3380</v>
      </c>
      <c r="H634" s="10">
        <v>46203</v>
      </c>
      <c r="I634" s="6" t="s">
        <v>3381</v>
      </c>
      <c r="J634" s="6" t="s">
        <v>118</v>
      </c>
      <c r="K634" s="6" t="s">
        <v>35</v>
      </c>
      <c r="L634" s="6" t="s">
        <v>119</v>
      </c>
      <c r="M634" s="6" t="s">
        <v>3382</v>
      </c>
    </row>
    <row r="635" spans="1:13" ht="13" x14ac:dyDescent="0.15">
      <c r="A635" s="5" t="str">
        <f>HYPERLINK("https://onemount.atlassian.net/browse/DBA-5292","DBA-5292")</f>
        <v>DBA-5292</v>
      </c>
      <c r="B635" s="6" t="s">
        <v>21</v>
      </c>
      <c r="C635" s="6" t="s">
        <v>3383</v>
      </c>
      <c r="D635" s="8" t="s">
        <v>17</v>
      </c>
      <c r="E635" s="6" t="s">
        <v>23</v>
      </c>
      <c r="F635" s="6" t="s">
        <v>52</v>
      </c>
      <c r="G635" s="6" t="s">
        <v>3384</v>
      </c>
      <c r="H635" s="10">
        <v>46203</v>
      </c>
      <c r="I635" s="6" t="s">
        <v>3385</v>
      </c>
      <c r="J635" s="6" t="s">
        <v>2919</v>
      </c>
      <c r="K635" s="6" t="s">
        <v>72</v>
      </c>
      <c r="L635" s="6" t="s">
        <v>188</v>
      </c>
      <c r="M635" s="6" t="s">
        <v>3386</v>
      </c>
    </row>
    <row r="636" spans="1:13" ht="13" x14ac:dyDescent="0.15">
      <c r="A636" s="5" t="str">
        <f>HYPERLINK("https://onemount.atlassian.net/browse/DBA-5290","DBA-5290")</f>
        <v>DBA-5290</v>
      </c>
      <c r="B636" s="6" t="s">
        <v>21</v>
      </c>
      <c r="C636" s="6" t="s">
        <v>3387</v>
      </c>
      <c r="D636" s="8" t="s">
        <v>17</v>
      </c>
      <c r="E636" s="6" t="s">
        <v>23</v>
      </c>
      <c r="F636" s="6" t="s">
        <v>24</v>
      </c>
      <c r="G636" s="6" t="s">
        <v>3388</v>
      </c>
      <c r="H636" s="10">
        <v>46202</v>
      </c>
      <c r="I636" s="6" t="s">
        <v>3389</v>
      </c>
      <c r="J636" s="6" t="s">
        <v>85</v>
      </c>
      <c r="K636" s="6" t="s">
        <v>55</v>
      </c>
      <c r="L636" s="6" t="s">
        <v>85</v>
      </c>
      <c r="M636" s="6" t="s">
        <v>3390</v>
      </c>
    </row>
    <row r="637" spans="1:13" ht="13" x14ac:dyDescent="0.15">
      <c r="A637" s="5" t="str">
        <f>HYPERLINK("https://onemount.atlassian.net/browse/DBA-5289","DBA-5289")</f>
        <v>DBA-5289</v>
      </c>
      <c r="B637" s="6" t="s">
        <v>21</v>
      </c>
      <c r="C637" s="6" t="s">
        <v>3391</v>
      </c>
      <c r="D637" s="8" t="s">
        <v>17</v>
      </c>
      <c r="E637" s="6" t="s">
        <v>23</v>
      </c>
      <c r="F637" s="6" t="s">
        <v>24</v>
      </c>
      <c r="G637" s="6" t="s">
        <v>3392</v>
      </c>
      <c r="H637" s="10">
        <v>46201</v>
      </c>
      <c r="I637" s="6" t="s">
        <v>3393</v>
      </c>
      <c r="J637" s="6" t="s">
        <v>1069</v>
      </c>
      <c r="K637" s="6" t="s">
        <v>165</v>
      </c>
      <c r="L637" s="6" t="s">
        <v>77</v>
      </c>
      <c r="M637" s="6" t="s">
        <v>3394</v>
      </c>
    </row>
    <row r="638" spans="1:13" ht="13" x14ac:dyDescent="0.15">
      <c r="A638" s="5" t="str">
        <f>HYPERLINK("https://onemount.atlassian.net/browse/DBA-5288","DBA-5288")</f>
        <v>DBA-5288</v>
      </c>
      <c r="B638" s="6" t="s">
        <v>21</v>
      </c>
      <c r="C638" s="6" t="s">
        <v>3395</v>
      </c>
      <c r="D638" s="8" t="s">
        <v>17</v>
      </c>
      <c r="E638" s="6" t="s">
        <v>23</v>
      </c>
      <c r="F638" s="6" t="s">
        <v>24</v>
      </c>
      <c r="G638" s="6" t="s">
        <v>3396</v>
      </c>
      <c r="H638" s="10">
        <v>46201</v>
      </c>
      <c r="I638" s="6" t="s">
        <v>3397</v>
      </c>
      <c r="J638" s="6" t="s">
        <v>373</v>
      </c>
      <c r="K638" s="6" t="s">
        <v>35</v>
      </c>
      <c r="L638" s="6" t="s">
        <v>36</v>
      </c>
      <c r="M638" s="6" t="s">
        <v>3398</v>
      </c>
    </row>
    <row r="639" spans="1:13" ht="13" x14ac:dyDescent="0.15">
      <c r="A639" s="5" t="str">
        <f>HYPERLINK("https://onemount.atlassian.net/browse/DBA-5287","DBA-5287")</f>
        <v>DBA-5287</v>
      </c>
      <c r="B639" s="6" t="s">
        <v>21</v>
      </c>
      <c r="C639" s="6" t="s">
        <v>2322</v>
      </c>
      <c r="D639" s="8" t="s">
        <v>17</v>
      </c>
      <c r="E639" s="6" t="s">
        <v>23</v>
      </c>
      <c r="F639" s="6" t="s">
        <v>24</v>
      </c>
      <c r="G639" s="6" t="s">
        <v>3399</v>
      </c>
      <c r="H639" s="10">
        <v>46200</v>
      </c>
      <c r="I639" s="6" t="s">
        <v>3400</v>
      </c>
      <c r="J639" s="6" t="s">
        <v>88</v>
      </c>
      <c r="K639" s="6" t="s">
        <v>59</v>
      </c>
      <c r="L639" s="6" t="s">
        <v>88</v>
      </c>
      <c r="M639" s="6" t="s">
        <v>3401</v>
      </c>
    </row>
    <row r="640" spans="1:13" ht="13" x14ac:dyDescent="0.15">
      <c r="A640" s="5" t="str">
        <f>HYPERLINK("https://onemount.atlassian.net/browse/DBA-5286","DBA-5286")</f>
        <v>DBA-5286</v>
      </c>
      <c r="B640" s="6" t="s">
        <v>21</v>
      </c>
      <c r="C640" s="6" t="s">
        <v>3402</v>
      </c>
      <c r="D640" s="8" t="s">
        <v>17</v>
      </c>
      <c r="E640" s="6" t="s">
        <v>23</v>
      </c>
      <c r="F640" s="6" t="s">
        <v>87</v>
      </c>
      <c r="G640" s="6" t="s">
        <v>3403</v>
      </c>
      <c r="H640" s="10">
        <v>46201</v>
      </c>
      <c r="I640" s="6" t="s">
        <v>3404</v>
      </c>
      <c r="J640" s="6" t="s">
        <v>146</v>
      </c>
      <c r="K640" s="6" t="s">
        <v>46</v>
      </c>
      <c r="L640" s="6" t="s">
        <v>146</v>
      </c>
      <c r="M640" s="6" t="s">
        <v>3405</v>
      </c>
    </row>
    <row r="641" spans="1:13" ht="13" x14ac:dyDescent="0.15">
      <c r="A641" s="5" t="str">
        <f>HYPERLINK("https://onemount.atlassian.net/browse/DBA-5284","DBA-5284")</f>
        <v>DBA-5284</v>
      </c>
      <c r="B641" s="6" t="s">
        <v>21</v>
      </c>
      <c r="C641" s="6" t="s">
        <v>3406</v>
      </c>
      <c r="D641" s="8" t="s">
        <v>17</v>
      </c>
      <c r="E641" s="6" t="s">
        <v>23</v>
      </c>
      <c r="F641" s="6" t="s">
        <v>52</v>
      </c>
      <c r="G641" s="6" t="s">
        <v>3407</v>
      </c>
      <c r="H641" s="10">
        <v>46200</v>
      </c>
      <c r="I641" s="6" t="s">
        <v>3408</v>
      </c>
      <c r="J641" s="6" t="s">
        <v>2914</v>
      </c>
      <c r="K641" s="6" t="s">
        <v>55</v>
      </c>
      <c r="L641" s="6" t="s">
        <v>93</v>
      </c>
      <c r="M641" s="6" t="s">
        <v>3409</v>
      </c>
    </row>
    <row r="642" spans="1:13" ht="13" x14ac:dyDescent="0.15">
      <c r="A642" s="5" t="str">
        <f>HYPERLINK("https://onemount.atlassian.net/browse/DBA-5283","DBA-5283")</f>
        <v>DBA-5283</v>
      </c>
      <c r="B642" s="6" t="s">
        <v>21</v>
      </c>
      <c r="C642" s="6" t="s">
        <v>3410</v>
      </c>
      <c r="D642" s="8" t="s">
        <v>17</v>
      </c>
      <c r="E642" s="6" t="s">
        <v>23</v>
      </c>
      <c r="F642" s="6" t="s">
        <v>24</v>
      </c>
      <c r="G642" s="6" t="s">
        <v>3411</v>
      </c>
      <c r="H642" s="10">
        <v>46200</v>
      </c>
      <c r="I642" s="6" t="s">
        <v>3412</v>
      </c>
      <c r="J642" s="6" t="s">
        <v>55</v>
      </c>
      <c r="K642" s="6" t="s">
        <v>55</v>
      </c>
      <c r="L642" s="6" t="s">
        <v>56</v>
      </c>
      <c r="M642" s="6" t="s">
        <v>3413</v>
      </c>
    </row>
    <row r="643" spans="1:13" ht="13" x14ac:dyDescent="0.15">
      <c r="A643" s="5" t="str">
        <f>HYPERLINK("https://onemount.atlassian.net/browse/DBA-5282","DBA-5282")</f>
        <v>DBA-5282</v>
      </c>
      <c r="B643" s="6" t="s">
        <v>21</v>
      </c>
      <c r="C643" s="6" t="s">
        <v>3414</v>
      </c>
      <c r="D643" s="8" t="s">
        <v>17</v>
      </c>
      <c r="E643" s="6" t="s">
        <v>23</v>
      </c>
      <c r="F643" s="6" t="s">
        <v>24</v>
      </c>
      <c r="G643" s="6" t="s">
        <v>3415</v>
      </c>
      <c r="H643" s="10">
        <v>46201</v>
      </c>
      <c r="I643" s="6" t="s">
        <v>3416</v>
      </c>
      <c r="J643" s="6" t="s">
        <v>93</v>
      </c>
      <c r="K643" s="6" t="s">
        <v>55</v>
      </c>
      <c r="L643" s="6" t="s">
        <v>900</v>
      </c>
      <c r="M643" s="6" t="s">
        <v>3417</v>
      </c>
    </row>
    <row r="644" spans="1:13" ht="13" x14ac:dyDescent="0.15">
      <c r="A644" s="5" t="str">
        <f>HYPERLINK("https://onemount.atlassian.net/browse/DBA-5281","DBA-5281")</f>
        <v>DBA-5281</v>
      </c>
      <c r="B644" s="6" t="s">
        <v>21</v>
      </c>
      <c r="C644" s="6" t="s">
        <v>3418</v>
      </c>
      <c r="D644" s="8" t="s">
        <v>17</v>
      </c>
      <c r="E644" s="6" t="s">
        <v>23</v>
      </c>
      <c r="F644" s="6" t="s">
        <v>87</v>
      </c>
      <c r="G644" s="6" t="s">
        <v>3419</v>
      </c>
      <c r="H644" s="10">
        <v>46201</v>
      </c>
      <c r="I644" s="6" t="s">
        <v>3420</v>
      </c>
      <c r="J644" s="6" t="s">
        <v>1898</v>
      </c>
      <c r="K644" s="6" t="s">
        <v>165</v>
      </c>
      <c r="L644" s="6" t="s">
        <v>1097</v>
      </c>
      <c r="M644" s="6" t="s">
        <v>3421</v>
      </c>
    </row>
    <row r="645" spans="1:13" ht="13" x14ac:dyDescent="0.15">
      <c r="A645" s="5" t="str">
        <f>HYPERLINK("https://onemount.atlassian.net/browse/DBA-5280","DBA-5280")</f>
        <v>DBA-5280</v>
      </c>
      <c r="B645" s="6" t="s">
        <v>21</v>
      </c>
      <c r="C645" s="6" t="s">
        <v>2322</v>
      </c>
      <c r="D645" s="8" t="s">
        <v>17</v>
      </c>
      <c r="E645" s="6" t="s">
        <v>23</v>
      </c>
      <c r="F645" s="6" t="s">
        <v>24</v>
      </c>
      <c r="G645" s="6" t="s">
        <v>3422</v>
      </c>
      <c r="H645" s="10">
        <v>46201</v>
      </c>
      <c r="I645" s="6" t="s">
        <v>3423</v>
      </c>
      <c r="J645" s="6" t="s">
        <v>88</v>
      </c>
      <c r="K645" s="6" t="s">
        <v>59</v>
      </c>
      <c r="L645" s="6" t="s">
        <v>88</v>
      </c>
      <c r="M645" s="6" t="s">
        <v>3424</v>
      </c>
    </row>
    <row r="646" spans="1:13" ht="13" x14ac:dyDescent="0.15">
      <c r="A646" s="5" t="str">
        <f>HYPERLINK("https://onemount.atlassian.net/browse/DBA-5278","DBA-5278")</f>
        <v>DBA-5278</v>
      </c>
      <c r="B646" s="6" t="s">
        <v>21</v>
      </c>
      <c r="C646" s="6" t="s">
        <v>3425</v>
      </c>
      <c r="D646" s="8" t="s">
        <v>17</v>
      </c>
      <c r="E646" s="6" t="s">
        <v>23</v>
      </c>
      <c r="F646" s="6" t="s">
        <v>52</v>
      </c>
      <c r="G646" s="6" t="s">
        <v>3426</v>
      </c>
      <c r="H646" s="10">
        <v>46201</v>
      </c>
      <c r="I646" s="6" t="s">
        <v>3427</v>
      </c>
      <c r="J646" s="6" t="s">
        <v>254</v>
      </c>
      <c r="K646" s="6" t="s">
        <v>55</v>
      </c>
      <c r="L646" s="6" t="s">
        <v>254</v>
      </c>
      <c r="M646" s="6" t="s">
        <v>3428</v>
      </c>
    </row>
    <row r="647" spans="1:13" ht="13" x14ac:dyDescent="0.15">
      <c r="A647" s="5" t="str">
        <f>HYPERLINK("https://onemount.atlassian.net/browse/DBA-5277","DBA-5277")</f>
        <v>DBA-5277</v>
      </c>
      <c r="B647" s="6" t="s">
        <v>21</v>
      </c>
      <c r="C647" s="6" t="s">
        <v>3060</v>
      </c>
      <c r="D647" s="8" t="s">
        <v>17</v>
      </c>
      <c r="E647" s="6" t="s">
        <v>23</v>
      </c>
      <c r="F647" s="6" t="s">
        <v>31</v>
      </c>
      <c r="G647" s="6" t="s">
        <v>3429</v>
      </c>
      <c r="H647" s="10">
        <v>46199</v>
      </c>
      <c r="I647" s="6" t="s">
        <v>3430</v>
      </c>
      <c r="J647" s="6" t="s">
        <v>707</v>
      </c>
      <c r="K647" s="6" t="s">
        <v>35</v>
      </c>
      <c r="L647" s="6" t="s">
        <v>707</v>
      </c>
      <c r="M647" s="6" t="s">
        <v>3431</v>
      </c>
    </row>
    <row r="648" spans="1:13" ht="13" x14ac:dyDescent="0.15">
      <c r="A648" s="5" t="str">
        <f>HYPERLINK("https://onemount.atlassian.net/browse/DBA-5276","DBA-5276")</f>
        <v>DBA-5276</v>
      </c>
      <c r="B648" s="6" t="s">
        <v>21</v>
      </c>
      <c r="C648" s="6" t="s">
        <v>3432</v>
      </c>
      <c r="D648" s="8" t="s">
        <v>17</v>
      </c>
      <c r="E648" s="6" t="s">
        <v>23</v>
      </c>
      <c r="F648" s="6" t="s">
        <v>41</v>
      </c>
      <c r="G648" s="6" t="s">
        <v>3433</v>
      </c>
      <c r="H648" s="10">
        <v>46200</v>
      </c>
      <c r="I648" s="6" t="s">
        <v>3434</v>
      </c>
      <c r="J648" s="6" t="s">
        <v>72</v>
      </c>
      <c r="K648" s="6" t="s">
        <v>72</v>
      </c>
      <c r="L648" s="6" t="s">
        <v>72</v>
      </c>
      <c r="M648" s="6" t="s">
        <v>3435</v>
      </c>
    </row>
    <row r="649" spans="1:13" ht="13" x14ac:dyDescent="0.15">
      <c r="A649" s="5" t="str">
        <f>HYPERLINK("https://onemount.atlassian.net/browse/DBA-5275","DBA-5275")</f>
        <v>DBA-5275</v>
      </c>
      <c r="B649" s="6" t="s">
        <v>21</v>
      </c>
      <c r="C649" s="6" t="s">
        <v>3436</v>
      </c>
      <c r="D649" s="8" t="s">
        <v>17</v>
      </c>
      <c r="E649" s="6" t="s">
        <v>23</v>
      </c>
      <c r="F649" s="6" t="s">
        <v>24</v>
      </c>
      <c r="G649" s="6" t="s">
        <v>3437</v>
      </c>
      <c r="H649" s="10">
        <v>46199</v>
      </c>
      <c r="I649" s="6" t="s">
        <v>3438</v>
      </c>
      <c r="J649" s="6" t="s">
        <v>855</v>
      </c>
      <c r="K649" s="6" t="s">
        <v>55</v>
      </c>
      <c r="L649" s="6" t="s">
        <v>855</v>
      </c>
      <c r="M649" s="6" t="s">
        <v>3439</v>
      </c>
    </row>
    <row r="650" spans="1:13" ht="13" x14ac:dyDescent="0.15">
      <c r="A650" s="5" t="str">
        <f>HYPERLINK("https://onemount.atlassian.net/browse/DBA-5274","DBA-5274")</f>
        <v>DBA-5274</v>
      </c>
      <c r="B650" s="6" t="s">
        <v>21</v>
      </c>
      <c r="C650" s="6" t="s">
        <v>3440</v>
      </c>
      <c r="D650" s="8" t="s">
        <v>17</v>
      </c>
      <c r="E650" s="6" t="s">
        <v>23</v>
      </c>
      <c r="F650" s="6" t="s">
        <v>24</v>
      </c>
      <c r="G650" s="6" t="s">
        <v>3441</v>
      </c>
      <c r="H650" s="10">
        <v>46200</v>
      </c>
      <c r="I650" s="6" t="s">
        <v>3442</v>
      </c>
      <c r="J650" s="6" t="s">
        <v>3443</v>
      </c>
      <c r="K650" s="6" t="s">
        <v>55</v>
      </c>
      <c r="L650" s="6" t="s">
        <v>821</v>
      </c>
      <c r="M650" s="6" t="s">
        <v>3444</v>
      </c>
    </row>
    <row r="651" spans="1:13" ht="13" x14ac:dyDescent="0.15">
      <c r="A651" s="21" t="str">
        <f>HYPERLINK("https://onemount.atlassian.net/browse/DBA-5272","DBA-5272")</f>
        <v>DBA-5272</v>
      </c>
      <c r="B651" s="6" t="s">
        <v>21</v>
      </c>
      <c r="C651" s="6" t="s">
        <v>2684</v>
      </c>
      <c r="D651" s="8" t="s">
        <v>17</v>
      </c>
      <c r="E651" s="6" t="s">
        <v>23</v>
      </c>
      <c r="F651" s="6" t="s">
        <v>52</v>
      </c>
      <c r="G651" s="6" t="s">
        <v>3445</v>
      </c>
      <c r="H651" s="10">
        <v>46199</v>
      </c>
      <c r="I651" s="6" t="s">
        <v>3446</v>
      </c>
      <c r="J651" s="6" t="s">
        <v>2687</v>
      </c>
      <c r="K651" s="6" t="s">
        <v>46</v>
      </c>
      <c r="L651" s="6" t="s">
        <v>404</v>
      </c>
      <c r="M651" s="6" t="s">
        <v>3447</v>
      </c>
    </row>
    <row r="652" spans="1:13" ht="13" x14ac:dyDescent="0.15">
      <c r="A652" s="5" t="str">
        <f>HYPERLINK("https://onemount.atlassian.net/browse/DBA-5270","DBA-5270")</f>
        <v>DBA-5270</v>
      </c>
      <c r="B652" s="6" t="s">
        <v>21</v>
      </c>
      <c r="C652" s="6" t="s">
        <v>3026</v>
      </c>
      <c r="D652" s="8" t="s">
        <v>17</v>
      </c>
      <c r="E652" s="6" t="s">
        <v>23</v>
      </c>
      <c r="F652" s="6" t="s">
        <v>52</v>
      </c>
      <c r="G652" s="6" t="s">
        <v>3448</v>
      </c>
      <c r="H652" s="10">
        <v>46198</v>
      </c>
      <c r="I652" s="6" t="s">
        <v>3449</v>
      </c>
      <c r="J652" s="6" t="s">
        <v>55</v>
      </c>
      <c r="K652" s="6" t="s">
        <v>55</v>
      </c>
      <c r="L652" s="6" t="s">
        <v>93</v>
      </c>
      <c r="M652" s="6" t="s">
        <v>3450</v>
      </c>
    </row>
    <row r="653" spans="1:13" ht="13" x14ac:dyDescent="0.15">
      <c r="A653" s="5" t="str">
        <f>HYPERLINK("https://onemount.atlassian.net/browse/DBA-5269","DBA-5269")</f>
        <v>DBA-5269</v>
      </c>
      <c r="B653" s="6" t="s">
        <v>21</v>
      </c>
      <c r="C653" s="6" t="s">
        <v>3451</v>
      </c>
      <c r="D653" s="8" t="s">
        <v>17</v>
      </c>
      <c r="E653" s="6" t="s">
        <v>23</v>
      </c>
      <c r="F653" s="6" t="s">
        <v>52</v>
      </c>
      <c r="G653" s="6" t="s">
        <v>3452</v>
      </c>
      <c r="H653" s="10">
        <v>46199</v>
      </c>
      <c r="I653" s="6" t="s">
        <v>3453</v>
      </c>
      <c r="J653" s="6" t="s">
        <v>2281</v>
      </c>
      <c r="K653" s="6" t="s">
        <v>55</v>
      </c>
      <c r="L653" s="6" t="s">
        <v>254</v>
      </c>
      <c r="M653" s="6" t="s">
        <v>3454</v>
      </c>
    </row>
    <row r="654" spans="1:13" ht="13" x14ac:dyDescent="0.15">
      <c r="A654" s="5" t="str">
        <f>HYPERLINK("https://onemount.atlassian.net/browse/DBA-5268","DBA-5268")</f>
        <v>DBA-5268</v>
      </c>
      <c r="B654" s="6" t="s">
        <v>21</v>
      </c>
      <c r="C654" s="6" t="s">
        <v>3455</v>
      </c>
      <c r="D654" s="8" t="s">
        <v>17</v>
      </c>
      <c r="E654" s="6" t="s">
        <v>23</v>
      </c>
      <c r="F654" s="6" t="s">
        <v>31</v>
      </c>
      <c r="G654" s="6" t="s">
        <v>3456</v>
      </c>
      <c r="H654" s="10">
        <v>46198</v>
      </c>
      <c r="I654" s="6" t="s">
        <v>3457</v>
      </c>
      <c r="J654" s="6" t="s">
        <v>638</v>
      </c>
      <c r="K654" s="6" t="s">
        <v>35</v>
      </c>
      <c r="L654" s="6" t="s">
        <v>129</v>
      </c>
      <c r="M654" s="6" t="s">
        <v>3458</v>
      </c>
    </row>
    <row r="655" spans="1:13" ht="13" x14ac:dyDescent="0.15">
      <c r="A655" s="5" t="str">
        <f>HYPERLINK("https://onemount.atlassian.net/browse/DBA-5267","DBA-5267")</f>
        <v>DBA-5267</v>
      </c>
      <c r="B655" s="6" t="s">
        <v>21</v>
      </c>
      <c r="C655" s="6" t="s">
        <v>3459</v>
      </c>
      <c r="D655" s="8" t="s">
        <v>17</v>
      </c>
      <c r="E655" s="6" t="s">
        <v>23</v>
      </c>
      <c r="F655" s="6" t="s">
        <v>24</v>
      </c>
      <c r="G655" s="6" t="s">
        <v>3460</v>
      </c>
      <c r="H655" s="10">
        <v>46202</v>
      </c>
      <c r="I655" s="6" t="s">
        <v>3461</v>
      </c>
      <c r="J655" s="6" t="s">
        <v>28</v>
      </c>
      <c r="K655" s="6" t="s">
        <v>28</v>
      </c>
      <c r="L655" s="6" t="s">
        <v>28</v>
      </c>
      <c r="M655" s="6" t="s">
        <v>3462</v>
      </c>
    </row>
    <row r="656" spans="1:13" ht="13" x14ac:dyDescent="0.15">
      <c r="A656" s="5" t="str">
        <f>HYPERLINK("https://onemount.atlassian.net/browse/DBA-5265","DBA-5265")</f>
        <v>DBA-5265</v>
      </c>
      <c r="B656" s="6" t="s">
        <v>21</v>
      </c>
      <c r="C656" s="6" t="s">
        <v>3463</v>
      </c>
      <c r="D656" s="8" t="s">
        <v>17</v>
      </c>
      <c r="E656" s="6" t="s">
        <v>23</v>
      </c>
      <c r="F656" s="6" t="s">
        <v>52</v>
      </c>
      <c r="G656" s="6" t="s">
        <v>3464</v>
      </c>
      <c r="H656" s="10">
        <v>46199</v>
      </c>
      <c r="I656" s="6" t="s">
        <v>3465</v>
      </c>
      <c r="J656" s="6" t="s">
        <v>3466</v>
      </c>
      <c r="K656" s="6" t="s">
        <v>46</v>
      </c>
      <c r="L656" s="6" t="s">
        <v>353</v>
      </c>
      <c r="M656" s="6" t="s">
        <v>3467</v>
      </c>
    </row>
    <row r="657" spans="1:13" ht="13" x14ac:dyDescent="0.15">
      <c r="A657" s="5" t="str">
        <f>HYPERLINK("https://onemount.atlassian.net/browse/DBA-5263","DBA-5263")</f>
        <v>DBA-5263</v>
      </c>
      <c r="B657" s="6" t="s">
        <v>21</v>
      </c>
      <c r="C657" s="6" t="s">
        <v>3468</v>
      </c>
      <c r="D657" s="8" t="s">
        <v>17</v>
      </c>
      <c r="E657" s="6" t="s">
        <v>23</v>
      </c>
      <c r="F657" s="6" t="s">
        <v>52</v>
      </c>
      <c r="G657" s="6" t="s">
        <v>3469</v>
      </c>
      <c r="H657" s="10">
        <v>46198</v>
      </c>
      <c r="I657" s="6" t="s">
        <v>3470</v>
      </c>
      <c r="J657" s="6" t="s">
        <v>55</v>
      </c>
      <c r="K657" s="6" t="s">
        <v>55</v>
      </c>
      <c r="L657" s="6" t="s">
        <v>93</v>
      </c>
      <c r="M657" s="6" t="s">
        <v>3471</v>
      </c>
    </row>
    <row r="658" spans="1:13" ht="13" x14ac:dyDescent="0.15">
      <c r="A658" s="5" t="str">
        <f>HYPERLINK("https://onemount.atlassian.net/browse/DBA-5262","DBA-5262")</f>
        <v>DBA-5262</v>
      </c>
      <c r="B658" s="6" t="s">
        <v>21</v>
      </c>
      <c r="C658" s="6" t="s">
        <v>3472</v>
      </c>
      <c r="D658" s="14" t="s">
        <v>19</v>
      </c>
      <c r="E658" s="6" t="s">
        <v>23</v>
      </c>
      <c r="F658" s="6" t="s">
        <v>41</v>
      </c>
      <c r="G658" s="6" t="s">
        <v>3473</v>
      </c>
      <c r="H658" s="6" t="s">
        <v>43</v>
      </c>
      <c r="I658" s="6" t="s">
        <v>44</v>
      </c>
      <c r="J658" s="6" t="s">
        <v>3369</v>
      </c>
      <c r="K658" s="6" t="s">
        <v>168</v>
      </c>
      <c r="L658" s="6" t="s">
        <v>1172</v>
      </c>
      <c r="M658" s="6" t="s">
        <v>3474</v>
      </c>
    </row>
    <row r="659" spans="1:13" ht="13" x14ac:dyDescent="0.15">
      <c r="A659" s="5" t="str">
        <f>HYPERLINK("https://onemount.atlassian.net/browse/DBA-5261","DBA-5261")</f>
        <v>DBA-5261</v>
      </c>
      <c r="B659" s="6" t="s">
        <v>21</v>
      </c>
      <c r="C659" s="6" t="s">
        <v>3475</v>
      </c>
      <c r="D659" s="8" t="s">
        <v>17</v>
      </c>
      <c r="E659" s="6" t="s">
        <v>23</v>
      </c>
      <c r="F659" s="6" t="s">
        <v>41</v>
      </c>
      <c r="G659" s="6" t="s">
        <v>3476</v>
      </c>
      <c r="H659" s="10">
        <v>46200</v>
      </c>
      <c r="I659" s="6" t="s">
        <v>3477</v>
      </c>
      <c r="J659" s="6" t="s">
        <v>182</v>
      </c>
      <c r="K659" s="6" t="s">
        <v>72</v>
      </c>
      <c r="L659" s="6" t="s">
        <v>72</v>
      </c>
      <c r="M659" s="6" t="s">
        <v>3478</v>
      </c>
    </row>
    <row r="660" spans="1:13" ht="13" x14ac:dyDescent="0.15">
      <c r="A660" s="5" t="str">
        <f>HYPERLINK("https://onemount.atlassian.net/browse/DBA-5260","DBA-5260")</f>
        <v>DBA-5260</v>
      </c>
      <c r="B660" s="6" t="s">
        <v>21</v>
      </c>
      <c r="C660" s="6" t="s">
        <v>3479</v>
      </c>
      <c r="D660" s="8" t="s">
        <v>17</v>
      </c>
      <c r="E660" s="6" t="s">
        <v>23</v>
      </c>
      <c r="F660" s="6" t="s">
        <v>41</v>
      </c>
      <c r="G660" s="6" t="s">
        <v>3480</v>
      </c>
      <c r="H660" s="10">
        <v>46200</v>
      </c>
      <c r="I660" s="6" t="s">
        <v>3481</v>
      </c>
      <c r="J660" s="6" t="s">
        <v>72</v>
      </c>
      <c r="K660" s="6" t="s">
        <v>72</v>
      </c>
      <c r="L660" s="6" t="s">
        <v>182</v>
      </c>
      <c r="M660" s="6" t="s">
        <v>3482</v>
      </c>
    </row>
    <row r="661" spans="1:13" ht="13" x14ac:dyDescent="0.15">
      <c r="A661" s="5" t="str">
        <f>HYPERLINK("https://onemount.atlassian.net/browse/DBA-5258","DBA-5258")</f>
        <v>DBA-5258</v>
      </c>
      <c r="B661" s="6" t="s">
        <v>21</v>
      </c>
      <c r="C661" s="6" t="s">
        <v>390</v>
      </c>
      <c r="D661" s="8" t="s">
        <v>17</v>
      </c>
      <c r="E661" s="6" t="s">
        <v>23</v>
      </c>
      <c r="F661" s="6" t="s">
        <v>24</v>
      </c>
      <c r="G661" s="6" t="s">
        <v>3483</v>
      </c>
      <c r="H661" s="10">
        <v>46198</v>
      </c>
      <c r="I661" s="6" t="s">
        <v>3484</v>
      </c>
      <c r="J661" s="6" t="s">
        <v>88</v>
      </c>
      <c r="K661" s="6" t="s">
        <v>59</v>
      </c>
      <c r="L661" s="6" t="s">
        <v>88</v>
      </c>
      <c r="M661" s="6" t="s">
        <v>3485</v>
      </c>
    </row>
    <row r="662" spans="1:13" ht="13" x14ac:dyDescent="0.15">
      <c r="A662" s="5" t="str">
        <f>HYPERLINK("https://onemount.atlassian.net/browse/DBA-5257","DBA-5257")</f>
        <v>DBA-5257</v>
      </c>
      <c r="B662" s="6" t="s">
        <v>21</v>
      </c>
      <c r="C662" s="6" t="s">
        <v>3486</v>
      </c>
      <c r="D662" s="8" t="s">
        <v>17</v>
      </c>
      <c r="E662" s="6" t="s">
        <v>23</v>
      </c>
      <c r="F662" s="6" t="s">
        <v>31</v>
      </c>
      <c r="G662" s="6" t="s">
        <v>3487</v>
      </c>
      <c r="H662" s="10">
        <v>46198</v>
      </c>
      <c r="I662" s="6" t="s">
        <v>3488</v>
      </c>
      <c r="J662" s="6" t="s">
        <v>638</v>
      </c>
      <c r="K662" s="6" t="s">
        <v>35</v>
      </c>
      <c r="L662" s="6" t="s">
        <v>181</v>
      </c>
      <c r="M662" s="6" t="s">
        <v>3489</v>
      </c>
    </row>
    <row r="663" spans="1:13" ht="13" x14ac:dyDescent="0.15">
      <c r="A663" s="5" t="str">
        <f>HYPERLINK("https://onemount.atlassian.net/browse/DBA-5255","DBA-5255")</f>
        <v>DBA-5255</v>
      </c>
      <c r="B663" s="6" t="s">
        <v>21</v>
      </c>
      <c r="C663" s="6" t="s">
        <v>3490</v>
      </c>
      <c r="D663" s="8" t="s">
        <v>17</v>
      </c>
      <c r="E663" s="6" t="s">
        <v>23</v>
      </c>
      <c r="F663" s="6" t="s">
        <v>31</v>
      </c>
      <c r="G663" s="6" t="s">
        <v>3491</v>
      </c>
      <c r="H663" s="10">
        <v>46198</v>
      </c>
      <c r="I663" s="6" t="s">
        <v>3492</v>
      </c>
      <c r="J663" s="6" t="s">
        <v>2984</v>
      </c>
      <c r="K663" s="6" t="s">
        <v>35</v>
      </c>
      <c r="L663" s="6" t="s">
        <v>638</v>
      </c>
      <c r="M663" s="6" t="s">
        <v>3493</v>
      </c>
    </row>
    <row r="664" spans="1:13" ht="13" x14ac:dyDescent="0.15">
      <c r="A664" s="5" t="str">
        <f>HYPERLINK("https://onemount.atlassian.net/browse/DBA-5254","DBA-5254")</f>
        <v>DBA-5254</v>
      </c>
      <c r="B664" s="6" t="s">
        <v>21</v>
      </c>
      <c r="C664" s="6" t="s">
        <v>3494</v>
      </c>
      <c r="D664" s="8" t="s">
        <v>17</v>
      </c>
      <c r="E664" s="6" t="s">
        <v>1810</v>
      </c>
      <c r="F664" s="6" t="s">
        <v>41</v>
      </c>
      <c r="G664" s="6" t="s">
        <v>3495</v>
      </c>
      <c r="H664" s="10">
        <v>46210</v>
      </c>
      <c r="I664" s="6" t="s">
        <v>3496</v>
      </c>
      <c r="J664" s="6" t="s">
        <v>1513</v>
      </c>
      <c r="K664" s="6" t="s">
        <v>172</v>
      </c>
      <c r="L664" s="6" t="s">
        <v>172</v>
      </c>
      <c r="M664" s="6" t="s">
        <v>3497</v>
      </c>
    </row>
    <row r="665" spans="1:13" ht="13" x14ac:dyDescent="0.15">
      <c r="A665" s="21" t="str">
        <f>HYPERLINK("https://onemount.atlassian.net/browse/DBA-5253","DBA-5253")</f>
        <v>DBA-5253</v>
      </c>
      <c r="B665" s="6" t="s">
        <v>21</v>
      </c>
      <c r="C665" s="6" t="s">
        <v>3219</v>
      </c>
      <c r="D665" s="8" t="s">
        <v>17</v>
      </c>
      <c r="E665" s="6" t="s">
        <v>23</v>
      </c>
      <c r="F665" s="6" t="s">
        <v>24</v>
      </c>
      <c r="G665" s="6" t="s">
        <v>3498</v>
      </c>
      <c r="H665" s="10">
        <v>46198</v>
      </c>
      <c r="I665" s="6" t="s">
        <v>3499</v>
      </c>
      <c r="J665" s="6" t="s">
        <v>3075</v>
      </c>
      <c r="K665" s="6" t="s">
        <v>165</v>
      </c>
      <c r="L665" s="6" t="s">
        <v>77</v>
      </c>
      <c r="M665" s="6" t="s">
        <v>3222</v>
      </c>
    </row>
    <row r="666" spans="1:13" ht="13" x14ac:dyDescent="0.15">
      <c r="A666" s="5" t="str">
        <f>HYPERLINK("https://onemount.atlassian.net/browse/DBA-5251","DBA-5251")</f>
        <v>DBA-5251</v>
      </c>
      <c r="B666" s="6" t="s">
        <v>21</v>
      </c>
      <c r="C666" s="6" t="s">
        <v>2613</v>
      </c>
      <c r="D666" s="8" t="s">
        <v>17</v>
      </c>
      <c r="E666" s="6" t="s">
        <v>23</v>
      </c>
      <c r="F666" s="6" t="s">
        <v>52</v>
      </c>
      <c r="G666" s="6" t="s">
        <v>3500</v>
      </c>
      <c r="H666" s="10">
        <v>46198</v>
      </c>
      <c r="I666" s="6" t="s">
        <v>3501</v>
      </c>
      <c r="J666" s="6" t="s">
        <v>621</v>
      </c>
      <c r="K666" s="6" t="s">
        <v>55</v>
      </c>
      <c r="L666" s="6" t="s">
        <v>85</v>
      </c>
      <c r="M666" s="6" t="s">
        <v>3502</v>
      </c>
    </row>
    <row r="667" spans="1:13" ht="13" x14ac:dyDescent="0.15">
      <c r="A667" s="5" t="str">
        <f>HYPERLINK("https://onemount.atlassian.net/browse/DBA-5250","DBA-5250")</f>
        <v>DBA-5250</v>
      </c>
      <c r="B667" s="6" t="s">
        <v>21</v>
      </c>
      <c r="C667" s="6" t="s">
        <v>3503</v>
      </c>
      <c r="D667" s="8" t="s">
        <v>17</v>
      </c>
      <c r="E667" s="6" t="s">
        <v>23</v>
      </c>
      <c r="F667" s="6" t="s">
        <v>24</v>
      </c>
      <c r="G667" s="6" t="s">
        <v>3504</v>
      </c>
      <c r="H667" s="10">
        <v>46198</v>
      </c>
      <c r="I667" s="6" t="s">
        <v>3505</v>
      </c>
      <c r="J667" s="6" t="s">
        <v>56</v>
      </c>
      <c r="K667" s="6" t="s">
        <v>55</v>
      </c>
      <c r="L667" s="6" t="s">
        <v>56</v>
      </c>
      <c r="M667" s="6" t="s">
        <v>3506</v>
      </c>
    </row>
    <row r="668" spans="1:13" ht="13" x14ac:dyDescent="0.15">
      <c r="A668" s="5" t="str">
        <f>HYPERLINK("https://onemount.atlassian.net/browse/DBA-5249","DBA-5249")</f>
        <v>DBA-5249</v>
      </c>
      <c r="B668" s="6" t="s">
        <v>21</v>
      </c>
      <c r="C668" s="6" t="s">
        <v>1466</v>
      </c>
      <c r="D668" s="8" t="s">
        <v>17</v>
      </c>
      <c r="E668" s="6" t="s">
        <v>23</v>
      </c>
      <c r="F668" s="6" t="s">
        <v>24</v>
      </c>
      <c r="G668" s="6" t="s">
        <v>3507</v>
      </c>
      <c r="H668" s="10">
        <v>46197</v>
      </c>
      <c r="I668" s="6" t="s">
        <v>3508</v>
      </c>
      <c r="J668" s="6" t="s">
        <v>855</v>
      </c>
      <c r="K668" s="6" t="s">
        <v>55</v>
      </c>
      <c r="L668" s="6" t="s">
        <v>855</v>
      </c>
      <c r="M668" s="6" t="s">
        <v>3509</v>
      </c>
    </row>
    <row r="669" spans="1:13" ht="13" x14ac:dyDescent="0.15">
      <c r="A669" s="21" t="str">
        <f>HYPERLINK("https://onemount.atlassian.net/browse/DBA-5247","DBA-5247")</f>
        <v>DBA-5247</v>
      </c>
      <c r="B669" s="6" t="s">
        <v>21</v>
      </c>
      <c r="C669" s="6" t="s">
        <v>3289</v>
      </c>
      <c r="D669" s="8" t="s">
        <v>17</v>
      </c>
      <c r="E669" s="6" t="s">
        <v>23</v>
      </c>
      <c r="F669" s="6" t="s">
        <v>24</v>
      </c>
      <c r="G669" s="6" t="s">
        <v>3510</v>
      </c>
      <c r="H669" s="10">
        <v>46198</v>
      </c>
      <c r="I669" s="6" t="s">
        <v>3511</v>
      </c>
      <c r="J669" s="6" t="s">
        <v>56</v>
      </c>
      <c r="K669" s="6" t="s">
        <v>55</v>
      </c>
      <c r="L669" s="6" t="s">
        <v>56</v>
      </c>
      <c r="M669" s="6" t="s">
        <v>3292</v>
      </c>
    </row>
    <row r="670" spans="1:13" ht="13" x14ac:dyDescent="0.15">
      <c r="A670" s="21" t="str">
        <f>HYPERLINK("https://onemount.atlassian.net/browse/DBA-5245","DBA-5245")</f>
        <v>DBA-5245</v>
      </c>
      <c r="B670" s="6" t="s">
        <v>21</v>
      </c>
      <c r="C670" s="6" t="s">
        <v>3512</v>
      </c>
      <c r="D670" s="8" t="s">
        <v>17</v>
      </c>
      <c r="E670" s="6" t="s">
        <v>23</v>
      </c>
      <c r="F670" s="6" t="s">
        <v>52</v>
      </c>
      <c r="G670" s="6" t="s">
        <v>3513</v>
      </c>
      <c r="H670" s="10">
        <v>46197</v>
      </c>
      <c r="I670" s="6" t="s">
        <v>3514</v>
      </c>
      <c r="J670" s="6" t="s">
        <v>164</v>
      </c>
      <c r="K670" s="6" t="s">
        <v>46</v>
      </c>
      <c r="L670" s="6" t="s">
        <v>164</v>
      </c>
      <c r="M670" s="6" t="s">
        <v>3515</v>
      </c>
    </row>
    <row r="671" spans="1:13" ht="13" x14ac:dyDescent="0.15">
      <c r="A671" s="5" t="str">
        <f>HYPERLINK("https://onemount.atlassian.net/browse/DBA-5244","DBA-5244")</f>
        <v>DBA-5244</v>
      </c>
      <c r="B671" s="6" t="s">
        <v>21</v>
      </c>
      <c r="C671" s="6" t="s">
        <v>3106</v>
      </c>
      <c r="D671" s="8" t="s">
        <v>17</v>
      </c>
      <c r="E671" s="6" t="s">
        <v>23</v>
      </c>
      <c r="F671" s="6" t="s">
        <v>52</v>
      </c>
      <c r="G671" s="6" t="s">
        <v>3516</v>
      </c>
      <c r="H671" s="10">
        <v>46197</v>
      </c>
      <c r="I671" s="6" t="s">
        <v>3517</v>
      </c>
      <c r="J671" s="6" t="s">
        <v>216</v>
      </c>
      <c r="K671" s="6" t="s">
        <v>72</v>
      </c>
      <c r="L671" s="6" t="s">
        <v>216</v>
      </c>
      <c r="M671" s="6" t="s">
        <v>3518</v>
      </c>
    </row>
    <row r="672" spans="1:13" ht="13" x14ac:dyDescent="0.15">
      <c r="A672" s="5" t="str">
        <f>HYPERLINK("https://onemount.atlassian.net/browse/DBA-5243","DBA-5243")</f>
        <v>DBA-5243</v>
      </c>
      <c r="B672" s="6" t="s">
        <v>21</v>
      </c>
      <c r="C672" s="6" t="s">
        <v>1670</v>
      </c>
      <c r="D672" s="8" t="s">
        <v>17</v>
      </c>
      <c r="E672" s="6" t="s">
        <v>23</v>
      </c>
      <c r="F672" s="6" t="s">
        <v>52</v>
      </c>
      <c r="G672" s="6" t="s">
        <v>3519</v>
      </c>
      <c r="H672" s="10">
        <v>46197</v>
      </c>
      <c r="I672" s="6" t="s">
        <v>3520</v>
      </c>
      <c r="J672" s="6" t="s">
        <v>55</v>
      </c>
      <c r="K672" s="6" t="s">
        <v>55</v>
      </c>
      <c r="L672" s="6" t="s">
        <v>56</v>
      </c>
      <c r="M672" s="6" t="s">
        <v>3521</v>
      </c>
    </row>
    <row r="673" spans="1:13" ht="13" x14ac:dyDescent="0.15">
      <c r="A673" s="5" t="str">
        <f>HYPERLINK("https://onemount.atlassian.net/browse/DBA-5242","DBA-5242")</f>
        <v>DBA-5242</v>
      </c>
      <c r="B673" s="6" t="s">
        <v>21</v>
      </c>
      <c r="C673" s="6" t="s">
        <v>3522</v>
      </c>
      <c r="D673" s="8" t="s">
        <v>17</v>
      </c>
      <c r="E673" s="6" t="s">
        <v>23</v>
      </c>
      <c r="F673" s="6" t="s">
        <v>52</v>
      </c>
      <c r="G673" s="6" t="s">
        <v>3523</v>
      </c>
      <c r="H673" s="10">
        <v>46197</v>
      </c>
      <c r="I673" s="6" t="s">
        <v>3524</v>
      </c>
      <c r="J673" s="6" t="s">
        <v>3525</v>
      </c>
      <c r="K673" s="6" t="s">
        <v>55</v>
      </c>
      <c r="L673" s="6" t="s">
        <v>821</v>
      </c>
      <c r="M673" s="6" t="s">
        <v>3526</v>
      </c>
    </row>
    <row r="674" spans="1:13" ht="13" x14ac:dyDescent="0.15">
      <c r="A674" s="5" t="str">
        <f>HYPERLINK("https://onemount.atlassian.net/browse/DBA-5241","DBA-5241")</f>
        <v>DBA-5241</v>
      </c>
      <c r="B674" s="6" t="s">
        <v>21</v>
      </c>
      <c r="C674" s="6" t="s">
        <v>3527</v>
      </c>
      <c r="D674" s="8" t="s">
        <v>17</v>
      </c>
      <c r="E674" s="6" t="s">
        <v>23</v>
      </c>
      <c r="F674" s="6" t="s">
        <v>52</v>
      </c>
      <c r="G674" s="6" t="s">
        <v>3528</v>
      </c>
      <c r="H674" s="10">
        <v>46197</v>
      </c>
      <c r="I674" s="6" t="s">
        <v>3529</v>
      </c>
      <c r="J674" s="6" t="s">
        <v>431</v>
      </c>
      <c r="K674" s="6" t="s">
        <v>137</v>
      </c>
      <c r="L674" s="6" t="s">
        <v>431</v>
      </c>
      <c r="M674" s="6" t="s">
        <v>3530</v>
      </c>
    </row>
    <row r="675" spans="1:13" ht="13" x14ac:dyDescent="0.15">
      <c r="A675" s="5" t="str">
        <f>HYPERLINK("https://onemount.atlassian.net/browse/DBA-5235","DBA-5235")</f>
        <v>DBA-5235</v>
      </c>
      <c r="B675" s="6" t="s">
        <v>21</v>
      </c>
      <c r="C675" s="6" t="s">
        <v>3531</v>
      </c>
      <c r="D675" s="8" t="s">
        <v>17</v>
      </c>
      <c r="E675" s="6" t="s">
        <v>23</v>
      </c>
      <c r="F675" s="6" t="s">
        <v>24</v>
      </c>
      <c r="G675" s="6" t="s">
        <v>3532</v>
      </c>
      <c r="H675" s="10">
        <v>46195</v>
      </c>
      <c r="I675" s="6" t="s">
        <v>3533</v>
      </c>
      <c r="J675" s="6" t="s">
        <v>1030</v>
      </c>
      <c r="K675" s="6" t="s">
        <v>165</v>
      </c>
      <c r="L675" s="6" t="s">
        <v>1032</v>
      </c>
      <c r="M675" s="6" t="s">
        <v>3534</v>
      </c>
    </row>
    <row r="676" spans="1:13" ht="13" x14ac:dyDescent="0.15">
      <c r="A676" s="5" t="str">
        <f>HYPERLINK("https://onemount.atlassian.net/browse/DBA-5233","DBA-5233")</f>
        <v>DBA-5233</v>
      </c>
      <c r="B676" s="6" t="s">
        <v>21</v>
      </c>
      <c r="C676" s="6" t="s">
        <v>3535</v>
      </c>
      <c r="D676" s="8" t="s">
        <v>17</v>
      </c>
      <c r="E676" s="6" t="s">
        <v>23</v>
      </c>
      <c r="F676" s="6" t="s">
        <v>24</v>
      </c>
      <c r="G676" s="6" t="s">
        <v>3536</v>
      </c>
      <c r="H676" s="10">
        <v>46195</v>
      </c>
      <c r="I676" s="6" t="s">
        <v>3537</v>
      </c>
      <c r="J676" s="6" t="s">
        <v>1030</v>
      </c>
      <c r="K676" s="6" t="s">
        <v>165</v>
      </c>
      <c r="L676" s="6" t="s">
        <v>1032</v>
      </c>
      <c r="M676" s="6" t="s">
        <v>3538</v>
      </c>
    </row>
    <row r="677" spans="1:13" ht="13" x14ac:dyDescent="0.15">
      <c r="A677" s="5" t="str">
        <f>HYPERLINK("https://onemount.atlassian.net/browse/DBA-5232","DBA-5232")</f>
        <v>DBA-5232</v>
      </c>
      <c r="B677" s="6" t="s">
        <v>21</v>
      </c>
      <c r="C677" s="6" t="s">
        <v>3539</v>
      </c>
      <c r="D677" s="8" t="s">
        <v>17</v>
      </c>
      <c r="E677" s="6" t="s">
        <v>23</v>
      </c>
      <c r="F677" s="6" t="s">
        <v>31</v>
      </c>
      <c r="G677" s="6" t="s">
        <v>3540</v>
      </c>
      <c r="H677" s="10">
        <v>46195</v>
      </c>
      <c r="I677" s="6" t="s">
        <v>3541</v>
      </c>
      <c r="J677" s="6" t="s">
        <v>707</v>
      </c>
      <c r="K677" s="6" t="s">
        <v>35</v>
      </c>
      <c r="L677" s="6" t="s">
        <v>276</v>
      </c>
      <c r="M677" s="6" t="s">
        <v>3542</v>
      </c>
    </row>
    <row r="678" spans="1:13" ht="13" x14ac:dyDescent="0.15">
      <c r="A678" s="5" t="str">
        <f>HYPERLINK("https://onemount.atlassian.net/browse/DBA-5231","DBA-5231")</f>
        <v>DBA-5231</v>
      </c>
      <c r="B678" s="6" t="s">
        <v>21</v>
      </c>
      <c r="C678" s="6" t="s">
        <v>3543</v>
      </c>
      <c r="D678" s="8" t="s">
        <v>17</v>
      </c>
      <c r="E678" s="6" t="s">
        <v>23</v>
      </c>
      <c r="F678" s="6" t="s">
        <v>52</v>
      </c>
      <c r="G678" s="6" t="s">
        <v>3544</v>
      </c>
      <c r="H678" s="10">
        <v>46195</v>
      </c>
      <c r="I678" s="6" t="s">
        <v>3545</v>
      </c>
      <c r="J678" s="6" t="s">
        <v>621</v>
      </c>
      <c r="K678" s="6" t="s">
        <v>55</v>
      </c>
      <c r="L678" s="6" t="s">
        <v>85</v>
      </c>
      <c r="M678" s="6" t="s">
        <v>3546</v>
      </c>
    </row>
    <row r="679" spans="1:13" ht="13" x14ac:dyDescent="0.15">
      <c r="A679" s="5" t="str">
        <f>HYPERLINK("https://onemount.atlassian.net/browse/DBA-5229","DBA-5229")</f>
        <v>DBA-5229</v>
      </c>
      <c r="B679" s="6" t="s">
        <v>21</v>
      </c>
      <c r="C679" s="6" t="s">
        <v>2916</v>
      </c>
      <c r="D679" s="8" t="s">
        <v>17</v>
      </c>
      <c r="E679" s="6" t="s">
        <v>23</v>
      </c>
      <c r="F679" s="6" t="s">
        <v>52</v>
      </c>
      <c r="G679" s="6" t="s">
        <v>3547</v>
      </c>
      <c r="H679" s="10">
        <v>46195</v>
      </c>
      <c r="I679" s="6" t="s">
        <v>3548</v>
      </c>
      <c r="J679" s="6" t="s">
        <v>2919</v>
      </c>
      <c r="K679" s="6" t="s">
        <v>72</v>
      </c>
      <c r="L679" s="6" t="s">
        <v>188</v>
      </c>
      <c r="M679" s="6" t="s">
        <v>3549</v>
      </c>
    </row>
    <row r="680" spans="1:13" ht="13" x14ac:dyDescent="0.15">
      <c r="A680" s="5" t="str">
        <f>HYPERLINK("https://onemount.atlassian.net/browse/DBA-5228","DBA-5228")</f>
        <v>DBA-5228</v>
      </c>
      <c r="B680" s="6" t="s">
        <v>21</v>
      </c>
      <c r="C680" s="6" t="s">
        <v>3550</v>
      </c>
      <c r="D680" s="8" t="s">
        <v>17</v>
      </c>
      <c r="E680" s="6" t="s">
        <v>23</v>
      </c>
      <c r="F680" s="6" t="s">
        <v>24</v>
      </c>
      <c r="G680" s="6" t="s">
        <v>3551</v>
      </c>
      <c r="H680" s="10">
        <v>46196</v>
      </c>
      <c r="I680" s="6" t="s">
        <v>3552</v>
      </c>
      <c r="J680" s="6" t="s">
        <v>3553</v>
      </c>
      <c r="K680" s="6" t="s">
        <v>165</v>
      </c>
      <c r="L680" s="6" t="s">
        <v>39</v>
      </c>
      <c r="M680" s="6" t="s">
        <v>3554</v>
      </c>
    </row>
    <row r="681" spans="1:13" ht="13" x14ac:dyDescent="0.15">
      <c r="A681" s="5" t="str">
        <f>HYPERLINK("https://onemount.atlassian.net/browse/DBA-5227","DBA-5227")</f>
        <v>DBA-5227</v>
      </c>
      <c r="B681" s="6" t="s">
        <v>21</v>
      </c>
      <c r="C681" s="6" t="s">
        <v>3555</v>
      </c>
      <c r="D681" s="8" t="s">
        <v>17</v>
      </c>
      <c r="E681" s="6" t="s">
        <v>23</v>
      </c>
      <c r="F681" s="6" t="s">
        <v>52</v>
      </c>
      <c r="G681" s="6" t="s">
        <v>3556</v>
      </c>
      <c r="H681" s="10">
        <v>46195</v>
      </c>
      <c r="I681" s="6" t="s">
        <v>3557</v>
      </c>
      <c r="J681" s="6" t="s">
        <v>905</v>
      </c>
      <c r="K681" s="6" t="s">
        <v>137</v>
      </c>
      <c r="L681" s="6" t="s">
        <v>905</v>
      </c>
      <c r="M681" s="6" t="s">
        <v>3558</v>
      </c>
    </row>
    <row r="682" spans="1:13" ht="13" x14ac:dyDescent="0.15">
      <c r="A682" s="5" t="str">
        <f>HYPERLINK("https://onemount.atlassian.net/browse/DBA-5218","DBA-5218")</f>
        <v>DBA-5218</v>
      </c>
      <c r="B682" s="6" t="s">
        <v>21</v>
      </c>
      <c r="C682" s="6" t="s">
        <v>3559</v>
      </c>
      <c r="D682" s="8" t="s">
        <v>17</v>
      </c>
      <c r="E682" s="6" t="s">
        <v>23</v>
      </c>
      <c r="F682" s="6" t="s">
        <v>52</v>
      </c>
      <c r="G682" s="6" t="s">
        <v>3560</v>
      </c>
      <c r="H682" s="10">
        <v>46193</v>
      </c>
      <c r="I682" s="6" t="s">
        <v>3561</v>
      </c>
      <c r="J682" s="6" t="s">
        <v>55</v>
      </c>
      <c r="K682" s="6" t="s">
        <v>55</v>
      </c>
      <c r="L682" s="6" t="s">
        <v>56</v>
      </c>
      <c r="M682" s="6" t="s">
        <v>3562</v>
      </c>
    </row>
    <row r="683" spans="1:13" ht="13" x14ac:dyDescent="0.15">
      <c r="A683" s="5" t="str">
        <f>HYPERLINK("https://onemount.atlassian.net/browse/DBA-5217","DBA-5217")</f>
        <v>DBA-5217</v>
      </c>
      <c r="B683" s="6" t="s">
        <v>21</v>
      </c>
      <c r="C683" s="6" t="s">
        <v>3563</v>
      </c>
      <c r="D683" s="8" t="s">
        <v>17</v>
      </c>
      <c r="E683" s="6" t="s">
        <v>23</v>
      </c>
      <c r="F683" s="6" t="s">
        <v>52</v>
      </c>
      <c r="G683" s="6" t="s">
        <v>3564</v>
      </c>
      <c r="H683" s="10">
        <v>46193</v>
      </c>
      <c r="I683" s="6" t="s">
        <v>3565</v>
      </c>
      <c r="J683" s="6" t="s">
        <v>136</v>
      </c>
      <c r="K683" s="6" t="s">
        <v>137</v>
      </c>
      <c r="L683" s="6" t="s">
        <v>136</v>
      </c>
      <c r="M683" s="6" t="s">
        <v>3566</v>
      </c>
    </row>
    <row r="684" spans="1:13" ht="13" x14ac:dyDescent="0.15">
      <c r="A684" s="5" t="str">
        <f>HYPERLINK("https://onemount.atlassian.net/browse/DBA-5216","DBA-5216")</f>
        <v>DBA-5216</v>
      </c>
      <c r="B684" s="6" t="s">
        <v>21</v>
      </c>
      <c r="C684" s="6" t="s">
        <v>3567</v>
      </c>
      <c r="D684" s="8" t="s">
        <v>17</v>
      </c>
      <c r="E684" s="6" t="s">
        <v>23</v>
      </c>
      <c r="F684" s="6" t="s">
        <v>24</v>
      </c>
      <c r="G684" s="6" t="s">
        <v>3568</v>
      </c>
      <c r="H684" s="10">
        <v>46193</v>
      </c>
      <c r="I684" s="6" t="s">
        <v>3569</v>
      </c>
      <c r="J684" s="6" t="s">
        <v>353</v>
      </c>
      <c r="K684" s="6" t="s">
        <v>55</v>
      </c>
      <c r="L684" s="6" t="s">
        <v>821</v>
      </c>
      <c r="M684" s="6" t="s">
        <v>3570</v>
      </c>
    </row>
    <row r="685" spans="1:13" ht="13" x14ac:dyDescent="0.15">
      <c r="A685" s="5" t="str">
        <f>HYPERLINK("https://onemount.atlassian.net/browse/DBA-5215","DBA-5215")</f>
        <v>DBA-5215</v>
      </c>
      <c r="B685" s="6" t="s">
        <v>21</v>
      </c>
      <c r="C685" s="6" t="s">
        <v>3571</v>
      </c>
      <c r="D685" s="8" t="s">
        <v>17</v>
      </c>
      <c r="E685" s="6" t="s">
        <v>23</v>
      </c>
      <c r="F685" s="6" t="s">
        <v>52</v>
      </c>
      <c r="G685" s="6" t="s">
        <v>3572</v>
      </c>
      <c r="H685" s="10">
        <v>46193</v>
      </c>
      <c r="I685" s="6" t="s">
        <v>3573</v>
      </c>
      <c r="J685" s="6" t="s">
        <v>1464</v>
      </c>
      <c r="K685" s="6" t="s">
        <v>55</v>
      </c>
      <c r="L685" s="6" t="s">
        <v>254</v>
      </c>
      <c r="M685" s="6" t="s">
        <v>3574</v>
      </c>
    </row>
    <row r="686" spans="1:13" ht="13" x14ac:dyDescent="0.15">
      <c r="A686" s="5" t="str">
        <f>HYPERLINK("https://onemount.atlassian.net/browse/DBA-5214","DBA-5214")</f>
        <v>DBA-5214</v>
      </c>
      <c r="B686" s="6" t="s">
        <v>21</v>
      </c>
      <c r="C686" s="6" t="s">
        <v>3575</v>
      </c>
      <c r="D686" s="8" t="s">
        <v>17</v>
      </c>
      <c r="E686" s="6" t="s">
        <v>23</v>
      </c>
      <c r="F686" s="6" t="s">
        <v>52</v>
      </c>
      <c r="G686" s="6" t="s">
        <v>3576</v>
      </c>
      <c r="H686" s="10">
        <v>46192</v>
      </c>
      <c r="I686" s="6" t="s">
        <v>3577</v>
      </c>
      <c r="J686" s="6" t="s">
        <v>71</v>
      </c>
      <c r="K686" s="6" t="s">
        <v>35</v>
      </c>
      <c r="L686" s="6" t="s">
        <v>71</v>
      </c>
      <c r="M686" s="6" t="s">
        <v>3578</v>
      </c>
    </row>
    <row r="687" spans="1:13" ht="13" x14ac:dyDescent="0.15">
      <c r="A687" s="5" t="str">
        <f>HYPERLINK("https://onemount.atlassian.net/browse/DBA-5213","DBA-5213")</f>
        <v>DBA-5213</v>
      </c>
      <c r="B687" s="6" t="s">
        <v>21</v>
      </c>
      <c r="C687" s="6" t="s">
        <v>3579</v>
      </c>
      <c r="D687" s="8" t="s">
        <v>17</v>
      </c>
      <c r="E687" s="6" t="s">
        <v>23</v>
      </c>
      <c r="F687" s="6" t="s">
        <v>24</v>
      </c>
      <c r="G687" s="6" t="s">
        <v>3580</v>
      </c>
      <c r="H687" s="10">
        <v>46193</v>
      </c>
      <c r="I687" s="6" t="s">
        <v>3581</v>
      </c>
      <c r="J687" s="6" t="s">
        <v>128</v>
      </c>
      <c r="K687" s="6" t="s">
        <v>35</v>
      </c>
      <c r="L687" s="6" t="s">
        <v>129</v>
      </c>
      <c r="M687" s="6" t="s">
        <v>3582</v>
      </c>
    </row>
    <row r="688" spans="1:13" ht="13" x14ac:dyDescent="0.15">
      <c r="A688" s="5" t="str">
        <f>HYPERLINK("https://onemount.atlassian.net/browse/DBA-5212","DBA-5212")</f>
        <v>DBA-5212</v>
      </c>
      <c r="B688" s="6" t="s">
        <v>21</v>
      </c>
      <c r="C688" s="22" t="s">
        <v>3583</v>
      </c>
      <c r="D688" s="8" t="s">
        <v>17</v>
      </c>
      <c r="E688" s="6" t="s">
        <v>23</v>
      </c>
      <c r="F688" s="6" t="s">
        <v>78</v>
      </c>
      <c r="G688" s="6" t="s">
        <v>3584</v>
      </c>
      <c r="H688" s="10">
        <v>46192</v>
      </c>
      <c r="I688" s="6" t="s">
        <v>3585</v>
      </c>
      <c r="J688" s="6" t="s">
        <v>109</v>
      </c>
      <c r="K688" s="6" t="s">
        <v>46</v>
      </c>
      <c r="L688" s="6" t="s">
        <v>109</v>
      </c>
      <c r="M688" s="6" t="s">
        <v>3586</v>
      </c>
    </row>
    <row r="689" spans="1:13" ht="13" x14ac:dyDescent="0.15">
      <c r="A689" s="5" t="str">
        <f>HYPERLINK("https://onemount.atlassian.net/browse/DBA-5211","DBA-5211")</f>
        <v>DBA-5211</v>
      </c>
      <c r="B689" s="6" t="s">
        <v>21</v>
      </c>
      <c r="C689" s="6" t="s">
        <v>3587</v>
      </c>
      <c r="D689" s="8" t="s">
        <v>17</v>
      </c>
      <c r="E689" s="6" t="s">
        <v>23</v>
      </c>
      <c r="F689" s="6" t="s">
        <v>78</v>
      </c>
      <c r="G689" s="6" t="s">
        <v>3588</v>
      </c>
      <c r="H689" s="10">
        <v>46193</v>
      </c>
      <c r="I689" s="6" t="s">
        <v>3589</v>
      </c>
      <c r="J689" s="6" t="s">
        <v>109</v>
      </c>
      <c r="K689" s="6" t="s">
        <v>46</v>
      </c>
      <c r="L689" s="6" t="s">
        <v>109</v>
      </c>
      <c r="M689" s="6" t="s">
        <v>3590</v>
      </c>
    </row>
    <row r="690" spans="1:13" ht="13" x14ac:dyDescent="0.15">
      <c r="A690" s="5" t="str">
        <f>HYPERLINK("https://onemount.atlassian.net/browse/DBA-5210","DBA-5210")</f>
        <v>DBA-5210</v>
      </c>
      <c r="B690" s="6" t="s">
        <v>21</v>
      </c>
      <c r="C690" s="6" t="s">
        <v>3591</v>
      </c>
      <c r="D690" s="8" t="s">
        <v>17</v>
      </c>
      <c r="E690" s="6" t="s">
        <v>23</v>
      </c>
      <c r="F690" s="6" t="s">
        <v>78</v>
      </c>
      <c r="G690" s="6" t="s">
        <v>3592</v>
      </c>
      <c r="H690" s="10">
        <v>46193</v>
      </c>
      <c r="I690" s="6" t="s">
        <v>3593</v>
      </c>
      <c r="J690" s="6" t="s">
        <v>109</v>
      </c>
      <c r="K690" s="6" t="s">
        <v>46</v>
      </c>
      <c r="L690" s="6" t="s">
        <v>109</v>
      </c>
      <c r="M690" s="6" t="s">
        <v>3594</v>
      </c>
    </row>
    <row r="691" spans="1:13" ht="13" x14ac:dyDescent="0.15">
      <c r="A691" s="5" t="str">
        <f>HYPERLINK("https://onemount.atlassian.net/browse/DBA-5209","DBA-5209")</f>
        <v>DBA-5209</v>
      </c>
      <c r="B691" s="6" t="s">
        <v>21</v>
      </c>
      <c r="C691" s="6" t="s">
        <v>3595</v>
      </c>
      <c r="D691" s="8" t="s">
        <v>17</v>
      </c>
      <c r="E691" s="6" t="s">
        <v>23</v>
      </c>
      <c r="F691" s="6" t="s">
        <v>78</v>
      </c>
      <c r="G691" s="6" t="s">
        <v>3596</v>
      </c>
      <c r="H691" s="10">
        <v>46193</v>
      </c>
      <c r="I691" s="6" t="s">
        <v>3597</v>
      </c>
      <c r="J691" s="6" t="s">
        <v>109</v>
      </c>
      <c r="K691" s="6" t="s">
        <v>46</v>
      </c>
      <c r="L691" s="6" t="s">
        <v>109</v>
      </c>
      <c r="M691" s="6" t="s">
        <v>3598</v>
      </c>
    </row>
    <row r="692" spans="1:13" ht="13" x14ac:dyDescent="0.15">
      <c r="A692" s="5" t="str">
        <f>HYPERLINK("https://onemount.atlassian.net/browse/DBA-5207","DBA-5207")</f>
        <v>DBA-5207</v>
      </c>
      <c r="B692" s="6" t="s">
        <v>21</v>
      </c>
      <c r="C692" s="6" t="s">
        <v>3599</v>
      </c>
      <c r="D692" s="8" t="s">
        <v>17</v>
      </c>
      <c r="E692" s="6" t="s">
        <v>23</v>
      </c>
      <c r="F692" s="6" t="s">
        <v>78</v>
      </c>
      <c r="G692" s="6" t="s">
        <v>3600</v>
      </c>
      <c r="H692" s="10">
        <v>46193</v>
      </c>
      <c r="I692" s="6" t="s">
        <v>3601</v>
      </c>
      <c r="J692" s="6" t="s">
        <v>109</v>
      </c>
      <c r="K692" s="6" t="s">
        <v>46</v>
      </c>
      <c r="L692" s="6" t="s">
        <v>109</v>
      </c>
      <c r="M692" s="6" t="s">
        <v>3602</v>
      </c>
    </row>
    <row r="693" spans="1:13" ht="13" x14ac:dyDescent="0.15">
      <c r="A693" s="5" t="str">
        <f>HYPERLINK("https://onemount.atlassian.net/browse/DBA-5206","DBA-5206")</f>
        <v>DBA-5206</v>
      </c>
      <c r="B693" s="6" t="s">
        <v>21</v>
      </c>
      <c r="C693" s="6" t="s">
        <v>3603</v>
      </c>
      <c r="D693" s="8" t="s">
        <v>17</v>
      </c>
      <c r="E693" s="6" t="s">
        <v>23</v>
      </c>
      <c r="F693" s="6" t="s">
        <v>78</v>
      </c>
      <c r="G693" s="6" t="s">
        <v>3604</v>
      </c>
      <c r="H693" s="10">
        <v>46193</v>
      </c>
      <c r="I693" s="6" t="s">
        <v>3605</v>
      </c>
      <c r="J693" s="6" t="s">
        <v>109</v>
      </c>
      <c r="K693" s="6" t="s">
        <v>46</v>
      </c>
      <c r="L693" s="6" t="s">
        <v>109</v>
      </c>
      <c r="M693" s="6" t="s">
        <v>3606</v>
      </c>
    </row>
    <row r="694" spans="1:13" ht="13" x14ac:dyDescent="0.15">
      <c r="A694" s="5" t="str">
        <f>HYPERLINK("https://onemount.atlassian.net/browse/DBA-5205","DBA-5205")</f>
        <v>DBA-5205</v>
      </c>
      <c r="B694" s="6" t="s">
        <v>21</v>
      </c>
      <c r="C694" s="6" t="s">
        <v>3607</v>
      </c>
      <c r="D694" s="8" t="s">
        <v>17</v>
      </c>
      <c r="E694" s="6" t="s">
        <v>23</v>
      </c>
      <c r="F694" s="6" t="s">
        <v>78</v>
      </c>
      <c r="G694" s="6" t="s">
        <v>3608</v>
      </c>
      <c r="H694" s="10">
        <v>46193</v>
      </c>
      <c r="I694" s="6" t="s">
        <v>3609</v>
      </c>
      <c r="J694" s="6" t="s">
        <v>109</v>
      </c>
      <c r="K694" s="6" t="s">
        <v>46</v>
      </c>
      <c r="L694" s="6" t="s">
        <v>109</v>
      </c>
      <c r="M694" s="6" t="s">
        <v>3610</v>
      </c>
    </row>
    <row r="695" spans="1:13" ht="13" x14ac:dyDescent="0.15">
      <c r="A695" s="5" t="str">
        <f>HYPERLINK("https://onemount.atlassian.net/browse/DBA-5201","DBA-5201")</f>
        <v>DBA-5201</v>
      </c>
      <c r="B695" s="6" t="s">
        <v>21</v>
      </c>
      <c r="C695" s="6" t="s">
        <v>3611</v>
      </c>
      <c r="D695" s="8" t="s">
        <v>17</v>
      </c>
      <c r="E695" s="6" t="s">
        <v>23</v>
      </c>
      <c r="F695" s="6" t="s">
        <v>78</v>
      </c>
      <c r="G695" s="6" t="s">
        <v>3612</v>
      </c>
      <c r="H695" s="10">
        <v>46193</v>
      </c>
      <c r="I695" s="6" t="s">
        <v>3613</v>
      </c>
      <c r="J695" s="6" t="s">
        <v>109</v>
      </c>
      <c r="K695" s="6" t="s">
        <v>46</v>
      </c>
      <c r="L695" s="6" t="s">
        <v>109</v>
      </c>
      <c r="M695" s="6" t="s">
        <v>3614</v>
      </c>
    </row>
    <row r="696" spans="1:13" ht="13" x14ac:dyDescent="0.15">
      <c r="A696" s="5" t="str">
        <f>HYPERLINK("https://onemount.atlassian.net/browse/DBA-5200","DBA-5200")</f>
        <v>DBA-5200</v>
      </c>
      <c r="B696" s="6" t="s">
        <v>21</v>
      </c>
      <c r="C696" s="6" t="s">
        <v>3615</v>
      </c>
      <c r="D696" s="8" t="s">
        <v>17</v>
      </c>
      <c r="E696" s="6" t="s">
        <v>23</v>
      </c>
      <c r="F696" s="6" t="s">
        <v>52</v>
      </c>
      <c r="G696" s="6" t="s">
        <v>3616</v>
      </c>
      <c r="H696" s="10">
        <v>46192</v>
      </c>
      <c r="I696" s="6" t="s">
        <v>3617</v>
      </c>
      <c r="J696" s="6" t="s">
        <v>852</v>
      </c>
      <c r="K696" s="6" t="s">
        <v>55</v>
      </c>
      <c r="L696" s="6" t="s">
        <v>855</v>
      </c>
      <c r="M696" s="6" t="s">
        <v>3618</v>
      </c>
    </row>
    <row r="697" spans="1:13" ht="13" x14ac:dyDescent="0.15">
      <c r="A697" s="5" t="str">
        <f>HYPERLINK("https://onemount.atlassian.net/browse/DBA-5199","DBA-5199")</f>
        <v>DBA-5199</v>
      </c>
      <c r="B697" s="6" t="s">
        <v>21</v>
      </c>
      <c r="C697" s="6" t="s">
        <v>3619</v>
      </c>
      <c r="D697" s="8" t="s">
        <v>17</v>
      </c>
      <c r="E697" s="6" t="s">
        <v>23</v>
      </c>
      <c r="F697" s="6" t="s">
        <v>52</v>
      </c>
      <c r="G697" s="6" t="s">
        <v>3620</v>
      </c>
      <c r="H697" s="10">
        <v>46191</v>
      </c>
      <c r="I697" s="6" t="s">
        <v>3621</v>
      </c>
      <c r="J697" s="6" t="s">
        <v>374</v>
      </c>
      <c r="K697" s="6" t="s">
        <v>35</v>
      </c>
      <c r="L697" s="6" t="s">
        <v>374</v>
      </c>
      <c r="M697" s="6" t="s">
        <v>3622</v>
      </c>
    </row>
    <row r="698" spans="1:13" ht="13" x14ac:dyDescent="0.15">
      <c r="A698" s="5" t="str">
        <f>HYPERLINK("https://onemount.atlassian.net/browse/DBA-5198","DBA-5198")</f>
        <v>DBA-5198</v>
      </c>
      <c r="B698" s="6" t="s">
        <v>21</v>
      </c>
      <c r="C698" s="6" t="s">
        <v>3623</v>
      </c>
      <c r="D698" s="8" t="s">
        <v>17</v>
      </c>
      <c r="E698" s="6" t="s">
        <v>23</v>
      </c>
      <c r="F698" s="6" t="s">
        <v>24</v>
      </c>
      <c r="G698" s="6" t="s">
        <v>3624</v>
      </c>
      <c r="H698" s="10">
        <v>46192</v>
      </c>
      <c r="I698" s="6" t="s">
        <v>3625</v>
      </c>
      <c r="J698" s="6" t="s">
        <v>2924</v>
      </c>
      <c r="K698" s="6" t="s">
        <v>172</v>
      </c>
      <c r="L698" s="6" t="s">
        <v>172</v>
      </c>
      <c r="M698" s="6" t="s">
        <v>3626</v>
      </c>
    </row>
    <row r="699" spans="1:13" ht="13" x14ac:dyDescent="0.15">
      <c r="A699" s="5" t="str">
        <f>HYPERLINK("https://onemount.atlassian.net/browse/DBA-5197","DBA-5197")</f>
        <v>DBA-5197</v>
      </c>
      <c r="B699" s="6" t="s">
        <v>21</v>
      </c>
      <c r="C699" s="6" t="s">
        <v>3627</v>
      </c>
      <c r="D699" s="8" t="s">
        <v>17</v>
      </c>
      <c r="E699" s="6" t="s">
        <v>23</v>
      </c>
      <c r="F699" s="6" t="s">
        <v>24</v>
      </c>
      <c r="G699" s="6" t="s">
        <v>3628</v>
      </c>
      <c r="H699" s="10">
        <v>46192</v>
      </c>
      <c r="I699" s="6" t="s">
        <v>3629</v>
      </c>
      <c r="J699" s="6" t="s">
        <v>2924</v>
      </c>
      <c r="K699" s="6" t="s">
        <v>172</v>
      </c>
      <c r="L699" s="6" t="s">
        <v>172</v>
      </c>
      <c r="M699" s="6" t="s">
        <v>3630</v>
      </c>
    </row>
    <row r="700" spans="1:13" ht="13" x14ac:dyDescent="0.15">
      <c r="A700" s="5" t="str">
        <f>HYPERLINK("https://onemount.atlassian.net/browse/DBA-5195","DBA-5195")</f>
        <v>DBA-5195</v>
      </c>
      <c r="B700" s="6" t="s">
        <v>21</v>
      </c>
      <c r="C700" s="6" t="s">
        <v>2322</v>
      </c>
      <c r="D700" s="8" t="s">
        <v>17</v>
      </c>
      <c r="E700" s="6" t="s">
        <v>23</v>
      </c>
      <c r="F700" s="6" t="s">
        <v>24</v>
      </c>
      <c r="G700" s="6" t="s">
        <v>3631</v>
      </c>
      <c r="H700" s="10">
        <v>46191</v>
      </c>
      <c r="I700" s="6" t="s">
        <v>3632</v>
      </c>
      <c r="J700" s="6" t="s">
        <v>88</v>
      </c>
      <c r="K700" s="6" t="s">
        <v>59</v>
      </c>
      <c r="L700" s="6" t="s">
        <v>88</v>
      </c>
      <c r="M700" s="6" t="s">
        <v>3633</v>
      </c>
    </row>
    <row r="701" spans="1:13" ht="13" x14ac:dyDescent="0.15">
      <c r="A701" s="5" t="str">
        <f>HYPERLINK("https://onemount.atlassian.net/browse/DBA-5194","DBA-5194")</f>
        <v>DBA-5194</v>
      </c>
      <c r="B701" s="6" t="s">
        <v>21</v>
      </c>
      <c r="C701" s="6" t="s">
        <v>3634</v>
      </c>
      <c r="D701" s="8" t="s">
        <v>17</v>
      </c>
      <c r="E701" s="6" t="s">
        <v>1810</v>
      </c>
      <c r="F701" s="6" t="s">
        <v>41</v>
      </c>
      <c r="G701" s="6" t="s">
        <v>3635</v>
      </c>
      <c r="H701" s="10">
        <v>46191</v>
      </c>
      <c r="I701" s="6" t="s">
        <v>3636</v>
      </c>
      <c r="J701" s="6" t="s">
        <v>1513</v>
      </c>
      <c r="K701" s="6" t="s">
        <v>172</v>
      </c>
      <c r="L701" s="6" t="s">
        <v>172</v>
      </c>
      <c r="M701" s="6" t="s">
        <v>3637</v>
      </c>
    </row>
    <row r="702" spans="1:13" ht="13" x14ac:dyDescent="0.15">
      <c r="A702" s="5" t="str">
        <f>HYPERLINK("https://onemount.atlassian.net/browse/DBA-5193","DBA-5193")</f>
        <v>DBA-5193</v>
      </c>
      <c r="B702" s="6" t="s">
        <v>21</v>
      </c>
      <c r="C702" s="6" t="s">
        <v>2354</v>
      </c>
      <c r="D702" s="8" t="s">
        <v>17</v>
      </c>
      <c r="E702" s="6" t="s">
        <v>23</v>
      </c>
      <c r="F702" s="6" t="s">
        <v>52</v>
      </c>
      <c r="G702" s="6" t="s">
        <v>3638</v>
      </c>
      <c r="H702" s="10">
        <v>46191</v>
      </c>
      <c r="I702" s="6" t="s">
        <v>3639</v>
      </c>
      <c r="J702" s="6" t="s">
        <v>1221</v>
      </c>
      <c r="K702" s="6" t="s">
        <v>35</v>
      </c>
      <c r="L702" s="6" t="s">
        <v>1221</v>
      </c>
      <c r="M702" s="6" t="s">
        <v>3640</v>
      </c>
    </row>
    <row r="703" spans="1:13" ht="13" x14ac:dyDescent="0.15">
      <c r="A703" s="5" t="str">
        <f>HYPERLINK("https://onemount.atlassian.net/browse/DBA-5190","DBA-5190")</f>
        <v>DBA-5190</v>
      </c>
      <c r="B703" s="6" t="s">
        <v>21</v>
      </c>
      <c r="C703" s="6" t="s">
        <v>3641</v>
      </c>
      <c r="D703" s="8" t="s">
        <v>17</v>
      </c>
      <c r="E703" s="6" t="s">
        <v>23</v>
      </c>
      <c r="F703" s="6" t="s">
        <v>24</v>
      </c>
      <c r="G703" s="6" t="s">
        <v>3642</v>
      </c>
      <c r="H703" s="10">
        <v>46196</v>
      </c>
      <c r="I703" s="6" t="s">
        <v>3643</v>
      </c>
      <c r="J703" s="6" t="s">
        <v>3553</v>
      </c>
      <c r="K703" s="6" t="s">
        <v>165</v>
      </c>
      <c r="L703" s="6" t="s">
        <v>39</v>
      </c>
      <c r="M703" s="6" t="s">
        <v>3644</v>
      </c>
    </row>
    <row r="704" spans="1:13" ht="13" x14ac:dyDescent="0.15">
      <c r="A704" s="5" t="str">
        <f>HYPERLINK("https://onemount.atlassian.net/browse/DBA-5189","DBA-5189")</f>
        <v>DBA-5189</v>
      </c>
      <c r="B704" s="6" t="s">
        <v>21</v>
      </c>
      <c r="C704" s="6" t="s">
        <v>3645</v>
      </c>
      <c r="D704" s="8" t="s">
        <v>17</v>
      </c>
      <c r="E704" s="6" t="s">
        <v>23</v>
      </c>
      <c r="F704" s="6" t="s">
        <v>24</v>
      </c>
      <c r="G704" s="6" t="s">
        <v>3646</v>
      </c>
      <c r="H704" s="10">
        <v>46191</v>
      </c>
      <c r="I704" s="6" t="s">
        <v>3647</v>
      </c>
      <c r="J704" s="6" t="s">
        <v>55</v>
      </c>
      <c r="K704" s="6" t="s">
        <v>55</v>
      </c>
      <c r="L704" s="6" t="s">
        <v>55</v>
      </c>
      <c r="M704" s="6" t="s">
        <v>3648</v>
      </c>
    </row>
    <row r="705" spans="1:13" ht="13" x14ac:dyDescent="0.15">
      <c r="A705" s="5" t="str">
        <f>HYPERLINK("https://onemount.atlassian.net/browse/DBA-5187","DBA-5187")</f>
        <v>DBA-5187</v>
      </c>
      <c r="B705" s="6" t="s">
        <v>21</v>
      </c>
      <c r="C705" s="6" t="s">
        <v>3649</v>
      </c>
      <c r="D705" s="8" t="s">
        <v>17</v>
      </c>
      <c r="E705" s="6" t="s">
        <v>23</v>
      </c>
      <c r="F705" s="6" t="s">
        <v>24</v>
      </c>
      <c r="G705" s="6" t="s">
        <v>3650</v>
      </c>
      <c r="H705" s="10">
        <v>46191</v>
      </c>
      <c r="I705" s="6" t="s">
        <v>3651</v>
      </c>
      <c r="J705" s="6" t="s">
        <v>3553</v>
      </c>
      <c r="K705" s="6" t="s">
        <v>165</v>
      </c>
      <c r="L705" s="6" t="s">
        <v>39</v>
      </c>
      <c r="M705" s="6" t="s">
        <v>3652</v>
      </c>
    </row>
    <row r="706" spans="1:13" ht="13" x14ac:dyDescent="0.15">
      <c r="A706" s="5" t="str">
        <f>HYPERLINK("https://onemount.atlassian.net/browse/DBA-5186","DBA-5186")</f>
        <v>DBA-5186</v>
      </c>
      <c r="B706" s="6" t="s">
        <v>21</v>
      </c>
      <c r="C706" s="6" t="s">
        <v>3653</v>
      </c>
      <c r="D706" s="8" t="s">
        <v>17</v>
      </c>
      <c r="E706" s="6" t="s">
        <v>23</v>
      </c>
      <c r="F706" s="6" t="s">
        <v>24</v>
      </c>
      <c r="G706" s="6" t="s">
        <v>3654</v>
      </c>
      <c r="H706" s="10">
        <v>46191</v>
      </c>
      <c r="I706" s="6" t="s">
        <v>3655</v>
      </c>
      <c r="J706" s="6" t="s">
        <v>55</v>
      </c>
      <c r="K706" s="6" t="s">
        <v>55</v>
      </c>
      <c r="L706" s="6" t="s">
        <v>56</v>
      </c>
      <c r="M706" s="6" t="s">
        <v>3656</v>
      </c>
    </row>
    <row r="707" spans="1:13" ht="13" x14ac:dyDescent="0.15">
      <c r="A707" s="5" t="str">
        <f>HYPERLINK("https://onemount.atlassian.net/browse/DBA-5185","DBA-5185")</f>
        <v>DBA-5185</v>
      </c>
      <c r="B707" s="6" t="s">
        <v>21</v>
      </c>
      <c r="C707" s="6" t="s">
        <v>3657</v>
      </c>
      <c r="D707" s="8" t="s">
        <v>17</v>
      </c>
      <c r="E707" s="6" t="s">
        <v>23</v>
      </c>
      <c r="F707" s="6" t="s">
        <v>24</v>
      </c>
      <c r="G707" s="6" t="s">
        <v>3658</v>
      </c>
      <c r="H707" s="10">
        <v>46190</v>
      </c>
      <c r="I707" s="6" t="s">
        <v>3659</v>
      </c>
      <c r="J707" s="6" t="s">
        <v>55</v>
      </c>
      <c r="K707" s="6" t="s">
        <v>55</v>
      </c>
      <c r="L707" s="6" t="s">
        <v>93</v>
      </c>
      <c r="M707" s="6" t="s">
        <v>3660</v>
      </c>
    </row>
    <row r="708" spans="1:13" ht="13" x14ac:dyDescent="0.15">
      <c r="A708" s="5" t="str">
        <f>HYPERLINK("https://onemount.atlassian.net/browse/DBA-5183","DBA-5183")</f>
        <v>DBA-5183</v>
      </c>
      <c r="B708" s="6" t="s">
        <v>21</v>
      </c>
      <c r="C708" s="6" t="s">
        <v>3661</v>
      </c>
      <c r="D708" s="8" t="s">
        <v>17</v>
      </c>
      <c r="E708" s="6" t="s">
        <v>23</v>
      </c>
      <c r="F708" s="6" t="s">
        <v>52</v>
      </c>
      <c r="G708" s="6" t="s">
        <v>3662</v>
      </c>
      <c r="H708" s="10">
        <v>46191</v>
      </c>
      <c r="I708" s="6" t="s">
        <v>3663</v>
      </c>
      <c r="J708" s="6" t="s">
        <v>621</v>
      </c>
      <c r="K708" s="6" t="s">
        <v>55</v>
      </c>
      <c r="L708" s="6" t="s">
        <v>85</v>
      </c>
      <c r="M708" s="6" t="s">
        <v>3664</v>
      </c>
    </row>
    <row r="709" spans="1:13" ht="13" x14ac:dyDescent="0.15">
      <c r="A709" s="5" t="str">
        <f>HYPERLINK("https://onemount.atlassian.net/browse/DBA-5182","DBA-5182")</f>
        <v>DBA-5182</v>
      </c>
      <c r="B709" s="6" t="s">
        <v>21</v>
      </c>
      <c r="C709" s="6" t="s">
        <v>3665</v>
      </c>
      <c r="D709" s="8" t="s">
        <v>17</v>
      </c>
      <c r="E709" s="6" t="s">
        <v>23</v>
      </c>
      <c r="F709" s="6" t="s">
        <v>52</v>
      </c>
      <c r="G709" s="6" t="s">
        <v>3666</v>
      </c>
      <c r="H709" s="10">
        <v>46191</v>
      </c>
      <c r="I709" s="6" t="s">
        <v>3667</v>
      </c>
      <c r="J709" s="6" t="s">
        <v>3668</v>
      </c>
      <c r="K709" s="6" t="s">
        <v>46</v>
      </c>
      <c r="L709" s="6" t="s">
        <v>55</v>
      </c>
      <c r="M709" s="6" t="s">
        <v>3669</v>
      </c>
    </row>
    <row r="710" spans="1:13" ht="13" x14ac:dyDescent="0.15">
      <c r="A710" s="5" t="str">
        <f>HYPERLINK("https://onemount.atlassian.net/browse/DBA-5181","DBA-5181")</f>
        <v>DBA-5181</v>
      </c>
      <c r="B710" s="6" t="s">
        <v>21</v>
      </c>
      <c r="C710" s="6" t="s">
        <v>3670</v>
      </c>
      <c r="D710" s="8" t="s">
        <v>17</v>
      </c>
      <c r="E710" s="6" t="s">
        <v>23</v>
      </c>
      <c r="F710" s="6" t="s">
        <v>52</v>
      </c>
      <c r="G710" s="6" t="s">
        <v>3671</v>
      </c>
      <c r="H710" s="10">
        <v>46191</v>
      </c>
      <c r="I710" s="6" t="s">
        <v>3672</v>
      </c>
      <c r="J710" s="6" t="s">
        <v>621</v>
      </c>
      <c r="K710" s="6" t="s">
        <v>55</v>
      </c>
      <c r="L710" s="6" t="s">
        <v>85</v>
      </c>
      <c r="M710" s="6" t="s">
        <v>3673</v>
      </c>
    </row>
    <row r="711" spans="1:13" ht="13" x14ac:dyDescent="0.15">
      <c r="A711" s="5" t="str">
        <f>HYPERLINK("https://onemount.atlassian.net/browse/DBA-5180","DBA-5180")</f>
        <v>DBA-5180</v>
      </c>
      <c r="B711" s="6" t="s">
        <v>21</v>
      </c>
      <c r="C711" s="6" t="s">
        <v>3674</v>
      </c>
      <c r="D711" s="8" t="s">
        <v>17</v>
      </c>
      <c r="E711" s="6" t="s">
        <v>23</v>
      </c>
      <c r="F711" s="6" t="s">
        <v>24</v>
      </c>
      <c r="G711" s="6" t="s">
        <v>3675</v>
      </c>
      <c r="H711" s="10">
        <v>46191</v>
      </c>
      <c r="I711" s="6" t="s">
        <v>3676</v>
      </c>
      <c r="J711" s="6" t="s">
        <v>55</v>
      </c>
      <c r="K711" s="6" t="s">
        <v>55</v>
      </c>
      <c r="L711" s="6" t="s">
        <v>93</v>
      </c>
      <c r="M711" s="6" t="s">
        <v>3677</v>
      </c>
    </row>
    <row r="712" spans="1:13" ht="13" x14ac:dyDescent="0.15">
      <c r="A712" s="5" t="str">
        <f>HYPERLINK("https://onemount.atlassian.net/browse/DBA-5179","DBA-5179")</f>
        <v>DBA-5179</v>
      </c>
      <c r="B712" s="6" t="s">
        <v>21</v>
      </c>
      <c r="C712" s="6" t="s">
        <v>3678</v>
      </c>
      <c r="D712" s="14" t="s">
        <v>19</v>
      </c>
      <c r="E712" s="6" t="s">
        <v>23</v>
      </c>
      <c r="F712" s="6" t="s">
        <v>41</v>
      </c>
      <c r="G712" s="6" t="s">
        <v>3679</v>
      </c>
      <c r="H712" s="6" t="s">
        <v>43</v>
      </c>
      <c r="I712" s="6" t="s">
        <v>44</v>
      </c>
      <c r="J712" s="6" t="s">
        <v>72</v>
      </c>
      <c r="K712" s="6" t="s">
        <v>72</v>
      </c>
      <c r="L712" s="6" t="s">
        <v>72</v>
      </c>
      <c r="M712" s="6" t="s">
        <v>3680</v>
      </c>
    </row>
    <row r="713" spans="1:13" ht="13" x14ac:dyDescent="0.15">
      <c r="A713" s="5" t="str">
        <f>HYPERLINK("https://onemount.atlassian.net/browse/DBA-5178","DBA-5178")</f>
        <v>DBA-5178</v>
      </c>
      <c r="B713" s="6" t="s">
        <v>21</v>
      </c>
      <c r="C713" s="6" t="s">
        <v>3681</v>
      </c>
      <c r="D713" s="8" t="s">
        <v>17</v>
      </c>
      <c r="E713" s="6" t="s">
        <v>23</v>
      </c>
      <c r="F713" s="6" t="s">
        <v>87</v>
      </c>
      <c r="G713" s="6" t="s">
        <v>3682</v>
      </c>
      <c r="H713" s="10">
        <v>46190</v>
      </c>
      <c r="I713" s="6" t="s">
        <v>3683</v>
      </c>
      <c r="J713" s="6" t="s">
        <v>1898</v>
      </c>
      <c r="K713" s="6" t="s">
        <v>165</v>
      </c>
      <c r="L713" s="6" t="s">
        <v>1097</v>
      </c>
      <c r="M713" s="6" t="s">
        <v>3684</v>
      </c>
    </row>
    <row r="714" spans="1:13" ht="13" x14ac:dyDescent="0.15">
      <c r="A714" s="5" t="str">
        <f>HYPERLINK("https://onemount.atlassian.net/browse/DBA-5177","DBA-5177")</f>
        <v>DBA-5177</v>
      </c>
      <c r="B714" s="6" t="s">
        <v>21</v>
      </c>
      <c r="C714" s="6" t="s">
        <v>3685</v>
      </c>
      <c r="D714" s="8" t="s">
        <v>17</v>
      </c>
      <c r="E714" s="6" t="s">
        <v>23</v>
      </c>
      <c r="F714" s="6" t="s">
        <v>31</v>
      </c>
      <c r="G714" s="6" t="s">
        <v>3686</v>
      </c>
      <c r="H714" s="10">
        <v>46190</v>
      </c>
      <c r="I714" s="6" t="s">
        <v>3687</v>
      </c>
      <c r="J714" s="6" t="s">
        <v>56</v>
      </c>
      <c r="K714" s="6" t="s">
        <v>55</v>
      </c>
      <c r="L714" s="6" t="s">
        <v>56</v>
      </c>
      <c r="M714" s="6" t="s">
        <v>3688</v>
      </c>
    </row>
    <row r="715" spans="1:13" ht="13" x14ac:dyDescent="0.15">
      <c r="A715" s="21" t="str">
        <f>HYPERLINK("https://onemount.atlassian.net/browse/DBA-5174","DBA-5174")</f>
        <v>DBA-5174</v>
      </c>
      <c r="B715" s="6" t="s">
        <v>21</v>
      </c>
      <c r="C715" s="6" t="s">
        <v>3289</v>
      </c>
      <c r="D715" s="8" t="s">
        <v>17</v>
      </c>
      <c r="E715" s="6" t="s">
        <v>23</v>
      </c>
      <c r="F715" s="6" t="s">
        <v>24</v>
      </c>
      <c r="G715" s="6" t="s">
        <v>3689</v>
      </c>
      <c r="H715" s="10">
        <v>46189</v>
      </c>
      <c r="I715" s="6" t="s">
        <v>3690</v>
      </c>
      <c r="J715" s="6" t="s">
        <v>56</v>
      </c>
      <c r="K715" s="6" t="s">
        <v>55</v>
      </c>
      <c r="L715" s="6" t="s">
        <v>56</v>
      </c>
      <c r="M715" s="6" t="s">
        <v>3292</v>
      </c>
    </row>
    <row r="716" spans="1:13" ht="13" x14ac:dyDescent="0.15">
      <c r="A716" s="5" t="str">
        <f>HYPERLINK("https://onemount.atlassian.net/browse/DBA-5173","DBA-5173")</f>
        <v>DBA-5173</v>
      </c>
      <c r="B716" s="6" t="s">
        <v>21</v>
      </c>
      <c r="C716" s="6" t="s">
        <v>3691</v>
      </c>
      <c r="D716" s="8" t="s">
        <v>17</v>
      </c>
      <c r="E716" s="6" t="s">
        <v>23</v>
      </c>
      <c r="F716" s="6" t="s">
        <v>52</v>
      </c>
      <c r="G716" s="6" t="s">
        <v>3692</v>
      </c>
      <c r="H716" s="10">
        <v>46189</v>
      </c>
      <c r="I716" s="6" t="s">
        <v>3693</v>
      </c>
      <c r="J716" s="6" t="s">
        <v>374</v>
      </c>
      <c r="K716" s="6" t="s">
        <v>35</v>
      </c>
      <c r="L716" s="6" t="s">
        <v>374</v>
      </c>
      <c r="M716" s="6" t="s">
        <v>3694</v>
      </c>
    </row>
    <row r="717" spans="1:13" ht="13" x14ac:dyDescent="0.15">
      <c r="A717" s="5" t="str">
        <f>HYPERLINK("https://onemount.atlassian.net/browse/DBA-5172","DBA-5172")</f>
        <v>DBA-5172</v>
      </c>
      <c r="B717" s="6" t="s">
        <v>21</v>
      </c>
      <c r="C717" s="6" t="s">
        <v>2613</v>
      </c>
      <c r="D717" s="8" t="s">
        <v>17</v>
      </c>
      <c r="E717" s="6" t="s">
        <v>23</v>
      </c>
      <c r="F717" s="6" t="s">
        <v>52</v>
      </c>
      <c r="G717" s="6" t="s">
        <v>3695</v>
      </c>
      <c r="H717" s="10">
        <v>46189</v>
      </c>
      <c r="I717" s="6" t="s">
        <v>3696</v>
      </c>
      <c r="J717" s="6" t="s">
        <v>621</v>
      </c>
      <c r="K717" s="6" t="s">
        <v>55</v>
      </c>
      <c r="L717" s="6" t="s">
        <v>85</v>
      </c>
      <c r="M717" s="6" t="s">
        <v>3697</v>
      </c>
    </row>
    <row r="718" spans="1:13" ht="13" x14ac:dyDescent="0.15">
      <c r="A718" s="5" t="str">
        <f>HYPERLINK("https://onemount.atlassian.net/browse/DBA-5171","DBA-5171")</f>
        <v>DBA-5171</v>
      </c>
      <c r="B718" s="6" t="s">
        <v>21</v>
      </c>
      <c r="C718" s="6" t="s">
        <v>3698</v>
      </c>
      <c r="D718" s="8" t="s">
        <v>17</v>
      </c>
      <c r="E718" s="6" t="s">
        <v>23</v>
      </c>
      <c r="F718" s="6" t="s">
        <v>52</v>
      </c>
      <c r="G718" s="6" t="s">
        <v>3699</v>
      </c>
      <c r="H718" s="10">
        <v>46190</v>
      </c>
      <c r="I718" s="6" t="s">
        <v>3700</v>
      </c>
      <c r="J718" s="6" t="s">
        <v>3701</v>
      </c>
      <c r="K718" s="6" t="s">
        <v>46</v>
      </c>
      <c r="L718" s="6" t="s">
        <v>39</v>
      </c>
      <c r="M718" s="6" t="s">
        <v>3702</v>
      </c>
    </row>
    <row r="719" spans="1:13" ht="13" x14ac:dyDescent="0.15">
      <c r="A719" s="5" t="str">
        <f>HYPERLINK("https://onemount.atlassian.net/browse/DBA-5170","DBA-5170")</f>
        <v>DBA-5170</v>
      </c>
      <c r="B719" s="6" t="s">
        <v>21</v>
      </c>
      <c r="C719" s="6" t="s">
        <v>3703</v>
      </c>
      <c r="D719" s="8" t="s">
        <v>17</v>
      </c>
      <c r="E719" s="6" t="s">
        <v>23</v>
      </c>
      <c r="F719" s="6" t="s">
        <v>31</v>
      </c>
      <c r="G719" s="6" t="s">
        <v>3704</v>
      </c>
      <c r="H719" s="10">
        <v>46189</v>
      </c>
      <c r="I719" s="6" t="s">
        <v>3705</v>
      </c>
      <c r="J719" s="6" t="s">
        <v>181</v>
      </c>
      <c r="K719" s="6" t="s">
        <v>35</v>
      </c>
      <c r="L719" s="6" t="s">
        <v>638</v>
      </c>
      <c r="M719" s="6" t="s">
        <v>3706</v>
      </c>
    </row>
    <row r="720" spans="1:13" ht="13" x14ac:dyDescent="0.15">
      <c r="A720" s="5" t="str">
        <f>HYPERLINK("https://onemount.atlassian.net/browse/DBA-5169","DBA-5169")</f>
        <v>DBA-5169</v>
      </c>
      <c r="B720" s="6" t="s">
        <v>21</v>
      </c>
      <c r="C720" s="6" t="s">
        <v>3707</v>
      </c>
      <c r="D720" s="8" t="s">
        <v>17</v>
      </c>
      <c r="E720" s="6" t="s">
        <v>23</v>
      </c>
      <c r="F720" s="6" t="s">
        <v>24</v>
      </c>
      <c r="G720" s="6" t="s">
        <v>3708</v>
      </c>
      <c r="H720" s="10">
        <v>46189</v>
      </c>
      <c r="I720" s="6" t="s">
        <v>3709</v>
      </c>
      <c r="J720" s="6" t="s">
        <v>55</v>
      </c>
      <c r="K720" s="6" t="s">
        <v>55</v>
      </c>
      <c r="L720" s="6" t="s">
        <v>984</v>
      </c>
      <c r="M720" s="6" t="s">
        <v>3710</v>
      </c>
    </row>
    <row r="721" spans="1:13" ht="13" x14ac:dyDescent="0.15">
      <c r="A721" s="5" t="str">
        <f>HYPERLINK("https://onemount.atlassian.net/browse/DBA-5162","DBA-5162")</f>
        <v>DBA-5162</v>
      </c>
      <c r="B721" s="6" t="s">
        <v>21</v>
      </c>
      <c r="C721" s="6" t="s">
        <v>1635</v>
      </c>
      <c r="D721" s="8" t="s">
        <v>17</v>
      </c>
      <c r="E721" s="6" t="s">
        <v>23</v>
      </c>
      <c r="F721" s="6" t="s">
        <v>24</v>
      </c>
      <c r="G721" s="6" t="s">
        <v>3711</v>
      </c>
      <c r="H721" s="10">
        <v>46192</v>
      </c>
      <c r="I721" s="6" t="s">
        <v>3712</v>
      </c>
      <c r="J721" s="6" t="s">
        <v>56</v>
      </c>
      <c r="K721" s="6" t="s">
        <v>55</v>
      </c>
      <c r="L721" s="6" t="s">
        <v>56</v>
      </c>
      <c r="M721" s="6" t="s">
        <v>3713</v>
      </c>
    </row>
    <row r="722" spans="1:13" ht="13" x14ac:dyDescent="0.15">
      <c r="A722" s="5" t="str">
        <f>HYPERLINK("https://onemount.atlassian.net/browse/DBA-5159","DBA-5159")</f>
        <v>DBA-5159</v>
      </c>
      <c r="B722" s="6" t="s">
        <v>21</v>
      </c>
      <c r="C722" s="6" t="s">
        <v>3714</v>
      </c>
      <c r="D722" s="8" t="s">
        <v>17</v>
      </c>
      <c r="E722" s="6" t="s">
        <v>23</v>
      </c>
      <c r="F722" s="6" t="s">
        <v>24</v>
      </c>
      <c r="G722" s="6" t="s">
        <v>3715</v>
      </c>
      <c r="H722" s="10">
        <v>46189</v>
      </c>
      <c r="I722" s="6" t="s">
        <v>3716</v>
      </c>
      <c r="J722" s="6" t="s">
        <v>77</v>
      </c>
      <c r="K722" s="6" t="s">
        <v>165</v>
      </c>
      <c r="L722" s="6" t="s">
        <v>77</v>
      </c>
      <c r="M722" s="6" t="s">
        <v>3717</v>
      </c>
    </row>
    <row r="723" spans="1:13" ht="13" x14ac:dyDescent="0.15">
      <c r="A723" s="5" t="str">
        <f>HYPERLINK("https://onemount.atlassian.net/browse/DBA-5156","DBA-5156")</f>
        <v>DBA-5156</v>
      </c>
      <c r="B723" s="23" t="str">
        <f t="shared" ref="B723:B726" si="7">HYPERLINK("https://onemount.atlassian.net/browse/DBA-5152","DBA-5152")</f>
        <v>DBA-5152</v>
      </c>
      <c r="C723" s="6" t="s">
        <v>3718</v>
      </c>
      <c r="D723" s="8" t="s">
        <v>17</v>
      </c>
      <c r="E723" s="6" t="s">
        <v>428</v>
      </c>
      <c r="F723" s="6" t="s">
        <v>52</v>
      </c>
      <c r="G723" s="6" t="s">
        <v>3719</v>
      </c>
      <c r="H723" s="10">
        <v>46193</v>
      </c>
      <c r="I723" s="6" t="s">
        <v>3720</v>
      </c>
      <c r="J723" s="6" t="s">
        <v>3721</v>
      </c>
      <c r="K723" s="6" t="s">
        <v>137</v>
      </c>
      <c r="L723" s="6" t="s">
        <v>431</v>
      </c>
      <c r="M723" s="6" t="s">
        <v>3722</v>
      </c>
    </row>
    <row r="724" spans="1:13" ht="13" x14ac:dyDescent="0.15">
      <c r="A724" s="5" t="str">
        <f>HYPERLINK("https://onemount.atlassian.net/browse/DBA-5155","DBA-5155")</f>
        <v>DBA-5155</v>
      </c>
      <c r="B724" s="23" t="str">
        <f t="shared" si="7"/>
        <v>DBA-5152</v>
      </c>
      <c r="C724" s="6" t="s">
        <v>3723</v>
      </c>
      <c r="D724" s="8" t="s">
        <v>17</v>
      </c>
      <c r="E724" s="6" t="s">
        <v>428</v>
      </c>
      <c r="F724" s="6" t="s">
        <v>52</v>
      </c>
      <c r="G724" s="6" t="s">
        <v>3724</v>
      </c>
      <c r="H724" s="10">
        <v>46193</v>
      </c>
      <c r="I724" s="6" t="s">
        <v>3725</v>
      </c>
      <c r="J724" s="6" t="s">
        <v>3721</v>
      </c>
      <c r="K724" s="6" t="s">
        <v>137</v>
      </c>
      <c r="L724" s="6" t="s">
        <v>431</v>
      </c>
      <c r="M724" s="6" t="s">
        <v>3726</v>
      </c>
    </row>
    <row r="725" spans="1:13" ht="13" x14ac:dyDescent="0.15">
      <c r="A725" s="5" t="str">
        <f>HYPERLINK("https://onemount.atlassian.net/browse/DBA-5154","DBA-5154")</f>
        <v>DBA-5154</v>
      </c>
      <c r="B725" s="23" t="str">
        <f t="shared" si="7"/>
        <v>DBA-5152</v>
      </c>
      <c r="C725" s="6" t="s">
        <v>3727</v>
      </c>
      <c r="D725" s="8" t="s">
        <v>17</v>
      </c>
      <c r="E725" s="6" t="s">
        <v>428</v>
      </c>
      <c r="F725" s="6" t="s">
        <v>52</v>
      </c>
      <c r="G725" s="6" t="s">
        <v>3728</v>
      </c>
      <c r="H725" s="10">
        <v>46193</v>
      </c>
      <c r="I725" s="6" t="s">
        <v>3729</v>
      </c>
      <c r="J725" s="6" t="s">
        <v>3721</v>
      </c>
      <c r="K725" s="6" t="s">
        <v>137</v>
      </c>
      <c r="L725" s="6" t="s">
        <v>431</v>
      </c>
      <c r="M725" s="6" t="s">
        <v>3730</v>
      </c>
    </row>
    <row r="726" spans="1:13" ht="13" x14ac:dyDescent="0.15">
      <c r="A726" s="5" t="str">
        <f>HYPERLINK("https://onemount.atlassian.net/browse/DBA-5153","DBA-5153")</f>
        <v>DBA-5153</v>
      </c>
      <c r="B726" s="23" t="str">
        <f t="shared" si="7"/>
        <v>DBA-5152</v>
      </c>
      <c r="C726" s="6" t="s">
        <v>3731</v>
      </c>
      <c r="D726" s="8" t="s">
        <v>17</v>
      </c>
      <c r="E726" s="6" t="s">
        <v>428</v>
      </c>
      <c r="F726" s="6" t="s">
        <v>52</v>
      </c>
      <c r="G726" s="6" t="s">
        <v>3732</v>
      </c>
      <c r="H726" s="10">
        <v>46192</v>
      </c>
      <c r="I726" s="6" t="s">
        <v>3733</v>
      </c>
      <c r="J726" s="6" t="s">
        <v>3721</v>
      </c>
      <c r="K726" s="6" t="s">
        <v>137</v>
      </c>
      <c r="L726" s="6" t="s">
        <v>431</v>
      </c>
      <c r="M726" s="6" t="s">
        <v>3734</v>
      </c>
    </row>
    <row r="727" spans="1:13" ht="13" x14ac:dyDescent="0.15">
      <c r="A727" s="5" t="str">
        <f>HYPERLINK("https://onemount.atlassian.net/browse/DBA-5152","DBA-5152")</f>
        <v>DBA-5152</v>
      </c>
      <c r="B727" s="6" t="s">
        <v>21</v>
      </c>
      <c r="C727" s="6" t="s">
        <v>3735</v>
      </c>
      <c r="D727" s="8" t="s">
        <v>17</v>
      </c>
      <c r="E727" s="6" t="s">
        <v>23</v>
      </c>
      <c r="F727" s="6" t="s">
        <v>52</v>
      </c>
      <c r="G727" s="6" t="s">
        <v>3736</v>
      </c>
      <c r="H727" s="10">
        <v>46193</v>
      </c>
      <c r="I727" s="6" t="s">
        <v>3737</v>
      </c>
      <c r="J727" s="6" t="s">
        <v>3721</v>
      </c>
      <c r="K727" s="6" t="s">
        <v>137</v>
      </c>
      <c r="L727" s="6" t="s">
        <v>431</v>
      </c>
      <c r="M727" s="6" t="s">
        <v>3738</v>
      </c>
    </row>
    <row r="728" spans="1:13" ht="13" x14ac:dyDescent="0.15">
      <c r="A728" s="5" t="str">
        <f>HYPERLINK("https://onemount.atlassian.net/browse/DBA-5151","DBA-5151")</f>
        <v>DBA-5151</v>
      </c>
      <c r="B728" s="6" t="s">
        <v>21</v>
      </c>
      <c r="C728" s="6" t="s">
        <v>2613</v>
      </c>
      <c r="D728" s="8" t="s">
        <v>17</v>
      </c>
      <c r="E728" s="6" t="s">
        <v>23</v>
      </c>
      <c r="F728" s="6" t="s">
        <v>24</v>
      </c>
      <c r="G728" s="6" t="s">
        <v>3739</v>
      </c>
      <c r="H728" s="10">
        <v>46189</v>
      </c>
      <c r="I728" s="6" t="s">
        <v>3740</v>
      </c>
      <c r="J728" s="6" t="s">
        <v>621</v>
      </c>
      <c r="K728" s="6" t="s">
        <v>55</v>
      </c>
      <c r="L728" s="6" t="s">
        <v>85</v>
      </c>
      <c r="M728" s="6" t="s">
        <v>3741</v>
      </c>
    </row>
    <row r="729" spans="1:13" ht="13" x14ac:dyDescent="0.15">
      <c r="A729" s="5" t="str">
        <f>HYPERLINK("https://onemount.atlassian.net/browse/DBA-5150","DBA-5150")</f>
        <v>DBA-5150</v>
      </c>
      <c r="B729" s="6" t="s">
        <v>21</v>
      </c>
      <c r="C729" s="6" t="s">
        <v>3742</v>
      </c>
      <c r="D729" s="8" t="s">
        <v>17</v>
      </c>
      <c r="E729" s="6" t="s">
        <v>23</v>
      </c>
      <c r="F729" s="6" t="s">
        <v>52</v>
      </c>
      <c r="G729" s="6" t="s">
        <v>3743</v>
      </c>
      <c r="H729" s="10">
        <v>46188</v>
      </c>
      <c r="I729" s="6" t="s">
        <v>3744</v>
      </c>
      <c r="J729" s="6" t="s">
        <v>55</v>
      </c>
      <c r="K729" s="6" t="s">
        <v>55</v>
      </c>
      <c r="L729" s="6" t="s">
        <v>93</v>
      </c>
      <c r="M729" s="6" t="s">
        <v>3745</v>
      </c>
    </row>
    <row r="730" spans="1:13" ht="13" x14ac:dyDescent="0.15">
      <c r="A730" s="5" t="str">
        <f>HYPERLINK("https://onemount.atlassian.net/browse/DBA-5149","DBA-5149")</f>
        <v>DBA-5149</v>
      </c>
      <c r="B730" s="6" t="s">
        <v>21</v>
      </c>
      <c r="C730" s="6" t="s">
        <v>3746</v>
      </c>
      <c r="D730" s="8" t="s">
        <v>17</v>
      </c>
      <c r="E730" s="6" t="s">
        <v>23</v>
      </c>
      <c r="F730" s="6" t="s">
        <v>24</v>
      </c>
      <c r="G730" s="6" t="s">
        <v>3747</v>
      </c>
      <c r="H730" s="10">
        <v>46189</v>
      </c>
      <c r="I730" s="6" t="s">
        <v>3748</v>
      </c>
      <c r="J730" s="6" t="s">
        <v>3553</v>
      </c>
      <c r="K730" s="6" t="s">
        <v>165</v>
      </c>
      <c r="L730" s="6" t="s">
        <v>39</v>
      </c>
      <c r="M730" s="6" t="s">
        <v>3749</v>
      </c>
    </row>
    <row r="731" spans="1:13" ht="13" x14ac:dyDescent="0.15">
      <c r="A731" s="5" t="str">
        <f>HYPERLINK("https://onemount.atlassian.net/browse/DBA-5148","DBA-5148")</f>
        <v>DBA-5148</v>
      </c>
      <c r="B731" s="6" t="s">
        <v>21</v>
      </c>
      <c r="C731" s="6" t="s">
        <v>3750</v>
      </c>
      <c r="D731" s="8" t="s">
        <v>17</v>
      </c>
      <c r="E731" s="6" t="s">
        <v>23</v>
      </c>
      <c r="F731" s="6" t="s">
        <v>87</v>
      </c>
      <c r="G731" s="6" t="s">
        <v>3751</v>
      </c>
      <c r="H731" s="10">
        <v>46189</v>
      </c>
      <c r="I731" s="6" t="s">
        <v>3752</v>
      </c>
      <c r="J731" s="6" t="s">
        <v>849</v>
      </c>
      <c r="K731" s="6" t="s">
        <v>165</v>
      </c>
      <c r="L731" s="6" t="s">
        <v>849</v>
      </c>
      <c r="M731" s="6" t="s">
        <v>3753</v>
      </c>
    </row>
    <row r="732" spans="1:13" ht="13" x14ac:dyDescent="0.15">
      <c r="A732" s="5" t="str">
        <f>HYPERLINK("https://onemount.atlassian.net/browse/DBA-5147","DBA-5147")</f>
        <v>DBA-5147</v>
      </c>
      <c r="B732" s="6" t="s">
        <v>21</v>
      </c>
      <c r="C732" s="6" t="s">
        <v>3754</v>
      </c>
      <c r="D732" s="8" t="s">
        <v>17</v>
      </c>
      <c r="E732" s="6" t="s">
        <v>23</v>
      </c>
      <c r="F732" s="6" t="s">
        <v>41</v>
      </c>
      <c r="G732" s="6" t="s">
        <v>3755</v>
      </c>
      <c r="H732" s="10">
        <v>46199</v>
      </c>
      <c r="I732" s="6" t="s">
        <v>3756</v>
      </c>
      <c r="J732" s="6" t="s">
        <v>136</v>
      </c>
      <c r="K732" s="6" t="s">
        <v>72</v>
      </c>
      <c r="L732" s="6" t="s">
        <v>136</v>
      </c>
      <c r="M732" s="6" t="s">
        <v>3757</v>
      </c>
    </row>
    <row r="733" spans="1:13" ht="13" x14ac:dyDescent="0.15">
      <c r="A733" s="5" t="str">
        <f>HYPERLINK("https://onemount.atlassian.net/browse/DBA-5146","DBA-5146")</f>
        <v>DBA-5146</v>
      </c>
      <c r="B733" s="6" t="s">
        <v>21</v>
      </c>
      <c r="C733" s="6" t="s">
        <v>3758</v>
      </c>
      <c r="D733" s="8" t="s">
        <v>17</v>
      </c>
      <c r="E733" s="6" t="s">
        <v>23</v>
      </c>
      <c r="F733" s="6" t="s">
        <v>52</v>
      </c>
      <c r="G733" s="6" t="s">
        <v>3759</v>
      </c>
      <c r="H733" s="10">
        <v>46188</v>
      </c>
      <c r="I733" s="6" t="s">
        <v>3760</v>
      </c>
      <c r="J733" s="6" t="s">
        <v>3761</v>
      </c>
      <c r="K733" s="6" t="s">
        <v>55</v>
      </c>
      <c r="L733" s="6" t="s">
        <v>270</v>
      </c>
      <c r="M733" s="6" t="s">
        <v>3762</v>
      </c>
    </row>
    <row r="734" spans="1:13" ht="13" x14ac:dyDescent="0.15">
      <c r="A734" s="5" t="str">
        <f>HYPERLINK("https://onemount.atlassian.net/browse/DBA-5145","DBA-5145")</f>
        <v>DBA-5145</v>
      </c>
      <c r="B734" s="6" t="s">
        <v>21</v>
      </c>
      <c r="C734" s="6" t="s">
        <v>3763</v>
      </c>
      <c r="D734" s="8" t="s">
        <v>17</v>
      </c>
      <c r="E734" s="6" t="s">
        <v>23</v>
      </c>
      <c r="F734" s="6" t="s">
        <v>31</v>
      </c>
      <c r="G734" s="6" t="s">
        <v>3764</v>
      </c>
      <c r="H734" s="10">
        <v>46189</v>
      </c>
      <c r="I734" s="6" t="s">
        <v>3765</v>
      </c>
      <c r="J734" s="6" t="s">
        <v>3766</v>
      </c>
      <c r="K734" s="6" t="s">
        <v>46</v>
      </c>
      <c r="L734" s="6" t="s">
        <v>46</v>
      </c>
      <c r="M734" s="6" t="s">
        <v>3767</v>
      </c>
    </row>
    <row r="735" spans="1:13" ht="13" x14ac:dyDescent="0.15">
      <c r="A735" s="5" t="str">
        <f>HYPERLINK("https://onemount.atlassian.net/browse/DBA-5144","DBA-5144")</f>
        <v>DBA-5144</v>
      </c>
      <c r="B735" s="6" t="s">
        <v>21</v>
      </c>
      <c r="C735" s="6" t="s">
        <v>3768</v>
      </c>
      <c r="D735" s="8" t="s">
        <v>17</v>
      </c>
      <c r="E735" s="6" t="s">
        <v>23</v>
      </c>
      <c r="F735" s="6" t="s">
        <v>52</v>
      </c>
      <c r="G735" s="6" t="s">
        <v>3769</v>
      </c>
      <c r="H735" s="10">
        <v>46189</v>
      </c>
      <c r="I735" s="6" t="s">
        <v>3770</v>
      </c>
      <c r="J735" s="6" t="s">
        <v>510</v>
      </c>
      <c r="K735" s="6" t="s">
        <v>35</v>
      </c>
      <c r="L735" s="6" t="s">
        <v>36</v>
      </c>
      <c r="M735" s="6" t="s">
        <v>3771</v>
      </c>
    </row>
    <row r="736" spans="1:13" ht="13" x14ac:dyDescent="0.15">
      <c r="A736" s="5" t="str">
        <f>HYPERLINK("https://onemount.atlassian.net/browse/DBA-5143","DBA-5143")</f>
        <v>DBA-5143</v>
      </c>
      <c r="B736" s="6" t="s">
        <v>21</v>
      </c>
      <c r="C736" s="6" t="s">
        <v>3772</v>
      </c>
      <c r="D736" s="8" t="s">
        <v>17</v>
      </c>
      <c r="E736" s="6" t="s">
        <v>23</v>
      </c>
      <c r="F736" s="6" t="s">
        <v>31</v>
      </c>
      <c r="G736" s="6" t="s">
        <v>3773</v>
      </c>
      <c r="H736" s="10">
        <v>46187</v>
      </c>
      <c r="I736" s="6" t="s">
        <v>3774</v>
      </c>
      <c r="J736" s="6" t="s">
        <v>374</v>
      </c>
      <c r="K736" s="6" t="s">
        <v>35</v>
      </c>
      <c r="L736" s="6" t="s">
        <v>374</v>
      </c>
      <c r="M736" s="6" t="s">
        <v>3775</v>
      </c>
    </row>
    <row r="737" spans="1:13" ht="13" x14ac:dyDescent="0.15">
      <c r="A737" s="5" t="str">
        <f>HYPERLINK("https://onemount.atlassian.net/browse/DBA-5142","DBA-5142")</f>
        <v>DBA-5142</v>
      </c>
      <c r="B737" s="6" t="s">
        <v>21</v>
      </c>
      <c r="C737" s="6" t="s">
        <v>3776</v>
      </c>
      <c r="D737" s="8" t="s">
        <v>17</v>
      </c>
      <c r="E737" s="6" t="s">
        <v>23</v>
      </c>
      <c r="F737" s="6" t="s">
        <v>31</v>
      </c>
      <c r="G737" s="6" t="s">
        <v>3777</v>
      </c>
      <c r="H737" s="10">
        <v>46187</v>
      </c>
      <c r="I737" s="6" t="s">
        <v>3778</v>
      </c>
      <c r="J737" s="6" t="s">
        <v>2984</v>
      </c>
      <c r="K737" s="6" t="s">
        <v>35</v>
      </c>
      <c r="L737" s="6" t="s">
        <v>181</v>
      </c>
      <c r="M737" s="6" t="s">
        <v>3779</v>
      </c>
    </row>
    <row r="738" spans="1:13" ht="13" x14ac:dyDescent="0.15">
      <c r="A738" s="5" t="str">
        <f>HYPERLINK("https://onemount.atlassian.net/browse/DBA-5141","DBA-5141")</f>
        <v>DBA-5141</v>
      </c>
      <c r="B738" s="6" t="s">
        <v>21</v>
      </c>
      <c r="C738" s="6" t="s">
        <v>3780</v>
      </c>
      <c r="D738" s="8" t="s">
        <v>17</v>
      </c>
      <c r="E738" s="6" t="s">
        <v>23</v>
      </c>
      <c r="F738" s="6" t="s">
        <v>52</v>
      </c>
      <c r="G738" s="6" t="s">
        <v>3781</v>
      </c>
      <c r="H738" s="10">
        <v>46186</v>
      </c>
      <c r="I738" s="6" t="s">
        <v>3782</v>
      </c>
      <c r="J738" s="6" t="s">
        <v>478</v>
      </c>
      <c r="K738" s="6" t="s">
        <v>35</v>
      </c>
      <c r="L738" s="6" t="s">
        <v>129</v>
      </c>
      <c r="M738" s="6" t="s">
        <v>3783</v>
      </c>
    </row>
    <row r="739" spans="1:13" ht="13" x14ac:dyDescent="0.15">
      <c r="A739" s="5" t="str">
        <f>HYPERLINK("https://onemount.atlassian.net/browse/DBA-5140","DBA-5140")</f>
        <v>DBA-5140</v>
      </c>
      <c r="B739" s="6" t="s">
        <v>21</v>
      </c>
      <c r="C739" s="6" t="s">
        <v>3784</v>
      </c>
      <c r="D739" s="8" t="s">
        <v>17</v>
      </c>
      <c r="E739" s="6" t="s">
        <v>23</v>
      </c>
      <c r="F739" s="6" t="s">
        <v>87</v>
      </c>
      <c r="G739" s="6" t="s">
        <v>3785</v>
      </c>
      <c r="H739" s="10">
        <v>46187</v>
      </c>
      <c r="I739" s="6" t="s">
        <v>3786</v>
      </c>
      <c r="J739" s="6" t="s">
        <v>118</v>
      </c>
      <c r="K739" s="6" t="s">
        <v>35</v>
      </c>
      <c r="L739" s="6" t="s">
        <v>119</v>
      </c>
      <c r="M739" s="6" t="s">
        <v>3787</v>
      </c>
    </row>
    <row r="740" spans="1:13" ht="13" x14ac:dyDescent="0.15">
      <c r="A740" s="5" t="str">
        <f>HYPERLINK("https://onemount.atlassian.net/browse/DBA-5139","DBA-5139")</f>
        <v>DBA-5139</v>
      </c>
      <c r="B740" s="6" t="s">
        <v>21</v>
      </c>
      <c r="C740" s="6" t="s">
        <v>3788</v>
      </c>
      <c r="D740" s="8" t="s">
        <v>17</v>
      </c>
      <c r="E740" s="6" t="s">
        <v>23</v>
      </c>
      <c r="F740" s="6" t="s">
        <v>24</v>
      </c>
      <c r="G740" s="6" t="s">
        <v>3789</v>
      </c>
      <c r="H740" s="10">
        <v>46188</v>
      </c>
      <c r="I740" s="6" t="s">
        <v>3790</v>
      </c>
      <c r="J740" s="6" t="s">
        <v>3791</v>
      </c>
      <c r="K740" s="6" t="s">
        <v>28</v>
      </c>
      <c r="L740" s="6" t="s">
        <v>27</v>
      </c>
      <c r="M740" s="6" t="s">
        <v>3792</v>
      </c>
    </row>
    <row r="741" spans="1:13" ht="13" x14ac:dyDescent="0.15">
      <c r="A741" s="5" t="str">
        <f>HYPERLINK("https://onemount.atlassian.net/browse/DBA-5137","DBA-5137")</f>
        <v>DBA-5137</v>
      </c>
      <c r="B741" s="6" t="s">
        <v>21</v>
      </c>
      <c r="C741" s="6" t="s">
        <v>3793</v>
      </c>
      <c r="D741" s="8" t="s">
        <v>17</v>
      </c>
      <c r="E741" s="6" t="s">
        <v>23</v>
      </c>
      <c r="F741" s="6" t="s">
        <v>87</v>
      </c>
      <c r="G741" s="6" t="s">
        <v>3794</v>
      </c>
      <c r="H741" s="10">
        <v>46186</v>
      </c>
      <c r="I741" s="6" t="s">
        <v>3795</v>
      </c>
      <c r="J741" s="6" t="s">
        <v>3796</v>
      </c>
      <c r="K741" s="6" t="s">
        <v>35</v>
      </c>
      <c r="L741" s="6" t="s">
        <v>119</v>
      </c>
      <c r="M741" s="6" t="s">
        <v>3797</v>
      </c>
    </row>
    <row r="742" spans="1:13" ht="13" x14ac:dyDescent="0.15">
      <c r="A742" s="5" t="str">
        <f>HYPERLINK("https://onemount.atlassian.net/browse/DBA-5134","DBA-5134")</f>
        <v>DBA-5134</v>
      </c>
      <c r="B742" s="6" t="s">
        <v>21</v>
      </c>
      <c r="C742" s="6" t="s">
        <v>3798</v>
      </c>
      <c r="D742" s="8" t="s">
        <v>17</v>
      </c>
      <c r="E742" s="6" t="s">
        <v>23</v>
      </c>
      <c r="F742" s="6" t="s">
        <v>52</v>
      </c>
      <c r="G742" s="6" t="s">
        <v>3799</v>
      </c>
      <c r="H742" s="10">
        <v>46186</v>
      </c>
      <c r="I742" s="6" t="s">
        <v>3800</v>
      </c>
      <c r="J742" s="6" t="s">
        <v>56</v>
      </c>
      <c r="K742" s="6" t="s">
        <v>55</v>
      </c>
      <c r="L742" s="6" t="s">
        <v>56</v>
      </c>
      <c r="M742" s="6" t="s">
        <v>3801</v>
      </c>
    </row>
    <row r="743" spans="1:13" ht="13" x14ac:dyDescent="0.15">
      <c r="A743" s="5" t="str">
        <f>HYPERLINK("https://onemount.atlassian.net/browse/DBA-5133","DBA-5133")</f>
        <v>DBA-5133</v>
      </c>
      <c r="B743" s="6" t="s">
        <v>21</v>
      </c>
      <c r="C743" s="6" t="s">
        <v>3802</v>
      </c>
      <c r="D743" s="8" t="s">
        <v>17</v>
      </c>
      <c r="E743" s="6" t="s">
        <v>23</v>
      </c>
      <c r="F743" s="6" t="s">
        <v>52</v>
      </c>
      <c r="G743" s="6" t="s">
        <v>3803</v>
      </c>
      <c r="H743" s="10">
        <v>46186</v>
      </c>
      <c r="I743" s="6" t="s">
        <v>3804</v>
      </c>
      <c r="J743" s="6" t="s">
        <v>55</v>
      </c>
      <c r="K743" s="6" t="s">
        <v>55</v>
      </c>
      <c r="L743" s="6" t="s">
        <v>254</v>
      </c>
      <c r="M743" s="6" t="s">
        <v>3805</v>
      </c>
    </row>
    <row r="744" spans="1:13" ht="13" x14ac:dyDescent="0.15">
      <c r="A744" s="5" t="str">
        <f>HYPERLINK("https://onemount.atlassian.net/browse/DBA-5131","DBA-5131")</f>
        <v>DBA-5131</v>
      </c>
      <c r="B744" s="6" t="s">
        <v>21</v>
      </c>
      <c r="C744" s="6" t="s">
        <v>3806</v>
      </c>
      <c r="D744" s="8" t="s">
        <v>17</v>
      </c>
      <c r="E744" s="6" t="s">
        <v>23</v>
      </c>
      <c r="F744" s="6" t="s">
        <v>52</v>
      </c>
      <c r="G744" s="6" t="s">
        <v>3807</v>
      </c>
      <c r="H744" s="10">
        <v>46186</v>
      </c>
      <c r="I744" s="6" t="s">
        <v>3808</v>
      </c>
      <c r="J744" s="6" t="s">
        <v>3809</v>
      </c>
      <c r="K744" s="6" t="s">
        <v>46</v>
      </c>
      <c r="L744" s="6" t="s">
        <v>597</v>
      </c>
      <c r="M744" s="6" t="s">
        <v>3810</v>
      </c>
    </row>
    <row r="745" spans="1:13" ht="13" x14ac:dyDescent="0.15">
      <c r="A745" s="5" t="str">
        <f>HYPERLINK("https://onemount.atlassian.net/browse/DBA-5130","DBA-5130")</f>
        <v>DBA-5130</v>
      </c>
      <c r="B745" s="6" t="s">
        <v>21</v>
      </c>
      <c r="C745" s="6" t="s">
        <v>3811</v>
      </c>
      <c r="D745" s="8" t="s">
        <v>17</v>
      </c>
      <c r="E745" s="6" t="s">
        <v>23</v>
      </c>
      <c r="F745" s="6" t="s">
        <v>24</v>
      </c>
      <c r="G745" s="6" t="s">
        <v>3812</v>
      </c>
      <c r="H745" s="10">
        <v>46185</v>
      </c>
      <c r="I745" s="6" t="s">
        <v>3813</v>
      </c>
      <c r="J745" s="6" t="s">
        <v>55</v>
      </c>
      <c r="K745" s="6" t="s">
        <v>55</v>
      </c>
      <c r="L745" s="6" t="s">
        <v>56</v>
      </c>
      <c r="M745" s="6" t="s">
        <v>3814</v>
      </c>
    </row>
    <row r="746" spans="1:13" ht="13" x14ac:dyDescent="0.15">
      <c r="A746" s="5" t="str">
        <f>HYPERLINK("https://onemount.atlassian.net/browse/DBA-5129","DBA-5129")</f>
        <v>DBA-5129</v>
      </c>
      <c r="B746" s="6" t="s">
        <v>21</v>
      </c>
      <c r="C746" s="6" t="s">
        <v>2613</v>
      </c>
      <c r="D746" s="8" t="s">
        <v>17</v>
      </c>
      <c r="E746" s="6" t="s">
        <v>23</v>
      </c>
      <c r="F746" s="6" t="s">
        <v>52</v>
      </c>
      <c r="G746" s="6" t="s">
        <v>3815</v>
      </c>
      <c r="H746" s="10">
        <v>46185</v>
      </c>
      <c r="I746" s="6" t="s">
        <v>3816</v>
      </c>
      <c r="J746" s="6" t="s">
        <v>621</v>
      </c>
      <c r="K746" s="6" t="s">
        <v>55</v>
      </c>
      <c r="L746" s="6" t="s">
        <v>85</v>
      </c>
      <c r="M746" s="6" t="s">
        <v>3817</v>
      </c>
    </row>
    <row r="747" spans="1:13" ht="13" x14ac:dyDescent="0.15">
      <c r="A747" s="21" t="str">
        <f>HYPERLINK("https://onemount.atlassian.net/browse/DBA-5128","DBA-5128")</f>
        <v>DBA-5128</v>
      </c>
      <c r="B747" s="6" t="s">
        <v>21</v>
      </c>
      <c r="C747" s="6" t="s">
        <v>3818</v>
      </c>
      <c r="D747" s="8" t="s">
        <v>17</v>
      </c>
      <c r="E747" s="6" t="s">
        <v>23</v>
      </c>
      <c r="F747" s="6" t="s">
        <v>41</v>
      </c>
      <c r="G747" s="6" t="s">
        <v>3819</v>
      </c>
      <c r="H747" s="10">
        <v>46186</v>
      </c>
      <c r="I747" s="6" t="s">
        <v>3820</v>
      </c>
      <c r="J747" s="6" t="s">
        <v>72</v>
      </c>
      <c r="K747" s="6" t="s">
        <v>72</v>
      </c>
      <c r="L747" s="6" t="s">
        <v>99</v>
      </c>
      <c r="M747" s="6" t="s">
        <v>3821</v>
      </c>
    </row>
    <row r="748" spans="1:13" ht="13" x14ac:dyDescent="0.15">
      <c r="A748" s="5" t="str">
        <f>HYPERLINK("https://onemount.atlassian.net/browse/DBA-5127","DBA-5127")</f>
        <v>DBA-5127</v>
      </c>
      <c r="B748" s="6" t="s">
        <v>21</v>
      </c>
      <c r="C748" s="6" t="s">
        <v>3822</v>
      </c>
      <c r="D748" s="8" t="s">
        <v>17</v>
      </c>
      <c r="E748" s="6" t="s">
        <v>23</v>
      </c>
      <c r="F748" s="6" t="s">
        <v>41</v>
      </c>
      <c r="G748" s="6" t="s">
        <v>3823</v>
      </c>
      <c r="H748" s="10">
        <v>46189</v>
      </c>
      <c r="I748" s="6" t="s">
        <v>3824</v>
      </c>
      <c r="J748" s="6" t="s">
        <v>67</v>
      </c>
      <c r="K748" s="6" t="s">
        <v>59</v>
      </c>
      <c r="L748" s="6" t="s">
        <v>67</v>
      </c>
      <c r="M748" s="6" t="s">
        <v>3825</v>
      </c>
    </row>
    <row r="749" spans="1:13" ht="13" x14ac:dyDescent="0.15">
      <c r="A749" s="5" t="str">
        <f>HYPERLINK("https://onemount.atlassian.net/browse/DBA-5126","DBA-5126")</f>
        <v>DBA-5126</v>
      </c>
      <c r="B749" s="6" t="s">
        <v>21</v>
      </c>
      <c r="C749" s="6" t="s">
        <v>3826</v>
      </c>
      <c r="D749" s="8" t="s">
        <v>17</v>
      </c>
      <c r="E749" s="6" t="s">
        <v>23</v>
      </c>
      <c r="F749" s="6" t="s">
        <v>52</v>
      </c>
      <c r="G749" s="6" t="s">
        <v>3827</v>
      </c>
      <c r="H749" s="10">
        <v>46184</v>
      </c>
      <c r="I749" s="6" t="s">
        <v>3828</v>
      </c>
      <c r="J749" s="6" t="s">
        <v>478</v>
      </c>
      <c r="K749" s="6" t="s">
        <v>35</v>
      </c>
      <c r="L749" s="6" t="s">
        <v>129</v>
      </c>
      <c r="M749" s="6" t="s">
        <v>3829</v>
      </c>
    </row>
    <row r="750" spans="1:13" ht="13" x14ac:dyDescent="0.15">
      <c r="A750" s="5" t="str">
        <f>HYPERLINK("https://onemount.atlassian.net/browse/DBA-5125","DBA-5125")</f>
        <v>DBA-5125</v>
      </c>
      <c r="B750" s="6" t="s">
        <v>21</v>
      </c>
      <c r="C750" s="6" t="s">
        <v>3830</v>
      </c>
      <c r="D750" s="8" t="s">
        <v>17</v>
      </c>
      <c r="E750" s="6" t="s">
        <v>23</v>
      </c>
      <c r="F750" s="6" t="s">
        <v>52</v>
      </c>
      <c r="G750" s="6" t="s">
        <v>3831</v>
      </c>
      <c r="H750" s="10">
        <v>46184</v>
      </c>
      <c r="I750" s="6" t="s">
        <v>3832</v>
      </c>
      <c r="J750" s="6" t="s">
        <v>374</v>
      </c>
      <c r="K750" s="6" t="s">
        <v>35</v>
      </c>
      <c r="L750" s="6" t="s">
        <v>374</v>
      </c>
      <c r="M750" s="6" t="s">
        <v>3833</v>
      </c>
    </row>
    <row r="751" spans="1:13" ht="13" x14ac:dyDescent="0.15">
      <c r="A751" s="5" t="str">
        <f>HYPERLINK("https://onemount.atlassian.net/browse/DBA-5124","DBA-5124")</f>
        <v>DBA-5124</v>
      </c>
      <c r="B751" s="6" t="s">
        <v>21</v>
      </c>
      <c r="C751" s="6" t="s">
        <v>2330</v>
      </c>
      <c r="D751" s="8" t="s">
        <v>17</v>
      </c>
      <c r="E751" s="6" t="s">
        <v>23</v>
      </c>
      <c r="F751" s="6" t="s">
        <v>52</v>
      </c>
      <c r="G751" s="6" t="s">
        <v>3834</v>
      </c>
      <c r="H751" s="10">
        <v>46184</v>
      </c>
      <c r="I751" s="6" t="s">
        <v>3835</v>
      </c>
      <c r="J751" s="6" t="s">
        <v>55</v>
      </c>
      <c r="K751" s="6" t="s">
        <v>55</v>
      </c>
      <c r="L751" s="6" t="s">
        <v>93</v>
      </c>
      <c r="M751" s="6" t="s">
        <v>3836</v>
      </c>
    </row>
    <row r="752" spans="1:13" ht="13" x14ac:dyDescent="0.15">
      <c r="A752" s="5" t="str">
        <f>HYPERLINK("https://onemount.atlassian.net/browse/DBA-5123","DBA-5123")</f>
        <v>DBA-5123</v>
      </c>
      <c r="B752" s="6" t="s">
        <v>21</v>
      </c>
      <c r="C752" s="6" t="s">
        <v>3837</v>
      </c>
      <c r="D752" s="8" t="s">
        <v>17</v>
      </c>
      <c r="E752" s="6" t="s">
        <v>23</v>
      </c>
      <c r="F752" s="6" t="s">
        <v>52</v>
      </c>
      <c r="G752" s="6" t="s">
        <v>3838</v>
      </c>
      <c r="H752" s="10">
        <v>46185</v>
      </c>
      <c r="I752" s="6" t="s">
        <v>3839</v>
      </c>
      <c r="J752" s="6" t="s">
        <v>56</v>
      </c>
      <c r="K752" s="6" t="s">
        <v>55</v>
      </c>
      <c r="L752" s="6" t="s">
        <v>56</v>
      </c>
      <c r="M752" s="6" t="s">
        <v>3840</v>
      </c>
    </row>
    <row r="753" spans="1:13" ht="13" x14ac:dyDescent="0.15">
      <c r="A753" s="5" t="str">
        <f>HYPERLINK("https://onemount.atlassian.net/browse/DBA-5122","DBA-5122")</f>
        <v>DBA-5122</v>
      </c>
      <c r="B753" s="6" t="s">
        <v>21</v>
      </c>
      <c r="C753" s="6" t="s">
        <v>3841</v>
      </c>
      <c r="D753" s="8" t="s">
        <v>17</v>
      </c>
      <c r="E753" s="6" t="s">
        <v>23</v>
      </c>
      <c r="F753" s="6" t="s">
        <v>87</v>
      </c>
      <c r="G753" s="6" t="s">
        <v>3842</v>
      </c>
      <c r="H753" s="10">
        <v>46184</v>
      </c>
      <c r="I753" s="6" t="s">
        <v>3843</v>
      </c>
      <c r="J753" s="6" t="s">
        <v>1898</v>
      </c>
      <c r="K753" s="6" t="s">
        <v>165</v>
      </c>
      <c r="L753" s="6" t="s">
        <v>1097</v>
      </c>
      <c r="M753" s="6" t="s">
        <v>3844</v>
      </c>
    </row>
    <row r="754" spans="1:13" ht="13" x14ac:dyDescent="0.15">
      <c r="A754" s="5" t="str">
        <f>HYPERLINK("https://onemount.atlassian.net/browse/DBA-5118","DBA-5118")</f>
        <v>DBA-5118</v>
      </c>
      <c r="B754" s="6" t="s">
        <v>21</v>
      </c>
      <c r="C754" s="6" t="s">
        <v>2991</v>
      </c>
      <c r="D754" s="8" t="s">
        <v>17</v>
      </c>
      <c r="E754" s="6" t="s">
        <v>23</v>
      </c>
      <c r="F754" s="6" t="s">
        <v>41</v>
      </c>
      <c r="G754" s="6" t="s">
        <v>3845</v>
      </c>
      <c r="H754" s="10">
        <v>46184</v>
      </c>
      <c r="I754" s="6" t="s">
        <v>3846</v>
      </c>
      <c r="J754" s="6" t="s">
        <v>67</v>
      </c>
      <c r="K754" s="6" t="s">
        <v>59</v>
      </c>
      <c r="L754" s="6" t="s">
        <v>67</v>
      </c>
      <c r="M754" s="6" t="s">
        <v>3847</v>
      </c>
    </row>
    <row r="755" spans="1:13" ht="13" x14ac:dyDescent="0.15">
      <c r="A755" s="5" t="str">
        <f>HYPERLINK("https://onemount.atlassian.net/browse/DBA-5117","DBA-5117")</f>
        <v>DBA-5117</v>
      </c>
      <c r="B755" s="6" t="s">
        <v>21</v>
      </c>
      <c r="C755" s="6" t="s">
        <v>3848</v>
      </c>
      <c r="D755" s="8" t="s">
        <v>17</v>
      </c>
      <c r="E755" s="6" t="s">
        <v>23</v>
      </c>
      <c r="F755" s="6" t="s">
        <v>52</v>
      </c>
      <c r="G755" s="6" t="s">
        <v>3849</v>
      </c>
      <c r="H755" s="10">
        <v>46185</v>
      </c>
      <c r="I755" s="6" t="s">
        <v>3850</v>
      </c>
      <c r="J755" s="6" t="s">
        <v>128</v>
      </c>
      <c r="K755" s="6" t="s">
        <v>35</v>
      </c>
      <c r="L755" s="6" t="s">
        <v>129</v>
      </c>
      <c r="M755" s="6" t="s">
        <v>3851</v>
      </c>
    </row>
    <row r="756" spans="1:13" ht="13" x14ac:dyDescent="0.15">
      <c r="A756" s="5" t="str">
        <f>HYPERLINK("https://onemount.atlassian.net/browse/DBA-5116","DBA-5116")</f>
        <v>DBA-5116</v>
      </c>
      <c r="B756" s="6" t="s">
        <v>21</v>
      </c>
      <c r="C756" s="6" t="s">
        <v>3852</v>
      </c>
      <c r="D756" s="8" t="s">
        <v>17</v>
      </c>
      <c r="E756" s="6" t="s">
        <v>23</v>
      </c>
      <c r="F756" s="6" t="s">
        <v>31</v>
      </c>
      <c r="G756" s="6" t="s">
        <v>3853</v>
      </c>
      <c r="H756" s="10">
        <v>46184</v>
      </c>
      <c r="I756" s="6" t="s">
        <v>3854</v>
      </c>
      <c r="J756" s="6" t="s">
        <v>181</v>
      </c>
      <c r="K756" s="6" t="s">
        <v>35</v>
      </c>
      <c r="L756" s="6" t="s">
        <v>638</v>
      </c>
      <c r="M756" s="6" t="s">
        <v>3855</v>
      </c>
    </row>
    <row r="757" spans="1:13" ht="13" x14ac:dyDescent="0.15">
      <c r="A757" s="21" t="str">
        <f>HYPERLINK("https://onemount.atlassian.net/browse/DBA-5115","DBA-5115")</f>
        <v>DBA-5115</v>
      </c>
      <c r="B757" s="6" t="s">
        <v>21</v>
      </c>
      <c r="C757" s="6" t="s">
        <v>3818</v>
      </c>
      <c r="D757" s="8" t="s">
        <v>17</v>
      </c>
      <c r="E757" s="6" t="s">
        <v>23</v>
      </c>
      <c r="F757" s="6" t="s">
        <v>41</v>
      </c>
      <c r="G757" s="6" t="s">
        <v>3856</v>
      </c>
      <c r="H757" s="10">
        <v>46189</v>
      </c>
      <c r="I757" s="6" t="s">
        <v>3857</v>
      </c>
      <c r="J757" s="6" t="s">
        <v>72</v>
      </c>
      <c r="K757" s="6" t="s">
        <v>72</v>
      </c>
      <c r="L757" s="6" t="s">
        <v>99</v>
      </c>
      <c r="M757" s="6" t="s">
        <v>3821</v>
      </c>
    </row>
    <row r="758" spans="1:13" ht="13" x14ac:dyDescent="0.15">
      <c r="A758" s="5" t="str">
        <f>HYPERLINK("https://onemount.atlassian.net/browse/DBA-5114","DBA-5114")</f>
        <v>DBA-5114</v>
      </c>
      <c r="B758" s="6" t="s">
        <v>21</v>
      </c>
      <c r="C758" s="6" t="s">
        <v>2061</v>
      </c>
      <c r="D758" s="8" t="s">
        <v>17</v>
      </c>
      <c r="E758" s="6" t="s">
        <v>23</v>
      </c>
      <c r="F758" s="6" t="s">
        <v>24</v>
      </c>
      <c r="G758" s="6" t="s">
        <v>3858</v>
      </c>
      <c r="H758" s="10">
        <v>46185</v>
      </c>
      <c r="I758" s="6" t="s">
        <v>3859</v>
      </c>
      <c r="J758" s="6" t="s">
        <v>55</v>
      </c>
      <c r="K758" s="6" t="s">
        <v>55</v>
      </c>
      <c r="L758" s="6" t="s">
        <v>55</v>
      </c>
      <c r="M758" s="6" t="s">
        <v>3860</v>
      </c>
    </row>
    <row r="759" spans="1:13" ht="13" x14ac:dyDescent="0.15">
      <c r="A759" s="5" t="str">
        <f>HYPERLINK("https://onemount.atlassian.net/browse/DBA-5110","DBA-5110")</f>
        <v>DBA-5110</v>
      </c>
      <c r="B759" s="6" t="s">
        <v>21</v>
      </c>
      <c r="C759" s="6" t="s">
        <v>3861</v>
      </c>
      <c r="D759" s="8" t="s">
        <v>17</v>
      </c>
      <c r="E759" s="6" t="s">
        <v>23</v>
      </c>
      <c r="F759" s="6" t="s">
        <v>31</v>
      </c>
      <c r="G759" s="6" t="s">
        <v>3862</v>
      </c>
      <c r="H759" s="10">
        <v>46183</v>
      </c>
      <c r="I759" s="6" t="s">
        <v>3863</v>
      </c>
      <c r="J759" s="6" t="s">
        <v>181</v>
      </c>
      <c r="K759" s="6" t="s">
        <v>35</v>
      </c>
      <c r="L759" s="6" t="s">
        <v>638</v>
      </c>
      <c r="M759" s="6" t="s">
        <v>3864</v>
      </c>
    </row>
    <row r="760" spans="1:13" ht="13" x14ac:dyDescent="0.15">
      <c r="A760" s="5" t="str">
        <f>HYPERLINK("https://onemount.atlassian.net/browse/DBA-5109","DBA-5109")</f>
        <v>DBA-5109</v>
      </c>
      <c r="B760" s="6" t="s">
        <v>21</v>
      </c>
      <c r="C760" s="6" t="s">
        <v>3865</v>
      </c>
      <c r="D760" s="8" t="s">
        <v>17</v>
      </c>
      <c r="E760" s="6" t="s">
        <v>23</v>
      </c>
      <c r="F760" s="6" t="s">
        <v>31</v>
      </c>
      <c r="G760" s="6" t="s">
        <v>3866</v>
      </c>
      <c r="H760" s="10">
        <v>46184</v>
      </c>
      <c r="I760" s="6" t="s">
        <v>3867</v>
      </c>
      <c r="J760" s="6" t="s">
        <v>119</v>
      </c>
      <c r="K760" s="6" t="s">
        <v>35</v>
      </c>
      <c r="L760" s="6" t="s">
        <v>119</v>
      </c>
      <c r="M760" s="6" t="s">
        <v>3868</v>
      </c>
    </row>
    <row r="761" spans="1:13" ht="13" x14ac:dyDescent="0.15">
      <c r="A761" s="21" t="str">
        <f>HYPERLINK("https://onemount.atlassian.net/browse/DBA-5108","DBA-5108")</f>
        <v>DBA-5108</v>
      </c>
      <c r="B761" s="6" t="s">
        <v>21</v>
      </c>
      <c r="C761" s="6" t="s">
        <v>2684</v>
      </c>
      <c r="D761" s="8" t="s">
        <v>17</v>
      </c>
      <c r="E761" s="6" t="s">
        <v>23</v>
      </c>
      <c r="F761" s="6" t="s">
        <v>31</v>
      </c>
      <c r="G761" s="6" t="s">
        <v>3869</v>
      </c>
      <c r="H761" s="10">
        <v>46183</v>
      </c>
      <c r="I761" s="6" t="s">
        <v>3870</v>
      </c>
      <c r="J761" s="6" t="s">
        <v>2687</v>
      </c>
      <c r="K761" s="6" t="s">
        <v>46</v>
      </c>
      <c r="L761" s="6" t="s">
        <v>404</v>
      </c>
      <c r="M761" s="6" t="s">
        <v>3871</v>
      </c>
    </row>
    <row r="762" spans="1:13" ht="13" x14ac:dyDescent="0.15">
      <c r="A762" s="5" t="str">
        <f>HYPERLINK("https://onemount.atlassian.net/browse/DBA-5107","DBA-5107")</f>
        <v>DBA-5107</v>
      </c>
      <c r="B762" s="6" t="s">
        <v>21</v>
      </c>
      <c r="C762" s="6" t="s">
        <v>3872</v>
      </c>
      <c r="D762" s="8" t="s">
        <v>17</v>
      </c>
      <c r="E762" s="6" t="s">
        <v>23</v>
      </c>
      <c r="F762" s="6" t="s">
        <v>52</v>
      </c>
      <c r="G762" s="6" t="s">
        <v>3873</v>
      </c>
      <c r="H762" s="10">
        <v>46183</v>
      </c>
      <c r="I762" s="6" t="s">
        <v>3874</v>
      </c>
      <c r="J762" s="6" t="s">
        <v>71</v>
      </c>
      <c r="K762" s="6" t="s">
        <v>35</v>
      </c>
      <c r="L762" s="6" t="s">
        <v>71</v>
      </c>
      <c r="M762" s="6" t="s">
        <v>3875</v>
      </c>
    </row>
    <row r="763" spans="1:13" ht="13" x14ac:dyDescent="0.15">
      <c r="A763" s="5" t="str">
        <f>HYPERLINK("https://onemount.atlassian.net/browse/DBA-5105","DBA-5105")</f>
        <v>DBA-5105</v>
      </c>
      <c r="B763" s="6" t="s">
        <v>21</v>
      </c>
      <c r="C763" s="6" t="s">
        <v>3876</v>
      </c>
      <c r="D763" s="8" t="s">
        <v>17</v>
      </c>
      <c r="E763" s="6" t="s">
        <v>23</v>
      </c>
      <c r="F763" s="6" t="s">
        <v>31</v>
      </c>
      <c r="G763" s="6" t="s">
        <v>3877</v>
      </c>
      <c r="H763" s="10">
        <v>46184</v>
      </c>
      <c r="I763" s="6" t="s">
        <v>3878</v>
      </c>
      <c r="J763" s="6" t="s">
        <v>181</v>
      </c>
      <c r="K763" s="6" t="s">
        <v>35</v>
      </c>
      <c r="L763" s="6" t="s">
        <v>638</v>
      </c>
      <c r="M763" s="6" t="s">
        <v>3879</v>
      </c>
    </row>
    <row r="764" spans="1:13" ht="13" x14ac:dyDescent="0.15">
      <c r="A764" s="5" t="str">
        <f>HYPERLINK("https://onemount.atlassian.net/browse/DBA-5104","DBA-5104")</f>
        <v>DBA-5104</v>
      </c>
      <c r="B764" s="6" t="s">
        <v>21</v>
      </c>
      <c r="C764" s="6" t="s">
        <v>3880</v>
      </c>
      <c r="D764" s="8" t="s">
        <v>17</v>
      </c>
      <c r="E764" s="6" t="s">
        <v>23</v>
      </c>
      <c r="F764" s="6" t="s">
        <v>87</v>
      </c>
      <c r="G764" s="6" t="s">
        <v>3881</v>
      </c>
      <c r="H764" s="10">
        <v>46183</v>
      </c>
      <c r="I764" s="6" t="s">
        <v>3882</v>
      </c>
      <c r="J764" s="6" t="s">
        <v>580</v>
      </c>
      <c r="K764" s="6" t="s">
        <v>165</v>
      </c>
      <c r="L764" s="6" t="s">
        <v>580</v>
      </c>
      <c r="M764" s="6" t="s">
        <v>3883</v>
      </c>
    </row>
    <row r="765" spans="1:13" ht="13" x14ac:dyDescent="0.15">
      <c r="A765" s="5" t="str">
        <f>HYPERLINK("https://onemount.atlassian.net/browse/DBA-5100","DBA-5100")</f>
        <v>DBA-5100</v>
      </c>
      <c r="B765" s="23" t="str">
        <f t="shared" ref="B765:B767" si="8">HYPERLINK("https://onemount.atlassian.net/browse/DBA-5097","DBA-5097")</f>
        <v>DBA-5097</v>
      </c>
      <c r="C765" s="6" t="s">
        <v>3884</v>
      </c>
      <c r="D765" s="8" t="s">
        <v>17</v>
      </c>
      <c r="E765" s="6" t="s">
        <v>428</v>
      </c>
      <c r="F765" s="6" t="s">
        <v>24</v>
      </c>
      <c r="G765" s="6" t="s">
        <v>3885</v>
      </c>
      <c r="H765" s="10">
        <v>46183</v>
      </c>
      <c r="I765" s="6" t="s">
        <v>3886</v>
      </c>
      <c r="J765" s="6" t="s">
        <v>2796</v>
      </c>
      <c r="K765" s="6" t="s">
        <v>55</v>
      </c>
      <c r="L765" s="6" t="s">
        <v>827</v>
      </c>
      <c r="M765" s="6" t="s">
        <v>3887</v>
      </c>
    </row>
    <row r="766" spans="1:13" ht="13" x14ac:dyDescent="0.15">
      <c r="A766" s="5" t="str">
        <f>HYPERLINK("https://onemount.atlassian.net/browse/DBA-5099","DBA-5099")</f>
        <v>DBA-5099</v>
      </c>
      <c r="B766" s="23" t="str">
        <f t="shared" si="8"/>
        <v>DBA-5097</v>
      </c>
      <c r="C766" s="6" t="s">
        <v>3888</v>
      </c>
      <c r="D766" s="8" t="s">
        <v>17</v>
      </c>
      <c r="E766" s="6" t="s">
        <v>428</v>
      </c>
      <c r="F766" s="6" t="s">
        <v>24</v>
      </c>
      <c r="G766" s="6" t="s">
        <v>3889</v>
      </c>
      <c r="H766" s="10">
        <v>46189</v>
      </c>
      <c r="I766" s="6" t="s">
        <v>3890</v>
      </c>
      <c r="J766" s="6" t="s">
        <v>2796</v>
      </c>
      <c r="K766" s="6" t="s">
        <v>55</v>
      </c>
      <c r="L766" s="6" t="s">
        <v>827</v>
      </c>
      <c r="M766" s="6" t="s">
        <v>3891</v>
      </c>
    </row>
    <row r="767" spans="1:13" ht="13" x14ac:dyDescent="0.15">
      <c r="A767" s="21" t="str">
        <f>HYPERLINK("https://onemount.atlassian.net/browse/DBA-5098","DBA-5098")</f>
        <v>DBA-5098</v>
      </c>
      <c r="B767" s="23" t="str">
        <f t="shared" si="8"/>
        <v>DBA-5097</v>
      </c>
      <c r="C767" s="6" t="s">
        <v>3892</v>
      </c>
      <c r="D767" s="8" t="s">
        <v>17</v>
      </c>
      <c r="E767" s="6" t="s">
        <v>428</v>
      </c>
      <c r="F767" s="6" t="s">
        <v>24</v>
      </c>
      <c r="G767" s="6" t="s">
        <v>3893</v>
      </c>
      <c r="H767" s="10">
        <v>46189</v>
      </c>
      <c r="I767" s="6" t="s">
        <v>3894</v>
      </c>
      <c r="J767" s="6" t="s">
        <v>2796</v>
      </c>
      <c r="K767" s="6" t="s">
        <v>55</v>
      </c>
      <c r="L767" s="6" t="s">
        <v>827</v>
      </c>
      <c r="M767" s="6" t="s">
        <v>3895</v>
      </c>
    </row>
    <row r="768" spans="1:13" ht="13" x14ac:dyDescent="0.15">
      <c r="A768" s="5" t="str">
        <f>HYPERLINK("https://onemount.atlassian.net/browse/DBA-5097","DBA-5097")</f>
        <v>DBA-5097</v>
      </c>
      <c r="B768" s="23" t="str">
        <f>HYPERLINK("https://onemount.atlassian.net/browse/DBA-3006","DBA-3006")</f>
        <v>DBA-3006</v>
      </c>
      <c r="C768" s="6" t="s">
        <v>3896</v>
      </c>
      <c r="D768" s="8" t="s">
        <v>17</v>
      </c>
      <c r="E768" s="6" t="s">
        <v>23</v>
      </c>
      <c r="F768" s="6" t="s">
        <v>24</v>
      </c>
      <c r="G768" s="6" t="s">
        <v>3897</v>
      </c>
      <c r="H768" s="10">
        <v>46192</v>
      </c>
      <c r="I768" s="6" t="s">
        <v>3898</v>
      </c>
      <c r="J768" s="6" t="s">
        <v>2796</v>
      </c>
      <c r="K768" s="6" t="s">
        <v>55</v>
      </c>
      <c r="L768" s="6" t="s">
        <v>827</v>
      </c>
      <c r="M768" s="6" t="s">
        <v>3899</v>
      </c>
    </row>
    <row r="769" spans="1:13" ht="13" x14ac:dyDescent="0.15">
      <c r="A769" s="21" t="str">
        <f>HYPERLINK("https://onemount.atlassian.net/browse/DBA-5096","DBA-5096")</f>
        <v>DBA-5096</v>
      </c>
      <c r="B769" s="6" t="s">
        <v>21</v>
      </c>
      <c r="C769" s="6" t="s">
        <v>3289</v>
      </c>
      <c r="D769" s="8" t="s">
        <v>17</v>
      </c>
      <c r="E769" s="6" t="s">
        <v>23</v>
      </c>
      <c r="F769" s="6" t="s">
        <v>52</v>
      </c>
      <c r="G769" s="6" t="s">
        <v>3900</v>
      </c>
      <c r="H769" s="10">
        <v>46183</v>
      </c>
      <c r="I769" s="6" t="s">
        <v>3901</v>
      </c>
      <c r="J769" s="6" t="s">
        <v>56</v>
      </c>
      <c r="K769" s="6" t="s">
        <v>55</v>
      </c>
      <c r="L769" s="6" t="s">
        <v>56</v>
      </c>
      <c r="M769" s="6" t="s">
        <v>3292</v>
      </c>
    </row>
    <row r="770" spans="1:13" ht="13" x14ac:dyDescent="0.15">
      <c r="A770" s="5" t="str">
        <f>HYPERLINK("https://onemount.atlassian.net/browse/DBA-5093","DBA-5093")</f>
        <v>DBA-5093</v>
      </c>
      <c r="B770" s="6" t="s">
        <v>21</v>
      </c>
      <c r="C770" s="6" t="s">
        <v>3902</v>
      </c>
      <c r="D770" s="8" t="s">
        <v>17</v>
      </c>
      <c r="E770" s="6" t="s">
        <v>23</v>
      </c>
      <c r="F770" s="6" t="s">
        <v>41</v>
      </c>
      <c r="G770" s="6" t="s">
        <v>3903</v>
      </c>
      <c r="H770" s="10">
        <v>46192</v>
      </c>
      <c r="I770" s="6" t="s">
        <v>3904</v>
      </c>
      <c r="J770" s="6" t="s">
        <v>216</v>
      </c>
      <c r="K770" s="6" t="s">
        <v>72</v>
      </c>
      <c r="L770" s="6" t="s">
        <v>216</v>
      </c>
      <c r="M770" s="6" t="s">
        <v>3905</v>
      </c>
    </row>
    <row r="771" spans="1:13" ht="13" x14ac:dyDescent="0.15">
      <c r="A771" s="5" t="str">
        <f>HYPERLINK("https://onemount.atlassian.net/browse/DBA-5092","DBA-5092")</f>
        <v>DBA-5092</v>
      </c>
      <c r="B771" s="6" t="s">
        <v>21</v>
      </c>
      <c r="C771" s="6" t="s">
        <v>3906</v>
      </c>
      <c r="D771" s="8" t="s">
        <v>17</v>
      </c>
      <c r="E771" s="6" t="s">
        <v>23</v>
      </c>
      <c r="F771" s="6" t="s">
        <v>87</v>
      </c>
      <c r="G771" s="6" t="s">
        <v>3907</v>
      </c>
      <c r="H771" s="10">
        <v>46183</v>
      </c>
      <c r="I771" s="6" t="s">
        <v>3908</v>
      </c>
      <c r="J771" s="6" t="s">
        <v>165</v>
      </c>
      <c r="K771" s="6" t="s">
        <v>165</v>
      </c>
      <c r="L771" s="6" t="s">
        <v>580</v>
      </c>
      <c r="M771" s="6" t="s">
        <v>3909</v>
      </c>
    </row>
    <row r="772" spans="1:13" ht="13" x14ac:dyDescent="0.15">
      <c r="A772" s="5" t="str">
        <f>HYPERLINK("https://onemount.atlassian.net/browse/DBA-5090","DBA-5090")</f>
        <v>DBA-5090</v>
      </c>
      <c r="B772" s="6" t="s">
        <v>21</v>
      </c>
      <c r="C772" s="6" t="s">
        <v>3910</v>
      </c>
      <c r="D772" s="8" t="s">
        <v>17</v>
      </c>
      <c r="E772" s="6" t="s">
        <v>23</v>
      </c>
      <c r="F772" s="6" t="s">
        <v>52</v>
      </c>
      <c r="G772" s="6" t="s">
        <v>3911</v>
      </c>
      <c r="H772" s="10">
        <v>46181</v>
      </c>
      <c r="I772" s="6" t="s">
        <v>3912</v>
      </c>
      <c r="J772" s="6" t="s">
        <v>1069</v>
      </c>
      <c r="K772" s="6" t="s">
        <v>35</v>
      </c>
      <c r="L772" s="6" t="s">
        <v>1069</v>
      </c>
      <c r="M772" s="6" t="s">
        <v>3913</v>
      </c>
    </row>
    <row r="773" spans="1:13" ht="13" x14ac:dyDescent="0.15">
      <c r="A773" s="5" t="str">
        <f>HYPERLINK("https://onemount.atlassian.net/browse/DBA-5089","DBA-5089")</f>
        <v>DBA-5089</v>
      </c>
      <c r="B773" s="6" t="s">
        <v>21</v>
      </c>
      <c r="C773" s="6" t="s">
        <v>3914</v>
      </c>
      <c r="D773" s="8" t="s">
        <v>17</v>
      </c>
      <c r="E773" s="6" t="s">
        <v>23</v>
      </c>
      <c r="F773" s="6" t="s">
        <v>52</v>
      </c>
      <c r="G773" s="6" t="s">
        <v>3915</v>
      </c>
      <c r="H773" s="10">
        <v>46181</v>
      </c>
      <c r="I773" s="6" t="s">
        <v>3916</v>
      </c>
      <c r="J773" s="6" t="s">
        <v>85</v>
      </c>
      <c r="K773" s="6" t="s">
        <v>55</v>
      </c>
      <c r="L773" s="6" t="s">
        <v>85</v>
      </c>
      <c r="M773" s="6" t="s">
        <v>3917</v>
      </c>
    </row>
    <row r="774" spans="1:13" ht="13" x14ac:dyDescent="0.15">
      <c r="A774" s="5" t="str">
        <f>HYPERLINK("https://onemount.atlassian.net/browse/DBA-5087","DBA-5087")</f>
        <v>DBA-5087</v>
      </c>
      <c r="B774" s="6" t="s">
        <v>21</v>
      </c>
      <c r="C774" s="6" t="s">
        <v>3918</v>
      </c>
      <c r="D774" s="8" t="s">
        <v>17</v>
      </c>
      <c r="E774" s="6" t="s">
        <v>23</v>
      </c>
      <c r="F774" s="6" t="s">
        <v>31</v>
      </c>
      <c r="G774" s="6" t="s">
        <v>3919</v>
      </c>
      <c r="H774" s="10">
        <v>46181</v>
      </c>
      <c r="I774" s="6" t="s">
        <v>3920</v>
      </c>
      <c r="J774" s="6" t="s">
        <v>181</v>
      </c>
      <c r="K774" s="6" t="s">
        <v>35</v>
      </c>
      <c r="L774" s="6" t="s">
        <v>638</v>
      </c>
      <c r="M774" s="6" t="s">
        <v>3921</v>
      </c>
    </row>
    <row r="775" spans="1:13" ht="13" x14ac:dyDescent="0.15">
      <c r="A775" s="5" t="str">
        <f>HYPERLINK("https://onemount.atlassian.net/browse/DBA-5086","DBA-5086")</f>
        <v>DBA-5086</v>
      </c>
      <c r="B775" s="6" t="s">
        <v>21</v>
      </c>
      <c r="C775" s="6" t="s">
        <v>481</v>
      </c>
      <c r="D775" s="8" t="s">
        <v>17</v>
      </c>
      <c r="E775" s="6" t="s">
        <v>23</v>
      </c>
      <c r="F775" s="6" t="s">
        <v>24</v>
      </c>
      <c r="G775" s="6" t="s">
        <v>3922</v>
      </c>
      <c r="H775" s="10">
        <v>46181</v>
      </c>
      <c r="I775" s="6" t="s">
        <v>3923</v>
      </c>
      <c r="J775" s="6" t="s">
        <v>88</v>
      </c>
      <c r="K775" s="6" t="s">
        <v>59</v>
      </c>
      <c r="L775" s="6" t="s">
        <v>88</v>
      </c>
      <c r="M775" s="6" t="s">
        <v>3924</v>
      </c>
    </row>
    <row r="776" spans="1:13" ht="13" x14ac:dyDescent="0.15">
      <c r="A776" s="5" t="str">
        <f>HYPERLINK("https://onemount.atlassian.net/browse/DBA-5084","DBA-5084")</f>
        <v>DBA-5084</v>
      </c>
      <c r="B776" s="6" t="s">
        <v>21</v>
      </c>
      <c r="C776" s="6" t="s">
        <v>3925</v>
      </c>
      <c r="D776" s="8" t="s">
        <v>17</v>
      </c>
      <c r="E776" s="6" t="s">
        <v>23</v>
      </c>
      <c r="F776" s="6" t="s">
        <v>31</v>
      </c>
      <c r="G776" s="6" t="s">
        <v>3926</v>
      </c>
      <c r="H776" s="10">
        <v>46182</v>
      </c>
      <c r="I776" s="6" t="s">
        <v>3927</v>
      </c>
      <c r="J776" s="6" t="s">
        <v>3766</v>
      </c>
      <c r="K776" s="6" t="s">
        <v>46</v>
      </c>
      <c r="L776" s="6" t="s">
        <v>46</v>
      </c>
      <c r="M776" s="6" t="s">
        <v>3928</v>
      </c>
    </row>
    <row r="777" spans="1:13" ht="13" x14ac:dyDescent="0.15">
      <c r="A777" s="5" t="str">
        <f>HYPERLINK("https://onemount.atlassian.net/browse/DBA-5076","DBA-5076")</f>
        <v>DBA-5076</v>
      </c>
      <c r="B777" s="6" t="s">
        <v>21</v>
      </c>
      <c r="C777" s="6" t="s">
        <v>3929</v>
      </c>
      <c r="D777" s="8" t="s">
        <v>17</v>
      </c>
      <c r="E777" s="6" t="s">
        <v>23</v>
      </c>
      <c r="F777" s="6" t="s">
        <v>31</v>
      </c>
      <c r="G777" s="6" t="s">
        <v>3930</v>
      </c>
      <c r="H777" s="10">
        <v>46182</v>
      </c>
      <c r="I777" s="6" t="s">
        <v>3931</v>
      </c>
      <c r="J777" s="6" t="s">
        <v>128</v>
      </c>
      <c r="K777" s="6" t="s">
        <v>35</v>
      </c>
      <c r="L777" s="6" t="s">
        <v>129</v>
      </c>
      <c r="M777" s="6" t="s">
        <v>3932</v>
      </c>
    </row>
    <row r="778" spans="1:13" ht="13" x14ac:dyDescent="0.15">
      <c r="A778" s="5" t="str">
        <f>HYPERLINK("https://onemount.atlassian.net/browse/DBA-5075","DBA-5075")</f>
        <v>DBA-5075</v>
      </c>
      <c r="B778" s="6" t="s">
        <v>21</v>
      </c>
      <c r="C778" s="6" t="s">
        <v>3933</v>
      </c>
      <c r="D778" s="8" t="s">
        <v>17</v>
      </c>
      <c r="E778" s="6" t="s">
        <v>23</v>
      </c>
      <c r="F778" s="6" t="s">
        <v>52</v>
      </c>
      <c r="G778" s="6" t="s">
        <v>3934</v>
      </c>
      <c r="H778" s="10">
        <v>46182</v>
      </c>
      <c r="I778" s="6" t="s">
        <v>3935</v>
      </c>
      <c r="J778" s="6" t="s">
        <v>621</v>
      </c>
      <c r="K778" s="6" t="s">
        <v>55</v>
      </c>
      <c r="L778" s="6" t="s">
        <v>85</v>
      </c>
      <c r="M778" s="6" t="s">
        <v>3936</v>
      </c>
    </row>
    <row r="779" spans="1:13" ht="13" x14ac:dyDescent="0.15">
      <c r="A779" s="5" t="str">
        <f>HYPERLINK("https://onemount.atlassian.net/browse/DBA-5074","DBA-5074")</f>
        <v>DBA-5074</v>
      </c>
      <c r="B779" s="6" t="s">
        <v>21</v>
      </c>
      <c r="C779" s="6" t="s">
        <v>3937</v>
      </c>
      <c r="D779" s="8" t="s">
        <v>17</v>
      </c>
      <c r="E779" s="6" t="s">
        <v>23</v>
      </c>
      <c r="F779" s="6" t="s">
        <v>52</v>
      </c>
      <c r="G779" s="6" t="s">
        <v>3938</v>
      </c>
      <c r="H779" s="10">
        <v>46182</v>
      </c>
      <c r="I779" s="6" t="s">
        <v>3939</v>
      </c>
      <c r="J779" s="6" t="s">
        <v>3940</v>
      </c>
      <c r="K779" s="6" t="s">
        <v>46</v>
      </c>
      <c r="L779" s="6" t="s">
        <v>72</v>
      </c>
      <c r="M779" s="6" t="s">
        <v>3941</v>
      </c>
    </row>
    <row r="780" spans="1:13" ht="13" x14ac:dyDescent="0.15">
      <c r="A780" s="5" t="str">
        <f>HYPERLINK("https://onemount.atlassian.net/browse/DBA-5073","DBA-5073")</f>
        <v>DBA-5073</v>
      </c>
      <c r="B780" s="6" t="s">
        <v>21</v>
      </c>
      <c r="C780" s="6" t="s">
        <v>3942</v>
      </c>
      <c r="D780" s="8" t="s">
        <v>17</v>
      </c>
      <c r="E780" s="6" t="s">
        <v>23</v>
      </c>
      <c r="F780" s="6" t="s">
        <v>52</v>
      </c>
      <c r="G780" s="6" t="s">
        <v>3943</v>
      </c>
      <c r="H780" s="10">
        <v>46181</v>
      </c>
      <c r="I780" s="6" t="s">
        <v>3944</v>
      </c>
      <c r="J780" s="6" t="s">
        <v>85</v>
      </c>
      <c r="K780" s="6" t="s">
        <v>55</v>
      </c>
      <c r="L780" s="6" t="s">
        <v>85</v>
      </c>
      <c r="M780" s="6" t="s">
        <v>3945</v>
      </c>
    </row>
    <row r="781" spans="1:13" ht="13" x14ac:dyDescent="0.15">
      <c r="A781" s="5" t="str">
        <f>HYPERLINK("https://onemount.atlassian.net/browse/DBA-5072","DBA-5072")</f>
        <v>DBA-5072</v>
      </c>
      <c r="B781" s="6" t="s">
        <v>21</v>
      </c>
      <c r="C781" s="6" t="s">
        <v>3946</v>
      </c>
      <c r="D781" s="8" t="s">
        <v>17</v>
      </c>
      <c r="E781" s="6" t="s">
        <v>23</v>
      </c>
      <c r="F781" s="6" t="s">
        <v>52</v>
      </c>
      <c r="G781" s="6" t="s">
        <v>3947</v>
      </c>
      <c r="H781" s="10">
        <v>46182</v>
      </c>
      <c r="I781" s="6" t="s">
        <v>3948</v>
      </c>
      <c r="J781" s="6" t="s">
        <v>3949</v>
      </c>
      <c r="K781" s="6" t="s">
        <v>55</v>
      </c>
      <c r="L781" s="6" t="s">
        <v>67</v>
      </c>
      <c r="M781" s="6" t="s">
        <v>3950</v>
      </c>
    </row>
    <row r="782" spans="1:13" ht="13" x14ac:dyDescent="0.15">
      <c r="A782" s="5" t="str">
        <f>HYPERLINK("https://onemount.atlassian.net/browse/DBA-5070","DBA-5070")</f>
        <v>DBA-5070</v>
      </c>
      <c r="B782" s="6" t="s">
        <v>21</v>
      </c>
      <c r="C782" s="6" t="s">
        <v>3951</v>
      </c>
      <c r="D782" s="8" t="s">
        <v>17</v>
      </c>
      <c r="E782" s="6" t="s">
        <v>23</v>
      </c>
      <c r="F782" s="6" t="s">
        <v>31</v>
      </c>
      <c r="G782" s="6" t="s">
        <v>3952</v>
      </c>
      <c r="H782" s="10">
        <v>46179</v>
      </c>
      <c r="I782" s="6" t="s">
        <v>3953</v>
      </c>
      <c r="J782" s="6" t="s">
        <v>489</v>
      </c>
      <c r="K782" s="6" t="s">
        <v>35</v>
      </c>
      <c r="L782" s="6" t="s">
        <v>36</v>
      </c>
      <c r="M782" s="6" t="s">
        <v>3954</v>
      </c>
    </row>
    <row r="783" spans="1:13" ht="13" x14ac:dyDescent="0.15">
      <c r="A783" s="5" t="str">
        <f>HYPERLINK("https://onemount.atlassian.net/browse/DBA-5067","DBA-5067")</f>
        <v>DBA-5067</v>
      </c>
      <c r="B783" s="6" t="s">
        <v>21</v>
      </c>
      <c r="C783" s="6" t="s">
        <v>3955</v>
      </c>
      <c r="D783" s="8" t="s">
        <v>17</v>
      </c>
      <c r="E783" s="6" t="s">
        <v>23</v>
      </c>
      <c r="F783" s="6" t="s">
        <v>52</v>
      </c>
      <c r="G783" s="6" t="s">
        <v>3956</v>
      </c>
      <c r="H783" s="10">
        <v>46178</v>
      </c>
      <c r="I783" s="6" t="s">
        <v>3957</v>
      </c>
      <c r="J783" s="6" t="s">
        <v>2919</v>
      </c>
      <c r="K783" s="6" t="s">
        <v>72</v>
      </c>
      <c r="L783" s="6" t="s">
        <v>188</v>
      </c>
      <c r="M783" s="6" t="s">
        <v>3958</v>
      </c>
    </row>
    <row r="784" spans="1:13" ht="13" x14ac:dyDescent="0.15">
      <c r="A784" s="5" t="str">
        <f>HYPERLINK("https://onemount.atlassian.net/browse/DBA-5066","DBA-5066")</f>
        <v>DBA-5066</v>
      </c>
      <c r="B784" s="6" t="s">
        <v>21</v>
      </c>
      <c r="C784" s="6" t="s">
        <v>3959</v>
      </c>
      <c r="D784" s="8" t="s">
        <v>17</v>
      </c>
      <c r="E784" s="6" t="s">
        <v>23</v>
      </c>
      <c r="F784" s="6" t="s">
        <v>24</v>
      </c>
      <c r="G784" s="6" t="s">
        <v>3960</v>
      </c>
      <c r="H784" s="10">
        <v>46181</v>
      </c>
      <c r="I784" s="6" t="s">
        <v>3961</v>
      </c>
      <c r="J784" s="6" t="s">
        <v>27</v>
      </c>
      <c r="K784" s="6" t="s">
        <v>28</v>
      </c>
      <c r="L784" s="6" t="s">
        <v>27</v>
      </c>
      <c r="M784" s="6" t="s">
        <v>3962</v>
      </c>
    </row>
    <row r="785" spans="1:13" ht="13" x14ac:dyDescent="0.15">
      <c r="A785" s="5" t="str">
        <f>HYPERLINK("https://onemount.atlassian.net/browse/DBA-5065","DBA-5065")</f>
        <v>DBA-5065</v>
      </c>
      <c r="B785" s="6" t="s">
        <v>21</v>
      </c>
      <c r="C785" s="6" t="s">
        <v>3963</v>
      </c>
      <c r="D785" s="8" t="s">
        <v>17</v>
      </c>
      <c r="E785" s="6" t="s">
        <v>23</v>
      </c>
      <c r="F785" s="6" t="s">
        <v>24</v>
      </c>
      <c r="G785" s="6" t="s">
        <v>3964</v>
      </c>
      <c r="H785" s="10">
        <v>46179</v>
      </c>
      <c r="I785" s="6" t="s">
        <v>3965</v>
      </c>
      <c r="J785" s="6" t="s">
        <v>56</v>
      </c>
      <c r="K785" s="6" t="s">
        <v>55</v>
      </c>
      <c r="L785" s="6" t="s">
        <v>56</v>
      </c>
      <c r="M785" s="6" t="s">
        <v>3966</v>
      </c>
    </row>
    <row r="786" spans="1:13" ht="13" x14ac:dyDescent="0.15">
      <c r="A786" s="5" t="str">
        <f>HYPERLINK("https://onemount.atlassian.net/browse/DBA-5064","DBA-5064")</f>
        <v>DBA-5064</v>
      </c>
      <c r="B786" s="6" t="s">
        <v>21</v>
      </c>
      <c r="C786" s="6" t="s">
        <v>3967</v>
      </c>
      <c r="D786" s="8" t="s">
        <v>17</v>
      </c>
      <c r="E786" s="6" t="s">
        <v>23</v>
      </c>
      <c r="F786" s="6" t="s">
        <v>41</v>
      </c>
      <c r="G786" s="6" t="s">
        <v>3968</v>
      </c>
      <c r="H786" s="10">
        <v>46185</v>
      </c>
      <c r="I786" s="6" t="s">
        <v>3969</v>
      </c>
      <c r="J786" s="6" t="s">
        <v>2427</v>
      </c>
      <c r="K786" s="6" t="s">
        <v>28</v>
      </c>
      <c r="L786" s="6" t="s">
        <v>1000</v>
      </c>
      <c r="M786" s="6" t="s">
        <v>3970</v>
      </c>
    </row>
    <row r="787" spans="1:13" ht="13" x14ac:dyDescent="0.15">
      <c r="A787" s="5" t="str">
        <f>HYPERLINK("https://onemount.atlassian.net/browse/DBA-5063","DBA-5063")</f>
        <v>DBA-5063</v>
      </c>
      <c r="B787" s="6" t="s">
        <v>21</v>
      </c>
      <c r="C787" s="6" t="s">
        <v>3971</v>
      </c>
      <c r="D787" s="8" t="s">
        <v>17</v>
      </c>
      <c r="E787" s="6" t="s">
        <v>23</v>
      </c>
      <c r="F787" s="6" t="s">
        <v>87</v>
      </c>
      <c r="G787" s="6" t="s">
        <v>3972</v>
      </c>
      <c r="H787" s="10">
        <v>46178</v>
      </c>
      <c r="I787" s="6" t="s">
        <v>3973</v>
      </c>
      <c r="J787" s="6" t="s">
        <v>1898</v>
      </c>
      <c r="K787" s="6" t="s">
        <v>165</v>
      </c>
      <c r="L787" s="6" t="s">
        <v>1097</v>
      </c>
      <c r="M787" s="6" t="s">
        <v>3974</v>
      </c>
    </row>
    <row r="788" spans="1:13" ht="13" x14ac:dyDescent="0.15">
      <c r="A788" s="5" t="str">
        <f>HYPERLINK("https://onemount.atlassian.net/browse/DBA-5061","DBA-5061")</f>
        <v>DBA-5061</v>
      </c>
      <c r="B788" s="6" t="s">
        <v>21</v>
      </c>
      <c r="C788" s="6" t="s">
        <v>3975</v>
      </c>
      <c r="D788" s="8" t="s">
        <v>17</v>
      </c>
      <c r="E788" s="6" t="s">
        <v>23</v>
      </c>
      <c r="F788" s="6" t="s">
        <v>52</v>
      </c>
      <c r="G788" s="6" t="s">
        <v>3976</v>
      </c>
      <c r="H788" s="10">
        <v>46178</v>
      </c>
      <c r="I788" s="6" t="s">
        <v>3977</v>
      </c>
      <c r="J788" s="6" t="s">
        <v>216</v>
      </c>
      <c r="K788" s="6" t="s">
        <v>72</v>
      </c>
      <c r="L788" s="6" t="s">
        <v>216</v>
      </c>
      <c r="M788" s="6" t="s">
        <v>3978</v>
      </c>
    </row>
    <row r="789" spans="1:13" ht="13" x14ac:dyDescent="0.15">
      <c r="A789" s="5" t="str">
        <f>HYPERLINK("https://onemount.atlassian.net/browse/DBA-5060","DBA-5060")</f>
        <v>DBA-5060</v>
      </c>
      <c r="B789" s="6" t="s">
        <v>21</v>
      </c>
      <c r="C789" s="6" t="s">
        <v>3979</v>
      </c>
      <c r="D789" s="8" t="s">
        <v>17</v>
      </c>
      <c r="E789" s="6" t="s">
        <v>23</v>
      </c>
      <c r="F789" s="6" t="s">
        <v>52</v>
      </c>
      <c r="G789" s="6" t="s">
        <v>3980</v>
      </c>
      <c r="H789" s="10">
        <v>46177</v>
      </c>
      <c r="I789" s="6" t="s">
        <v>3981</v>
      </c>
      <c r="J789" s="6" t="s">
        <v>270</v>
      </c>
      <c r="K789" s="6" t="s">
        <v>55</v>
      </c>
      <c r="L789" s="6" t="s">
        <v>953</v>
      </c>
      <c r="M789" s="6" t="s">
        <v>3982</v>
      </c>
    </row>
    <row r="790" spans="1:13" ht="13" x14ac:dyDescent="0.15">
      <c r="A790" s="5" t="str">
        <f>HYPERLINK("https://onemount.atlassian.net/browse/DBA-5059","DBA-5059")</f>
        <v>DBA-5059</v>
      </c>
      <c r="B790" s="6" t="s">
        <v>21</v>
      </c>
      <c r="C790" s="6" t="s">
        <v>3983</v>
      </c>
      <c r="D790" s="8" t="s">
        <v>17</v>
      </c>
      <c r="E790" s="6" t="s">
        <v>23</v>
      </c>
      <c r="F790" s="6" t="s">
        <v>41</v>
      </c>
      <c r="G790" s="6" t="s">
        <v>3984</v>
      </c>
      <c r="H790" s="10">
        <v>46177</v>
      </c>
      <c r="I790" s="6" t="s">
        <v>3985</v>
      </c>
      <c r="J790" s="6" t="s">
        <v>157</v>
      </c>
      <c r="K790" s="6" t="s">
        <v>72</v>
      </c>
      <c r="L790" s="6" t="s">
        <v>157</v>
      </c>
      <c r="M790" s="6" t="s">
        <v>3986</v>
      </c>
    </row>
    <row r="791" spans="1:13" ht="13" x14ac:dyDescent="0.15">
      <c r="A791" s="5" t="str">
        <f>HYPERLINK("https://onemount.atlassian.net/browse/DBA-5058","DBA-5058")</f>
        <v>DBA-5058</v>
      </c>
      <c r="B791" s="6" t="s">
        <v>21</v>
      </c>
      <c r="C791" s="6" t="s">
        <v>3987</v>
      </c>
      <c r="D791" s="8" t="s">
        <v>17</v>
      </c>
      <c r="E791" s="6" t="s">
        <v>23</v>
      </c>
      <c r="F791" s="6" t="s">
        <v>87</v>
      </c>
      <c r="G791" s="6" t="s">
        <v>3988</v>
      </c>
      <c r="H791" s="10">
        <v>46177</v>
      </c>
      <c r="I791" s="6" t="s">
        <v>3989</v>
      </c>
      <c r="J791" s="6" t="s">
        <v>1898</v>
      </c>
      <c r="K791" s="6" t="s">
        <v>165</v>
      </c>
      <c r="L791" s="6" t="s">
        <v>1097</v>
      </c>
      <c r="M791" s="6" t="s">
        <v>3990</v>
      </c>
    </row>
    <row r="792" spans="1:13" ht="13" x14ac:dyDescent="0.15">
      <c r="A792" s="5" t="str">
        <f>HYPERLINK("https://onemount.atlassian.net/browse/DBA-5056","DBA-5056")</f>
        <v>DBA-5056</v>
      </c>
      <c r="B792" s="6" t="s">
        <v>21</v>
      </c>
      <c r="C792" s="6" t="s">
        <v>3991</v>
      </c>
      <c r="D792" s="8" t="s">
        <v>17</v>
      </c>
      <c r="E792" s="6" t="s">
        <v>23</v>
      </c>
      <c r="F792" s="6" t="s">
        <v>52</v>
      </c>
      <c r="G792" s="6" t="s">
        <v>3992</v>
      </c>
      <c r="H792" s="10">
        <v>46178</v>
      </c>
      <c r="I792" s="6" t="s">
        <v>3993</v>
      </c>
      <c r="J792" s="6" t="s">
        <v>254</v>
      </c>
      <c r="K792" s="6" t="s">
        <v>55</v>
      </c>
      <c r="L792" s="6" t="s">
        <v>975</v>
      </c>
      <c r="M792" s="6" t="s">
        <v>3994</v>
      </c>
    </row>
    <row r="793" spans="1:13" ht="13" x14ac:dyDescent="0.15">
      <c r="A793" s="5" t="str">
        <f>HYPERLINK("https://onemount.atlassian.net/browse/DBA-5055","DBA-5055")</f>
        <v>DBA-5055</v>
      </c>
      <c r="B793" s="6" t="s">
        <v>21</v>
      </c>
      <c r="C793" s="6" t="s">
        <v>3995</v>
      </c>
      <c r="D793" s="8" t="s">
        <v>17</v>
      </c>
      <c r="E793" s="6" t="s">
        <v>23</v>
      </c>
      <c r="F793" s="6" t="s">
        <v>24</v>
      </c>
      <c r="G793" s="6" t="s">
        <v>3996</v>
      </c>
      <c r="H793" s="10">
        <v>46177</v>
      </c>
      <c r="I793" s="6" t="s">
        <v>3997</v>
      </c>
      <c r="J793" s="6" t="s">
        <v>55</v>
      </c>
      <c r="K793" s="6" t="s">
        <v>55</v>
      </c>
      <c r="L793" s="6" t="s">
        <v>55</v>
      </c>
      <c r="M793" s="6" t="s">
        <v>3998</v>
      </c>
    </row>
    <row r="794" spans="1:13" ht="13" x14ac:dyDescent="0.15">
      <c r="A794" s="5" t="str">
        <f>HYPERLINK("https://onemount.atlassian.net/browse/DBA-5054","DBA-5054")</f>
        <v>DBA-5054</v>
      </c>
      <c r="B794" s="6" t="s">
        <v>21</v>
      </c>
      <c r="C794" s="6" t="s">
        <v>3999</v>
      </c>
      <c r="D794" s="8" t="s">
        <v>17</v>
      </c>
      <c r="E794" s="6" t="s">
        <v>23</v>
      </c>
      <c r="F794" s="6" t="s">
        <v>87</v>
      </c>
      <c r="G794" s="6" t="s">
        <v>4000</v>
      </c>
      <c r="H794" s="10">
        <v>46177</v>
      </c>
      <c r="I794" s="6" t="s">
        <v>4001</v>
      </c>
      <c r="J794" s="6" t="s">
        <v>1898</v>
      </c>
      <c r="K794" s="6" t="s">
        <v>165</v>
      </c>
      <c r="L794" s="6" t="s">
        <v>1097</v>
      </c>
      <c r="M794" s="6" t="s">
        <v>4002</v>
      </c>
    </row>
    <row r="795" spans="1:13" ht="13" x14ac:dyDescent="0.15">
      <c r="A795" s="5" t="str">
        <f>HYPERLINK("https://onemount.atlassian.net/browse/DBA-5053","DBA-5053")</f>
        <v>DBA-5053</v>
      </c>
      <c r="B795" s="6" t="s">
        <v>21</v>
      </c>
      <c r="C795" s="6" t="s">
        <v>4003</v>
      </c>
      <c r="D795" s="8" t="s">
        <v>17</v>
      </c>
      <c r="E795" s="6" t="s">
        <v>23</v>
      </c>
      <c r="F795" s="6" t="s">
        <v>87</v>
      </c>
      <c r="G795" s="6" t="s">
        <v>4004</v>
      </c>
      <c r="H795" s="10">
        <v>46177</v>
      </c>
      <c r="I795" s="6" t="s">
        <v>4005</v>
      </c>
      <c r="J795" s="6" t="s">
        <v>1062</v>
      </c>
      <c r="K795" s="6" t="s">
        <v>165</v>
      </c>
      <c r="L795" s="6" t="s">
        <v>1062</v>
      </c>
      <c r="M795" s="6" t="s">
        <v>4006</v>
      </c>
    </row>
    <row r="796" spans="1:13" ht="13" x14ac:dyDescent="0.15">
      <c r="A796" s="5" t="str">
        <f>HYPERLINK("https://onemount.atlassian.net/browse/DBA-5052","DBA-5052")</f>
        <v>DBA-5052</v>
      </c>
      <c r="B796" s="6" t="s">
        <v>21</v>
      </c>
      <c r="C796" s="6" t="s">
        <v>3758</v>
      </c>
      <c r="D796" s="8" t="s">
        <v>17</v>
      </c>
      <c r="E796" s="6" t="s">
        <v>23</v>
      </c>
      <c r="F796" s="6" t="s">
        <v>52</v>
      </c>
      <c r="G796" s="6" t="s">
        <v>4007</v>
      </c>
      <c r="H796" s="10">
        <v>46178</v>
      </c>
      <c r="I796" s="6" t="s">
        <v>4008</v>
      </c>
      <c r="J796" s="6" t="s">
        <v>3761</v>
      </c>
      <c r="K796" s="6" t="s">
        <v>55</v>
      </c>
      <c r="L796" s="6" t="s">
        <v>270</v>
      </c>
      <c r="M796" s="6" t="s">
        <v>4009</v>
      </c>
    </row>
    <row r="797" spans="1:13" ht="13" x14ac:dyDescent="0.15">
      <c r="A797" s="5" t="str">
        <f>HYPERLINK("https://onemount.atlassian.net/browse/DBA-5050","DBA-5050")</f>
        <v>DBA-5050</v>
      </c>
      <c r="B797" s="6" t="s">
        <v>21</v>
      </c>
      <c r="C797" s="6" t="s">
        <v>4010</v>
      </c>
      <c r="D797" s="8" t="s">
        <v>17</v>
      </c>
      <c r="E797" s="6" t="s">
        <v>23</v>
      </c>
      <c r="F797" s="6" t="s">
        <v>52</v>
      </c>
      <c r="G797" s="6" t="s">
        <v>4011</v>
      </c>
      <c r="H797" s="10">
        <v>46177</v>
      </c>
      <c r="I797" s="6" t="s">
        <v>4012</v>
      </c>
      <c r="J797" s="6" t="s">
        <v>621</v>
      </c>
      <c r="K797" s="6" t="s">
        <v>55</v>
      </c>
      <c r="L797" s="6" t="s">
        <v>85</v>
      </c>
      <c r="M797" s="6" t="s">
        <v>4013</v>
      </c>
    </row>
    <row r="798" spans="1:13" ht="13" x14ac:dyDescent="0.15">
      <c r="A798" s="5" t="str">
        <f>HYPERLINK("https://onemount.atlassian.net/browse/DBA-5049","DBA-5049")</f>
        <v>DBA-5049</v>
      </c>
      <c r="B798" s="6" t="s">
        <v>21</v>
      </c>
      <c r="C798" s="6" t="s">
        <v>4014</v>
      </c>
      <c r="D798" s="8" t="s">
        <v>17</v>
      </c>
      <c r="E798" s="6" t="s">
        <v>23</v>
      </c>
      <c r="F798" s="6" t="s">
        <v>24</v>
      </c>
      <c r="G798" s="6" t="s">
        <v>4015</v>
      </c>
      <c r="H798" s="10">
        <v>46176</v>
      </c>
      <c r="I798" s="6" t="s">
        <v>4016</v>
      </c>
      <c r="J798" s="6" t="s">
        <v>128</v>
      </c>
      <c r="K798" s="6" t="s">
        <v>35</v>
      </c>
      <c r="L798" s="6" t="s">
        <v>129</v>
      </c>
      <c r="M798" s="6" t="s">
        <v>4017</v>
      </c>
    </row>
    <row r="799" spans="1:13" ht="13" x14ac:dyDescent="0.15">
      <c r="A799" s="5" t="str">
        <f>HYPERLINK("https://onemount.atlassian.net/browse/DBA-5048","DBA-5048")</f>
        <v>DBA-5048</v>
      </c>
      <c r="B799" s="6" t="s">
        <v>21</v>
      </c>
      <c r="C799" s="6" t="s">
        <v>4018</v>
      </c>
      <c r="D799" s="8" t="s">
        <v>17</v>
      </c>
      <c r="E799" s="6" t="s">
        <v>23</v>
      </c>
      <c r="F799" s="6" t="s">
        <v>31</v>
      </c>
      <c r="G799" s="6" t="s">
        <v>4019</v>
      </c>
      <c r="H799" s="10">
        <v>46177</v>
      </c>
      <c r="I799" s="6" t="s">
        <v>4020</v>
      </c>
      <c r="J799" s="6" t="s">
        <v>246</v>
      </c>
      <c r="K799" s="6" t="s">
        <v>35</v>
      </c>
      <c r="L799" s="6" t="s">
        <v>181</v>
      </c>
      <c r="M799" s="6" t="s">
        <v>4021</v>
      </c>
    </row>
    <row r="800" spans="1:13" ht="13" x14ac:dyDescent="0.15">
      <c r="A800" s="5" t="str">
        <f>HYPERLINK("https://onemount.atlassian.net/browse/DBA-5047","DBA-5047")</f>
        <v>DBA-5047</v>
      </c>
      <c r="B800" s="6" t="s">
        <v>21</v>
      </c>
      <c r="C800" s="6" t="s">
        <v>4022</v>
      </c>
      <c r="D800" s="8" t="s">
        <v>17</v>
      </c>
      <c r="E800" s="6" t="s">
        <v>23</v>
      </c>
      <c r="F800" s="6" t="s">
        <v>31</v>
      </c>
      <c r="G800" s="6" t="s">
        <v>4023</v>
      </c>
      <c r="H800" s="10">
        <v>46177</v>
      </c>
      <c r="I800" s="6" t="s">
        <v>4024</v>
      </c>
      <c r="J800" s="6" t="s">
        <v>3949</v>
      </c>
      <c r="K800" s="6" t="s">
        <v>55</v>
      </c>
      <c r="L800" s="6" t="s">
        <v>67</v>
      </c>
      <c r="M800" s="6" t="s">
        <v>4025</v>
      </c>
    </row>
    <row r="801" spans="1:13" ht="13" x14ac:dyDescent="0.15">
      <c r="A801" s="5" t="str">
        <f>HYPERLINK("https://onemount.atlassian.net/browse/DBA-5046","DBA-5046")</f>
        <v>DBA-5046</v>
      </c>
      <c r="B801" s="6" t="s">
        <v>21</v>
      </c>
      <c r="C801" s="6" t="s">
        <v>4026</v>
      </c>
      <c r="D801" s="8" t="s">
        <v>17</v>
      </c>
      <c r="E801" s="6" t="s">
        <v>23</v>
      </c>
      <c r="F801" s="6" t="s">
        <v>52</v>
      </c>
      <c r="G801" s="6" t="s">
        <v>4027</v>
      </c>
      <c r="H801" s="10">
        <v>46177</v>
      </c>
      <c r="I801" s="6" t="s">
        <v>4028</v>
      </c>
      <c r="J801" s="6" t="s">
        <v>55</v>
      </c>
      <c r="K801" s="6" t="s">
        <v>55</v>
      </c>
      <c r="L801" s="6" t="s">
        <v>93</v>
      </c>
      <c r="M801" s="6" t="s">
        <v>4029</v>
      </c>
    </row>
    <row r="802" spans="1:13" ht="13" x14ac:dyDescent="0.15">
      <c r="A802" s="5" t="str">
        <f>HYPERLINK("https://onemount.atlassian.net/browse/DBA-5045","DBA-5045")</f>
        <v>DBA-5045</v>
      </c>
      <c r="B802" s="6" t="s">
        <v>21</v>
      </c>
      <c r="C802" s="6" t="s">
        <v>4030</v>
      </c>
      <c r="D802" s="8" t="s">
        <v>17</v>
      </c>
      <c r="E802" s="6" t="s">
        <v>23</v>
      </c>
      <c r="F802" s="6" t="s">
        <v>31</v>
      </c>
      <c r="G802" s="6" t="s">
        <v>4031</v>
      </c>
      <c r="H802" s="10">
        <v>46176</v>
      </c>
      <c r="I802" s="6" t="s">
        <v>4032</v>
      </c>
      <c r="J802" s="6" t="s">
        <v>4033</v>
      </c>
      <c r="K802" s="6" t="s">
        <v>35</v>
      </c>
      <c r="L802" s="6" t="s">
        <v>962</v>
      </c>
      <c r="M802" s="6" t="s">
        <v>4034</v>
      </c>
    </row>
    <row r="803" spans="1:13" ht="13" x14ac:dyDescent="0.15">
      <c r="A803" s="5" t="str">
        <f>HYPERLINK("https://onemount.atlassian.net/browse/DBA-5044","DBA-5044")</f>
        <v>DBA-5044</v>
      </c>
      <c r="B803" s="6" t="s">
        <v>21</v>
      </c>
      <c r="C803" s="6" t="s">
        <v>1466</v>
      </c>
      <c r="D803" s="8" t="s">
        <v>17</v>
      </c>
      <c r="E803" s="6" t="s">
        <v>23</v>
      </c>
      <c r="F803" s="6" t="s">
        <v>52</v>
      </c>
      <c r="G803" s="6" t="s">
        <v>4035</v>
      </c>
      <c r="H803" s="10">
        <v>46176</v>
      </c>
      <c r="I803" s="6" t="s">
        <v>4036</v>
      </c>
      <c r="J803" s="6" t="s">
        <v>852</v>
      </c>
      <c r="K803" s="6" t="s">
        <v>55</v>
      </c>
      <c r="L803" s="6" t="s">
        <v>855</v>
      </c>
      <c r="M803" s="6" t="s">
        <v>4037</v>
      </c>
    </row>
    <row r="804" spans="1:13" ht="13" x14ac:dyDescent="0.15">
      <c r="A804" s="5" t="str">
        <f>HYPERLINK("https://onemount.atlassian.net/browse/DBA-5043","DBA-5043")</f>
        <v>DBA-5043</v>
      </c>
      <c r="B804" s="6" t="s">
        <v>21</v>
      </c>
      <c r="C804" s="6" t="s">
        <v>4038</v>
      </c>
      <c r="D804" s="8" t="s">
        <v>17</v>
      </c>
      <c r="E804" s="6" t="s">
        <v>23</v>
      </c>
      <c r="F804" s="6" t="s">
        <v>52</v>
      </c>
      <c r="G804" s="6" t="s">
        <v>4039</v>
      </c>
      <c r="H804" s="10">
        <v>46175</v>
      </c>
      <c r="I804" s="6" t="s">
        <v>4040</v>
      </c>
      <c r="J804" s="6" t="s">
        <v>621</v>
      </c>
      <c r="K804" s="6" t="s">
        <v>55</v>
      </c>
      <c r="L804" s="6" t="s">
        <v>85</v>
      </c>
      <c r="M804" s="6" t="s">
        <v>4041</v>
      </c>
    </row>
    <row r="805" spans="1:13" ht="13" x14ac:dyDescent="0.15">
      <c r="A805" s="21" t="str">
        <f>HYPERLINK("https://onemount.atlassian.net/browse/DBA-5042","DBA-5042")</f>
        <v>DBA-5042</v>
      </c>
      <c r="B805" s="6" t="s">
        <v>21</v>
      </c>
      <c r="C805" s="6" t="s">
        <v>3289</v>
      </c>
      <c r="D805" s="8" t="s">
        <v>17</v>
      </c>
      <c r="E805" s="6" t="s">
        <v>23</v>
      </c>
      <c r="F805" s="6" t="s">
        <v>52</v>
      </c>
      <c r="G805" s="6" t="s">
        <v>4042</v>
      </c>
      <c r="H805" s="10">
        <v>46175</v>
      </c>
      <c r="I805" s="6" t="s">
        <v>4043</v>
      </c>
      <c r="J805" s="6" t="s">
        <v>56</v>
      </c>
      <c r="K805" s="6" t="s">
        <v>55</v>
      </c>
      <c r="L805" s="6" t="s">
        <v>56</v>
      </c>
      <c r="M805" s="6" t="s">
        <v>3292</v>
      </c>
    </row>
    <row r="806" spans="1:13" ht="13" x14ac:dyDescent="0.15">
      <c r="A806" s="5" t="str">
        <f>HYPERLINK("https://onemount.atlassian.net/browse/DBA-5041","DBA-5041")</f>
        <v>DBA-5041</v>
      </c>
      <c r="B806" s="6" t="s">
        <v>21</v>
      </c>
      <c r="C806" s="6" t="s">
        <v>4044</v>
      </c>
      <c r="D806" s="8" t="s">
        <v>17</v>
      </c>
      <c r="E806" s="6" t="s">
        <v>23</v>
      </c>
      <c r="F806" s="6" t="s">
        <v>52</v>
      </c>
      <c r="G806" s="6" t="s">
        <v>4045</v>
      </c>
      <c r="H806" s="10">
        <v>46174</v>
      </c>
      <c r="I806" s="6" t="s">
        <v>4046</v>
      </c>
      <c r="J806" s="6" t="s">
        <v>2919</v>
      </c>
      <c r="K806" s="6" t="s">
        <v>72</v>
      </c>
      <c r="L806" s="6" t="s">
        <v>188</v>
      </c>
      <c r="M806" s="6" t="s">
        <v>4047</v>
      </c>
    </row>
    <row r="807" spans="1:13" ht="13" x14ac:dyDescent="0.15">
      <c r="A807" s="5" t="str">
        <f>HYPERLINK("https://onemount.atlassian.net/browse/DBA-5040","DBA-5040")</f>
        <v>DBA-5040</v>
      </c>
      <c r="B807" s="6" t="s">
        <v>21</v>
      </c>
      <c r="C807" s="6" t="s">
        <v>4048</v>
      </c>
      <c r="D807" s="8" t="s">
        <v>17</v>
      </c>
      <c r="E807" s="6" t="s">
        <v>23</v>
      </c>
      <c r="F807" s="6" t="s">
        <v>31</v>
      </c>
      <c r="G807" s="6" t="s">
        <v>4049</v>
      </c>
      <c r="H807" s="10">
        <v>46175</v>
      </c>
      <c r="I807" s="6" t="s">
        <v>4050</v>
      </c>
      <c r="J807" s="6" t="s">
        <v>335</v>
      </c>
      <c r="K807" s="6" t="s">
        <v>46</v>
      </c>
      <c r="L807" s="6" t="s">
        <v>335</v>
      </c>
      <c r="M807" s="6" t="s">
        <v>4051</v>
      </c>
    </row>
    <row r="808" spans="1:13" ht="13" x14ac:dyDescent="0.15">
      <c r="A808" s="5" t="str">
        <f>HYPERLINK("https://onemount.atlassian.net/browse/DBA-5039","DBA-5039")</f>
        <v>DBA-5039</v>
      </c>
      <c r="B808" s="6" t="s">
        <v>21</v>
      </c>
      <c r="C808" s="6" t="s">
        <v>4052</v>
      </c>
      <c r="D808" s="8" t="s">
        <v>17</v>
      </c>
      <c r="E808" s="6" t="s">
        <v>23</v>
      </c>
      <c r="F808" s="6" t="s">
        <v>31</v>
      </c>
      <c r="G808" s="6" t="s">
        <v>4053</v>
      </c>
      <c r="H808" s="10">
        <v>46175</v>
      </c>
      <c r="I808" s="6" t="s">
        <v>4054</v>
      </c>
      <c r="J808" s="6" t="s">
        <v>335</v>
      </c>
      <c r="K808" s="6" t="s">
        <v>46</v>
      </c>
      <c r="L808" s="6" t="s">
        <v>335</v>
      </c>
      <c r="M808" s="6" t="s">
        <v>4055</v>
      </c>
    </row>
    <row r="809" spans="1:13" ht="13" x14ac:dyDescent="0.15">
      <c r="A809" s="5" t="str">
        <f>HYPERLINK("https://onemount.atlassian.net/browse/DBA-5038","DBA-5038")</f>
        <v>DBA-5038</v>
      </c>
      <c r="B809" s="6" t="s">
        <v>21</v>
      </c>
      <c r="C809" s="6" t="s">
        <v>4056</v>
      </c>
      <c r="D809" s="8" t="s">
        <v>17</v>
      </c>
      <c r="E809" s="6" t="s">
        <v>23</v>
      </c>
      <c r="F809" s="6" t="s">
        <v>31</v>
      </c>
      <c r="G809" s="6" t="s">
        <v>4057</v>
      </c>
      <c r="H809" s="10">
        <v>46174</v>
      </c>
      <c r="I809" s="6" t="s">
        <v>4058</v>
      </c>
      <c r="J809" s="6" t="s">
        <v>128</v>
      </c>
      <c r="K809" s="6" t="s">
        <v>35</v>
      </c>
      <c r="L809" s="6" t="s">
        <v>129</v>
      </c>
      <c r="M809" s="6" t="s">
        <v>4059</v>
      </c>
    </row>
    <row r="810" spans="1:13" ht="13" x14ac:dyDescent="0.15">
      <c r="A810" s="5" t="str">
        <f>HYPERLINK("https://onemount.atlassian.net/browse/DBA-5032","DBA-5032")</f>
        <v>DBA-5032</v>
      </c>
      <c r="B810" s="6" t="s">
        <v>21</v>
      </c>
      <c r="C810" s="6" t="s">
        <v>4060</v>
      </c>
      <c r="D810" s="8" t="s">
        <v>17</v>
      </c>
      <c r="E810" s="6" t="s">
        <v>23</v>
      </c>
      <c r="F810" s="6" t="s">
        <v>31</v>
      </c>
      <c r="G810" s="6" t="s">
        <v>4061</v>
      </c>
      <c r="H810" s="10">
        <v>46175</v>
      </c>
      <c r="I810" s="6" t="s">
        <v>4062</v>
      </c>
      <c r="J810" s="6" t="s">
        <v>1464</v>
      </c>
      <c r="K810" s="6" t="s">
        <v>55</v>
      </c>
      <c r="L810" s="6" t="s">
        <v>254</v>
      </c>
      <c r="M810" s="6" t="s">
        <v>4063</v>
      </c>
    </row>
    <row r="811" spans="1:13" ht="13" x14ac:dyDescent="0.15">
      <c r="A811" s="5" t="str">
        <f>HYPERLINK("https://onemount.atlassian.net/browse/DBA-5030","DBA-5030")</f>
        <v>DBA-5030</v>
      </c>
      <c r="B811" s="6" t="s">
        <v>21</v>
      </c>
      <c r="C811" s="6" t="s">
        <v>4064</v>
      </c>
      <c r="D811" s="8" t="s">
        <v>17</v>
      </c>
      <c r="E811" s="6" t="s">
        <v>23</v>
      </c>
      <c r="F811" s="6" t="s">
        <v>31</v>
      </c>
      <c r="G811" s="6" t="s">
        <v>4065</v>
      </c>
      <c r="H811" s="10">
        <v>46175</v>
      </c>
      <c r="I811" s="6" t="s">
        <v>4066</v>
      </c>
      <c r="J811" s="6" t="s">
        <v>1187</v>
      </c>
      <c r="K811" s="6" t="s">
        <v>35</v>
      </c>
      <c r="L811" s="6" t="s">
        <v>1187</v>
      </c>
      <c r="M811" s="6" t="s">
        <v>4067</v>
      </c>
    </row>
    <row r="812" spans="1:13" ht="13" x14ac:dyDescent="0.15">
      <c r="A812" s="5" t="str">
        <f>HYPERLINK("https://onemount.atlassian.net/browse/DBA-5029","DBA-5029")</f>
        <v>DBA-5029</v>
      </c>
      <c r="B812" s="6" t="s">
        <v>21</v>
      </c>
      <c r="C812" s="6" t="s">
        <v>4068</v>
      </c>
      <c r="D812" s="8" t="s">
        <v>17</v>
      </c>
      <c r="E812" s="6" t="s">
        <v>23</v>
      </c>
      <c r="F812" s="6" t="s">
        <v>52</v>
      </c>
      <c r="G812" s="6" t="s">
        <v>4069</v>
      </c>
      <c r="H812" s="10">
        <v>46175</v>
      </c>
      <c r="I812" s="6" t="s">
        <v>4070</v>
      </c>
      <c r="J812" s="6" t="s">
        <v>85</v>
      </c>
      <c r="K812" s="6" t="s">
        <v>55</v>
      </c>
      <c r="L812" s="6" t="s">
        <v>85</v>
      </c>
      <c r="M812" s="6" t="s">
        <v>4071</v>
      </c>
    </row>
    <row r="813" spans="1:13" ht="13" x14ac:dyDescent="0.15">
      <c r="A813" s="5" t="str">
        <f>HYPERLINK("https://onemount.atlassian.net/browse/DBA-5028","DBA-5028")</f>
        <v>DBA-5028</v>
      </c>
      <c r="B813" s="6" t="s">
        <v>21</v>
      </c>
      <c r="C813" s="6" t="s">
        <v>4072</v>
      </c>
      <c r="D813" s="8" t="s">
        <v>17</v>
      </c>
      <c r="E813" s="6" t="s">
        <v>23</v>
      </c>
      <c r="F813" s="6" t="s">
        <v>24</v>
      </c>
      <c r="G813" s="6" t="s">
        <v>4073</v>
      </c>
      <c r="H813" s="10">
        <v>46175</v>
      </c>
      <c r="I813" s="6" t="s">
        <v>4074</v>
      </c>
      <c r="J813" s="6" t="s">
        <v>510</v>
      </c>
      <c r="K813" s="6" t="s">
        <v>165</v>
      </c>
      <c r="L813" s="6" t="s">
        <v>77</v>
      </c>
      <c r="M813" s="6" t="s">
        <v>4075</v>
      </c>
    </row>
    <row r="814" spans="1:13" ht="13" x14ac:dyDescent="0.15">
      <c r="A814" s="5" t="str">
        <f>HYPERLINK("https://onemount.atlassian.net/browse/DBA-5027","DBA-5027")</f>
        <v>DBA-5027</v>
      </c>
      <c r="B814" s="6" t="s">
        <v>21</v>
      </c>
      <c r="C814" s="6" t="s">
        <v>4076</v>
      </c>
      <c r="D814" s="8" t="s">
        <v>17</v>
      </c>
      <c r="E814" s="6" t="s">
        <v>23</v>
      </c>
      <c r="F814" s="6" t="s">
        <v>52</v>
      </c>
      <c r="G814" s="6" t="s">
        <v>4077</v>
      </c>
      <c r="H814" s="10">
        <v>46172</v>
      </c>
      <c r="I814" s="6" t="s">
        <v>4078</v>
      </c>
      <c r="J814" s="6" t="s">
        <v>56</v>
      </c>
      <c r="K814" s="6" t="s">
        <v>55</v>
      </c>
      <c r="L814" s="6" t="s">
        <v>56</v>
      </c>
      <c r="M814" s="6" t="s">
        <v>4079</v>
      </c>
    </row>
    <row r="815" spans="1:13" ht="13" x14ac:dyDescent="0.15">
      <c r="A815" s="5" t="str">
        <f>HYPERLINK("https://onemount.atlassian.net/browse/DBA-5023","DBA-5023")</f>
        <v>DBA-5023</v>
      </c>
      <c r="B815" s="6" t="s">
        <v>21</v>
      </c>
      <c r="C815" s="6" t="s">
        <v>2061</v>
      </c>
      <c r="D815" s="8" t="s">
        <v>17</v>
      </c>
      <c r="E815" s="6" t="s">
        <v>23</v>
      </c>
      <c r="F815" s="6" t="s">
        <v>24</v>
      </c>
      <c r="G815" s="6" t="s">
        <v>4080</v>
      </c>
      <c r="H815" s="10">
        <v>46175</v>
      </c>
      <c r="I815" s="6" t="s">
        <v>4081</v>
      </c>
      <c r="J815" s="6" t="s">
        <v>55</v>
      </c>
      <c r="K815" s="6" t="s">
        <v>55</v>
      </c>
      <c r="L815" s="6" t="s">
        <v>55</v>
      </c>
      <c r="M815" s="6" t="s">
        <v>4082</v>
      </c>
    </row>
    <row r="816" spans="1:13" ht="13" x14ac:dyDescent="0.15">
      <c r="A816" s="5" t="str">
        <f>HYPERLINK("https://onemount.atlassian.net/browse/DBA-5022","DBA-5022")</f>
        <v>DBA-5022</v>
      </c>
      <c r="B816" s="6" t="s">
        <v>21</v>
      </c>
      <c r="C816" s="6" t="s">
        <v>4083</v>
      </c>
      <c r="D816" s="8" t="s">
        <v>17</v>
      </c>
      <c r="E816" s="6" t="s">
        <v>23</v>
      </c>
      <c r="F816" s="6" t="s">
        <v>41</v>
      </c>
      <c r="G816" s="6" t="s">
        <v>4084</v>
      </c>
      <c r="H816" s="10">
        <v>46172</v>
      </c>
      <c r="I816" s="6" t="s">
        <v>4085</v>
      </c>
      <c r="J816" s="6" t="s">
        <v>67</v>
      </c>
      <c r="K816" s="6" t="s">
        <v>59</v>
      </c>
      <c r="L816" s="6" t="s">
        <v>67</v>
      </c>
      <c r="M816" s="6" t="s">
        <v>4086</v>
      </c>
    </row>
    <row r="817" spans="1:13" ht="13" x14ac:dyDescent="0.15">
      <c r="A817" s="5" t="str">
        <f>HYPERLINK("https://onemount.atlassian.net/browse/DBA-5021","DBA-5021")</f>
        <v>DBA-5021</v>
      </c>
      <c r="B817" s="6" t="s">
        <v>21</v>
      </c>
      <c r="C817" s="6" t="s">
        <v>4087</v>
      </c>
      <c r="D817" s="8" t="s">
        <v>17</v>
      </c>
      <c r="E817" s="6" t="s">
        <v>23</v>
      </c>
      <c r="F817" s="6" t="s">
        <v>52</v>
      </c>
      <c r="G817" s="6" t="s">
        <v>4088</v>
      </c>
      <c r="H817" s="10">
        <v>46171</v>
      </c>
      <c r="I817" s="6" t="s">
        <v>4089</v>
      </c>
      <c r="J817" s="6" t="s">
        <v>4090</v>
      </c>
      <c r="K817" s="6" t="s">
        <v>46</v>
      </c>
      <c r="L817" s="6" t="s">
        <v>164</v>
      </c>
      <c r="M817" s="6" t="s">
        <v>4091</v>
      </c>
    </row>
    <row r="818" spans="1:13" ht="13" x14ac:dyDescent="0.15">
      <c r="A818" s="5" t="str">
        <f>HYPERLINK("https://onemount.atlassian.net/browse/DBA-5020","DBA-5020")</f>
        <v>DBA-5020</v>
      </c>
      <c r="B818" s="6" t="s">
        <v>21</v>
      </c>
      <c r="C818" s="6" t="s">
        <v>4092</v>
      </c>
      <c r="D818" s="8" t="s">
        <v>17</v>
      </c>
      <c r="E818" s="6" t="s">
        <v>23</v>
      </c>
      <c r="F818" s="6" t="s">
        <v>52</v>
      </c>
      <c r="G818" s="6" t="s">
        <v>4093</v>
      </c>
      <c r="H818" s="10">
        <v>46172</v>
      </c>
      <c r="I818" s="6" t="s">
        <v>4094</v>
      </c>
      <c r="J818" s="6" t="s">
        <v>4095</v>
      </c>
      <c r="K818" s="6" t="s">
        <v>55</v>
      </c>
      <c r="L818" s="6" t="s">
        <v>270</v>
      </c>
      <c r="M818" s="6" t="s">
        <v>4096</v>
      </c>
    </row>
    <row r="819" spans="1:13" ht="13" x14ac:dyDescent="0.15">
      <c r="A819" s="5" t="str">
        <f>HYPERLINK("https://onemount.atlassian.net/browse/DBA-5019","DBA-5019")</f>
        <v>DBA-5019</v>
      </c>
      <c r="B819" s="6" t="s">
        <v>21</v>
      </c>
      <c r="C819" s="6" t="s">
        <v>4097</v>
      </c>
      <c r="D819" s="8" t="s">
        <v>17</v>
      </c>
      <c r="E819" s="6" t="s">
        <v>23</v>
      </c>
      <c r="F819" s="6" t="s">
        <v>31</v>
      </c>
      <c r="G819" s="6" t="s">
        <v>4098</v>
      </c>
      <c r="H819" s="10">
        <v>46171</v>
      </c>
      <c r="I819" s="6" t="s">
        <v>4099</v>
      </c>
      <c r="J819" s="6" t="s">
        <v>246</v>
      </c>
      <c r="K819" s="6" t="s">
        <v>35</v>
      </c>
      <c r="L819" s="6" t="s">
        <v>1213</v>
      </c>
      <c r="M819" s="6" t="s">
        <v>4100</v>
      </c>
    </row>
    <row r="820" spans="1:13" ht="13" x14ac:dyDescent="0.15">
      <c r="A820" s="5" t="str">
        <f>HYPERLINK("https://onemount.atlassian.net/browse/DBA-5016","DBA-5016")</f>
        <v>DBA-5016</v>
      </c>
      <c r="B820" s="6" t="s">
        <v>21</v>
      </c>
      <c r="C820" s="6" t="s">
        <v>4101</v>
      </c>
      <c r="D820" s="8" t="s">
        <v>17</v>
      </c>
      <c r="E820" s="6" t="s">
        <v>23</v>
      </c>
      <c r="F820" s="6" t="s">
        <v>31</v>
      </c>
      <c r="G820" s="6" t="s">
        <v>4102</v>
      </c>
      <c r="H820" s="10">
        <v>46171</v>
      </c>
      <c r="I820" s="6" t="s">
        <v>4103</v>
      </c>
      <c r="J820" s="6" t="s">
        <v>128</v>
      </c>
      <c r="K820" s="6" t="s">
        <v>35</v>
      </c>
      <c r="L820" s="6" t="s">
        <v>129</v>
      </c>
      <c r="M820" s="6" t="s">
        <v>4104</v>
      </c>
    </row>
    <row r="821" spans="1:13" ht="13" x14ac:dyDescent="0.15">
      <c r="A821" s="5" t="str">
        <f>HYPERLINK("https://onemount.atlassian.net/browse/DBA-5015","DBA-5015")</f>
        <v>DBA-5015</v>
      </c>
      <c r="B821" s="6" t="s">
        <v>21</v>
      </c>
      <c r="C821" s="6" t="s">
        <v>4105</v>
      </c>
      <c r="D821" s="8" t="s">
        <v>17</v>
      </c>
      <c r="E821" s="6" t="s">
        <v>23</v>
      </c>
      <c r="F821" s="6" t="s">
        <v>24</v>
      </c>
      <c r="G821" s="6" t="s">
        <v>4106</v>
      </c>
      <c r="H821" s="10">
        <v>46171</v>
      </c>
      <c r="I821" s="6" t="s">
        <v>4107</v>
      </c>
      <c r="J821" s="6" t="s">
        <v>27</v>
      </c>
      <c r="K821" s="6" t="s">
        <v>28</v>
      </c>
      <c r="L821" s="6" t="s">
        <v>27</v>
      </c>
      <c r="M821" s="6" t="s">
        <v>4108</v>
      </c>
    </row>
    <row r="822" spans="1:13" ht="13" x14ac:dyDescent="0.15">
      <c r="A822" s="5" t="str">
        <f>HYPERLINK("https://onemount.atlassian.net/browse/DBA-5013","DBA-5013")</f>
        <v>DBA-5013</v>
      </c>
      <c r="B822" s="6" t="s">
        <v>21</v>
      </c>
      <c r="C822" s="6" t="s">
        <v>1466</v>
      </c>
      <c r="D822" s="8" t="s">
        <v>17</v>
      </c>
      <c r="E822" s="6" t="s">
        <v>23</v>
      </c>
      <c r="F822" s="6" t="s">
        <v>52</v>
      </c>
      <c r="G822" s="6" t="s">
        <v>4109</v>
      </c>
      <c r="H822" s="10">
        <v>46171</v>
      </c>
      <c r="I822" s="6" t="s">
        <v>4110</v>
      </c>
      <c r="J822" s="6" t="s">
        <v>852</v>
      </c>
      <c r="K822" s="6" t="s">
        <v>55</v>
      </c>
      <c r="L822" s="6" t="s">
        <v>855</v>
      </c>
      <c r="M822" s="6" t="s">
        <v>4111</v>
      </c>
    </row>
    <row r="823" spans="1:13" ht="13" x14ac:dyDescent="0.15">
      <c r="A823" s="5" t="str">
        <f>HYPERLINK("https://onemount.atlassian.net/browse/DBA-5012","DBA-5012")</f>
        <v>DBA-5012</v>
      </c>
      <c r="B823" s="6" t="s">
        <v>21</v>
      </c>
      <c r="C823" s="6" t="s">
        <v>4112</v>
      </c>
      <c r="D823" s="8" t="s">
        <v>17</v>
      </c>
      <c r="E823" s="6" t="s">
        <v>23</v>
      </c>
      <c r="F823" s="6" t="s">
        <v>52</v>
      </c>
      <c r="G823" s="6" t="s">
        <v>4113</v>
      </c>
      <c r="H823" s="10">
        <v>46170</v>
      </c>
      <c r="I823" s="6" t="s">
        <v>4114</v>
      </c>
      <c r="J823" s="6" t="s">
        <v>4115</v>
      </c>
      <c r="K823" s="6" t="s">
        <v>137</v>
      </c>
      <c r="L823" s="6" t="s">
        <v>222</v>
      </c>
      <c r="M823" s="6" t="s">
        <v>4116</v>
      </c>
    </row>
    <row r="824" spans="1:13" ht="13" x14ac:dyDescent="0.15">
      <c r="A824" s="5" t="str">
        <f>HYPERLINK("https://onemount.atlassian.net/browse/DBA-5009","DBA-5009")</f>
        <v>DBA-5009</v>
      </c>
      <c r="B824" s="6" t="s">
        <v>21</v>
      </c>
      <c r="C824" s="6" t="s">
        <v>4117</v>
      </c>
      <c r="D824" s="8" t="s">
        <v>17</v>
      </c>
      <c r="E824" s="6" t="s">
        <v>23</v>
      </c>
      <c r="F824" s="6" t="s">
        <v>52</v>
      </c>
      <c r="G824" s="6" t="s">
        <v>4118</v>
      </c>
      <c r="H824" s="10">
        <v>46170</v>
      </c>
      <c r="I824" s="6" t="s">
        <v>4119</v>
      </c>
      <c r="J824" s="6" t="s">
        <v>55</v>
      </c>
      <c r="K824" s="6" t="s">
        <v>55</v>
      </c>
      <c r="L824" s="6" t="s">
        <v>93</v>
      </c>
      <c r="M824" s="6" t="s">
        <v>4120</v>
      </c>
    </row>
    <row r="825" spans="1:13" ht="13" x14ac:dyDescent="0.15">
      <c r="A825" s="5" t="str">
        <f>HYPERLINK("https://onemount.atlassian.net/browse/DBA-5008","DBA-5008")</f>
        <v>DBA-5008</v>
      </c>
      <c r="B825" s="6" t="s">
        <v>21</v>
      </c>
      <c r="C825" s="6" t="s">
        <v>2322</v>
      </c>
      <c r="D825" s="8" t="s">
        <v>17</v>
      </c>
      <c r="E825" s="6" t="s">
        <v>23</v>
      </c>
      <c r="F825" s="6" t="s">
        <v>24</v>
      </c>
      <c r="G825" s="6" t="s">
        <v>4121</v>
      </c>
      <c r="H825" s="10">
        <v>46170</v>
      </c>
      <c r="I825" s="6" t="s">
        <v>4122</v>
      </c>
      <c r="J825" s="6" t="s">
        <v>88</v>
      </c>
      <c r="K825" s="6" t="s">
        <v>59</v>
      </c>
      <c r="L825" s="6" t="s">
        <v>88</v>
      </c>
      <c r="M825" s="6" t="s">
        <v>4123</v>
      </c>
    </row>
    <row r="826" spans="1:13" ht="13" x14ac:dyDescent="0.15">
      <c r="A826" s="5" t="str">
        <f>HYPERLINK("https://onemount.atlassian.net/browse/DBA-5007","DBA-5007")</f>
        <v>DBA-5007</v>
      </c>
      <c r="B826" s="6" t="s">
        <v>21</v>
      </c>
      <c r="C826" s="6" t="s">
        <v>4124</v>
      </c>
      <c r="D826" s="8" t="s">
        <v>17</v>
      </c>
      <c r="E826" s="6" t="s">
        <v>23</v>
      </c>
      <c r="F826" s="6" t="s">
        <v>52</v>
      </c>
      <c r="G826" s="6" t="s">
        <v>4125</v>
      </c>
      <c r="H826" s="10">
        <v>46170</v>
      </c>
      <c r="I826" s="6" t="s">
        <v>4126</v>
      </c>
      <c r="J826" s="6" t="s">
        <v>3443</v>
      </c>
      <c r="K826" s="6" t="s">
        <v>137</v>
      </c>
      <c r="L826" s="6" t="s">
        <v>139</v>
      </c>
      <c r="M826" s="6" t="s">
        <v>4127</v>
      </c>
    </row>
    <row r="827" spans="1:13" ht="13" x14ac:dyDescent="0.15">
      <c r="A827" s="5" t="str">
        <f>HYPERLINK("https://onemount.atlassian.net/browse/DBA-5006","DBA-5006")</f>
        <v>DBA-5006</v>
      </c>
      <c r="B827" s="6" t="s">
        <v>21</v>
      </c>
      <c r="C827" s="6" t="s">
        <v>4128</v>
      </c>
      <c r="D827" s="8" t="s">
        <v>17</v>
      </c>
      <c r="E827" s="6" t="s">
        <v>23</v>
      </c>
      <c r="F827" s="6" t="s">
        <v>52</v>
      </c>
      <c r="G827" s="6" t="s">
        <v>4129</v>
      </c>
      <c r="H827" s="10">
        <v>46169</v>
      </c>
      <c r="I827" s="6" t="s">
        <v>4130</v>
      </c>
      <c r="J827" s="6" t="s">
        <v>85</v>
      </c>
      <c r="K827" s="6" t="s">
        <v>55</v>
      </c>
      <c r="L827" s="6" t="s">
        <v>85</v>
      </c>
      <c r="M827" s="6" t="s">
        <v>4131</v>
      </c>
    </row>
    <row r="828" spans="1:13" ht="13" x14ac:dyDescent="0.15">
      <c r="A828" s="5" t="str">
        <f>HYPERLINK("https://onemount.atlassian.net/browse/DBA-5004","DBA-5004")</f>
        <v>DBA-5004</v>
      </c>
      <c r="B828" s="6" t="s">
        <v>21</v>
      </c>
      <c r="C828" s="6" t="s">
        <v>4132</v>
      </c>
      <c r="D828" s="8" t="s">
        <v>17</v>
      </c>
      <c r="E828" s="6" t="s">
        <v>23</v>
      </c>
      <c r="F828" s="6" t="s">
        <v>41</v>
      </c>
      <c r="G828" s="6" t="s">
        <v>4133</v>
      </c>
      <c r="H828" s="10">
        <v>46538</v>
      </c>
      <c r="I828" s="6" t="s">
        <v>4134</v>
      </c>
      <c r="J828" s="6" t="s">
        <v>27</v>
      </c>
      <c r="K828" s="6" t="s">
        <v>28</v>
      </c>
      <c r="L828" s="6" t="s">
        <v>27</v>
      </c>
      <c r="M828" s="6" t="s">
        <v>4135</v>
      </c>
    </row>
    <row r="829" spans="1:13" ht="13" x14ac:dyDescent="0.15">
      <c r="A829" s="5" t="str">
        <f>HYPERLINK("https://onemount.atlassian.net/browse/DBA-5003","DBA-5003")</f>
        <v>DBA-5003</v>
      </c>
      <c r="B829" s="6" t="s">
        <v>21</v>
      </c>
      <c r="C829" s="6" t="s">
        <v>4136</v>
      </c>
      <c r="D829" s="8" t="s">
        <v>17</v>
      </c>
      <c r="E829" s="6" t="s">
        <v>23</v>
      </c>
      <c r="F829" s="6" t="s">
        <v>31</v>
      </c>
      <c r="G829" s="6" t="s">
        <v>4137</v>
      </c>
      <c r="H829" s="10">
        <v>46169</v>
      </c>
      <c r="I829" s="6" t="s">
        <v>4138</v>
      </c>
      <c r="J829" s="6" t="s">
        <v>119</v>
      </c>
      <c r="K829" s="6" t="s">
        <v>35</v>
      </c>
      <c r="L829" s="6" t="s">
        <v>119</v>
      </c>
      <c r="M829" s="6" t="s">
        <v>4139</v>
      </c>
    </row>
    <row r="830" spans="1:13" ht="13" x14ac:dyDescent="0.15">
      <c r="A830" s="5" t="str">
        <f>HYPERLINK("https://onemount.atlassian.net/browse/DBA-5001","DBA-5001")</f>
        <v>DBA-5001</v>
      </c>
      <c r="B830" s="6" t="s">
        <v>21</v>
      </c>
      <c r="C830" s="6" t="s">
        <v>3649</v>
      </c>
      <c r="D830" s="8" t="s">
        <v>17</v>
      </c>
      <c r="E830" s="6" t="s">
        <v>23</v>
      </c>
      <c r="F830" s="6" t="s">
        <v>24</v>
      </c>
      <c r="G830" s="6" t="s">
        <v>4140</v>
      </c>
      <c r="H830" s="10">
        <v>46169</v>
      </c>
      <c r="I830" s="6" t="s">
        <v>4141</v>
      </c>
      <c r="J830" s="6" t="s">
        <v>3553</v>
      </c>
      <c r="K830" s="6" t="s">
        <v>165</v>
      </c>
      <c r="L830" s="6" t="s">
        <v>39</v>
      </c>
      <c r="M830" s="6" t="s">
        <v>4142</v>
      </c>
    </row>
    <row r="831" spans="1:13" ht="13" x14ac:dyDescent="0.15">
      <c r="A831" s="5" t="str">
        <f>HYPERLINK("https://onemount.atlassian.net/browse/DBA-5000","DBA-5000")</f>
        <v>DBA-5000</v>
      </c>
      <c r="B831" s="6" t="s">
        <v>21</v>
      </c>
      <c r="C831" s="6" t="s">
        <v>4143</v>
      </c>
      <c r="D831" s="14" t="s">
        <v>19</v>
      </c>
      <c r="E831" s="6" t="s">
        <v>23</v>
      </c>
      <c r="F831" s="6" t="s">
        <v>41</v>
      </c>
      <c r="G831" s="6" t="s">
        <v>4144</v>
      </c>
      <c r="H831" s="6" t="s">
        <v>43</v>
      </c>
      <c r="I831" s="6" t="s">
        <v>44</v>
      </c>
      <c r="J831" s="6" t="s">
        <v>4145</v>
      </c>
      <c r="K831" s="6" t="s">
        <v>59</v>
      </c>
      <c r="L831" s="6" t="s">
        <v>109</v>
      </c>
      <c r="M831" s="6" t="s">
        <v>4146</v>
      </c>
    </row>
    <row r="832" spans="1:13" ht="13" x14ac:dyDescent="0.15">
      <c r="A832" s="5" t="str">
        <f>HYPERLINK("https://onemount.atlassian.net/browse/DBA-4999","DBA-4999")</f>
        <v>DBA-4999</v>
      </c>
      <c r="B832" s="6" t="s">
        <v>21</v>
      </c>
      <c r="C832" s="6" t="s">
        <v>4147</v>
      </c>
      <c r="D832" s="8" t="s">
        <v>17</v>
      </c>
      <c r="E832" s="6" t="s">
        <v>23</v>
      </c>
      <c r="F832" s="6" t="s">
        <v>31</v>
      </c>
      <c r="G832" s="6" t="s">
        <v>4148</v>
      </c>
      <c r="H832" s="10">
        <v>46168</v>
      </c>
      <c r="I832" s="6" t="s">
        <v>4149</v>
      </c>
      <c r="J832" s="6" t="s">
        <v>128</v>
      </c>
      <c r="K832" s="6" t="s">
        <v>35</v>
      </c>
      <c r="L832" s="6" t="s">
        <v>129</v>
      </c>
      <c r="M832" s="6" t="s">
        <v>4150</v>
      </c>
    </row>
    <row r="833" spans="1:13" ht="13" x14ac:dyDescent="0.15">
      <c r="A833" s="21" t="str">
        <f>HYPERLINK("https://onemount.atlassian.net/browse/DBA-4998","DBA-4998")</f>
        <v>DBA-4998</v>
      </c>
      <c r="B833" s="6" t="s">
        <v>21</v>
      </c>
      <c r="C833" s="6" t="s">
        <v>3289</v>
      </c>
      <c r="D833" s="8" t="s">
        <v>17</v>
      </c>
      <c r="E833" s="6" t="s">
        <v>23</v>
      </c>
      <c r="F833" s="6" t="s">
        <v>52</v>
      </c>
      <c r="G833" s="6" t="s">
        <v>4151</v>
      </c>
      <c r="H833" s="10">
        <v>46168</v>
      </c>
      <c r="I833" s="6" t="s">
        <v>4152</v>
      </c>
      <c r="J833" s="6" t="s">
        <v>56</v>
      </c>
      <c r="K833" s="6" t="s">
        <v>55</v>
      </c>
      <c r="L833" s="6" t="s">
        <v>56</v>
      </c>
      <c r="M833" s="6" t="s">
        <v>3292</v>
      </c>
    </row>
    <row r="834" spans="1:13" ht="13" x14ac:dyDescent="0.15">
      <c r="A834" s="5" t="str">
        <f>HYPERLINK("https://onemount.atlassian.net/browse/DBA-4997","DBA-4997")</f>
        <v>DBA-4997</v>
      </c>
      <c r="B834" s="6" t="s">
        <v>21</v>
      </c>
      <c r="C834" s="6" t="s">
        <v>3698</v>
      </c>
      <c r="D834" s="8" t="s">
        <v>17</v>
      </c>
      <c r="E834" s="6" t="s">
        <v>23</v>
      </c>
      <c r="F834" s="6" t="s">
        <v>52</v>
      </c>
      <c r="G834" s="6" t="s">
        <v>4153</v>
      </c>
      <c r="H834" s="10">
        <v>46169</v>
      </c>
      <c r="I834" s="6" t="s">
        <v>4154</v>
      </c>
      <c r="J834" s="6" t="s">
        <v>3701</v>
      </c>
      <c r="K834" s="6" t="s">
        <v>46</v>
      </c>
      <c r="L834" s="6" t="s">
        <v>39</v>
      </c>
      <c r="M834" s="6" t="s">
        <v>4155</v>
      </c>
    </row>
    <row r="835" spans="1:13" ht="13" x14ac:dyDescent="0.15">
      <c r="A835" s="5" t="str">
        <f>HYPERLINK("https://onemount.atlassian.net/browse/DBA-4996","DBA-4996")</f>
        <v>DBA-4996</v>
      </c>
      <c r="B835" s="6" t="s">
        <v>21</v>
      </c>
      <c r="C835" s="6" t="s">
        <v>4156</v>
      </c>
      <c r="D835" s="8" t="s">
        <v>17</v>
      </c>
      <c r="E835" s="6" t="s">
        <v>23</v>
      </c>
      <c r="F835" s="6" t="s">
        <v>52</v>
      </c>
      <c r="G835" s="6" t="s">
        <v>4157</v>
      </c>
      <c r="H835" s="10">
        <v>46169</v>
      </c>
      <c r="I835" s="6" t="s">
        <v>4158</v>
      </c>
      <c r="J835" s="6" t="s">
        <v>3701</v>
      </c>
      <c r="K835" s="6" t="s">
        <v>46</v>
      </c>
      <c r="L835" s="6" t="s">
        <v>39</v>
      </c>
      <c r="M835" s="6" t="s">
        <v>4159</v>
      </c>
    </row>
    <row r="836" spans="1:13" ht="13" x14ac:dyDescent="0.15">
      <c r="A836" s="5" t="str">
        <f>HYPERLINK("https://onemount.atlassian.net/browse/DBA-4995","DBA-4995")</f>
        <v>DBA-4995</v>
      </c>
      <c r="B836" s="6" t="s">
        <v>21</v>
      </c>
      <c r="C836" s="6" t="s">
        <v>4160</v>
      </c>
      <c r="D836" s="8" t="s">
        <v>17</v>
      </c>
      <c r="E836" s="6" t="s">
        <v>23</v>
      </c>
      <c r="F836" s="6" t="s">
        <v>41</v>
      </c>
      <c r="G836" s="6" t="s">
        <v>4161</v>
      </c>
      <c r="H836" s="10">
        <v>46170</v>
      </c>
      <c r="I836" s="6" t="s">
        <v>4162</v>
      </c>
      <c r="J836" s="6" t="s">
        <v>4163</v>
      </c>
      <c r="K836" s="6" t="s">
        <v>28</v>
      </c>
      <c r="L836" s="6" t="s">
        <v>27</v>
      </c>
      <c r="M836" s="6" t="s">
        <v>4164</v>
      </c>
    </row>
    <row r="837" spans="1:13" ht="13" x14ac:dyDescent="0.15">
      <c r="A837" s="21" t="str">
        <f>HYPERLINK("https://onemount.atlassian.net/browse/DBA-4992","DBA-4992")</f>
        <v>DBA-4992</v>
      </c>
      <c r="B837" s="6" t="s">
        <v>21</v>
      </c>
      <c r="C837" s="6" t="s">
        <v>4165</v>
      </c>
      <c r="D837" s="8" t="s">
        <v>17</v>
      </c>
      <c r="E837" s="6" t="s">
        <v>23</v>
      </c>
      <c r="F837" s="6" t="s">
        <v>24</v>
      </c>
      <c r="G837" s="6" t="s">
        <v>4166</v>
      </c>
      <c r="H837" s="10">
        <v>46168</v>
      </c>
      <c r="I837" s="6" t="s">
        <v>4167</v>
      </c>
      <c r="J837" s="6" t="s">
        <v>55</v>
      </c>
      <c r="K837" s="6" t="s">
        <v>55</v>
      </c>
      <c r="L837" s="6" t="s">
        <v>93</v>
      </c>
      <c r="M837" s="6" t="s">
        <v>4168</v>
      </c>
    </row>
    <row r="838" spans="1:13" ht="13" x14ac:dyDescent="0.15">
      <c r="A838" s="5" t="str">
        <f>HYPERLINK("https://onemount.atlassian.net/browse/DBA-4991","DBA-4991")</f>
        <v>DBA-4991</v>
      </c>
      <c r="B838" s="6" t="s">
        <v>21</v>
      </c>
      <c r="C838" s="6" t="s">
        <v>4169</v>
      </c>
      <c r="D838" s="8" t="s">
        <v>17</v>
      </c>
      <c r="E838" s="6" t="s">
        <v>23</v>
      </c>
      <c r="F838" s="6" t="s">
        <v>24</v>
      </c>
      <c r="G838" s="6" t="s">
        <v>4170</v>
      </c>
      <c r="H838" s="10">
        <v>46168</v>
      </c>
      <c r="I838" s="6" t="s">
        <v>4171</v>
      </c>
      <c r="J838" s="6" t="s">
        <v>3553</v>
      </c>
      <c r="K838" s="6" t="s">
        <v>165</v>
      </c>
      <c r="L838" s="6" t="s">
        <v>39</v>
      </c>
      <c r="M838" s="6" t="s">
        <v>4172</v>
      </c>
    </row>
    <row r="839" spans="1:13" ht="13" x14ac:dyDescent="0.15">
      <c r="A839" s="5" t="str">
        <f>HYPERLINK("https://onemount.atlassian.net/browse/DBA-4988","DBA-4988")</f>
        <v>DBA-4988</v>
      </c>
      <c r="B839" s="6" t="s">
        <v>21</v>
      </c>
      <c r="C839" s="6" t="s">
        <v>4173</v>
      </c>
      <c r="D839" s="8" t="s">
        <v>17</v>
      </c>
      <c r="E839" s="6" t="s">
        <v>23</v>
      </c>
      <c r="F839" s="6" t="s">
        <v>24</v>
      </c>
      <c r="G839" s="6" t="s">
        <v>4174</v>
      </c>
      <c r="H839" s="10">
        <v>46167</v>
      </c>
      <c r="I839" s="6" t="s">
        <v>4175</v>
      </c>
      <c r="J839" s="6" t="s">
        <v>510</v>
      </c>
      <c r="K839" s="6" t="s">
        <v>165</v>
      </c>
      <c r="L839" s="6" t="s">
        <v>77</v>
      </c>
      <c r="M839" s="6" t="s">
        <v>4176</v>
      </c>
    </row>
    <row r="840" spans="1:13" ht="13" x14ac:dyDescent="0.15">
      <c r="A840" s="5" t="str">
        <f>HYPERLINK("https://onemount.atlassian.net/browse/DBA-4987","DBA-4987")</f>
        <v>DBA-4987</v>
      </c>
      <c r="B840" s="6" t="s">
        <v>21</v>
      </c>
      <c r="C840" s="6" t="s">
        <v>4177</v>
      </c>
      <c r="D840" s="8" t="s">
        <v>17</v>
      </c>
      <c r="E840" s="6" t="s">
        <v>23</v>
      </c>
      <c r="F840" s="6" t="s">
        <v>52</v>
      </c>
      <c r="G840" s="6" t="s">
        <v>4178</v>
      </c>
      <c r="H840" s="10">
        <v>46167</v>
      </c>
      <c r="I840" s="6" t="s">
        <v>4179</v>
      </c>
      <c r="J840" s="6" t="s">
        <v>85</v>
      </c>
      <c r="K840" s="6" t="s">
        <v>55</v>
      </c>
      <c r="L840" s="6" t="s">
        <v>85</v>
      </c>
      <c r="M840" s="6" t="s">
        <v>4180</v>
      </c>
    </row>
    <row r="841" spans="1:13" ht="13" x14ac:dyDescent="0.15">
      <c r="A841" s="5" t="str">
        <f>HYPERLINK("https://onemount.atlassian.net/browse/DBA-4985","DBA-4985")</f>
        <v>DBA-4985</v>
      </c>
      <c r="B841" s="6" t="s">
        <v>21</v>
      </c>
      <c r="C841" s="6" t="s">
        <v>4181</v>
      </c>
      <c r="D841" s="8" t="s">
        <v>17</v>
      </c>
      <c r="E841" s="6" t="s">
        <v>23</v>
      </c>
      <c r="F841" s="6" t="s">
        <v>24</v>
      </c>
      <c r="G841" s="6" t="s">
        <v>4182</v>
      </c>
      <c r="H841" s="10">
        <v>46167</v>
      </c>
      <c r="I841" s="6" t="s">
        <v>4183</v>
      </c>
      <c r="J841" s="6" t="s">
        <v>4184</v>
      </c>
      <c r="K841" s="6" t="s">
        <v>28</v>
      </c>
      <c r="L841" s="6" t="s">
        <v>27</v>
      </c>
      <c r="M841" s="6" t="s">
        <v>4185</v>
      </c>
    </row>
    <row r="842" spans="1:13" ht="13" x14ac:dyDescent="0.15">
      <c r="A842" s="21" t="str">
        <f>HYPERLINK("https://onemount.atlassian.net/browse/DBA-4983","DBA-4983")</f>
        <v>DBA-4983</v>
      </c>
      <c r="B842" s="6" t="s">
        <v>21</v>
      </c>
      <c r="C842" s="6" t="s">
        <v>4186</v>
      </c>
      <c r="D842" s="8" t="s">
        <v>17</v>
      </c>
      <c r="E842" s="6" t="s">
        <v>23</v>
      </c>
      <c r="F842" s="6" t="s">
        <v>24</v>
      </c>
      <c r="G842" s="6" t="s">
        <v>4187</v>
      </c>
      <c r="H842" s="10">
        <v>46168</v>
      </c>
      <c r="I842" s="6" t="s">
        <v>4188</v>
      </c>
      <c r="J842" s="6" t="s">
        <v>571</v>
      </c>
      <c r="K842" s="6" t="s">
        <v>46</v>
      </c>
      <c r="L842" s="6" t="s">
        <v>571</v>
      </c>
      <c r="M842" s="6" t="s">
        <v>4189</v>
      </c>
    </row>
    <row r="843" spans="1:13" ht="13" x14ac:dyDescent="0.15">
      <c r="A843" s="5" t="str">
        <f>HYPERLINK("https://onemount.atlassian.net/browse/DBA-4982","DBA-4982")</f>
        <v>DBA-4982</v>
      </c>
      <c r="B843" s="6" t="s">
        <v>21</v>
      </c>
      <c r="C843" s="6" t="s">
        <v>4190</v>
      </c>
      <c r="D843" s="8" t="s">
        <v>17</v>
      </c>
      <c r="E843" s="6" t="s">
        <v>23</v>
      </c>
      <c r="F843" s="6" t="s">
        <v>24</v>
      </c>
      <c r="G843" s="6" t="s">
        <v>4191</v>
      </c>
      <c r="H843" s="10">
        <v>46168</v>
      </c>
      <c r="I843" s="6" t="s">
        <v>4192</v>
      </c>
      <c r="J843" s="6" t="s">
        <v>510</v>
      </c>
      <c r="K843" s="6" t="s">
        <v>165</v>
      </c>
      <c r="L843" s="6" t="s">
        <v>77</v>
      </c>
      <c r="M843" s="6" t="s">
        <v>4193</v>
      </c>
    </row>
    <row r="844" spans="1:13" ht="13" x14ac:dyDescent="0.15">
      <c r="A844" s="5" t="str">
        <f>HYPERLINK("https://onemount.atlassian.net/browse/DBA-4981","DBA-4981")</f>
        <v>DBA-4981</v>
      </c>
      <c r="B844" s="6" t="s">
        <v>21</v>
      </c>
      <c r="C844" s="6" t="s">
        <v>4194</v>
      </c>
      <c r="D844" s="8" t="s">
        <v>17</v>
      </c>
      <c r="E844" s="6" t="s">
        <v>23</v>
      </c>
      <c r="F844" s="6" t="s">
        <v>87</v>
      </c>
      <c r="G844" s="6" t="s">
        <v>4195</v>
      </c>
      <c r="H844" s="10">
        <v>46168</v>
      </c>
      <c r="I844" s="6" t="s">
        <v>4196</v>
      </c>
      <c r="J844" s="6" t="s">
        <v>628</v>
      </c>
      <c r="K844" s="6" t="s">
        <v>165</v>
      </c>
      <c r="L844" s="6" t="s">
        <v>119</v>
      </c>
      <c r="M844" s="6" t="s">
        <v>4197</v>
      </c>
    </row>
    <row r="845" spans="1:13" ht="13" x14ac:dyDescent="0.15">
      <c r="A845" s="5" t="str">
        <f>HYPERLINK("https://onemount.atlassian.net/browse/DBA-4980","DBA-4980")</f>
        <v>DBA-4980</v>
      </c>
      <c r="B845" s="6" t="s">
        <v>21</v>
      </c>
      <c r="C845" s="6" t="s">
        <v>2061</v>
      </c>
      <c r="D845" s="8" t="s">
        <v>17</v>
      </c>
      <c r="E845" s="6" t="s">
        <v>23</v>
      </c>
      <c r="F845" s="6" t="s">
        <v>24</v>
      </c>
      <c r="G845" s="6" t="s">
        <v>4198</v>
      </c>
      <c r="H845" s="10">
        <v>46168</v>
      </c>
      <c r="I845" s="6" t="s">
        <v>4199</v>
      </c>
      <c r="J845" s="6" t="s">
        <v>55</v>
      </c>
      <c r="K845" s="6" t="s">
        <v>55</v>
      </c>
      <c r="L845" s="6" t="s">
        <v>55</v>
      </c>
      <c r="M845" s="6" t="s">
        <v>4200</v>
      </c>
    </row>
    <row r="846" spans="1:13" ht="13" x14ac:dyDescent="0.15">
      <c r="A846" s="5" t="str">
        <f>HYPERLINK("https://onemount.atlassian.net/browse/DBA-4979","DBA-4979")</f>
        <v>DBA-4979</v>
      </c>
      <c r="B846" s="6" t="s">
        <v>21</v>
      </c>
      <c r="C846" s="6" t="s">
        <v>4201</v>
      </c>
      <c r="D846" s="8" t="s">
        <v>17</v>
      </c>
      <c r="E846" s="6" t="s">
        <v>23</v>
      </c>
      <c r="F846" s="6" t="s">
        <v>31</v>
      </c>
      <c r="G846" s="6" t="s">
        <v>4202</v>
      </c>
      <c r="H846" s="10">
        <v>46172</v>
      </c>
      <c r="I846" s="6" t="s">
        <v>4203</v>
      </c>
      <c r="J846" s="6" t="s">
        <v>1217</v>
      </c>
      <c r="K846" s="6" t="s">
        <v>35</v>
      </c>
      <c r="L846" s="6" t="s">
        <v>1217</v>
      </c>
      <c r="M846" s="6" t="s">
        <v>4204</v>
      </c>
    </row>
    <row r="847" spans="1:13" ht="13" x14ac:dyDescent="0.15">
      <c r="A847" s="5" t="str">
        <f>HYPERLINK("https://onemount.atlassian.net/browse/DBA-4975","DBA-4975")</f>
        <v>DBA-4975</v>
      </c>
      <c r="B847" s="6" t="s">
        <v>21</v>
      </c>
      <c r="C847" s="6" t="s">
        <v>4205</v>
      </c>
      <c r="D847" s="8" t="s">
        <v>17</v>
      </c>
      <c r="E847" s="6" t="s">
        <v>23</v>
      </c>
      <c r="F847" s="6" t="s">
        <v>24</v>
      </c>
      <c r="G847" s="6" t="s">
        <v>4206</v>
      </c>
      <c r="H847" s="10">
        <v>46167</v>
      </c>
      <c r="I847" s="6" t="s">
        <v>4207</v>
      </c>
      <c r="J847" s="6" t="s">
        <v>77</v>
      </c>
      <c r="K847" s="6" t="s">
        <v>165</v>
      </c>
      <c r="L847" s="6" t="s">
        <v>77</v>
      </c>
      <c r="M847" s="6" t="s">
        <v>4208</v>
      </c>
    </row>
    <row r="848" spans="1:13" ht="13" x14ac:dyDescent="0.15">
      <c r="A848" s="5" t="str">
        <f>HYPERLINK("https://onemount.atlassian.net/browse/DBA-4974","DBA-4974")</f>
        <v>DBA-4974</v>
      </c>
      <c r="B848" s="6" t="s">
        <v>21</v>
      </c>
      <c r="C848" s="6" t="s">
        <v>4209</v>
      </c>
      <c r="D848" s="8" t="s">
        <v>17</v>
      </c>
      <c r="E848" s="6" t="s">
        <v>23</v>
      </c>
      <c r="F848" s="6" t="s">
        <v>31</v>
      </c>
      <c r="G848" s="6" t="s">
        <v>4210</v>
      </c>
      <c r="H848" s="10">
        <v>46166</v>
      </c>
      <c r="I848" s="6" t="s">
        <v>4211</v>
      </c>
      <c r="J848" s="6" t="s">
        <v>478</v>
      </c>
      <c r="K848" s="6" t="s">
        <v>35</v>
      </c>
      <c r="L848" s="6" t="s">
        <v>478</v>
      </c>
      <c r="M848" s="6" t="s">
        <v>4212</v>
      </c>
    </row>
    <row r="849" spans="1:13" ht="13" x14ac:dyDescent="0.15">
      <c r="A849" s="5" t="str">
        <f>HYPERLINK("https://onemount.atlassian.net/browse/DBA-4973","DBA-4973")</f>
        <v>DBA-4973</v>
      </c>
      <c r="B849" s="6" t="s">
        <v>21</v>
      </c>
      <c r="C849" s="6" t="s">
        <v>4213</v>
      </c>
      <c r="D849" s="8" t="s">
        <v>17</v>
      </c>
      <c r="E849" s="6" t="s">
        <v>23</v>
      </c>
      <c r="F849" s="6" t="s">
        <v>24</v>
      </c>
      <c r="G849" s="6" t="s">
        <v>4214</v>
      </c>
      <c r="H849" s="10">
        <v>46165</v>
      </c>
      <c r="I849" s="6" t="s">
        <v>4215</v>
      </c>
      <c r="J849" s="6" t="s">
        <v>77</v>
      </c>
      <c r="K849" s="6" t="s">
        <v>165</v>
      </c>
      <c r="L849" s="6" t="s">
        <v>77</v>
      </c>
      <c r="M849" s="6" t="s">
        <v>4216</v>
      </c>
    </row>
    <row r="850" spans="1:13" ht="13" x14ac:dyDescent="0.15">
      <c r="A850" s="5" t="str">
        <f>HYPERLINK("https://onemount.atlassian.net/browse/DBA-4966","DBA-4966")</f>
        <v>DBA-4966</v>
      </c>
      <c r="B850" s="6" t="s">
        <v>21</v>
      </c>
      <c r="C850" s="6" t="s">
        <v>4136</v>
      </c>
      <c r="D850" s="8" t="s">
        <v>17</v>
      </c>
      <c r="E850" s="6" t="s">
        <v>23</v>
      </c>
      <c r="F850" s="6" t="s">
        <v>31</v>
      </c>
      <c r="G850" s="6" t="s">
        <v>4217</v>
      </c>
      <c r="H850" s="10">
        <v>46165</v>
      </c>
      <c r="I850" s="6" t="s">
        <v>4218</v>
      </c>
      <c r="J850" s="6" t="s">
        <v>119</v>
      </c>
      <c r="K850" s="6" t="s">
        <v>35</v>
      </c>
      <c r="L850" s="6" t="s">
        <v>119</v>
      </c>
      <c r="M850" s="6" t="s">
        <v>4219</v>
      </c>
    </row>
    <row r="851" spans="1:13" ht="13" x14ac:dyDescent="0.15">
      <c r="A851" s="5" t="str">
        <f>HYPERLINK("https://onemount.atlassian.net/browse/DBA-4965","DBA-4965")</f>
        <v>DBA-4965</v>
      </c>
      <c r="B851" s="6" t="s">
        <v>21</v>
      </c>
      <c r="C851" s="6" t="s">
        <v>4220</v>
      </c>
      <c r="D851" s="8" t="s">
        <v>17</v>
      </c>
      <c r="E851" s="6" t="s">
        <v>23</v>
      </c>
      <c r="F851" s="6" t="s">
        <v>31</v>
      </c>
      <c r="G851" s="6" t="s">
        <v>4221</v>
      </c>
      <c r="H851" s="10">
        <v>46164</v>
      </c>
      <c r="I851" s="6" t="s">
        <v>4222</v>
      </c>
      <c r="J851" s="6" t="s">
        <v>4223</v>
      </c>
      <c r="K851" s="6" t="s">
        <v>35</v>
      </c>
      <c r="L851" s="6" t="s">
        <v>181</v>
      </c>
      <c r="M851" s="6" t="s">
        <v>4224</v>
      </c>
    </row>
    <row r="852" spans="1:13" ht="13" x14ac:dyDescent="0.15">
      <c r="A852" s="5" t="str">
        <f>HYPERLINK("https://onemount.atlassian.net/browse/DBA-4963","DBA-4963")</f>
        <v>DBA-4963</v>
      </c>
      <c r="B852" s="6" t="s">
        <v>21</v>
      </c>
      <c r="C852" s="6" t="s">
        <v>4225</v>
      </c>
      <c r="D852" s="8" t="s">
        <v>17</v>
      </c>
      <c r="E852" s="6" t="s">
        <v>23</v>
      </c>
      <c r="F852" s="6" t="s">
        <v>31</v>
      </c>
      <c r="G852" s="6" t="s">
        <v>4226</v>
      </c>
      <c r="H852" s="10">
        <v>46164</v>
      </c>
      <c r="I852" s="6" t="s">
        <v>4227</v>
      </c>
      <c r="J852" s="6" t="s">
        <v>707</v>
      </c>
      <c r="K852" s="6" t="s">
        <v>35</v>
      </c>
      <c r="L852" s="6" t="s">
        <v>707</v>
      </c>
      <c r="M852" s="6" t="s">
        <v>4228</v>
      </c>
    </row>
    <row r="853" spans="1:13" ht="13" x14ac:dyDescent="0.15">
      <c r="A853" s="5" t="str">
        <f>HYPERLINK("https://onemount.atlassian.net/browse/DBA-4962","DBA-4962")</f>
        <v>DBA-4962</v>
      </c>
      <c r="B853" s="6" t="s">
        <v>21</v>
      </c>
      <c r="C853" s="6" t="s">
        <v>4229</v>
      </c>
      <c r="D853" s="8" t="s">
        <v>17</v>
      </c>
      <c r="E853" s="6" t="s">
        <v>23</v>
      </c>
      <c r="F853" s="6" t="s">
        <v>52</v>
      </c>
      <c r="G853" s="6" t="s">
        <v>4230</v>
      </c>
      <c r="H853" s="10">
        <v>46165</v>
      </c>
      <c r="I853" s="6" t="s">
        <v>4231</v>
      </c>
      <c r="J853" s="6" t="s">
        <v>855</v>
      </c>
      <c r="K853" s="6" t="s">
        <v>55</v>
      </c>
      <c r="L853" s="6" t="s">
        <v>855</v>
      </c>
      <c r="M853" s="6" t="s">
        <v>4232</v>
      </c>
    </row>
    <row r="854" spans="1:13" ht="13" x14ac:dyDescent="0.15">
      <c r="A854" s="5" t="str">
        <f>HYPERLINK("https://onemount.atlassian.net/browse/DBA-4961","DBA-4961")</f>
        <v>DBA-4961</v>
      </c>
      <c r="B854" s="6" t="s">
        <v>21</v>
      </c>
      <c r="C854" s="6" t="s">
        <v>4233</v>
      </c>
      <c r="D854" s="8" t="s">
        <v>17</v>
      </c>
      <c r="E854" s="6" t="s">
        <v>23</v>
      </c>
      <c r="F854" s="6" t="s">
        <v>87</v>
      </c>
      <c r="G854" s="6" t="s">
        <v>4234</v>
      </c>
      <c r="H854" s="10">
        <v>46165</v>
      </c>
      <c r="I854" s="6" t="s">
        <v>4235</v>
      </c>
      <c r="J854" s="6" t="s">
        <v>224</v>
      </c>
      <c r="K854" s="6" t="s">
        <v>165</v>
      </c>
      <c r="L854" s="6" t="s">
        <v>224</v>
      </c>
      <c r="M854" s="6" t="s">
        <v>4236</v>
      </c>
    </row>
    <row r="855" spans="1:13" ht="13" x14ac:dyDescent="0.15">
      <c r="A855" s="5" t="str">
        <f>HYPERLINK("https://onemount.atlassian.net/browse/DBA-4960","DBA-4960")</f>
        <v>DBA-4960</v>
      </c>
      <c r="B855" s="6" t="s">
        <v>21</v>
      </c>
      <c r="C855" s="6" t="s">
        <v>4237</v>
      </c>
      <c r="D855" s="8" t="s">
        <v>17</v>
      </c>
      <c r="E855" s="6" t="s">
        <v>23</v>
      </c>
      <c r="F855" s="6" t="s">
        <v>52</v>
      </c>
      <c r="G855" s="6" t="s">
        <v>4238</v>
      </c>
      <c r="H855" s="10">
        <v>46164</v>
      </c>
      <c r="I855" s="6" t="s">
        <v>4239</v>
      </c>
      <c r="J855" s="6" t="s">
        <v>55</v>
      </c>
      <c r="K855" s="6" t="s">
        <v>55</v>
      </c>
      <c r="L855" s="6" t="s">
        <v>984</v>
      </c>
      <c r="M855" s="6" t="s">
        <v>4240</v>
      </c>
    </row>
    <row r="856" spans="1:13" ht="13" x14ac:dyDescent="0.15">
      <c r="A856" s="5" t="str">
        <f>HYPERLINK("https://onemount.atlassian.net/browse/DBA-4959","DBA-4959")</f>
        <v>DBA-4959</v>
      </c>
      <c r="B856" s="6" t="s">
        <v>21</v>
      </c>
      <c r="C856" s="6" t="s">
        <v>4241</v>
      </c>
      <c r="D856" s="8" t="s">
        <v>17</v>
      </c>
      <c r="E856" s="6" t="s">
        <v>23</v>
      </c>
      <c r="F856" s="6" t="s">
        <v>52</v>
      </c>
      <c r="G856" s="6" t="s">
        <v>4242</v>
      </c>
      <c r="H856" s="10">
        <v>46163</v>
      </c>
      <c r="I856" s="6" t="s">
        <v>4243</v>
      </c>
      <c r="J856" s="6" t="s">
        <v>270</v>
      </c>
      <c r="K856" s="6" t="s">
        <v>55</v>
      </c>
      <c r="L856" s="6" t="s">
        <v>270</v>
      </c>
      <c r="M856" s="6" t="s">
        <v>4244</v>
      </c>
    </row>
    <row r="857" spans="1:13" ht="13" x14ac:dyDescent="0.15">
      <c r="A857" s="5" t="str">
        <f>HYPERLINK("https://onemount.atlassian.net/browse/DBA-4958","DBA-4958")</f>
        <v>DBA-4958</v>
      </c>
      <c r="B857" s="6" t="s">
        <v>21</v>
      </c>
      <c r="C857" s="6" t="s">
        <v>4245</v>
      </c>
      <c r="D857" s="8" t="s">
        <v>17</v>
      </c>
      <c r="E857" s="6" t="s">
        <v>23</v>
      </c>
      <c r="F857" s="6" t="s">
        <v>52</v>
      </c>
      <c r="G857" s="6" t="s">
        <v>4246</v>
      </c>
      <c r="H857" s="10">
        <v>46164</v>
      </c>
      <c r="I857" s="6" t="s">
        <v>4247</v>
      </c>
      <c r="J857" s="6" t="s">
        <v>56</v>
      </c>
      <c r="K857" s="6" t="s">
        <v>55</v>
      </c>
      <c r="L857" s="6" t="s">
        <v>56</v>
      </c>
      <c r="M857" s="6" t="s">
        <v>4248</v>
      </c>
    </row>
    <row r="858" spans="1:13" ht="13" x14ac:dyDescent="0.15">
      <c r="A858" s="5" t="str">
        <f>HYPERLINK("https://onemount.atlassian.net/browse/DBA-4957","DBA-4957")</f>
        <v>DBA-4957</v>
      </c>
      <c r="B858" s="6" t="s">
        <v>21</v>
      </c>
      <c r="C858" s="6" t="s">
        <v>4249</v>
      </c>
      <c r="D858" s="8" t="s">
        <v>17</v>
      </c>
      <c r="E858" s="6" t="s">
        <v>23</v>
      </c>
      <c r="F858" s="6" t="s">
        <v>52</v>
      </c>
      <c r="G858" s="6" t="s">
        <v>4250</v>
      </c>
      <c r="H858" s="10">
        <v>46164</v>
      </c>
      <c r="I858" s="6" t="s">
        <v>4251</v>
      </c>
      <c r="J858" s="6" t="s">
        <v>2919</v>
      </c>
      <c r="K858" s="6" t="s">
        <v>72</v>
      </c>
      <c r="L858" s="6" t="s">
        <v>188</v>
      </c>
      <c r="M858" s="6" t="s">
        <v>4252</v>
      </c>
    </row>
    <row r="859" spans="1:13" ht="13" x14ac:dyDescent="0.15">
      <c r="A859" s="5" t="str">
        <f>HYPERLINK("https://onemount.atlassian.net/browse/DBA-4956","DBA-4956")</f>
        <v>DBA-4956</v>
      </c>
      <c r="B859" s="6" t="s">
        <v>21</v>
      </c>
      <c r="C859" s="6" t="s">
        <v>4253</v>
      </c>
      <c r="D859" s="8" t="s">
        <v>17</v>
      </c>
      <c r="E859" s="6" t="s">
        <v>23</v>
      </c>
      <c r="F859" s="6" t="s">
        <v>78</v>
      </c>
      <c r="G859" s="6" t="s">
        <v>4254</v>
      </c>
      <c r="H859" s="10">
        <v>46242</v>
      </c>
      <c r="I859" s="6" t="s">
        <v>4255</v>
      </c>
      <c r="J859" s="6" t="s">
        <v>109</v>
      </c>
      <c r="K859" s="6" t="s">
        <v>46</v>
      </c>
      <c r="L859" s="6" t="s">
        <v>109</v>
      </c>
      <c r="M859" s="6" t="s">
        <v>4256</v>
      </c>
    </row>
    <row r="860" spans="1:13" ht="13" x14ac:dyDescent="0.15">
      <c r="A860" s="5" t="str">
        <f>HYPERLINK("https://onemount.atlassian.net/browse/DBA-4955","DBA-4955")</f>
        <v>DBA-4955</v>
      </c>
      <c r="B860" s="6" t="s">
        <v>21</v>
      </c>
      <c r="C860" s="6" t="s">
        <v>4257</v>
      </c>
      <c r="D860" s="8" t="s">
        <v>17</v>
      </c>
      <c r="E860" s="6" t="s">
        <v>23</v>
      </c>
      <c r="F860" s="6" t="s">
        <v>52</v>
      </c>
      <c r="G860" s="6" t="s">
        <v>4258</v>
      </c>
      <c r="H860" s="10">
        <v>46163</v>
      </c>
      <c r="I860" s="6" t="s">
        <v>4259</v>
      </c>
      <c r="J860" s="6" t="s">
        <v>4260</v>
      </c>
      <c r="K860" s="6" t="s">
        <v>46</v>
      </c>
      <c r="L860" s="6" t="s">
        <v>270</v>
      </c>
      <c r="M860" s="6" t="s">
        <v>4261</v>
      </c>
    </row>
    <row r="861" spans="1:13" ht="13" x14ac:dyDescent="0.15">
      <c r="A861" s="5" t="str">
        <f>HYPERLINK("https://onemount.atlassian.net/browse/DBA-4954","DBA-4954")</f>
        <v>DBA-4954</v>
      </c>
      <c r="B861" s="6" t="s">
        <v>21</v>
      </c>
      <c r="C861" s="6" t="s">
        <v>4262</v>
      </c>
      <c r="D861" s="8" t="s">
        <v>17</v>
      </c>
      <c r="E861" s="6" t="s">
        <v>23</v>
      </c>
      <c r="F861" s="6" t="s">
        <v>78</v>
      </c>
      <c r="G861" s="6" t="s">
        <v>4263</v>
      </c>
      <c r="H861" s="10">
        <v>46242</v>
      </c>
      <c r="I861" s="6" t="s">
        <v>4264</v>
      </c>
      <c r="J861" s="6" t="s">
        <v>109</v>
      </c>
      <c r="K861" s="6" t="s">
        <v>46</v>
      </c>
      <c r="L861" s="6" t="s">
        <v>109</v>
      </c>
      <c r="M861" s="6" t="s">
        <v>4265</v>
      </c>
    </row>
    <row r="862" spans="1:13" ht="13" x14ac:dyDescent="0.15">
      <c r="A862" s="5" t="str">
        <f>HYPERLINK("https://onemount.atlassian.net/browse/DBA-4953","DBA-4953")</f>
        <v>DBA-4953</v>
      </c>
      <c r="B862" s="6" t="s">
        <v>21</v>
      </c>
      <c r="C862" s="6" t="s">
        <v>4266</v>
      </c>
      <c r="D862" s="8" t="s">
        <v>17</v>
      </c>
      <c r="E862" s="6" t="s">
        <v>23</v>
      </c>
      <c r="F862" s="6" t="s">
        <v>78</v>
      </c>
      <c r="G862" s="6" t="s">
        <v>4267</v>
      </c>
      <c r="H862" s="10">
        <v>46164</v>
      </c>
      <c r="I862" s="6" t="s">
        <v>4268</v>
      </c>
      <c r="J862" s="6" t="s">
        <v>109</v>
      </c>
      <c r="K862" s="6" t="s">
        <v>46</v>
      </c>
      <c r="L862" s="6" t="s">
        <v>109</v>
      </c>
      <c r="M862" s="6" t="s">
        <v>4269</v>
      </c>
    </row>
    <row r="863" spans="1:13" ht="13" x14ac:dyDescent="0.15">
      <c r="A863" s="5" t="str">
        <f>HYPERLINK("https://onemount.atlassian.net/browse/DBA-4948","DBA-4948")</f>
        <v>DBA-4948</v>
      </c>
      <c r="B863" s="6" t="s">
        <v>21</v>
      </c>
      <c r="C863" s="6" t="s">
        <v>4270</v>
      </c>
      <c r="D863" s="8" t="s">
        <v>17</v>
      </c>
      <c r="E863" s="6" t="s">
        <v>23</v>
      </c>
      <c r="F863" s="6" t="s">
        <v>24</v>
      </c>
      <c r="G863" s="6" t="s">
        <v>4271</v>
      </c>
      <c r="H863" s="10">
        <v>46163</v>
      </c>
      <c r="I863" s="6" t="s">
        <v>4272</v>
      </c>
      <c r="J863" s="6" t="s">
        <v>1058</v>
      </c>
      <c r="K863" s="6" t="s">
        <v>165</v>
      </c>
      <c r="L863" s="6" t="s">
        <v>1058</v>
      </c>
      <c r="M863" s="6" t="s">
        <v>4273</v>
      </c>
    </row>
    <row r="864" spans="1:13" ht="13" x14ac:dyDescent="0.15">
      <c r="A864" s="5" t="str">
        <f>HYPERLINK("https://onemount.atlassian.net/browse/DBA-4947","DBA-4947")</f>
        <v>DBA-4947</v>
      </c>
      <c r="B864" s="6" t="s">
        <v>21</v>
      </c>
      <c r="C864" s="6" t="s">
        <v>3811</v>
      </c>
      <c r="D864" s="8" t="s">
        <v>17</v>
      </c>
      <c r="E864" s="6" t="s">
        <v>23</v>
      </c>
      <c r="F864" s="6" t="s">
        <v>52</v>
      </c>
      <c r="G864" s="6" t="s">
        <v>4274</v>
      </c>
      <c r="H864" s="10">
        <v>46162</v>
      </c>
      <c r="I864" s="6" t="s">
        <v>4275</v>
      </c>
      <c r="J864" s="6" t="s">
        <v>55</v>
      </c>
      <c r="K864" s="6" t="s">
        <v>55</v>
      </c>
      <c r="L864" s="6" t="s">
        <v>56</v>
      </c>
      <c r="M864" s="6" t="s">
        <v>4276</v>
      </c>
    </row>
    <row r="865" spans="1:13" ht="13" x14ac:dyDescent="0.15">
      <c r="A865" s="5" t="str">
        <f>HYPERLINK("https://onemount.atlassian.net/browse/DBA-4946","DBA-4946")</f>
        <v>DBA-4946</v>
      </c>
      <c r="B865" s="6" t="s">
        <v>21</v>
      </c>
      <c r="C865" s="6" t="s">
        <v>4277</v>
      </c>
      <c r="D865" s="8" t="s">
        <v>17</v>
      </c>
      <c r="E865" s="6" t="s">
        <v>23</v>
      </c>
      <c r="F865" s="6" t="s">
        <v>24</v>
      </c>
      <c r="G865" s="6" t="s">
        <v>4278</v>
      </c>
      <c r="H865" s="10">
        <v>46163</v>
      </c>
      <c r="I865" s="6" t="s">
        <v>4279</v>
      </c>
      <c r="J865" s="6" t="s">
        <v>88</v>
      </c>
      <c r="K865" s="6" t="s">
        <v>59</v>
      </c>
      <c r="L865" s="6" t="s">
        <v>88</v>
      </c>
      <c r="M865" s="6" t="s">
        <v>4280</v>
      </c>
    </row>
    <row r="866" spans="1:13" ht="13" x14ac:dyDescent="0.15">
      <c r="A866" s="5" t="str">
        <f>HYPERLINK("https://onemount.atlassian.net/browse/DBA-4945","DBA-4945")</f>
        <v>DBA-4945</v>
      </c>
      <c r="B866" s="6" t="s">
        <v>21</v>
      </c>
      <c r="C866" s="6" t="s">
        <v>4281</v>
      </c>
      <c r="D866" s="8" t="s">
        <v>17</v>
      </c>
      <c r="E866" s="6" t="s">
        <v>23</v>
      </c>
      <c r="F866" s="6" t="s">
        <v>31</v>
      </c>
      <c r="G866" s="6" t="s">
        <v>4282</v>
      </c>
      <c r="H866" s="10">
        <v>46162</v>
      </c>
      <c r="I866" s="6" t="s">
        <v>4283</v>
      </c>
      <c r="J866" s="6" t="s">
        <v>1217</v>
      </c>
      <c r="K866" s="6" t="s">
        <v>35</v>
      </c>
      <c r="L866" s="6" t="s">
        <v>1217</v>
      </c>
      <c r="M866" s="6" t="s">
        <v>4284</v>
      </c>
    </row>
    <row r="867" spans="1:13" ht="13" x14ac:dyDescent="0.15">
      <c r="A867" s="5" t="str">
        <f>HYPERLINK("https://onemount.atlassian.net/browse/DBA-4944","DBA-4944")</f>
        <v>DBA-4944</v>
      </c>
      <c r="B867" s="6" t="s">
        <v>21</v>
      </c>
      <c r="C867" s="6" t="s">
        <v>4285</v>
      </c>
      <c r="D867" s="8" t="s">
        <v>17</v>
      </c>
      <c r="E867" s="6" t="s">
        <v>23</v>
      </c>
      <c r="F867" s="6" t="s">
        <v>52</v>
      </c>
      <c r="G867" s="6" t="s">
        <v>4286</v>
      </c>
      <c r="H867" s="10">
        <v>46162</v>
      </c>
      <c r="I867" s="6" t="s">
        <v>4287</v>
      </c>
      <c r="J867" s="6" t="s">
        <v>85</v>
      </c>
      <c r="K867" s="6" t="s">
        <v>55</v>
      </c>
      <c r="L867" s="6" t="s">
        <v>85</v>
      </c>
      <c r="M867" s="6" t="s">
        <v>4288</v>
      </c>
    </row>
    <row r="868" spans="1:13" ht="13" x14ac:dyDescent="0.15">
      <c r="A868" s="5" t="str">
        <f>HYPERLINK("https://onemount.atlassian.net/browse/DBA-4942","DBA-4942")</f>
        <v>DBA-4942</v>
      </c>
      <c r="B868" s="6" t="s">
        <v>21</v>
      </c>
      <c r="C868" s="6" t="s">
        <v>4289</v>
      </c>
      <c r="D868" s="8" t="s">
        <v>17</v>
      </c>
      <c r="E868" s="6" t="s">
        <v>23</v>
      </c>
      <c r="F868" s="6" t="s">
        <v>52</v>
      </c>
      <c r="G868" s="6" t="s">
        <v>4290</v>
      </c>
      <c r="H868" s="10">
        <v>46163</v>
      </c>
      <c r="I868" s="6" t="s">
        <v>4291</v>
      </c>
      <c r="J868" s="6" t="s">
        <v>3701</v>
      </c>
      <c r="K868" s="6" t="s">
        <v>46</v>
      </c>
      <c r="L868" s="6" t="s">
        <v>39</v>
      </c>
      <c r="M868" s="6" t="s">
        <v>4292</v>
      </c>
    </row>
    <row r="869" spans="1:13" ht="13" x14ac:dyDescent="0.15">
      <c r="A869" s="5" t="str">
        <f>HYPERLINK("https://onemount.atlassian.net/browse/DBA-4941","DBA-4941")</f>
        <v>DBA-4941</v>
      </c>
      <c r="B869" s="6" t="s">
        <v>21</v>
      </c>
      <c r="C869" s="6" t="s">
        <v>4293</v>
      </c>
      <c r="D869" s="8" t="s">
        <v>17</v>
      </c>
      <c r="E869" s="6" t="s">
        <v>23</v>
      </c>
      <c r="F869" s="6" t="s">
        <v>31</v>
      </c>
      <c r="G869" s="6" t="s">
        <v>4294</v>
      </c>
      <c r="H869" s="10">
        <v>46162</v>
      </c>
      <c r="I869" s="6" t="s">
        <v>4295</v>
      </c>
      <c r="J869" s="6" t="s">
        <v>181</v>
      </c>
      <c r="K869" s="6" t="s">
        <v>35</v>
      </c>
      <c r="L869" s="6" t="s">
        <v>181</v>
      </c>
      <c r="M869" s="6" t="s">
        <v>4296</v>
      </c>
    </row>
    <row r="870" spans="1:13" ht="13" x14ac:dyDescent="0.15">
      <c r="A870" s="5" t="str">
        <f>HYPERLINK("https://onemount.atlassian.net/browse/DBA-4940","DBA-4940")</f>
        <v>DBA-4940</v>
      </c>
      <c r="B870" s="6" t="s">
        <v>21</v>
      </c>
      <c r="C870" s="6" t="s">
        <v>4297</v>
      </c>
      <c r="D870" s="8" t="s">
        <v>17</v>
      </c>
      <c r="E870" s="6" t="s">
        <v>23</v>
      </c>
      <c r="F870" s="6" t="s">
        <v>52</v>
      </c>
      <c r="G870" s="6" t="s">
        <v>4298</v>
      </c>
      <c r="H870" s="10">
        <v>46163</v>
      </c>
      <c r="I870" s="6" t="s">
        <v>4299</v>
      </c>
      <c r="J870" s="6" t="s">
        <v>3701</v>
      </c>
      <c r="K870" s="6" t="s">
        <v>46</v>
      </c>
      <c r="L870" s="6" t="s">
        <v>39</v>
      </c>
      <c r="M870" s="6" t="s">
        <v>4300</v>
      </c>
    </row>
    <row r="871" spans="1:13" ht="13" x14ac:dyDescent="0.15">
      <c r="A871" s="5" t="str">
        <f>HYPERLINK("https://onemount.atlassian.net/browse/DBA-4939","DBA-4939")</f>
        <v>DBA-4939</v>
      </c>
      <c r="B871" s="6" t="s">
        <v>21</v>
      </c>
      <c r="C871" s="6" t="s">
        <v>4301</v>
      </c>
      <c r="D871" s="8" t="s">
        <v>17</v>
      </c>
      <c r="E871" s="6" t="s">
        <v>23</v>
      </c>
      <c r="F871" s="6" t="s">
        <v>24</v>
      </c>
      <c r="G871" s="6" t="s">
        <v>4302</v>
      </c>
      <c r="H871" s="10">
        <v>46162</v>
      </c>
      <c r="I871" s="6" t="s">
        <v>4303</v>
      </c>
      <c r="J871" s="6" t="s">
        <v>3553</v>
      </c>
      <c r="K871" s="6" t="s">
        <v>165</v>
      </c>
      <c r="L871" s="6" t="s">
        <v>39</v>
      </c>
      <c r="M871" s="6" t="s">
        <v>4304</v>
      </c>
    </row>
    <row r="872" spans="1:13" ht="13" x14ac:dyDescent="0.15">
      <c r="A872" s="5" t="str">
        <f>HYPERLINK("https://onemount.atlassian.net/browse/DBA-4938","DBA-4938")</f>
        <v>DBA-4938</v>
      </c>
      <c r="B872" s="6" t="s">
        <v>21</v>
      </c>
      <c r="C872" s="6" t="s">
        <v>4305</v>
      </c>
      <c r="D872" s="8" t="s">
        <v>17</v>
      </c>
      <c r="E872" s="6" t="s">
        <v>23</v>
      </c>
      <c r="F872" s="6" t="s">
        <v>31</v>
      </c>
      <c r="G872" s="6" t="s">
        <v>4306</v>
      </c>
      <c r="H872" s="10">
        <v>46162</v>
      </c>
      <c r="I872" s="6" t="s">
        <v>4307</v>
      </c>
      <c r="J872" s="6" t="s">
        <v>1189</v>
      </c>
      <c r="K872" s="6" t="s">
        <v>35</v>
      </c>
      <c r="L872" s="6" t="s">
        <v>1189</v>
      </c>
      <c r="M872" s="6" t="s">
        <v>4308</v>
      </c>
    </row>
    <row r="873" spans="1:13" ht="13" x14ac:dyDescent="0.15">
      <c r="A873" s="21" t="str">
        <f>HYPERLINK("https://onemount.atlassian.net/browse/DBA-4937","DBA-4937")</f>
        <v>DBA-4937</v>
      </c>
      <c r="B873" s="6" t="s">
        <v>21</v>
      </c>
      <c r="C873" s="6" t="s">
        <v>4165</v>
      </c>
      <c r="D873" s="8" t="s">
        <v>17</v>
      </c>
      <c r="E873" s="6" t="s">
        <v>23</v>
      </c>
      <c r="F873" s="6" t="s">
        <v>24</v>
      </c>
      <c r="G873" s="6" t="s">
        <v>4309</v>
      </c>
      <c r="H873" s="10">
        <v>46162</v>
      </c>
      <c r="I873" s="6" t="s">
        <v>4310</v>
      </c>
      <c r="J873" s="6" t="s">
        <v>55</v>
      </c>
      <c r="K873" s="6" t="s">
        <v>55</v>
      </c>
      <c r="L873" s="6" t="s">
        <v>93</v>
      </c>
      <c r="M873" s="6" t="s">
        <v>4168</v>
      </c>
    </row>
    <row r="874" spans="1:13" ht="13" x14ac:dyDescent="0.15">
      <c r="A874" s="5" t="str">
        <f>HYPERLINK("https://onemount.atlassian.net/browse/DBA-4936","DBA-4936")</f>
        <v>DBA-4936</v>
      </c>
      <c r="B874" s="6" t="s">
        <v>21</v>
      </c>
      <c r="C874" s="6" t="s">
        <v>4311</v>
      </c>
      <c r="D874" s="8" t="s">
        <v>17</v>
      </c>
      <c r="E874" s="6" t="s">
        <v>23</v>
      </c>
      <c r="F874" s="6" t="s">
        <v>52</v>
      </c>
      <c r="G874" s="6" t="s">
        <v>4312</v>
      </c>
      <c r="H874" s="10">
        <v>46163</v>
      </c>
      <c r="I874" s="6" t="s">
        <v>4313</v>
      </c>
      <c r="J874" s="6" t="s">
        <v>4314</v>
      </c>
      <c r="K874" s="6" t="s">
        <v>137</v>
      </c>
      <c r="L874" s="6" t="s">
        <v>222</v>
      </c>
      <c r="M874" s="6" t="s">
        <v>4315</v>
      </c>
    </row>
    <row r="875" spans="1:13" ht="13" x14ac:dyDescent="0.15">
      <c r="A875" s="5" t="str">
        <f>HYPERLINK("https://onemount.atlassian.net/browse/DBA-4934","DBA-4934")</f>
        <v>DBA-4934</v>
      </c>
      <c r="B875" s="6" t="s">
        <v>21</v>
      </c>
      <c r="C875" s="6" t="s">
        <v>4316</v>
      </c>
      <c r="D875" s="8" t="s">
        <v>17</v>
      </c>
      <c r="E875" s="6" t="s">
        <v>23</v>
      </c>
      <c r="F875" s="6" t="s">
        <v>52</v>
      </c>
      <c r="G875" s="6" t="s">
        <v>4317</v>
      </c>
      <c r="H875" s="10">
        <v>46162</v>
      </c>
      <c r="I875" s="6" t="s">
        <v>4318</v>
      </c>
      <c r="J875" s="6" t="s">
        <v>2392</v>
      </c>
      <c r="K875" s="6" t="s">
        <v>137</v>
      </c>
      <c r="L875" s="6" t="s">
        <v>222</v>
      </c>
      <c r="M875" s="6" t="s">
        <v>4319</v>
      </c>
    </row>
    <row r="876" spans="1:13" ht="13" x14ac:dyDescent="0.15">
      <c r="A876" s="5" t="str">
        <f>HYPERLINK("https://onemount.atlassian.net/browse/DBA-4933","DBA-4933")</f>
        <v>DBA-4933</v>
      </c>
      <c r="B876" s="6" t="s">
        <v>21</v>
      </c>
      <c r="C876" s="6" t="s">
        <v>4320</v>
      </c>
      <c r="D876" s="8" t="s">
        <v>17</v>
      </c>
      <c r="E876" s="6" t="s">
        <v>23</v>
      </c>
      <c r="F876" s="6" t="s">
        <v>24</v>
      </c>
      <c r="G876" s="6" t="s">
        <v>4321</v>
      </c>
      <c r="H876" s="10">
        <v>46161</v>
      </c>
      <c r="I876" s="6" t="s">
        <v>4322</v>
      </c>
      <c r="J876" s="6" t="s">
        <v>88</v>
      </c>
      <c r="K876" s="6" t="s">
        <v>59</v>
      </c>
      <c r="L876" s="6" t="s">
        <v>88</v>
      </c>
      <c r="M876" s="6" t="s">
        <v>4323</v>
      </c>
    </row>
    <row r="877" spans="1:13" ht="13" x14ac:dyDescent="0.15">
      <c r="A877" s="5" t="str">
        <f>HYPERLINK("https://onemount.atlassian.net/browse/DBA-4932","DBA-4932")</f>
        <v>DBA-4932</v>
      </c>
      <c r="B877" s="6" t="s">
        <v>21</v>
      </c>
      <c r="C877" s="6" t="s">
        <v>4324</v>
      </c>
      <c r="D877" s="8" t="s">
        <v>17</v>
      </c>
      <c r="E877" s="6" t="s">
        <v>23</v>
      </c>
      <c r="F877" s="6" t="s">
        <v>41</v>
      </c>
      <c r="G877" s="6" t="s">
        <v>4325</v>
      </c>
      <c r="H877" s="10">
        <v>46165</v>
      </c>
      <c r="I877" s="6" t="s">
        <v>4326</v>
      </c>
      <c r="J877" s="6" t="s">
        <v>166</v>
      </c>
      <c r="K877" s="6" t="s">
        <v>46</v>
      </c>
      <c r="L877" s="6" t="s">
        <v>295</v>
      </c>
      <c r="M877" s="6" t="s">
        <v>4327</v>
      </c>
    </row>
    <row r="878" spans="1:13" ht="13" x14ac:dyDescent="0.15">
      <c r="A878" s="5" t="str">
        <f>HYPERLINK("https://onemount.atlassian.net/browse/DBA-4931","DBA-4931")</f>
        <v>DBA-4931</v>
      </c>
      <c r="B878" s="6" t="s">
        <v>21</v>
      </c>
      <c r="C878" s="6" t="s">
        <v>4328</v>
      </c>
      <c r="D878" s="8" t="s">
        <v>17</v>
      </c>
      <c r="E878" s="6" t="s">
        <v>23</v>
      </c>
      <c r="F878" s="6" t="s">
        <v>31</v>
      </c>
      <c r="G878" s="6" t="s">
        <v>4329</v>
      </c>
      <c r="H878" s="10">
        <v>46168</v>
      </c>
      <c r="I878" s="6" t="s">
        <v>4330</v>
      </c>
      <c r="J878" s="6" t="s">
        <v>1236</v>
      </c>
      <c r="K878" s="6" t="s">
        <v>35</v>
      </c>
      <c r="L878" s="6" t="s">
        <v>1236</v>
      </c>
      <c r="M878" s="6" t="s">
        <v>4331</v>
      </c>
    </row>
    <row r="879" spans="1:13" ht="13" x14ac:dyDescent="0.15">
      <c r="A879" s="5" t="str">
        <f>HYPERLINK("https://onemount.atlassian.net/browse/DBA-4928","DBA-4928")</f>
        <v>DBA-4928</v>
      </c>
      <c r="B879" s="6" t="s">
        <v>21</v>
      </c>
      <c r="C879" s="6" t="s">
        <v>4332</v>
      </c>
      <c r="D879" s="8" t="s">
        <v>17</v>
      </c>
      <c r="E879" s="6" t="s">
        <v>23</v>
      </c>
      <c r="F879" s="6" t="s">
        <v>24</v>
      </c>
      <c r="G879" s="6" t="s">
        <v>4333</v>
      </c>
      <c r="H879" s="10">
        <v>46161</v>
      </c>
      <c r="I879" s="6" t="s">
        <v>4334</v>
      </c>
      <c r="J879" s="6" t="s">
        <v>146</v>
      </c>
      <c r="K879" s="6" t="s">
        <v>46</v>
      </c>
      <c r="L879" s="6" t="s">
        <v>146</v>
      </c>
      <c r="M879" s="6" t="s">
        <v>4335</v>
      </c>
    </row>
    <row r="880" spans="1:13" ht="13" x14ac:dyDescent="0.15">
      <c r="A880" s="5" t="str">
        <f>HYPERLINK("https://onemount.atlassian.net/browse/DBA-4926","DBA-4926")</f>
        <v>DBA-4926</v>
      </c>
      <c r="B880" s="6" t="s">
        <v>21</v>
      </c>
      <c r="C880" s="6" t="s">
        <v>4336</v>
      </c>
      <c r="D880" s="8" t="s">
        <v>17</v>
      </c>
      <c r="E880" s="6" t="s">
        <v>23</v>
      </c>
      <c r="F880" s="6" t="s">
        <v>87</v>
      </c>
      <c r="G880" s="6" t="s">
        <v>4337</v>
      </c>
      <c r="H880" s="10">
        <v>46162</v>
      </c>
      <c r="I880" s="6" t="s">
        <v>4338</v>
      </c>
      <c r="J880" s="6" t="s">
        <v>146</v>
      </c>
      <c r="K880" s="6" t="s">
        <v>46</v>
      </c>
      <c r="L880" s="6" t="s">
        <v>146</v>
      </c>
      <c r="M880" s="6" t="s">
        <v>4339</v>
      </c>
    </row>
    <row r="881" spans="1:13" ht="13" x14ac:dyDescent="0.15">
      <c r="A881" s="5" t="str">
        <f>HYPERLINK("https://onemount.atlassian.net/browse/DBA-4924","DBA-4924")</f>
        <v>DBA-4924</v>
      </c>
      <c r="B881" s="6" t="s">
        <v>21</v>
      </c>
      <c r="C881" s="6" t="s">
        <v>4340</v>
      </c>
      <c r="D881" s="8" t="s">
        <v>17</v>
      </c>
      <c r="E881" s="6" t="s">
        <v>23</v>
      </c>
      <c r="F881" s="6" t="s">
        <v>41</v>
      </c>
      <c r="G881" s="6" t="s">
        <v>4341</v>
      </c>
      <c r="H881" s="10">
        <v>46162</v>
      </c>
      <c r="I881" s="6" t="s">
        <v>4342</v>
      </c>
      <c r="J881" s="6" t="s">
        <v>4343</v>
      </c>
      <c r="K881" s="6" t="s">
        <v>59</v>
      </c>
      <c r="L881" s="6" t="s">
        <v>99</v>
      </c>
      <c r="M881" s="6" t="s">
        <v>4344</v>
      </c>
    </row>
    <row r="882" spans="1:13" ht="13" x14ac:dyDescent="0.15">
      <c r="A882" s="21" t="str">
        <f>HYPERLINK("https://onemount.atlassian.net/browse/DBA-4922","DBA-4922")</f>
        <v>DBA-4922</v>
      </c>
      <c r="B882" s="6" t="s">
        <v>21</v>
      </c>
      <c r="C882" s="6" t="s">
        <v>4345</v>
      </c>
      <c r="D882" s="8" t="s">
        <v>17</v>
      </c>
      <c r="E882" s="6" t="s">
        <v>23</v>
      </c>
      <c r="F882" s="6" t="s">
        <v>52</v>
      </c>
      <c r="G882" s="6" t="s">
        <v>4346</v>
      </c>
      <c r="H882" s="10">
        <v>46162</v>
      </c>
      <c r="I882" s="6" t="s">
        <v>4347</v>
      </c>
      <c r="J882" s="6" t="s">
        <v>56</v>
      </c>
      <c r="K882" s="6" t="s">
        <v>55</v>
      </c>
      <c r="L882" s="6" t="s">
        <v>56</v>
      </c>
      <c r="M882" s="6" t="s">
        <v>3292</v>
      </c>
    </row>
    <row r="883" spans="1:13" ht="13" x14ac:dyDescent="0.15">
      <c r="A883" s="5" t="str">
        <f>HYPERLINK("https://onemount.atlassian.net/browse/DBA-4921","DBA-4921")</f>
        <v>DBA-4921</v>
      </c>
      <c r="B883" s="6" t="s">
        <v>21</v>
      </c>
      <c r="C883" s="6" t="s">
        <v>2061</v>
      </c>
      <c r="D883" s="8" t="s">
        <v>17</v>
      </c>
      <c r="E883" s="6" t="s">
        <v>23</v>
      </c>
      <c r="F883" s="6" t="s">
        <v>24</v>
      </c>
      <c r="G883" s="6" t="s">
        <v>4348</v>
      </c>
      <c r="H883" s="10">
        <v>46161</v>
      </c>
      <c r="I883" s="6" t="s">
        <v>4349</v>
      </c>
      <c r="J883" s="6" t="s">
        <v>55</v>
      </c>
      <c r="K883" s="6" t="s">
        <v>55</v>
      </c>
      <c r="L883" s="6" t="s">
        <v>55</v>
      </c>
      <c r="M883" s="6" t="s">
        <v>4350</v>
      </c>
    </row>
    <row r="884" spans="1:13" ht="13" x14ac:dyDescent="0.15">
      <c r="A884" s="5" t="str">
        <f>HYPERLINK("https://onemount.atlassian.net/browse/DBA-4920","DBA-4920")</f>
        <v>DBA-4920</v>
      </c>
      <c r="B884" s="6" t="s">
        <v>21</v>
      </c>
      <c r="C884" s="6" t="s">
        <v>4351</v>
      </c>
      <c r="D884" s="8" t="s">
        <v>17</v>
      </c>
      <c r="E884" s="6" t="s">
        <v>23</v>
      </c>
      <c r="F884" s="6" t="s">
        <v>52</v>
      </c>
      <c r="G884" s="6" t="s">
        <v>4352</v>
      </c>
      <c r="H884" s="10">
        <v>46160</v>
      </c>
      <c r="I884" s="6" t="s">
        <v>4353</v>
      </c>
      <c r="J884" s="6" t="s">
        <v>55</v>
      </c>
      <c r="K884" s="6" t="s">
        <v>55</v>
      </c>
      <c r="L884" s="6" t="s">
        <v>93</v>
      </c>
      <c r="M884" s="6" t="s">
        <v>4354</v>
      </c>
    </row>
    <row r="885" spans="1:13" ht="13" x14ac:dyDescent="0.15">
      <c r="A885" s="5" t="str">
        <f>HYPERLINK("https://onemount.atlassian.net/browse/DBA-4916","DBA-4916")</f>
        <v>DBA-4916</v>
      </c>
      <c r="B885" s="6" t="s">
        <v>21</v>
      </c>
      <c r="C885" s="6" t="s">
        <v>4355</v>
      </c>
      <c r="D885" s="8" t="s">
        <v>17</v>
      </c>
      <c r="E885" s="6" t="s">
        <v>23</v>
      </c>
      <c r="F885" s="6" t="s">
        <v>24</v>
      </c>
      <c r="G885" s="6" t="s">
        <v>4356</v>
      </c>
      <c r="H885" s="10">
        <v>46160</v>
      </c>
      <c r="I885" s="6" t="s">
        <v>4357</v>
      </c>
      <c r="J885" s="6" t="s">
        <v>77</v>
      </c>
      <c r="K885" s="6" t="s">
        <v>165</v>
      </c>
      <c r="L885" s="6" t="s">
        <v>77</v>
      </c>
      <c r="M885" s="6" t="s">
        <v>4358</v>
      </c>
    </row>
    <row r="886" spans="1:13" ht="13" x14ac:dyDescent="0.15">
      <c r="A886" s="5" t="str">
        <f>HYPERLINK("https://onemount.atlassian.net/browse/DBA-4915","DBA-4915")</f>
        <v>DBA-4915</v>
      </c>
      <c r="B886" s="6" t="s">
        <v>21</v>
      </c>
      <c r="C886" s="6" t="s">
        <v>4359</v>
      </c>
      <c r="D886" s="8" t="s">
        <v>17</v>
      </c>
      <c r="E886" s="6" t="s">
        <v>23</v>
      </c>
      <c r="F886" s="6" t="s">
        <v>31</v>
      </c>
      <c r="G886" s="6" t="s">
        <v>4360</v>
      </c>
      <c r="H886" s="10">
        <v>46160</v>
      </c>
      <c r="I886" s="6" t="s">
        <v>4361</v>
      </c>
      <c r="J886" s="6" t="s">
        <v>4362</v>
      </c>
      <c r="K886" s="6" t="s">
        <v>35</v>
      </c>
      <c r="L886" s="6" t="s">
        <v>181</v>
      </c>
      <c r="M886" s="6" t="s">
        <v>4363</v>
      </c>
    </row>
    <row r="887" spans="1:13" ht="13" x14ac:dyDescent="0.15">
      <c r="A887" s="5" t="str">
        <f>HYPERLINK("https://onemount.atlassian.net/browse/DBA-4914","DBA-4914")</f>
        <v>DBA-4914</v>
      </c>
      <c r="B887" s="6" t="s">
        <v>21</v>
      </c>
      <c r="C887" s="6" t="s">
        <v>4364</v>
      </c>
      <c r="D887" s="8" t="s">
        <v>17</v>
      </c>
      <c r="E887" s="6" t="s">
        <v>23</v>
      </c>
      <c r="F887" s="6" t="s">
        <v>52</v>
      </c>
      <c r="G887" s="6" t="s">
        <v>4365</v>
      </c>
      <c r="H887" s="10">
        <v>46161</v>
      </c>
      <c r="I887" s="6" t="s">
        <v>4366</v>
      </c>
      <c r="J887" s="6" t="s">
        <v>338</v>
      </c>
      <c r="K887" s="6" t="s">
        <v>55</v>
      </c>
      <c r="L887" s="6" t="s">
        <v>942</v>
      </c>
      <c r="M887" s="6" t="s">
        <v>4367</v>
      </c>
    </row>
    <row r="888" spans="1:13" ht="13" x14ac:dyDescent="0.15">
      <c r="A888" s="5" t="str">
        <f>HYPERLINK("https://onemount.atlassian.net/browse/DBA-4911","DBA-4911")</f>
        <v>DBA-4911</v>
      </c>
      <c r="B888" s="6" t="s">
        <v>21</v>
      </c>
      <c r="C888" s="6" t="s">
        <v>4368</v>
      </c>
      <c r="D888" s="8" t="s">
        <v>17</v>
      </c>
      <c r="E888" s="6" t="s">
        <v>23</v>
      </c>
      <c r="F888" s="6" t="s">
        <v>31</v>
      </c>
      <c r="G888" s="6" t="s">
        <v>4369</v>
      </c>
      <c r="H888" s="10">
        <v>46161</v>
      </c>
      <c r="I888" s="6" t="s">
        <v>4370</v>
      </c>
      <c r="J888" s="6" t="s">
        <v>128</v>
      </c>
      <c r="K888" s="6" t="s">
        <v>35</v>
      </c>
      <c r="L888" s="6" t="s">
        <v>129</v>
      </c>
      <c r="M888" s="6" t="s">
        <v>4371</v>
      </c>
    </row>
    <row r="889" spans="1:13" ht="13" x14ac:dyDescent="0.15">
      <c r="A889" s="5" t="str">
        <f>HYPERLINK("https://onemount.atlassian.net/browse/DBA-4906","DBA-4906")</f>
        <v>DBA-4906</v>
      </c>
      <c r="B889" s="6" t="s">
        <v>21</v>
      </c>
      <c r="C889" s="6" t="s">
        <v>1466</v>
      </c>
      <c r="D889" s="8" t="s">
        <v>17</v>
      </c>
      <c r="E889" s="6" t="s">
        <v>23</v>
      </c>
      <c r="F889" s="6" t="s">
        <v>52</v>
      </c>
      <c r="G889" s="6" t="s">
        <v>4372</v>
      </c>
      <c r="H889" s="10">
        <v>46158</v>
      </c>
      <c r="I889" s="6" t="s">
        <v>4373</v>
      </c>
      <c r="J889" s="6" t="s">
        <v>852</v>
      </c>
      <c r="K889" s="6" t="s">
        <v>55</v>
      </c>
      <c r="L889" s="6" t="s">
        <v>855</v>
      </c>
      <c r="M889" s="6" t="s">
        <v>4374</v>
      </c>
    </row>
    <row r="890" spans="1:13" ht="13" x14ac:dyDescent="0.15">
      <c r="A890" s="5" t="str">
        <f>HYPERLINK("https://onemount.atlassian.net/browse/DBA-4905","DBA-4905")</f>
        <v>DBA-4905</v>
      </c>
      <c r="B890" s="6" t="s">
        <v>21</v>
      </c>
      <c r="C890" s="6" t="s">
        <v>4375</v>
      </c>
      <c r="D890" s="8" t="s">
        <v>17</v>
      </c>
      <c r="E890" s="6" t="s">
        <v>23</v>
      </c>
      <c r="F890" s="6" t="s">
        <v>41</v>
      </c>
      <c r="G890" s="6" t="s">
        <v>4376</v>
      </c>
      <c r="H890" s="10">
        <v>46158</v>
      </c>
      <c r="I890" s="6" t="s">
        <v>4377</v>
      </c>
      <c r="J890" s="6" t="s">
        <v>2919</v>
      </c>
      <c r="K890" s="6" t="s">
        <v>72</v>
      </c>
      <c r="L890" s="6" t="s">
        <v>188</v>
      </c>
      <c r="M890" s="6" t="s">
        <v>4378</v>
      </c>
    </row>
    <row r="891" spans="1:13" ht="13" x14ac:dyDescent="0.15">
      <c r="A891" s="5" t="str">
        <f>HYPERLINK("https://onemount.atlassian.net/browse/DBA-4904","DBA-4904")</f>
        <v>DBA-4904</v>
      </c>
      <c r="B891" s="6" t="s">
        <v>21</v>
      </c>
      <c r="C891" s="6" t="s">
        <v>4379</v>
      </c>
      <c r="D891" s="8" t="s">
        <v>17</v>
      </c>
      <c r="E891" s="6" t="s">
        <v>23</v>
      </c>
      <c r="F891" s="6" t="s">
        <v>41</v>
      </c>
      <c r="G891" s="6" t="s">
        <v>4380</v>
      </c>
      <c r="H891" s="10">
        <v>46159</v>
      </c>
      <c r="I891" s="6" t="s">
        <v>4381</v>
      </c>
      <c r="J891" s="6" t="s">
        <v>1148</v>
      </c>
      <c r="K891" s="6" t="s">
        <v>28</v>
      </c>
      <c r="L891" s="6" t="s">
        <v>1148</v>
      </c>
      <c r="M891" s="6" t="s">
        <v>4382</v>
      </c>
    </row>
    <row r="892" spans="1:13" ht="13" x14ac:dyDescent="0.15">
      <c r="A892" s="5" t="str">
        <f>HYPERLINK("https://onemount.atlassian.net/browse/DBA-4903","DBA-4903")</f>
        <v>DBA-4903</v>
      </c>
      <c r="B892" s="6" t="s">
        <v>21</v>
      </c>
      <c r="C892" s="6" t="s">
        <v>4383</v>
      </c>
      <c r="D892" s="8" t="s">
        <v>17</v>
      </c>
      <c r="E892" s="6" t="s">
        <v>23</v>
      </c>
      <c r="F892" s="6" t="s">
        <v>52</v>
      </c>
      <c r="G892" s="6" t="s">
        <v>4384</v>
      </c>
      <c r="H892" s="10">
        <v>46157</v>
      </c>
      <c r="I892" s="6" t="s">
        <v>4385</v>
      </c>
      <c r="J892" s="6" t="s">
        <v>85</v>
      </c>
      <c r="K892" s="6" t="s">
        <v>55</v>
      </c>
      <c r="L892" s="6" t="s">
        <v>85</v>
      </c>
      <c r="M892" s="6" t="s">
        <v>4386</v>
      </c>
    </row>
    <row r="893" spans="1:13" ht="13" x14ac:dyDescent="0.15">
      <c r="A893" s="5" t="str">
        <f>HYPERLINK("https://onemount.atlassian.net/browse/DBA-4902","DBA-4902")</f>
        <v>DBA-4902</v>
      </c>
      <c r="B893" s="6" t="s">
        <v>21</v>
      </c>
      <c r="C893" s="6" t="s">
        <v>4387</v>
      </c>
      <c r="D893" s="8" t="s">
        <v>17</v>
      </c>
      <c r="E893" s="6" t="s">
        <v>23</v>
      </c>
      <c r="F893" s="6" t="s">
        <v>78</v>
      </c>
      <c r="G893" s="6" t="s">
        <v>4388</v>
      </c>
      <c r="H893" s="10">
        <v>46158</v>
      </c>
      <c r="I893" s="6" t="s">
        <v>4389</v>
      </c>
      <c r="J893" s="6" t="s">
        <v>109</v>
      </c>
      <c r="K893" s="6" t="s">
        <v>46</v>
      </c>
      <c r="L893" s="6" t="s">
        <v>109</v>
      </c>
      <c r="M893" s="6" t="s">
        <v>4390</v>
      </c>
    </row>
    <row r="894" spans="1:13" ht="13" x14ac:dyDescent="0.15">
      <c r="A894" s="21" t="str">
        <f>HYPERLINK("https://onemount.atlassian.net/browse/DBA-4901","DBA-4901")</f>
        <v>DBA-4901</v>
      </c>
      <c r="B894" s="6" t="s">
        <v>21</v>
      </c>
      <c r="C894" s="6" t="s">
        <v>4391</v>
      </c>
      <c r="D894" s="8" t="s">
        <v>17</v>
      </c>
      <c r="E894" s="6" t="s">
        <v>23</v>
      </c>
      <c r="F894" s="6" t="s">
        <v>78</v>
      </c>
      <c r="G894" s="6" t="s">
        <v>4392</v>
      </c>
      <c r="H894" s="10">
        <v>46158</v>
      </c>
      <c r="I894" s="6" t="s">
        <v>4393</v>
      </c>
      <c r="J894" s="6" t="s">
        <v>109</v>
      </c>
      <c r="K894" s="6" t="s">
        <v>46</v>
      </c>
      <c r="L894" s="6" t="s">
        <v>109</v>
      </c>
      <c r="M894" s="6" t="s">
        <v>4394</v>
      </c>
    </row>
    <row r="895" spans="1:13" ht="13" x14ac:dyDescent="0.15">
      <c r="A895" s="5" t="str">
        <f>HYPERLINK("https://onemount.atlassian.net/browse/DBA-4900","DBA-4900")</f>
        <v>DBA-4900</v>
      </c>
      <c r="B895" s="6" t="s">
        <v>21</v>
      </c>
      <c r="C895" s="6" t="s">
        <v>4395</v>
      </c>
      <c r="D895" s="8" t="s">
        <v>17</v>
      </c>
      <c r="E895" s="6" t="s">
        <v>23</v>
      </c>
      <c r="F895" s="6" t="s">
        <v>24</v>
      </c>
      <c r="G895" s="6" t="s">
        <v>4396</v>
      </c>
      <c r="H895" s="10">
        <v>46160</v>
      </c>
      <c r="I895" s="6" t="s">
        <v>4397</v>
      </c>
      <c r="J895" s="6" t="s">
        <v>146</v>
      </c>
      <c r="K895" s="6" t="s">
        <v>35</v>
      </c>
      <c r="L895" s="6" t="s">
        <v>146</v>
      </c>
      <c r="M895" s="6" t="s">
        <v>4398</v>
      </c>
    </row>
    <row r="896" spans="1:13" ht="13" x14ac:dyDescent="0.15">
      <c r="A896" s="5" t="str">
        <f>HYPERLINK("https://onemount.atlassian.net/browse/DBA-4895","DBA-4895")</f>
        <v>DBA-4895</v>
      </c>
      <c r="B896" s="6" t="s">
        <v>21</v>
      </c>
      <c r="C896" s="6" t="s">
        <v>4399</v>
      </c>
      <c r="D896" s="8" t="s">
        <v>17</v>
      </c>
      <c r="E896" s="6" t="s">
        <v>23</v>
      </c>
      <c r="F896" s="6" t="s">
        <v>52</v>
      </c>
      <c r="G896" s="6" t="s">
        <v>4400</v>
      </c>
      <c r="H896" s="10">
        <v>46158</v>
      </c>
      <c r="I896" s="6" t="s">
        <v>4401</v>
      </c>
      <c r="J896" s="6" t="s">
        <v>151</v>
      </c>
      <c r="K896" s="6" t="s">
        <v>72</v>
      </c>
      <c r="L896" s="6" t="s">
        <v>151</v>
      </c>
      <c r="M896" s="6" t="s">
        <v>4402</v>
      </c>
    </row>
    <row r="897" spans="1:13" ht="13" x14ac:dyDescent="0.15">
      <c r="A897" s="5" t="str">
        <f>HYPERLINK("https://onemount.atlassian.net/browse/DBA-4894","DBA-4894")</f>
        <v>DBA-4894</v>
      </c>
      <c r="B897" s="6" t="s">
        <v>21</v>
      </c>
      <c r="C897" s="6" t="s">
        <v>4403</v>
      </c>
      <c r="D897" s="8" t="s">
        <v>17</v>
      </c>
      <c r="E897" s="6" t="s">
        <v>23</v>
      </c>
      <c r="F897" s="6" t="s">
        <v>52</v>
      </c>
      <c r="G897" s="6" t="s">
        <v>4404</v>
      </c>
      <c r="H897" s="10">
        <v>46157</v>
      </c>
      <c r="I897" s="6" t="s">
        <v>4405</v>
      </c>
      <c r="J897" s="6" t="s">
        <v>85</v>
      </c>
      <c r="K897" s="6" t="s">
        <v>55</v>
      </c>
      <c r="L897" s="6" t="s">
        <v>85</v>
      </c>
      <c r="M897" s="6" t="s">
        <v>4406</v>
      </c>
    </row>
    <row r="898" spans="1:13" ht="13" x14ac:dyDescent="0.15">
      <c r="A898" s="5" t="str">
        <f>HYPERLINK("https://onemount.atlassian.net/browse/DBA-4893","DBA-4893")</f>
        <v>DBA-4893</v>
      </c>
      <c r="B898" s="6" t="s">
        <v>21</v>
      </c>
      <c r="C898" s="6" t="s">
        <v>4407</v>
      </c>
      <c r="D898" s="8" t="s">
        <v>17</v>
      </c>
      <c r="E898" s="6" t="s">
        <v>23</v>
      </c>
      <c r="F898" s="6" t="s">
        <v>52</v>
      </c>
      <c r="G898" s="6" t="s">
        <v>4408</v>
      </c>
      <c r="H898" s="10">
        <v>46158</v>
      </c>
      <c r="I898" s="6" t="s">
        <v>4409</v>
      </c>
      <c r="J898" s="6" t="s">
        <v>55</v>
      </c>
      <c r="K898" s="6" t="s">
        <v>55</v>
      </c>
      <c r="L898" s="6" t="s">
        <v>56</v>
      </c>
      <c r="M898" s="6" t="s">
        <v>4410</v>
      </c>
    </row>
    <row r="899" spans="1:13" ht="13" x14ac:dyDescent="0.15">
      <c r="A899" s="5" t="str">
        <f>HYPERLINK("https://onemount.atlassian.net/browse/DBA-4892","DBA-4892")</f>
        <v>DBA-4892</v>
      </c>
      <c r="B899" s="6" t="s">
        <v>21</v>
      </c>
      <c r="C899" s="6" t="s">
        <v>4411</v>
      </c>
      <c r="D899" s="8" t="s">
        <v>17</v>
      </c>
      <c r="E899" s="6" t="s">
        <v>23</v>
      </c>
      <c r="F899" s="6" t="s">
        <v>31</v>
      </c>
      <c r="G899" s="6" t="s">
        <v>4412</v>
      </c>
      <c r="H899" s="10">
        <v>46157</v>
      </c>
      <c r="I899" s="6" t="s">
        <v>4413</v>
      </c>
      <c r="J899" s="6" t="s">
        <v>49</v>
      </c>
      <c r="K899" s="6" t="s">
        <v>35</v>
      </c>
      <c r="L899" s="6" t="s">
        <v>49</v>
      </c>
      <c r="M899" s="6" t="s">
        <v>4414</v>
      </c>
    </row>
    <row r="900" spans="1:13" ht="13" x14ac:dyDescent="0.15">
      <c r="A900" s="21" t="str">
        <f>HYPERLINK("https://onemount.atlassian.net/browse/DBA-4891","DBA-4891")</f>
        <v>DBA-4891</v>
      </c>
      <c r="B900" s="6" t="s">
        <v>21</v>
      </c>
      <c r="C900" s="6" t="s">
        <v>4415</v>
      </c>
      <c r="D900" s="8" t="s">
        <v>17</v>
      </c>
      <c r="E900" s="6" t="s">
        <v>23</v>
      </c>
      <c r="F900" s="6" t="s">
        <v>24</v>
      </c>
      <c r="G900" s="6" t="s">
        <v>4416</v>
      </c>
      <c r="H900" s="10">
        <v>46160</v>
      </c>
      <c r="I900" s="6" t="s">
        <v>4417</v>
      </c>
      <c r="J900" s="6" t="s">
        <v>55</v>
      </c>
      <c r="K900" s="6" t="s">
        <v>55</v>
      </c>
      <c r="L900" s="6" t="s">
        <v>93</v>
      </c>
      <c r="M900" s="6" t="s">
        <v>4418</v>
      </c>
    </row>
    <row r="901" spans="1:13" ht="13" x14ac:dyDescent="0.15">
      <c r="A901" s="5" t="str">
        <f>HYPERLINK("https://onemount.atlassian.net/browse/DBA-4887","DBA-4887")</f>
        <v>DBA-4887</v>
      </c>
      <c r="B901" s="6" t="s">
        <v>21</v>
      </c>
      <c r="C901" s="6" t="s">
        <v>4419</v>
      </c>
      <c r="D901" s="8" t="s">
        <v>17</v>
      </c>
      <c r="E901" s="6" t="s">
        <v>23</v>
      </c>
      <c r="F901" s="6" t="s">
        <v>52</v>
      </c>
      <c r="G901" s="6" t="s">
        <v>4420</v>
      </c>
      <c r="H901" s="10">
        <v>46157</v>
      </c>
      <c r="I901" s="6" t="s">
        <v>4421</v>
      </c>
      <c r="J901" s="6" t="s">
        <v>3096</v>
      </c>
      <c r="K901" s="6" t="s">
        <v>55</v>
      </c>
      <c r="L901" s="6" t="s">
        <v>900</v>
      </c>
      <c r="M901" s="6" t="s">
        <v>4422</v>
      </c>
    </row>
    <row r="902" spans="1:13" ht="13" x14ac:dyDescent="0.15">
      <c r="A902" s="5" t="str">
        <f>HYPERLINK("https://onemount.atlassian.net/browse/DBA-4886","DBA-4886")</f>
        <v>DBA-4886</v>
      </c>
      <c r="B902" s="6" t="s">
        <v>21</v>
      </c>
      <c r="C902" s="6" t="s">
        <v>4423</v>
      </c>
      <c r="D902" s="8" t="s">
        <v>17</v>
      </c>
      <c r="E902" s="6" t="s">
        <v>23</v>
      </c>
      <c r="F902" s="6" t="s">
        <v>52</v>
      </c>
      <c r="G902" s="6" t="s">
        <v>4424</v>
      </c>
      <c r="H902" s="10">
        <v>46157</v>
      </c>
      <c r="I902" s="6" t="s">
        <v>4425</v>
      </c>
      <c r="J902" s="6" t="s">
        <v>55</v>
      </c>
      <c r="K902" s="6" t="s">
        <v>55</v>
      </c>
      <c r="L902" s="6" t="s">
        <v>986</v>
      </c>
      <c r="M902" s="6" t="s">
        <v>4426</v>
      </c>
    </row>
    <row r="903" spans="1:13" ht="13" x14ac:dyDescent="0.15">
      <c r="A903" s="21" t="str">
        <f>HYPERLINK("https://onemount.atlassian.net/browse/DBA-4885","DBA-4885")</f>
        <v>DBA-4885</v>
      </c>
      <c r="B903" s="6" t="s">
        <v>21</v>
      </c>
      <c r="C903" s="6" t="s">
        <v>4345</v>
      </c>
      <c r="D903" s="8" t="s">
        <v>17</v>
      </c>
      <c r="E903" s="6" t="s">
        <v>23</v>
      </c>
      <c r="F903" s="6" t="s">
        <v>52</v>
      </c>
      <c r="G903" s="6" t="s">
        <v>4427</v>
      </c>
      <c r="H903" s="10">
        <v>46157</v>
      </c>
      <c r="I903" s="6" t="s">
        <v>4428</v>
      </c>
      <c r="J903" s="6" t="s">
        <v>56</v>
      </c>
      <c r="K903" s="6" t="s">
        <v>55</v>
      </c>
      <c r="L903" s="6" t="s">
        <v>56</v>
      </c>
      <c r="M903" s="6" t="s">
        <v>3292</v>
      </c>
    </row>
    <row r="904" spans="1:13" ht="13" x14ac:dyDescent="0.15">
      <c r="A904" s="5" t="str">
        <f>HYPERLINK("https://onemount.atlassian.net/browse/DBA-4884","DBA-4884")</f>
        <v>DBA-4884</v>
      </c>
      <c r="B904" s="6" t="s">
        <v>21</v>
      </c>
      <c r="C904" s="6" t="s">
        <v>4429</v>
      </c>
      <c r="D904" s="8" t="s">
        <v>17</v>
      </c>
      <c r="E904" s="6" t="s">
        <v>23</v>
      </c>
      <c r="F904" s="6" t="s">
        <v>52</v>
      </c>
      <c r="G904" s="6" t="s">
        <v>4430</v>
      </c>
      <c r="H904" s="10">
        <v>46158</v>
      </c>
      <c r="I904" s="6" t="s">
        <v>4431</v>
      </c>
      <c r="J904" s="6" t="s">
        <v>55</v>
      </c>
      <c r="K904" s="6" t="s">
        <v>55</v>
      </c>
      <c r="L904" s="6" t="s">
        <v>254</v>
      </c>
      <c r="M904" s="6" t="s">
        <v>4432</v>
      </c>
    </row>
    <row r="905" spans="1:13" ht="13" x14ac:dyDescent="0.15">
      <c r="A905" s="5" t="str">
        <f>HYPERLINK("https://onemount.atlassian.net/browse/DBA-4883","DBA-4883")</f>
        <v>DBA-4883</v>
      </c>
      <c r="B905" s="6" t="s">
        <v>21</v>
      </c>
      <c r="C905" s="6" t="s">
        <v>4433</v>
      </c>
      <c r="D905" s="8" t="s">
        <v>17</v>
      </c>
      <c r="E905" s="6" t="s">
        <v>23</v>
      </c>
      <c r="F905" s="6" t="s">
        <v>52</v>
      </c>
      <c r="G905" s="6" t="s">
        <v>4434</v>
      </c>
      <c r="H905" s="10">
        <v>46157</v>
      </c>
      <c r="I905" s="6" t="s">
        <v>4435</v>
      </c>
      <c r="J905" s="6" t="s">
        <v>55</v>
      </c>
      <c r="K905" s="6" t="s">
        <v>55</v>
      </c>
      <c r="L905" s="6" t="s">
        <v>93</v>
      </c>
      <c r="M905" s="6" t="s">
        <v>4436</v>
      </c>
    </row>
    <row r="906" spans="1:13" ht="13" x14ac:dyDescent="0.15">
      <c r="A906" s="5" t="str">
        <f>HYPERLINK("https://onemount.atlassian.net/browse/DBA-4882","DBA-4882")</f>
        <v>DBA-4882</v>
      </c>
      <c r="B906" s="6" t="s">
        <v>21</v>
      </c>
      <c r="C906" s="6" t="s">
        <v>4437</v>
      </c>
      <c r="D906" s="8" t="s">
        <v>17</v>
      </c>
      <c r="E906" s="6" t="s">
        <v>23</v>
      </c>
      <c r="F906" s="6" t="s">
        <v>31</v>
      </c>
      <c r="G906" s="6" t="s">
        <v>4438</v>
      </c>
      <c r="H906" s="10">
        <v>46163</v>
      </c>
      <c r="I906" s="6" t="s">
        <v>4439</v>
      </c>
      <c r="J906" s="6" t="s">
        <v>1886</v>
      </c>
      <c r="K906" s="6" t="s">
        <v>165</v>
      </c>
      <c r="L906" s="6" t="s">
        <v>288</v>
      </c>
      <c r="M906" s="6" t="s">
        <v>4440</v>
      </c>
    </row>
    <row r="907" spans="1:13" ht="13" x14ac:dyDescent="0.15">
      <c r="A907" s="5" t="str">
        <f>HYPERLINK("https://onemount.atlassian.net/browse/DBA-4881","DBA-4881")</f>
        <v>DBA-4881</v>
      </c>
      <c r="B907" s="6" t="s">
        <v>21</v>
      </c>
      <c r="C907" s="6" t="s">
        <v>4441</v>
      </c>
      <c r="D907" s="8" t="s">
        <v>17</v>
      </c>
      <c r="E907" s="6" t="s">
        <v>23</v>
      </c>
      <c r="F907" s="6" t="s">
        <v>31</v>
      </c>
      <c r="G907" s="6" t="s">
        <v>4442</v>
      </c>
      <c r="H907" s="10">
        <v>46157</v>
      </c>
      <c r="I907" s="6" t="s">
        <v>4443</v>
      </c>
      <c r="J907" s="6" t="s">
        <v>2153</v>
      </c>
      <c r="K907" s="6" t="s">
        <v>55</v>
      </c>
      <c r="L907" s="6" t="s">
        <v>891</v>
      </c>
      <c r="M907" s="6" t="s">
        <v>4444</v>
      </c>
    </row>
    <row r="908" spans="1:13" ht="13" x14ac:dyDescent="0.15">
      <c r="A908" s="5" t="str">
        <f>HYPERLINK("https://onemount.atlassian.net/browse/DBA-4879","DBA-4879")</f>
        <v>DBA-4879</v>
      </c>
      <c r="B908" s="6" t="s">
        <v>21</v>
      </c>
      <c r="C908" s="6" t="s">
        <v>4445</v>
      </c>
      <c r="D908" s="8" t="s">
        <v>17</v>
      </c>
      <c r="E908" s="6" t="s">
        <v>23</v>
      </c>
      <c r="F908" s="6" t="s">
        <v>24</v>
      </c>
      <c r="G908" s="6" t="s">
        <v>4446</v>
      </c>
      <c r="H908" s="10">
        <v>46157</v>
      </c>
      <c r="I908" s="6" t="s">
        <v>4447</v>
      </c>
      <c r="J908" s="6" t="s">
        <v>4448</v>
      </c>
      <c r="K908" s="6" t="s">
        <v>35</v>
      </c>
      <c r="L908" s="6" t="s">
        <v>146</v>
      </c>
      <c r="M908" s="6" t="s">
        <v>4449</v>
      </c>
    </row>
    <row r="909" spans="1:13" ht="13" x14ac:dyDescent="0.15">
      <c r="A909" s="5" t="str">
        <f>HYPERLINK("https://onemount.atlassian.net/browse/DBA-4877","DBA-4877")</f>
        <v>DBA-4877</v>
      </c>
      <c r="B909" s="6" t="s">
        <v>21</v>
      </c>
      <c r="C909" s="6" t="s">
        <v>4450</v>
      </c>
      <c r="D909" s="8" t="s">
        <v>17</v>
      </c>
      <c r="E909" s="6" t="s">
        <v>23</v>
      </c>
      <c r="F909" s="6" t="s">
        <v>52</v>
      </c>
      <c r="G909" s="6" t="s">
        <v>4451</v>
      </c>
      <c r="H909" s="10">
        <v>46160</v>
      </c>
      <c r="I909" s="6" t="s">
        <v>4452</v>
      </c>
      <c r="J909" s="6" t="s">
        <v>4115</v>
      </c>
      <c r="K909" s="6" t="s">
        <v>46</v>
      </c>
      <c r="L909" s="6" t="s">
        <v>431</v>
      </c>
      <c r="M909" s="6" t="s">
        <v>4453</v>
      </c>
    </row>
    <row r="910" spans="1:13" ht="13" x14ac:dyDescent="0.15">
      <c r="A910" s="21" t="str">
        <f>HYPERLINK("https://onemount.atlassian.net/browse/DBA-4873","DBA-4873")</f>
        <v>DBA-4873</v>
      </c>
      <c r="B910" s="6" t="s">
        <v>21</v>
      </c>
      <c r="C910" s="6" t="s">
        <v>4454</v>
      </c>
      <c r="D910" s="8" t="s">
        <v>17</v>
      </c>
      <c r="E910" s="6" t="s">
        <v>23</v>
      </c>
      <c r="F910" s="6" t="s">
        <v>52</v>
      </c>
      <c r="G910" s="6" t="s">
        <v>4455</v>
      </c>
      <c r="H910" s="10">
        <v>46156</v>
      </c>
      <c r="I910" s="6" t="s">
        <v>4456</v>
      </c>
      <c r="J910" s="6" t="s">
        <v>1187</v>
      </c>
      <c r="K910" s="6" t="s">
        <v>35</v>
      </c>
      <c r="L910" s="6" t="s">
        <v>1187</v>
      </c>
      <c r="M910" s="6" t="s">
        <v>4457</v>
      </c>
    </row>
    <row r="911" spans="1:13" ht="13" x14ac:dyDescent="0.15">
      <c r="A911" s="5" t="str">
        <f>HYPERLINK("https://onemount.atlassian.net/browse/DBA-4872","DBA-4872")</f>
        <v>DBA-4872</v>
      </c>
      <c r="B911" s="6" t="s">
        <v>21</v>
      </c>
      <c r="C911" s="6" t="s">
        <v>4458</v>
      </c>
      <c r="D911" s="8" t="s">
        <v>17</v>
      </c>
      <c r="E911" s="6" t="s">
        <v>23</v>
      </c>
      <c r="F911" s="6" t="s">
        <v>31</v>
      </c>
      <c r="G911" s="6" t="s">
        <v>4459</v>
      </c>
      <c r="H911" s="10">
        <v>46156</v>
      </c>
      <c r="I911" s="6" t="s">
        <v>4460</v>
      </c>
      <c r="J911" s="6" t="s">
        <v>4461</v>
      </c>
      <c r="K911" s="6" t="s">
        <v>35</v>
      </c>
      <c r="L911" s="6" t="s">
        <v>489</v>
      </c>
      <c r="M911" s="6" t="s">
        <v>4462</v>
      </c>
    </row>
    <row r="912" spans="1:13" ht="13" x14ac:dyDescent="0.15">
      <c r="A912" s="5" t="str">
        <f>HYPERLINK("https://onemount.atlassian.net/browse/DBA-4870","DBA-4870")</f>
        <v>DBA-4870</v>
      </c>
      <c r="B912" s="6" t="s">
        <v>21</v>
      </c>
      <c r="C912" s="6" t="s">
        <v>4463</v>
      </c>
      <c r="D912" s="8" t="s">
        <v>17</v>
      </c>
      <c r="E912" s="6" t="s">
        <v>23</v>
      </c>
      <c r="F912" s="6" t="s">
        <v>87</v>
      </c>
      <c r="G912" s="6" t="s">
        <v>4464</v>
      </c>
      <c r="H912" s="10">
        <v>46157</v>
      </c>
      <c r="I912" s="6" t="s">
        <v>4465</v>
      </c>
      <c r="J912" s="6" t="s">
        <v>165</v>
      </c>
      <c r="K912" s="6" t="s">
        <v>165</v>
      </c>
      <c r="L912" s="6" t="s">
        <v>165</v>
      </c>
      <c r="M912" s="6" t="s">
        <v>4466</v>
      </c>
    </row>
    <row r="913" spans="1:13" ht="13" x14ac:dyDescent="0.15">
      <c r="A913" s="5" t="str">
        <f>HYPERLINK("https://onemount.atlassian.net/browse/DBA-4868","DBA-4868")</f>
        <v>DBA-4868</v>
      </c>
      <c r="B913" s="6" t="s">
        <v>21</v>
      </c>
      <c r="C913" s="6" t="s">
        <v>4467</v>
      </c>
      <c r="D913" s="8" t="s">
        <v>17</v>
      </c>
      <c r="E913" s="6" t="s">
        <v>23</v>
      </c>
      <c r="F913" s="6" t="s">
        <v>52</v>
      </c>
      <c r="G913" s="6" t="s">
        <v>4468</v>
      </c>
      <c r="H913" s="10">
        <v>46156</v>
      </c>
      <c r="I913" s="6" t="s">
        <v>4469</v>
      </c>
      <c r="J913" s="6" t="s">
        <v>2392</v>
      </c>
      <c r="K913" s="6" t="s">
        <v>72</v>
      </c>
      <c r="L913" s="6" t="s">
        <v>188</v>
      </c>
      <c r="M913" s="6" t="s">
        <v>4470</v>
      </c>
    </row>
    <row r="914" spans="1:13" ht="13" x14ac:dyDescent="0.15">
      <c r="A914" s="5" t="str">
        <f>HYPERLINK("https://onemount.atlassian.net/browse/DBA-4867","DBA-4867")</f>
        <v>DBA-4867</v>
      </c>
      <c r="B914" s="6" t="s">
        <v>21</v>
      </c>
      <c r="C914" s="6" t="s">
        <v>4471</v>
      </c>
      <c r="D914" s="8" t="s">
        <v>17</v>
      </c>
      <c r="E914" s="6" t="s">
        <v>23</v>
      </c>
      <c r="F914" s="6" t="s">
        <v>52</v>
      </c>
      <c r="G914" s="6" t="s">
        <v>4472</v>
      </c>
      <c r="H914" s="10">
        <v>46157</v>
      </c>
      <c r="I914" s="6" t="s">
        <v>4473</v>
      </c>
      <c r="J914" s="6" t="s">
        <v>85</v>
      </c>
      <c r="K914" s="6" t="s">
        <v>55</v>
      </c>
      <c r="L914" s="6" t="s">
        <v>85</v>
      </c>
      <c r="M914" s="6" t="s">
        <v>4474</v>
      </c>
    </row>
    <row r="915" spans="1:13" ht="13" x14ac:dyDescent="0.15">
      <c r="A915" s="5" t="str">
        <f>HYPERLINK("https://onemount.atlassian.net/browse/DBA-4866","DBA-4866")</f>
        <v>DBA-4866</v>
      </c>
      <c r="B915" s="6" t="s">
        <v>21</v>
      </c>
      <c r="C915" s="6" t="s">
        <v>4014</v>
      </c>
      <c r="D915" s="8" t="s">
        <v>17</v>
      </c>
      <c r="E915" s="6" t="s">
        <v>23</v>
      </c>
      <c r="F915" s="6" t="s">
        <v>52</v>
      </c>
      <c r="G915" s="6" t="s">
        <v>4475</v>
      </c>
      <c r="H915" s="10">
        <v>46157</v>
      </c>
      <c r="I915" s="6" t="s">
        <v>4476</v>
      </c>
      <c r="J915" s="6" t="s">
        <v>128</v>
      </c>
      <c r="K915" s="6" t="s">
        <v>35</v>
      </c>
      <c r="L915" s="6" t="s">
        <v>129</v>
      </c>
      <c r="M915" s="6" t="s">
        <v>4477</v>
      </c>
    </row>
    <row r="916" spans="1:13" ht="13" x14ac:dyDescent="0.15">
      <c r="A916" s="5" t="str">
        <f>HYPERLINK("https://onemount.atlassian.net/browse/DBA-4865","DBA-4865")</f>
        <v>DBA-4865</v>
      </c>
      <c r="B916" s="6" t="s">
        <v>21</v>
      </c>
      <c r="C916" s="6" t="s">
        <v>4478</v>
      </c>
      <c r="D916" s="8" t="s">
        <v>17</v>
      </c>
      <c r="E916" s="6" t="s">
        <v>23</v>
      </c>
      <c r="F916" s="6" t="s">
        <v>31</v>
      </c>
      <c r="G916" s="6" t="s">
        <v>4479</v>
      </c>
      <c r="H916" s="10">
        <v>46156</v>
      </c>
      <c r="I916" s="6" t="s">
        <v>4480</v>
      </c>
      <c r="J916" s="6" t="s">
        <v>707</v>
      </c>
      <c r="K916" s="6" t="s">
        <v>35</v>
      </c>
      <c r="L916" s="6" t="s">
        <v>707</v>
      </c>
      <c r="M916" s="6" t="s">
        <v>4481</v>
      </c>
    </row>
    <row r="917" spans="1:13" ht="13" x14ac:dyDescent="0.15">
      <c r="A917" s="5" t="str">
        <f>HYPERLINK("https://onemount.atlassian.net/browse/DBA-4864","DBA-4864")</f>
        <v>DBA-4864</v>
      </c>
      <c r="B917" s="6" t="s">
        <v>21</v>
      </c>
      <c r="C917" s="6" t="s">
        <v>4482</v>
      </c>
      <c r="D917" s="8" t="s">
        <v>17</v>
      </c>
      <c r="E917" s="6" t="s">
        <v>23</v>
      </c>
      <c r="F917" s="6" t="s">
        <v>31</v>
      </c>
      <c r="G917" s="6" t="s">
        <v>4483</v>
      </c>
      <c r="H917" s="10">
        <v>46157</v>
      </c>
      <c r="I917" s="6" t="s">
        <v>4484</v>
      </c>
      <c r="J917" s="6" t="s">
        <v>119</v>
      </c>
      <c r="K917" s="6" t="s">
        <v>35</v>
      </c>
      <c r="L917" s="6" t="s">
        <v>119</v>
      </c>
      <c r="M917" s="6" t="s">
        <v>4485</v>
      </c>
    </row>
    <row r="918" spans="1:13" ht="13" x14ac:dyDescent="0.15">
      <c r="A918" s="5" t="str">
        <f>HYPERLINK("https://onemount.atlassian.net/browse/DBA-4863","DBA-4863")</f>
        <v>DBA-4863</v>
      </c>
      <c r="B918" s="6" t="s">
        <v>21</v>
      </c>
      <c r="C918" s="6" t="s">
        <v>4486</v>
      </c>
      <c r="D918" s="8" t="s">
        <v>17</v>
      </c>
      <c r="E918" s="6" t="s">
        <v>23</v>
      </c>
      <c r="F918" s="6" t="s">
        <v>87</v>
      </c>
      <c r="G918" s="6" t="s">
        <v>4487</v>
      </c>
      <c r="H918" s="10">
        <v>46157</v>
      </c>
      <c r="I918" s="6" t="s">
        <v>4488</v>
      </c>
      <c r="J918" s="6" t="s">
        <v>4448</v>
      </c>
      <c r="K918" s="6" t="s">
        <v>35</v>
      </c>
      <c r="L918" s="6" t="s">
        <v>146</v>
      </c>
      <c r="M918" s="6" t="s">
        <v>4489</v>
      </c>
    </row>
    <row r="919" spans="1:13" ht="13" x14ac:dyDescent="0.15">
      <c r="A919" s="5" t="str">
        <f>HYPERLINK("https://onemount.atlassian.net/browse/DBA-4862","DBA-4862")</f>
        <v>DBA-4862</v>
      </c>
      <c r="B919" s="6" t="s">
        <v>21</v>
      </c>
      <c r="C919" s="6" t="s">
        <v>4490</v>
      </c>
      <c r="D919" s="8" t="s">
        <v>17</v>
      </c>
      <c r="E919" s="6" t="s">
        <v>23</v>
      </c>
      <c r="F919" s="6" t="s">
        <v>31</v>
      </c>
      <c r="G919" s="6" t="s">
        <v>4491</v>
      </c>
      <c r="H919" s="10">
        <v>46157</v>
      </c>
      <c r="I919" s="6" t="s">
        <v>4492</v>
      </c>
      <c r="J919" s="6" t="s">
        <v>3182</v>
      </c>
      <c r="K919" s="6" t="s">
        <v>35</v>
      </c>
      <c r="L919" s="6" t="s">
        <v>489</v>
      </c>
      <c r="M919" s="6" t="s">
        <v>4493</v>
      </c>
    </row>
    <row r="920" spans="1:13" ht="13" x14ac:dyDescent="0.15">
      <c r="A920" s="5" t="str">
        <f>HYPERLINK("https://onemount.atlassian.net/browse/DBA-4861","DBA-4861")</f>
        <v>DBA-4861</v>
      </c>
      <c r="B920" s="6" t="s">
        <v>21</v>
      </c>
      <c r="C920" s="6" t="s">
        <v>4494</v>
      </c>
      <c r="D920" s="8" t="s">
        <v>17</v>
      </c>
      <c r="E920" s="6" t="s">
        <v>23</v>
      </c>
      <c r="F920" s="6" t="s">
        <v>24</v>
      </c>
      <c r="G920" s="6" t="s">
        <v>4495</v>
      </c>
      <c r="H920" s="10">
        <v>46158</v>
      </c>
      <c r="I920" s="6" t="s">
        <v>4496</v>
      </c>
      <c r="J920" s="6" t="s">
        <v>3553</v>
      </c>
      <c r="K920" s="6" t="s">
        <v>165</v>
      </c>
      <c r="L920" s="6" t="s">
        <v>39</v>
      </c>
      <c r="M920" s="6" t="s">
        <v>4497</v>
      </c>
    </row>
    <row r="921" spans="1:13" ht="13" x14ac:dyDescent="0.15">
      <c r="A921" s="5" t="str">
        <f>HYPERLINK("https://onemount.atlassian.net/browse/DBA-4860","DBA-4860")</f>
        <v>DBA-4860</v>
      </c>
      <c r="B921" s="6" t="s">
        <v>21</v>
      </c>
      <c r="C921" s="6" t="s">
        <v>2754</v>
      </c>
      <c r="D921" s="8" t="s">
        <v>17</v>
      </c>
      <c r="E921" s="6" t="s">
        <v>23</v>
      </c>
      <c r="F921" s="6" t="s">
        <v>24</v>
      </c>
      <c r="G921" s="6" t="s">
        <v>4498</v>
      </c>
      <c r="H921" s="10">
        <v>46158</v>
      </c>
      <c r="I921" s="6" t="s">
        <v>4499</v>
      </c>
      <c r="J921" s="6" t="s">
        <v>3553</v>
      </c>
      <c r="K921" s="6" t="s">
        <v>165</v>
      </c>
      <c r="L921" s="6" t="s">
        <v>39</v>
      </c>
      <c r="M921" s="6" t="s">
        <v>4500</v>
      </c>
    </row>
    <row r="922" spans="1:13" ht="13" x14ac:dyDescent="0.15">
      <c r="A922" s="5" t="str">
        <f>HYPERLINK("https://onemount.atlassian.net/browse/DBA-4859","DBA-4859")</f>
        <v>DBA-4859</v>
      </c>
      <c r="B922" s="6" t="s">
        <v>21</v>
      </c>
      <c r="C922" s="6" t="s">
        <v>4501</v>
      </c>
      <c r="D922" s="8" t="s">
        <v>17</v>
      </c>
      <c r="E922" s="6" t="s">
        <v>23</v>
      </c>
      <c r="F922" s="6" t="s">
        <v>52</v>
      </c>
      <c r="G922" s="6" t="s">
        <v>4502</v>
      </c>
      <c r="H922" s="10">
        <v>46155</v>
      </c>
      <c r="I922" s="6" t="s">
        <v>4503</v>
      </c>
      <c r="J922" s="6" t="s">
        <v>2453</v>
      </c>
      <c r="K922" s="6" t="s">
        <v>46</v>
      </c>
      <c r="L922" s="6" t="s">
        <v>77</v>
      </c>
      <c r="M922" s="6" t="s">
        <v>4504</v>
      </c>
    </row>
    <row r="923" spans="1:13" ht="13" x14ac:dyDescent="0.15">
      <c r="A923" s="5" t="str">
        <f>HYPERLINK("https://onemount.atlassian.net/browse/DBA-4858","DBA-4858")</f>
        <v>DBA-4858</v>
      </c>
      <c r="B923" s="6" t="s">
        <v>21</v>
      </c>
      <c r="C923" s="6" t="s">
        <v>4505</v>
      </c>
      <c r="D923" s="8" t="s">
        <v>17</v>
      </c>
      <c r="E923" s="6" t="s">
        <v>23</v>
      </c>
      <c r="F923" s="6" t="s">
        <v>52</v>
      </c>
      <c r="G923" s="6" t="s">
        <v>4506</v>
      </c>
      <c r="H923" s="10">
        <v>46156</v>
      </c>
      <c r="I923" s="6" t="s">
        <v>4507</v>
      </c>
      <c r="J923" s="6" t="s">
        <v>353</v>
      </c>
      <c r="K923" s="6" t="s">
        <v>55</v>
      </c>
      <c r="L923" s="6" t="s">
        <v>85</v>
      </c>
      <c r="M923" s="6" t="s">
        <v>4508</v>
      </c>
    </row>
    <row r="924" spans="1:13" ht="13" x14ac:dyDescent="0.15">
      <c r="A924" s="5" t="str">
        <f>HYPERLINK("https://onemount.atlassian.net/browse/DBA-4857","DBA-4857")</f>
        <v>DBA-4857</v>
      </c>
      <c r="B924" s="6" t="s">
        <v>21</v>
      </c>
      <c r="C924" s="6" t="s">
        <v>4509</v>
      </c>
      <c r="D924" s="8" t="s">
        <v>17</v>
      </c>
      <c r="E924" s="6" t="s">
        <v>23</v>
      </c>
      <c r="F924" s="6" t="s">
        <v>41</v>
      </c>
      <c r="G924" s="6" t="s">
        <v>4510</v>
      </c>
      <c r="H924" s="10">
        <v>46157</v>
      </c>
      <c r="I924" s="6" t="s">
        <v>4511</v>
      </c>
      <c r="J924" s="6" t="s">
        <v>166</v>
      </c>
      <c r="K924" s="6" t="s">
        <v>72</v>
      </c>
      <c r="L924" s="6" t="s">
        <v>166</v>
      </c>
      <c r="M924" s="6" t="s">
        <v>4512</v>
      </c>
    </row>
    <row r="925" spans="1:13" ht="13" x14ac:dyDescent="0.15">
      <c r="A925" s="21" t="str">
        <f>HYPERLINK("https://onemount.atlassian.net/browse/DBA-4856","DBA-4856")</f>
        <v>DBA-4856</v>
      </c>
      <c r="B925" s="6" t="s">
        <v>21</v>
      </c>
      <c r="C925" s="6" t="s">
        <v>4513</v>
      </c>
      <c r="D925" s="8" t="s">
        <v>17</v>
      </c>
      <c r="E925" s="6" t="s">
        <v>23</v>
      </c>
      <c r="F925" s="6" t="s">
        <v>52</v>
      </c>
      <c r="G925" s="6" t="s">
        <v>4514</v>
      </c>
      <c r="H925" s="10">
        <v>46155</v>
      </c>
      <c r="I925" s="6" t="s">
        <v>4515</v>
      </c>
      <c r="J925" s="6" t="s">
        <v>56</v>
      </c>
      <c r="K925" s="6" t="s">
        <v>55</v>
      </c>
      <c r="L925" s="6" t="s">
        <v>56</v>
      </c>
      <c r="M925" s="6" t="s">
        <v>3292</v>
      </c>
    </row>
    <row r="926" spans="1:13" ht="13" x14ac:dyDescent="0.15">
      <c r="A926" s="21" t="str">
        <f>HYPERLINK("https://onemount.atlassian.net/browse/DBA-4855","DBA-4855")</f>
        <v>DBA-4855</v>
      </c>
      <c r="B926" s="6" t="s">
        <v>21</v>
      </c>
      <c r="C926" s="6" t="s">
        <v>4516</v>
      </c>
      <c r="D926" s="8" t="s">
        <v>17</v>
      </c>
      <c r="E926" s="6" t="s">
        <v>23</v>
      </c>
      <c r="F926" s="6" t="s">
        <v>31</v>
      </c>
      <c r="G926" s="6" t="s">
        <v>4517</v>
      </c>
      <c r="H926" s="10">
        <v>46155</v>
      </c>
      <c r="I926" s="6" t="s">
        <v>4518</v>
      </c>
      <c r="J926" s="6" t="s">
        <v>1187</v>
      </c>
      <c r="K926" s="6" t="s">
        <v>35</v>
      </c>
      <c r="L926" s="6" t="s">
        <v>1187</v>
      </c>
      <c r="M926" s="6" t="s">
        <v>4519</v>
      </c>
    </row>
    <row r="927" spans="1:13" ht="13" x14ac:dyDescent="0.15">
      <c r="A927" s="5" t="str">
        <f>HYPERLINK("https://onemount.atlassian.net/browse/DBA-4854","DBA-4854")</f>
        <v>DBA-4854</v>
      </c>
      <c r="B927" s="6" t="s">
        <v>21</v>
      </c>
      <c r="C927" s="6" t="s">
        <v>4520</v>
      </c>
      <c r="D927" s="8" t="s">
        <v>17</v>
      </c>
      <c r="E927" s="6" t="s">
        <v>23</v>
      </c>
      <c r="F927" s="6" t="s">
        <v>52</v>
      </c>
      <c r="G927" s="6" t="s">
        <v>4521</v>
      </c>
      <c r="H927" s="10">
        <v>46155</v>
      </c>
      <c r="I927" s="6" t="s">
        <v>4522</v>
      </c>
      <c r="J927" s="6" t="s">
        <v>85</v>
      </c>
      <c r="K927" s="6" t="s">
        <v>55</v>
      </c>
      <c r="L927" s="6" t="s">
        <v>85</v>
      </c>
      <c r="M927" s="6" t="s">
        <v>4523</v>
      </c>
    </row>
    <row r="928" spans="1:13" ht="13" x14ac:dyDescent="0.15">
      <c r="A928" s="5" t="str">
        <f>HYPERLINK("https://onemount.atlassian.net/browse/DBA-4853","DBA-4853")</f>
        <v>DBA-4853</v>
      </c>
      <c r="B928" s="6" t="s">
        <v>21</v>
      </c>
      <c r="C928" s="6" t="s">
        <v>4524</v>
      </c>
      <c r="D928" s="8" t="s">
        <v>17</v>
      </c>
      <c r="E928" s="6" t="s">
        <v>23</v>
      </c>
      <c r="F928" s="6" t="s">
        <v>87</v>
      </c>
      <c r="G928" s="6" t="s">
        <v>4525</v>
      </c>
      <c r="H928" s="10">
        <v>46156</v>
      </c>
      <c r="I928" s="6" t="s">
        <v>4526</v>
      </c>
      <c r="J928" s="6" t="s">
        <v>1062</v>
      </c>
      <c r="K928" s="6" t="s">
        <v>165</v>
      </c>
      <c r="L928" s="6" t="s">
        <v>1062</v>
      </c>
      <c r="M928" s="6" t="s">
        <v>4527</v>
      </c>
    </row>
    <row r="929" spans="1:13" ht="13" x14ac:dyDescent="0.15">
      <c r="A929" s="5" t="str">
        <f>HYPERLINK("https://onemount.atlassian.net/browse/DBA-4852","DBA-4852")</f>
        <v>DBA-4852</v>
      </c>
      <c r="B929" s="6" t="s">
        <v>21</v>
      </c>
      <c r="C929" s="6" t="s">
        <v>4528</v>
      </c>
      <c r="D929" s="8" t="s">
        <v>17</v>
      </c>
      <c r="E929" s="6" t="s">
        <v>23</v>
      </c>
      <c r="F929" s="6" t="s">
        <v>24</v>
      </c>
      <c r="G929" s="6" t="s">
        <v>4529</v>
      </c>
      <c r="H929" s="10">
        <v>46155</v>
      </c>
      <c r="I929" s="6" t="s">
        <v>4530</v>
      </c>
      <c r="J929" s="6" t="s">
        <v>55</v>
      </c>
      <c r="K929" s="6" t="s">
        <v>55</v>
      </c>
      <c r="L929" s="6" t="s">
        <v>93</v>
      </c>
      <c r="M929" s="6" t="s">
        <v>4531</v>
      </c>
    </row>
    <row r="930" spans="1:13" ht="13" x14ac:dyDescent="0.15">
      <c r="A930" s="5" t="str">
        <f>HYPERLINK("https://onemount.atlassian.net/browse/DBA-4851","DBA-4851")</f>
        <v>DBA-4851</v>
      </c>
      <c r="B930" s="6" t="s">
        <v>21</v>
      </c>
      <c r="C930" s="6" t="s">
        <v>4532</v>
      </c>
      <c r="D930" s="8" t="s">
        <v>17</v>
      </c>
      <c r="E930" s="6" t="s">
        <v>23</v>
      </c>
      <c r="F930" s="6" t="s">
        <v>52</v>
      </c>
      <c r="G930" s="6" t="s">
        <v>4533</v>
      </c>
      <c r="H930" s="10">
        <v>46155</v>
      </c>
      <c r="I930" s="6" t="s">
        <v>4534</v>
      </c>
      <c r="J930" s="6" t="s">
        <v>55</v>
      </c>
      <c r="K930" s="6" t="s">
        <v>55</v>
      </c>
      <c r="L930" s="6" t="s">
        <v>986</v>
      </c>
      <c r="M930" s="6" t="s">
        <v>4535</v>
      </c>
    </row>
    <row r="931" spans="1:13" ht="13" x14ac:dyDescent="0.15">
      <c r="A931" s="5" t="str">
        <f>HYPERLINK("https://onemount.atlassian.net/browse/DBA-4849","DBA-4849")</f>
        <v>DBA-4849</v>
      </c>
      <c r="B931" s="6" t="s">
        <v>21</v>
      </c>
      <c r="C931" s="6" t="s">
        <v>4536</v>
      </c>
      <c r="D931" s="8" t="s">
        <v>17</v>
      </c>
      <c r="E931" s="6" t="s">
        <v>23</v>
      </c>
      <c r="F931" s="6" t="s">
        <v>31</v>
      </c>
      <c r="G931" s="6" t="s">
        <v>4537</v>
      </c>
      <c r="H931" s="10">
        <v>46156</v>
      </c>
      <c r="I931" s="6" t="s">
        <v>4538</v>
      </c>
      <c r="J931" s="6" t="s">
        <v>71</v>
      </c>
      <c r="K931" s="6" t="s">
        <v>35</v>
      </c>
      <c r="L931" s="6" t="s">
        <v>71</v>
      </c>
      <c r="M931" s="6" t="s">
        <v>4539</v>
      </c>
    </row>
    <row r="932" spans="1:13" ht="13" x14ac:dyDescent="0.15">
      <c r="A932" s="5" t="str">
        <f>HYPERLINK("https://onemount.atlassian.net/browse/DBA-4848","DBA-4848")</f>
        <v>DBA-4848</v>
      </c>
      <c r="B932" s="6" t="s">
        <v>21</v>
      </c>
      <c r="C932" s="6" t="s">
        <v>4540</v>
      </c>
      <c r="D932" s="8" t="s">
        <v>17</v>
      </c>
      <c r="E932" s="6" t="s">
        <v>23</v>
      </c>
      <c r="F932" s="6" t="s">
        <v>52</v>
      </c>
      <c r="G932" s="6" t="s">
        <v>4541</v>
      </c>
      <c r="H932" s="10">
        <v>46156</v>
      </c>
      <c r="I932" s="6" t="s">
        <v>4542</v>
      </c>
      <c r="J932" s="6" t="s">
        <v>4543</v>
      </c>
      <c r="K932" s="6" t="s">
        <v>55</v>
      </c>
      <c r="L932" s="6" t="s">
        <v>85</v>
      </c>
      <c r="M932" s="6" t="s">
        <v>4544</v>
      </c>
    </row>
    <row r="933" spans="1:13" ht="13" x14ac:dyDescent="0.15">
      <c r="A933" s="5" t="str">
        <f>HYPERLINK("https://onemount.atlassian.net/browse/DBA-4847","DBA-4847")</f>
        <v>DBA-4847</v>
      </c>
      <c r="B933" s="6" t="s">
        <v>21</v>
      </c>
      <c r="C933" s="6" t="s">
        <v>4545</v>
      </c>
      <c r="D933" s="8" t="s">
        <v>17</v>
      </c>
      <c r="E933" s="6" t="s">
        <v>23</v>
      </c>
      <c r="F933" s="6" t="s">
        <v>52</v>
      </c>
      <c r="G933" s="6" t="s">
        <v>4546</v>
      </c>
      <c r="H933" s="10">
        <v>46154</v>
      </c>
      <c r="I933" s="6" t="s">
        <v>4547</v>
      </c>
      <c r="J933" s="6" t="s">
        <v>55</v>
      </c>
      <c r="K933" s="6" t="s">
        <v>55</v>
      </c>
      <c r="L933" s="6" t="s">
        <v>93</v>
      </c>
      <c r="M933" s="6" t="s">
        <v>4548</v>
      </c>
    </row>
    <row r="934" spans="1:13" ht="13" x14ac:dyDescent="0.15">
      <c r="A934" s="5" t="str">
        <f>HYPERLINK("https://onemount.atlassian.net/browse/DBA-4846","DBA-4846")</f>
        <v>DBA-4846</v>
      </c>
      <c r="B934" s="6" t="s">
        <v>21</v>
      </c>
      <c r="C934" s="6" t="s">
        <v>2322</v>
      </c>
      <c r="D934" s="8" t="s">
        <v>17</v>
      </c>
      <c r="E934" s="6" t="s">
        <v>23</v>
      </c>
      <c r="F934" s="6" t="s">
        <v>24</v>
      </c>
      <c r="G934" s="6" t="s">
        <v>4549</v>
      </c>
      <c r="H934" s="10">
        <v>46154</v>
      </c>
      <c r="I934" s="6" t="s">
        <v>4550</v>
      </c>
      <c r="J934" s="6" t="s">
        <v>88</v>
      </c>
      <c r="K934" s="6" t="s">
        <v>59</v>
      </c>
      <c r="L934" s="6" t="s">
        <v>88</v>
      </c>
      <c r="M934" s="6" t="s">
        <v>4551</v>
      </c>
    </row>
    <row r="935" spans="1:13" ht="13" x14ac:dyDescent="0.15">
      <c r="A935" s="5" t="str">
        <f>HYPERLINK("https://onemount.atlassian.net/browse/DBA-4845","DBA-4845")</f>
        <v>DBA-4845</v>
      </c>
      <c r="B935" s="6" t="s">
        <v>21</v>
      </c>
      <c r="C935" s="6" t="s">
        <v>4552</v>
      </c>
      <c r="D935" s="8" t="s">
        <v>17</v>
      </c>
      <c r="E935" s="6" t="s">
        <v>23</v>
      </c>
      <c r="F935" s="6" t="s">
        <v>24</v>
      </c>
      <c r="G935" s="6" t="s">
        <v>4553</v>
      </c>
      <c r="H935" s="10">
        <v>46155</v>
      </c>
      <c r="I935" s="6" t="s">
        <v>4554</v>
      </c>
      <c r="J935" s="6" t="s">
        <v>56</v>
      </c>
      <c r="K935" s="6" t="s">
        <v>55</v>
      </c>
      <c r="L935" s="6" t="s">
        <v>270</v>
      </c>
      <c r="M935" s="6" t="s">
        <v>4555</v>
      </c>
    </row>
    <row r="936" spans="1:13" ht="13" x14ac:dyDescent="0.15">
      <c r="A936" s="5" t="str">
        <f>HYPERLINK("https://onemount.atlassian.net/browse/DBA-4841","DBA-4841")</f>
        <v>DBA-4841</v>
      </c>
      <c r="B936" s="6" t="s">
        <v>21</v>
      </c>
      <c r="C936" s="6" t="s">
        <v>4556</v>
      </c>
      <c r="D936" s="8" t="s">
        <v>17</v>
      </c>
      <c r="E936" s="6" t="s">
        <v>23</v>
      </c>
      <c r="F936" s="6" t="s">
        <v>52</v>
      </c>
      <c r="G936" s="6" t="s">
        <v>4557</v>
      </c>
      <c r="H936" s="10">
        <v>46154</v>
      </c>
      <c r="I936" s="6" t="s">
        <v>4558</v>
      </c>
      <c r="J936" s="6" t="s">
        <v>85</v>
      </c>
      <c r="K936" s="6" t="s">
        <v>55</v>
      </c>
      <c r="L936" s="6" t="s">
        <v>85</v>
      </c>
      <c r="M936" s="6" t="s">
        <v>4559</v>
      </c>
    </row>
    <row r="937" spans="1:13" ht="13" x14ac:dyDescent="0.15">
      <c r="A937" s="5" t="str">
        <f>HYPERLINK("https://onemount.atlassian.net/browse/DBA-4840","DBA-4840")</f>
        <v>DBA-4840</v>
      </c>
      <c r="B937" s="6" t="s">
        <v>21</v>
      </c>
      <c r="C937" s="6" t="s">
        <v>4560</v>
      </c>
      <c r="D937" s="8" t="s">
        <v>17</v>
      </c>
      <c r="E937" s="6" t="s">
        <v>23</v>
      </c>
      <c r="F937" s="6" t="s">
        <v>52</v>
      </c>
      <c r="G937" s="6" t="s">
        <v>4561</v>
      </c>
      <c r="H937" s="10">
        <v>46155</v>
      </c>
      <c r="I937" s="6" t="s">
        <v>4562</v>
      </c>
      <c r="J937" s="6" t="s">
        <v>72</v>
      </c>
      <c r="K937" s="6" t="s">
        <v>72</v>
      </c>
      <c r="L937" s="6" t="s">
        <v>88</v>
      </c>
      <c r="M937" s="6" t="s">
        <v>4563</v>
      </c>
    </row>
    <row r="938" spans="1:13" ht="13" x14ac:dyDescent="0.15">
      <c r="A938" s="5" t="str">
        <f>HYPERLINK("https://onemount.atlassian.net/browse/DBA-4839","DBA-4839")</f>
        <v>DBA-4839</v>
      </c>
      <c r="B938" s="23" t="str">
        <f t="shared" ref="B938:B939" si="9">HYPERLINK("https://onemount.atlassian.net/browse/DBA-4837","DBA-4837")</f>
        <v>DBA-4837</v>
      </c>
      <c r="C938" s="6" t="s">
        <v>4564</v>
      </c>
      <c r="D938" s="8" t="s">
        <v>17</v>
      </c>
      <c r="E938" s="6" t="s">
        <v>428</v>
      </c>
      <c r="F938" s="6" t="s">
        <v>52</v>
      </c>
      <c r="G938" s="6" t="s">
        <v>4565</v>
      </c>
      <c r="H938" s="10">
        <v>46155</v>
      </c>
      <c r="I938" s="6" t="s">
        <v>4566</v>
      </c>
      <c r="J938" s="6" t="s">
        <v>151</v>
      </c>
      <c r="K938" s="6" t="s">
        <v>72</v>
      </c>
      <c r="L938" s="6" t="s">
        <v>151</v>
      </c>
      <c r="M938" s="6" t="s">
        <v>4564</v>
      </c>
    </row>
    <row r="939" spans="1:13" ht="13" x14ac:dyDescent="0.15">
      <c r="A939" s="5" t="str">
        <f>HYPERLINK("https://onemount.atlassian.net/browse/DBA-4838","DBA-4838")</f>
        <v>DBA-4838</v>
      </c>
      <c r="B939" s="23" t="str">
        <f t="shared" si="9"/>
        <v>DBA-4837</v>
      </c>
      <c r="C939" s="6" t="s">
        <v>4567</v>
      </c>
      <c r="D939" s="8" t="s">
        <v>17</v>
      </c>
      <c r="E939" s="6" t="s">
        <v>428</v>
      </c>
      <c r="F939" s="6" t="s">
        <v>52</v>
      </c>
      <c r="G939" s="6" t="s">
        <v>4568</v>
      </c>
      <c r="H939" s="10">
        <v>46155</v>
      </c>
      <c r="I939" s="6" t="s">
        <v>4569</v>
      </c>
      <c r="J939" s="6" t="s">
        <v>151</v>
      </c>
      <c r="K939" s="6" t="s">
        <v>72</v>
      </c>
      <c r="L939" s="6" t="s">
        <v>151</v>
      </c>
      <c r="M939" s="6" t="s">
        <v>4570</v>
      </c>
    </row>
    <row r="940" spans="1:13" ht="13" x14ac:dyDescent="0.15">
      <c r="A940" s="5" t="str">
        <f>HYPERLINK("https://onemount.atlassian.net/browse/DBA-4837","DBA-4837")</f>
        <v>DBA-4837</v>
      </c>
      <c r="B940" s="6" t="s">
        <v>21</v>
      </c>
      <c r="C940" s="6" t="s">
        <v>4571</v>
      </c>
      <c r="D940" s="8" t="s">
        <v>17</v>
      </c>
      <c r="E940" s="6" t="s">
        <v>23</v>
      </c>
      <c r="F940" s="6" t="s">
        <v>52</v>
      </c>
      <c r="G940" s="6" t="s">
        <v>4572</v>
      </c>
      <c r="H940" s="10">
        <v>46155</v>
      </c>
      <c r="I940" s="6" t="s">
        <v>4573</v>
      </c>
      <c r="J940" s="6" t="s">
        <v>151</v>
      </c>
      <c r="K940" s="6" t="s">
        <v>72</v>
      </c>
      <c r="L940" s="6" t="s">
        <v>151</v>
      </c>
      <c r="M940" s="6" t="s">
        <v>4574</v>
      </c>
    </row>
    <row r="941" spans="1:13" ht="13" x14ac:dyDescent="0.15">
      <c r="A941" s="5" t="str">
        <f>HYPERLINK("https://onemount.atlassian.net/browse/DBA-4834","DBA-4834")</f>
        <v>DBA-4834</v>
      </c>
      <c r="B941" s="6" t="s">
        <v>21</v>
      </c>
      <c r="C941" s="6" t="s">
        <v>4575</v>
      </c>
      <c r="D941" s="8" t="s">
        <v>17</v>
      </c>
      <c r="E941" s="6" t="s">
        <v>23</v>
      </c>
      <c r="F941" s="6" t="s">
        <v>24</v>
      </c>
      <c r="G941" s="6" t="s">
        <v>4576</v>
      </c>
      <c r="H941" s="10">
        <v>46154</v>
      </c>
      <c r="I941" s="6" t="s">
        <v>4577</v>
      </c>
      <c r="J941" s="6" t="s">
        <v>27</v>
      </c>
      <c r="K941" s="6" t="s">
        <v>28</v>
      </c>
      <c r="L941" s="6" t="s">
        <v>27</v>
      </c>
      <c r="M941" s="6" t="s">
        <v>4578</v>
      </c>
    </row>
    <row r="942" spans="1:13" ht="13" x14ac:dyDescent="0.15">
      <c r="A942" s="5" t="str">
        <f>HYPERLINK("https://onemount.atlassian.net/browse/DBA-4832","DBA-4832")</f>
        <v>DBA-4832</v>
      </c>
      <c r="B942" s="6" t="s">
        <v>21</v>
      </c>
      <c r="C942" s="6" t="s">
        <v>2263</v>
      </c>
      <c r="D942" s="8" t="s">
        <v>17</v>
      </c>
      <c r="E942" s="6" t="s">
        <v>23</v>
      </c>
      <c r="F942" s="6" t="s">
        <v>24</v>
      </c>
      <c r="G942" s="6" t="s">
        <v>4579</v>
      </c>
      <c r="H942" s="10">
        <v>46160</v>
      </c>
      <c r="I942" s="6" t="s">
        <v>4580</v>
      </c>
      <c r="J942" s="6" t="s">
        <v>55</v>
      </c>
      <c r="K942" s="6" t="s">
        <v>55</v>
      </c>
      <c r="L942" s="6" t="s">
        <v>270</v>
      </c>
      <c r="M942" s="6" t="s">
        <v>4581</v>
      </c>
    </row>
    <row r="943" spans="1:13" ht="13" x14ac:dyDescent="0.15">
      <c r="A943" s="5" t="str">
        <f>HYPERLINK("https://onemount.atlassian.net/browse/DBA-4831","DBA-4831")</f>
        <v>DBA-4831</v>
      </c>
      <c r="B943" s="6" t="s">
        <v>21</v>
      </c>
      <c r="C943" s="6" t="s">
        <v>4582</v>
      </c>
      <c r="D943" s="8" t="s">
        <v>17</v>
      </c>
      <c r="E943" s="6" t="s">
        <v>23</v>
      </c>
      <c r="F943" s="6" t="s">
        <v>31</v>
      </c>
      <c r="G943" s="6" t="s">
        <v>4583</v>
      </c>
      <c r="H943" s="10">
        <v>46154</v>
      </c>
      <c r="I943" s="6" t="s">
        <v>4584</v>
      </c>
      <c r="J943" s="6" t="s">
        <v>707</v>
      </c>
      <c r="K943" s="6" t="s">
        <v>35</v>
      </c>
      <c r="L943" s="6" t="s">
        <v>707</v>
      </c>
      <c r="M943" s="6" t="s">
        <v>4585</v>
      </c>
    </row>
    <row r="944" spans="1:13" ht="13" x14ac:dyDescent="0.15">
      <c r="A944" s="21" t="str">
        <f>HYPERLINK("https://onemount.atlassian.net/browse/DBA-4830","DBA-4830")</f>
        <v>DBA-4830</v>
      </c>
      <c r="B944" s="6" t="s">
        <v>21</v>
      </c>
      <c r="C944" s="6" t="s">
        <v>4186</v>
      </c>
      <c r="D944" s="8" t="s">
        <v>17</v>
      </c>
      <c r="E944" s="6" t="s">
        <v>23</v>
      </c>
      <c r="F944" s="6" t="s">
        <v>24</v>
      </c>
      <c r="G944" s="6" t="s">
        <v>4586</v>
      </c>
      <c r="H944" s="10">
        <v>46153</v>
      </c>
      <c r="I944" s="6" t="s">
        <v>4587</v>
      </c>
      <c r="J944" s="6" t="s">
        <v>571</v>
      </c>
      <c r="K944" s="6" t="s">
        <v>46</v>
      </c>
      <c r="L944" s="6" t="s">
        <v>571</v>
      </c>
      <c r="M944" s="6" t="s">
        <v>4189</v>
      </c>
    </row>
    <row r="945" spans="1:13" ht="13" x14ac:dyDescent="0.15">
      <c r="A945" s="5" t="str">
        <f>HYPERLINK("https://onemount.atlassian.net/browse/DBA-4829","DBA-4829")</f>
        <v>DBA-4829</v>
      </c>
      <c r="B945" s="6" t="s">
        <v>21</v>
      </c>
      <c r="C945" s="6" t="s">
        <v>4588</v>
      </c>
      <c r="D945" s="8" t="s">
        <v>17</v>
      </c>
      <c r="E945" s="6" t="s">
        <v>23</v>
      </c>
      <c r="F945" s="6" t="s">
        <v>52</v>
      </c>
      <c r="G945" s="6" t="s">
        <v>4589</v>
      </c>
      <c r="H945" s="10">
        <v>46153</v>
      </c>
      <c r="I945" s="6" t="s">
        <v>4590</v>
      </c>
      <c r="J945" s="6" t="s">
        <v>93</v>
      </c>
      <c r="K945" s="6" t="s">
        <v>55</v>
      </c>
      <c r="L945" s="6" t="s">
        <v>900</v>
      </c>
      <c r="M945" s="6" t="s">
        <v>4591</v>
      </c>
    </row>
    <row r="946" spans="1:13" ht="13" x14ac:dyDescent="0.15">
      <c r="A946" s="5" t="str">
        <f>HYPERLINK("https://onemount.atlassian.net/browse/DBA-4828","DBA-4828")</f>
        <v>DBA-4828</v>
      </c>
      <c r="B946" s="6" t="s">
        <v>21</v>
      </c>
      <c r="C946" s="6" t="s">
        <v>4592</v>
      </c>
      <c r="D946" s="8" t="s">
        <v>17</v>
      </c>
      <c r="E946" s="6" t="s">
        <v>23</v>
      </c>
      <c r="F946" s="6" t="s">
        <v>52</v>
      </c>
      <c r="G946" s="6" t="s">
        <v>4593</v>
      </c>
      <c r="H946" s="10">
        <v>46153</v>
      </c>
      <c r="I946" s="6" t="s">
        <v>4594</v>
      </c>
      <c r="J946" s="6" t="s">
        <v>85</v>
      </c>
      <c r="K946" s="6" t="s">
        <v>55</v>
      </c>
      <c r="L946" s="6" t="s">
        <v>85</v>
      </c>
      <c r="M946" s="6" t="s">
        <v>4595</v>
      </c>
    </row>
    <row r="947" spans="1:13" ht="13" x14ac:dyDescent="0.15">
      <c r="A947" s="5" t="str">
        <f>HYPERLINK("https://onemount.atlassian.net/browse/DBA-4827","DBA-4827")</f>
        <v>DBA-4827</v>
      </c>
      <c r="B947" s="6" t="s">
        <v>21</v>
      </c>
      <c r="C947" s="6" t="s">
        <v>4596</v>
      </c>
      <c r="D947" s="8" t="s">
        <v>17</v>
      </c>
      <c r="E947" s="6" t="s">
        <v>23</v>
      </c>
      <c r="F947" s="6" t="s">
        <v>52</v>
      </c>
      <c r="G947" s="6" t="s">
        <v>4597</v>
      </c>
      <c r="H947" s="10">
        <v>46154</v>
      </c>
      <c r="I947" s="6" t="s">
        <v>4598</v>
      </c>
      <c r="J947" s="6" t="s">
        <v>72</v>
      </c>
      <c r="K947" s="6" t="s">
        <v>72</v>
      </c>
      <c r="L947" s="6" t="s">
        <v>208</v>
      </c>
      <c r="M947" s="6" t="s">
        <v>4599</v>
      </c>
    </row>
    <row r="948" spans="1:13" ht="13" x14ac:dyDescent="0.15">
      <c r="A948" s="5" t="str">
        <f>HYPERLINK("https://onemount.atlassian.net/browse/DBA-4825","DBA-4825")</f>
        <v>DBA-4825</v>
      </c>
      <c r="B948" s="6" t="s">
        <v>21</v>
      </c>
      <c r="C948" s="6" t="s">
        <v>4600</v>
      </c>
      <c r="D948" s="8" t="s">
        <v>17</v>
      </c>
      <c r="E948" s="6" t="s">
        <v>23</v>
      </c>
      <c r="F948" s="6" t="s">
        <v>52</v>
      </c>
      <c r="G948" s="6" t="s">
        <v>4601</v>
      </c>
      <c r="H948" s="10">
        <v>46153</v>
      </c>
      <c r="I948" s="6" t="s">
        <v>4602</v>
      </c>
      <c r="J948" s="6" t="s">
        <v>72</v>
      </c>
      <c r="K948" s="6" t="s">
        <v>72</v>
      </c>
      <c r="L948" s="6" t="s">
        <v>72</v>
      </c>
      <c r="M948" s="6" t="s">
        <v>4603</v>
      </c>
    </row>
    <row r="949" spans="1:13" ht="13" x14ac:dyDescent="0.15">
      <c r="A949" s="5" t="str">
        <f>HYPERLINK("https://onemount.atlassian.net/browse/DBA-4824","DBA-4824")</f>
        <v>DBA-4824</v>
      </c>
      <c r="B949" s="6" t="s">
        <v>21</v>
      </c>
      <c r="C949" s="6" t="s">
        <v>4604</v>
      </c>
      <c r="D949" s="8" t="s">
        <v>17</v>
      </c>
      <c r="E949" s="6" t="s">
        <v>23</v>
      </c>
      <c r="F949" s="6" t="s">
        <v>24</v>
      </c>
      <c r="G949" s="6" t="s">
        <v>4605</v>
      </c>
      <c r="H949" s="10">
        <v>46154</v>
      </c>
      <c r="I949" s="6" t="s">
        <v>4606</v>
      </c>
      <c r="J949" s="6" t="s">
        <v>571</v>
      </c>
      <c r="K949" s="6" t="s">
        <v>46</v>
      </c>
      <c r="L949" s="6" t="s">
        <v>571</v>
      </c>
      <c r="M949" s="6" t="s">
        <v>4607</v>
      </c>
    </row>
    <row r="950" spans="1:13" ht="13" x14ac:dyDescent="0.15">
      <c r="A950" s="5" t="str">
        <f>HYPERLINK("https://onemount.atlassian.net/browse/DBA-4823","DBA-4823")</f>
        <v>DBA-4823</v>
      </c>
      <c r="B950" s="6" t="s">
        <v>21</v>
      </c>
      <c r="C950" s="6" t="s">
        <v>4608</v>
      </c>
      <c r="D950" s="8" t="s">
        <v>17</v>
      </c>
      <c r="E950" s="6" t="s">
        <v>23</v>
      </c>
      <c r="F950" s="6" t="s">
        <v>52</v>
      </c>
      <c r="G950" s="6" t="s">
        <v>4609</v>
      </c>
      <c r="H950" s="10">
        <v>46152</v>
      </c>
      <c r="I950" s="6" t="s">
        <v>4610</v>
      </c>
      <c r="J950" s="6" t="s">
        <v>2392</v>
      </c>
      <c r="K950" s="6" t="s">
        <v>59</v>
      </c>
      <c r="L950" s="6" t="s">
        <v>47</v>
      </c>
      <c r="M950" s="6" t="s">
        <v>4611</v>
      </c>
    </row>
    <row r="951" spans="1:13" ht="13" x14ac:dyDescent="0.15">
      <c r="A951" s="5" t="str">
        <f>HYPERLINK("https://onemount.atlassian.net/browse/DBA-4822","DBA-4822")</f>
        <v>DBA-4822</v>
      </c>
      <c r="B951" s="6" t="s">
        <v>21</v>
      </c>
      <c r="C951" s="6" t="s">
        <v>4612</v>
      </c>
      <c r="D951" s="8" t="s">
        <v>17</v>
      </c>
      <c r="E951" s="6" t="s">
        <v>23</v>
      </c>
      <c r="F951" s="6" t="s">
        <v>31</v>
      </c>
      <c r="G951" s="6" t="s">
        <v>4613</v>
      </c>
      <c r="H951" s="10">
        <v>46151</v>
      </c>
      <c r="I951" s="6" t="s">
        <v>4614</v>
      </c>
      <c r="J951" s="6" t="s">
        <v>478</v>
      </c>
      <c r="K951" s="6" t="s">
        <v>35</v>
      </c>
      <c r="L951" s="6" t="s">
        <v>478</v>
      </c>
      <c r="M951" s="6" t="s">
        <v>4615</v>
      </c>
    </row>
    <row r="952" spans="1:13" ht="13" x14ac:dyDescent="0.15">
      <c r="A952" s="5" t="str">
        <f>HYPERLINK("https://onemount.atlassian.net/browse/DBA-4821","DBA-4821")</f>
        <v>DBA-4821</v>
      </c>
      <c r="B952" s="6" t="s">
        <v>21</v>
      </c>
      <c r="C952" s="6" t="s">
        <v>4616</v>
      </c>
      <c r="D952" s="8" t="s">
        <v>17</v>
      </c>
      <c r="E952" s="6" t="s">
        <v>23</v>
      </c>
      <c r="F952" s="6" t="s">
        <v>78</v>
      </c>
      <c r="G952" s="6" t="s">
        <v>4617</v>
      </c>
      <c r="H952" s="10">
        <v>46158</v>
      </c>
      <c r="I952" s="6" t="s">
        <v>4618</v>
      </c>
      <c r="J952" s="6" t="s">
        <v>109</v>
      </c>
      <c r="K952" s="6" t="s">
        <v>46</v>
      </c>
      <c r="L952" s="6" t="s">
        <v>109</v>
      </c>
      <c r="M952" s="6" t="s">
        <v>4619</v>
      </c>
    </row>
    <row r="953" spans="1:13" ht="13" x14ac:dyDescent="0.15">
      <c r="A953" s="21" t="str">
        <f>HYPERLINK("https://onemount.atlassian.net/browse/DBA-4820","DBA-4820")</f>
        <v>DBA-4820</v>
      </c>
      <c r="B953" s="6" t="s">
        <v>21</v>
      </c>
      <c r="C953" s="6" t="s">
        <v>4620</v>
      </c>
      <c r="D953" s="8" t="s">
        <v>17</v>
      </c>
      <c r="E953" s="6" t="s">
        <v>23</v>
      </c>
      <c r="F953" s="6" t="s">
        <v>78</v>
      </c>
      <c r="G953" s="6" t="s">
        <v>4621</v>
      </c>
      <c r="H953" s="10">
        <v>46151</v>
      </c>
      <c r="I953" s="6" t="s">
        <v>4622</v>
      </c>
      <c r="J953" s="6" t="s">
        <v>109</v>
      </c>
      <c r="K953" s="6" t="s">
        <v>46</v>
      </c>
      <c r="L953" s="6" t="s">
        <v>109</v>
      </c>
      <c r="M953" s="6" t="s">
        <v>4394</v>
      </c>
    </row>
    <row r="954" spans="1:13" ht="13" x14ac:dyDescent="0.15">
      <c r="A954" s="5" t="str">
        <f>HYPERLINK("https://onemount.atlassian.net/browse/DBA-4819","DBA-4819")</f>
        <v>DBA-4819</v>
      </c>
      <c r="B954" s="6" t="s">
        <v>21</v>
      </c>
      <c r="C954" s="6" t="s">
        <v>4623</v>
      </c>
      <c r="D954" s="8" t="s">
        <v>17</v>
      </c>
      <c r="E954" s="6" t="s">
        <v>23</v>
      </c>
      <c r="F954" s="6" t="s">
        <v>78</v>
      </c>
      <c r="G954" s="6" t="s">
        <v>4624</v>
      </c>
      <c r="H954" s="10">
        <v>46152</v>
      </c>
      <c r="I954" s="6" t="s">
        <v>4625</v>
      </c>
      <c r="J954" s="6" t="s">
        <v>109</v>
      </c>
      <c r="K954" s="6" t="s">
        <v>46</v>
      </c>
      <c r="L954" s="6" t="s">
        <v>109</v>
      </c>
      <c r="M954" s="6" t="s">
        <v>4626</v>
      </c>
    </row>
    <row r="955" spans="1:13" ht="13" x14ac:dyDescent="0.15">
      <c r="A955" s="5" t="str">
        <f>HYPERLINK("https://onemount.atlassian.net/browse/DBA-4818","DBA-4818")</f>
        <v>DBA-4818</v>
      </c>
      <c r="B955" s="6" t="s">
        <v>21</v>
      </c>
      <c r="C955" s="6" t="s">
        <v>4627</v>
      </c>
      <c r="D955" s="8" t="s">
        <v>17</v>
      </c>
      <c r="E955" s="6" t="s">
        <v>23</v>
      </c>
      <c r="F955" s="6" t="s">
        <v>78</v>
      </c>
      <c r="G955" s="6" t="s">
        <v>4628</v>
      </c>
      <c r="H955" s="10">
        <v>46152</v>
      </c>
      <c r="I955" s="6" t="s">
        <v>4629</v>
      </c>
      <c r="J955" s="6" t="s">
        <v>109</v>
      </c>
      <c r="K955" s="6" t="s">
        <v>46</v>
      </c>
      <c r="L955" s="6" t="s">
        <v>109</v>
      </c>
      <c r="M955" s="6" t="s">
        <v>4630</v>
      </c>
    </row>
    <row r="956" spans="1:13" ht="13" x14ac:dyDescent="0.15">
      <c r="A956" s="5" t="str">
        <f>HYPERLINK("https://onemount.atlassian.net/browse/DBA-4817","DBA-4817")</f>
        <v>DBA-4817</v>
      </c>
      <c r="B956" s="6" t="s">
        <v>21</v>
      </c>
      <c r="C956" s="6" t="s">
        <v>4631</v>
      </c>
      <c r="D956" s="8" t="s">
        <v>17</v>
      </c>
      <c r="E956" s="6" t="s">
        <v>23</v>
      </c>
      <c r="F956" s="6" t="s">
        <v>78</v>
      </c>
      <c r="G956" s="6" t="s">
        <v>4632</v>
      </c>
      <c r="H956" s="10">
        <v>46152</v>
      </c>
      <c r="I956" s="6" t="s">
        <v>4633</v>
      </c>
      <c r="J956" s="6" t="s">
        <v>109</v>
      </c>
      <c r="K956" s="6" t="s">
        <v>46</v>
      </c>
      <c r="L956" s="6" t="s">
        <v>109</v>
      </c>
      <c r="M956" s="6" t="s">
        <v>4634</v>
      </c>
    </row>
    <row r="957" spans="1:13" ht="13" x14ac:dyDescent="0.15">
      <c r="A957" s="5" t="str">
        <f>HYPERLINK("https://onemount.atlassian.net/browse/DBA-4816","DBA-4816")</f>
        <v>DBA-4816</v>
      </c>
      <c r="B957" s="23" t="str">
        <f t="shared" ref="B957:B960" si="10">HYPERLINK("https://onemount.atlassian.net/browse/DBA-4812","DBA-4812")</f>
        <v>DBA-4812</v>
      </c>
      <c r="C957" s="6" t="s">
        <v>4635</v>
      </c>
      <c r="D957" s="8" t="s">
        <v>17</v>
      </c>
      <c r="E957" s="6" t="s">
        <v>428</v>
      </c>
      <c r="F957" s="6" t="s">
        <v>94</v>
      </c>
      <c r="G957" s="6" t="s">
        <v>4636</v>
      </c>
      <c r="H957" s="10">
        <v>46157</v>
      </c>
      <c r="I957" s="6" t="s">
        <v>4637</v>
      </c>
      <c r="J957" s="6" t="s">
        <v>4314</v>
      </c>
      <c r="K957" s="6" t="s">
        <v>137</v>
      </c>
      <c r="L957" s="6" t="s">
        <v>431</v>
      </c>
      <c r="M957" s="6" t="s">
        <v>4638</v>
      </c>
    </row>
    <row r="958" spans="1:13" ht="13" x14ac:dyDescent="0.15">
      <c r="A958" s="5" t="str">
        <f>HYPERLINK("https://onemount.atlassian.net/browse/DBA-4815","DBA-4815")</f>
        <v>DBA-4815</v>
      </c>
      <c r="B958" s="23" t="str">
        <f t="shared" si="10"/>
        <v>DBA-4812</v>
      </c>
      <c r="C958" s="6" t="s">
        <v>4639</v>
      </c>
      <c r="D958" s="8" t="s">
        <v>17</v>
      </c>
      <c r="E958" s="6" t="s">
        <v>428</v>
      </c>
      <c r="F958" s="6" t="s">
        <v>52</v>
      </c>
      <c r="G958" s="6" t="s">
        <v>4640</v>
      </c>
      <c r="H958" s="10">
        <v>46156</v>
      </c>
      <c r="I958" s="6" t="s">
        <v>4641</v>
      </c>
      <c r="J958" s="6" t="s">
        <v>4314</v>
      </c>
      <c r="K958" s="6" t="s">
        <v>137</v>
      </c>
      <c r="L958" s="6" t="s">
        <v>431</v>
      </c>
      <c r="M958" s="6" t="s">
        <v>4642</v>
      </c>
    </row>
    <row r="959" spans="1:13" ht="13" x14ac:dyDescent="0.15">
      <c r="A959" s="5" t="str">
        <f>HYPERLINK("https://onemount.atlassian.net/browse/DBA-4814","DBA-4814")</f>
        <v>DBA-4814</v>
      </c>
      <c r="B959" s="23" t="str">
        <f t="shared" si="10"/>
        <v>DBA-4812</v>
      </c>
      <c r="C959" s="6" t="s">
        <v>4643</v>
      </c>
      <c r="D959" s="8" t="s">
        <v>17</v>
      </c>
      <c r="E959" s="6" t="s">
        <v>428</v>
      </c>
      <c r="F959" s="6" t="s">
        <v>94</v>
      </c>
      <c r="G959" s="6" t="s">
        <v>4644</v>
      </c>
      <c r="H959" s="10">
        <v>46156</v>
      </c>
      <c r="I959" s="6" t="s">
        <v>4645</v>
      </c>
      <c r="J959" s="6" t="s">
        <v>4314</v>
      </c>
      <c r="K959" s="6" t="s">
        <v>137</v>
      </c>
      <c r="L959" s="6" t="s">
        <v>431</v>
      </c>
      <c r="M959" s="6" t="s">
        <v>4646</v>
      </c>
    </row>
    <row r="960" spans="1:13" ht="13" x14ac:dyDescent="0.15">
      <c r="A960" s="5" t="str">
        <f>HYPERLINK("https://onemount.atlassian.net/browse/DBA-4813","DBA-4813")</f>
        <v>DBA-4813</v>
      </c>
      <c r="B960" s="23" t="str">
        <f t="shared" si="10"/>
        <v>DBA-4812</v>
      </c>
      <c r="C960" s="6" t="s">
        <v>4647</v>
      </c>
      <c r="D960" s="8" t="s">
        <v>17</v>
      </c>
      <c r="E960" s="6" t="s">
        <v>428</v>
      </c>
      <c r="F960" s="6" t="s">
        <v>94</v>
      </c>
      <c r="G960" s="6" t="s">
        <v>4648</v>
      </c>
      <c r="H960" s="10">
        <v>46156</v>
      </c>
      <c r="I960" s="6" t="s">
        <v>4649</v>
      </c>
      <c r="J960" s="6" t="s">
        <v>4314</v>
      </c>
      <c r="K960" s="6" t="s">
        <v>137</v>
      </c>
      <c r="L960" s="6" t="s">
        <v>431</v>
      </c>
      <c r="M960" s="6" t="s">
        <v>4650</v>
      </c>
    </row>
    <row r="961" spans="1:13" ht="13" x14ac:dyDescent="0.15">
      <c r="A961" s="5" t="str">
        <f>HYPERLINK("https://onemount.atlassian.net/browse/DBA-4812","DBA-4812")</f>
        <v>DBA-4812</v>
      </c>
      <c r="B961" s="6" t="s">
        <v>21</v>
      </c>
      <c r="C961" s="6" t="s">
        <v>4651</v>
      </c>
      <c r="D961" s="8" t="s">
        <v>17</v>
      </c>
      <c r="E961" s="6" t="s">
        <v>23</v>
      </c>
      <c r="F961" s="6" t="s">
        <v>52</v>
      </c>
      <c r="G961" s="6" t="s">
        <v>4652</v>
      </c>
      <c r="H961" s="10">
        <v>46156</v>
      </c>
      <c r="I961" s="6" t="s">
        <v>4653</v>
      </c>
      <c r="J961" s="6" t="s">
        <v>4314</v>
      </c>
      <c r="K961" s="6" t="s">
        <v>137</v>
      </c>
      <c r="L961" s="6" t="s">
        <v>431</v>
      </c>
      <c r="M961" s="6" t="s">
        <v>4654</v>
      </c>
    </row>
    <row r="962" spans="1:13" ht="13" x14ac:dyDescent="0.15">
      <c r="A962" s="5" t="str">
        <f>HYPERLINK("https://onemount.atlassian.net/browse/DBA-4808","DBA-4808")</f>
        <v>DBA-4808</v>
      </c>
      <c r="B962" s="6" t="s">
        <v>21</v>
      </c>
      <c r="C962" s="6" t="s">
        <v>4655</v>
      </c>
      <c r="D962" s="8" t="s">
        <v>17</v>
      </c>
      <c r="E962" s="6" t="s">
        <v>23</v>
      </c>
      <c r="F962" s="6" t="s">
        <v>52</v>
      </c>
      <c r="G962" s="6" t="s">
        <v>4656</v>
      </c>
      <c r="H962" s="10">
        <v>46151</v>
      </c>
      <c r="I962" s="6" t="s">
        <v>4657</v>
      </c>
      <c r="J962" s="6" t="s">
        <v>85</v>
      </c>
      <c r="K962" s="6" t="s">
        <v>55</v>
      </c>
      <c r="L962" s="6" t="s">
        <v>85</v>
      </c>
      <c r="M962" s="6" t="s">
        <v>4658</v>
      </c>
    </row>
    <row r="963" spans="1:13" ht="13" x14ac:dyDescent="0.15">
      <c r="A963" s="5" t="str">
        <f>HYPERLINK("https://onemount.atlassian.net/browse/DBA-4787","DBA-4787")</f>
        <v>DBA-4787</v>
      </c>
      <c r="B963" s="6" t="s">
        <v>21</v>
      </c>
      <c r="C963" s="6" t="s">
        <v>2322</v>
      </c>
      <c r="D963" s="8" t="s">
        <v>17</v>
      </c>
      <c r="E963" s="6" t="s">
        <v>23</v>
      </c>
      <c r="F963" s="6" t="s">
        <v>24</v>
      </c>
      <c r="G963" s="6" t="s">
        <v>4659</v>
      </c>
      <c r="H963" s="10">
        <v>46150</v>
      </c>
      <c r="I963" s="6" t="s">
        <v>4660</v>
      </c>
      <c r="J963" s="6" t="s">
        <v>88</v>
      </c>
      <c r="K963" s="6" t="s">
        <v>59</v>
      </c>
      <c r="L963" s="6" t="s">
        <v>88</v>
      </c>
      <c r="M963" s="6" t="s">
        <v>4661</v>
      </c>
    </row>
    <row r="964" spans="1:13" ht="13" x14ac:dyDescent="0.15">
      <c r="A964" s="5" t="str">
        <f>HYPERLINK("https://onemount.atlassian.net/browse/DBA-4784","DBA-4784")</f>
        <v>DBA-4784</v>
      </c>
      <c r="B964" s="6" t="s">
        <v>21</v>
      </c>
      <c r="C964" s="6" t="s">
        <v>4662</v>
      </c>
      <c r="D964" s="8" t="s">
        <v>17</v>
      </c>
      <c r="E964" s="6" t="s">
        <v>23</v>
      </c>
      <c r="F964" s="6" t="s">
        <v>24</v>
      </c>
      <c r="G964" s="6" t="s">
        <v>4663</v>
      </c>
      <c r="H964" s="10">
        <v>46151</v>
      </c>
      <c r="I964" s="6" t="s">
        <v>4664</v>
      </c>
      <c r="J964" s="6" t="s">
        <v>88</v>
      </c>
      <c r="K964" s="6" t="s">
        <v>46</v>
      </c>
      <c r="L964" s="6" t="s">
        <v>88</v>
      </c>
      <c r="M964" s="6" t="s">
        <v>4665</v>
      </c>
    </row>
    <row r="965" spans="1:13" ht="13" x14ac:dyDescent="0.15">
      <c r="A965" s="5" t="str">
        <f>HYPERLINK("https://onemount.atlassian.net/browse/DBA-4782","DBA-4782")</f>
        <v>DBA-4782</v>
      </c>
      <c r="B965" s="6" t="s">
        <v>21</v>
      </c>
      <c r="C965" s="6" t="s">
        <v>4666</v>
      </c>
      <c r="D965" s="8" t="s">
        <v>17</v>
      </c>
      <c r="E965" s="6" t="s">
        <v>23</v>
      </c>
      <c r="F965" s="6" t="s">
        <v>31</v>
      </c>
      <c r="G965" s="6" t="s">
        <v>4667</v>
      </c>
      <c r="H965" s="10">
        <v>46150</v>
      </c>
      <c r="I965" s="6" t="s">
        <v>4668</v>
      </c>
      <c r="J965" s="6" t="s">
        <v>1187</v>
      </c>
      <c r="K965" s="6" t="s">
        <v>35</v>
      </c>
      <c r="L965" s="6" t="s">
        <v>1187</v>
      </c>
      <c r="M965" s="6" t="s">
        <v>4669</v>
      </c>
    </row>
    <row r="966" spans="1:13" ht="13" x14ac:dyDescent="0.15">
      <c r="A966" s="5" t="str">
        <f>HYPERLINK("https://onemount.atlassian.net/browse/DBA-4781","DBA-4781")</f>
        <v>DBA-4781</v>
      </c>
      <c r="B966" s="6" t="s">
        <v>21</v>
      </c>
      <c r="C966" s="6" t="s">
        <v>4670</v>
      </c>
      <c r="D966" s="8" t="s">
        <v>17</v>
      </c>
      <c r="E966" s="6" t="s">
        <v>23</v>
      </c>
      <c r="F966" s="6" t="s">
        <v>24</v>
      </c>
      <c r="G966" s="6" t="s">
        <v>4671</v>
      </c>
      <c r="H966" s="10">
        <v>46150</v>
      </c>
      <c r="I966" s="6" t="s">
        <v>4672</v>
      </c>
      <c r="J966" s="6" t="s">
        <v>2440</v>
      </c>
      <c r="K966" s="6" t="s">
        <v>165</v>
      </c>
      <c r="L966" s="6" t="s">
        <v>119</v>
      </c>
      <c r="M966" s="6" t="s">
        <v>4673</v>
      </c>
    </row>
    <row r="967" spans="1:13" ht="13" x14ac:dyDescent="0.15">
      <c r="A967" s="5" t="str">
        <f>HYPERLINK("https://onemount.atlassian.net/browse/DBA-4779","DBA-4779")</f>
        <v>DBA-4779</v>
      </c>
      <c r="B967" s="6" t="s">
        <v>21</v>
      </c>
      <c r="C967" s="6" t="s">
        <v>4604</v>
      </c>
      <c r="D967" s="8" t="s">
        <v>17</v>
      </c>
      <c r="E967" s="6" t="s">
        <v>23</v>
      </c>
      <c r="F967" s="6" t="s">
        <v>24</v>
      </c>
      <c r="G967" s="6" t="s">
        <v>4674</v>
      </c>
      <c r="H967" s="10">
        <v>46154</v>
      </c>
      <c r="I967" s="6" t="s">
        <v>4675</v>
      </c>
      <c r="J967" s="6" t="s">
        <v>571</v>
      </c>
      <c r="K967" s="6" t="s">
        <v>46</v>
      </c>
      <c r="L967" s="6" t="s">
        <v>571</v>
      </c>
      <c r="M967" s="6" t="s">
        <v>4676</v>
      </c>
    </row>
    <row r="968" spans="1:13" ht="13" x14ac:dyDescent="0.15">
      <c r="A968" s="5" t="str">
        <f>HYPERLINK("https://onemount.atlassian.net/browse/DBA-4778","DBA-4778")</f>
        <v>DBA-4778</v>
      </c>
      <c r="B968" s="6" t="s">
        <v>21</v>
      </c>
      <c r="C968" s="6" t="s">
        <v>4677</v>
      </c>
      <c r="D968" s="8" t="s">
        <v>17</v>
      </c>
      <c r="E968" s="6" t="s">
        <v>23</v>
      </c>
      <c r="F968" s="6" t="s">
        <v>24</v>
      </c>
      <c r="G968" s="6" t="s">
        <v>4678</v>
      </c>
      <c r="H968" s="10">
        <v>46150</v>
      </c>
      <c r="I968" s="6" t="s">
        <v>4679</v>
      </c>
      <c r="J968" s="6" t="s">
        <v>2440</v>
      </c>
      <c r="K968" s="6" t="s">
        <v>165</v>
      </c>
      <c r="L968" s="6" t="s">
        <v>119</v>
      </c>
      <c r="M968" s="6" t="s">
        <v>4680</v>
      </c>
    </row>
    <row r="969" spans="1:13" ht="13" x14ac:dyDescent="0.15">
      <c r="A969" s="21" t="str">
        <f>HYPERLINK("https://onemount.atlassian.net/browse/DBA-4776","DBA-4776")</f>
        <v>DBA-4776</v>
      </c>
      <c r="B969" s="6" t="s">
        <v>21</v>
      </c>
      <c r="C969" s="6" t="s">
        <v>3289</v>
      </c>
      <c r="D969" s="8" t="s">
        <v>17</v>
      </c>
      <c r="E969" s="6" t="s">
        <v>23</v>
      </c>
      <c r="F969" s="6" t="s">
        <v>52</v>
      </c>
      <c r="G969" s="6" t="s">
        <v>4681</v>
      </c>
      <c r="H969" s="10">
        <v>46151</v>
      </c>
      <c r="I969" s="6" t="s">
        <v>4682</v>
      </c>
      <c r="J969" s="6" t="s">
        <v>56</v>
      </c>
      <c r="K969" s="6" t="s">
        <v>55</v>
      </c>
      <c r="L969" s="6" t="s">
        <v>56</v>
      </c>
      <c r="M969" s="6" t="s">
        <v>3292</v>
      </c>
    </row>
    <row r="970" spans="1:13" ht="13" x14ac:dyDescent="0.15">
      <c r="A970" s="5" t="str">
        <f>HYPERLINK("https://onemount.atlassian.net/browse/DBA-4775","DBA-4775")</f>
        <v>DBA-4775</v>
      </c>
      <c r="B970" s="6" t="s">
        <v>21</v>
      </c>
      <c r="C970" s="6" t="s">
        <v>4683</v>
      </c>
      <c r="D970" s="8" t="s">
        <v>17</v>
      </c>
      <c r="E970" s="6" t="s">
        <v>23</v>
      </c>
      <c r="F970" s="6" t="s">
        <v>31</v>
      </c>
      <c r="G970" s="6" t="s">
        <v>4684</v>
      </c>
      <c r="H970" s="10">
        <v>46150</v>
      </c>
      <c r="I970" s="6" t="s">
        <v>4685</v>
      </c>
      <c r="J970" s="6" t="s">
        <v>638</v>
      </c>
      <c r="K970" s="6" t="s">
        <v>35</v>
      </c>
      <c r="L970" s="6" t="s">
        <v>638</v>
      </c>
      <c r="M970" s="6" t="s">
        <v>4686</v>
      </c>
    </row>
    <row r="971" spans="1:13" ht="13" x14ac:dyDescent="0.15">
      <c r="A971" s="5" t="str">
        <f>HYPERLINK("https://onemount.atlassian.net/browse/DBA-4774","DBA-4774")</f>
        <v>DBA-4774</v>
      </c>
      <c r="B971" s="6" t="s">
        <v>21</v>
      </c>
      <c r="C971" s="6" t="s">
        <v>4687</v>
      </c>
      <c r="D971" s="8" t="s">
        <v>17</v>
      </c>
      <c r="E971" s="6" t="s">
        <v>23</v>
      </c>
      <c r="F971" s="6" t="s">
        <v>24</v>
      </c>
      <c r="G971" s="6" t="s">
        <v>4688</v>
      </c>
      <c r="H971" s="10">
        <v>46149</v>
      </c>
      <c r="I971" s="6" t="s">
        <v>4689</v>
      </c>
      <c r="J971" s="6" t="s">
        <v>77</v>
      </c>
      <c r="K971" s="6" t="s">
        <v>165</v>
      </c>
      <c r="L971" s="6" t="s">
        <v>77</v>
      </c>
      <c r="M971" s="6" t="s">
        <v>4690</v>
      </c>
    </row>
    <row r="972" spans="1:13" ht="13" x14ac:dyDescent="0.15">
      <c r="A972" s="5" t="str">
        <f>HYPERLINK("https://onemount.atlassian.net/browse/DBA-4771","DBA-4771")</f>
        <v>DBA-4771</v>
      </c>
      <c r="B972" s="6" t="s">
        <v>21</v>
      </c>
      <c r="C972" s="6" t="s">
        <v>1466</v>
      </c>
      <c r="D972" s="8" t="s">
        <v>17</v>
      </c>
      <c r="E972" s="6" t="s">
        <v>23</v>
      </c>
      <c r="F972" s="6" t="s">
        <v>52</v>
      </c>
      <c r="G972" s="6" t="s">
        <v>4691</v>
      </c>
      <c r="H972" s="10">
        <v>46148</v>
      </c>
      <c r="I972" s="6" t="s">
        <v>4692</v>
      </c>
      <c r="J972" s="6" t="s">
        <v>852</v>
      </c>
      <c r="K972" s="6" t="s">
        <v>55</v>
      </c>
      <c r="L972" s="6" t="s">
        <v>852</v>
      </c>
      <c r="M972" s="6" t="s">
        <v>4693</v>
      </c>
    </row>
    <row r="973" spans="1:13" ht="13" x14ac:dyDescent="0.15">
      <c r="A973" s="5" t="str">
        <f>HYPERLINK("https://onemount.atlassian.net/browse/DBA-4769","DBA-4769")</f>
        <v>DBA-4769</v>
      </c>
      <c r="B973" s="6" t="s">
        <v>21</v>
      </c>
      <c r="C973" s="6" t="s">
        <v>4694</v>
      </c>
      <c r="D973" s="8" t="s">
        <v>17</v>
      </c>
      <c r="E973" s="6" t="s">
        <v>23</v>
      </c>
      <c r="F973" s="6" t="s">
        <v>31</v>
      </c>
      <c r="G973" s="6" t="s">
        <v>4695</v>
      </c>
      <c r="H973" s="10">
        <v>46148</v>
      </c>
      <c r="I973" s="6" t="s">
        <v>4696</v>
      </c>
      <c r="J973" s="6" t="s">
        <v>128</v>
      </c>
      <c r="K973" s="6" t="s">
        <v>35</v>
      </c>
      <c r="L973" s="6" t="s">
        <v>49</v>
      </c>
      <c r="M973" s="6" t="s">
        <v>4697</v>
      </c>
    </row>
    <row r="974" spans="1:13" ht="13" x14ac:dyDescent="0.15">
      <c r="A974" s="5" t="str">
        <f>HYPERLINK("https://onemount.atlassian.net/browse/DBA-4764","DBA-4764")</f>
        <v>DBA-4764</v>
      </c>
      <c r="B974" s="6" t="s">
        <v>21</v>
      </c>
      <c r="C974" s="6" t="s">
        <v>4698</v>
      </c>
      <c r="D974" s="8" t="s">
        <v>17</v>
      </c>
      <c r="E974" s="6" t="s">
        <v>23</v>
      </c>
      <c r="F974" s="6" t="s">
        <v>31</v>
      </c>
      <c r="G974" s="6" t="s">
        <v>4699</v>
      </c>
      <c r="H974" s="10">
        <v>46149</v>
      </c>
      <c r="I974" s="6" t="s">
        <v>4700</v>
      </c>
      <c r="J974" s="6" t="s">
        <v>636</v>
      </c>
      <c r="K974" s="6" t="s">
        <v>35</v>
      </c>
      <c r="L974" s="6" t="s">
        <v>692</v>
      </c>
      <c r="M974" s="6" t="s">
        <v>4701</v>
      </c>
    </row>
    <row r="975" spans="1:13" ht="13" x14ac:dyDescent="0.15">
      <c r="A975" s="5" t="str">
        <f>HYPERLINK("https://onemount.atlassian.net/browse/DBA-4763","DBA-4763")</f>
        <v>DBA-4763</v>
      </c>
      <c r="B975" s="6" t="s">
        <v>21</v>
      </c>
      <c r="C975" s="6" t="s">
        <v>4702</v>
      </c>
      <c r="D975" s="8" t="s">
        <v>17</v>
      </c>
      <c r="E975" s="6" t="s">
        <v>23</v>
      </c>
      <c r="F975" s="6" t="s">
        <v>31</v>
      </c>
      <c r="G975" s="6" t="s">
        <v>4703</v>
      </c>
      <c r="H975" s="10">
        <v>46148</v>
      </c>
      <c r="I975" s="6" t="s">
        <v>4704</v>
      </c>
      <c r="J975" s="6" t="s">
        <v>374</v>
      </c>
      <c r="K975" s="6" t="s">
        <v>35</v>
      </c>
      <c r="L975" s="6" t="s">
        <v>374</v>
      </c>
      <c r="M975" s="6" t="s">
        <v>4705</v>
      </c>
    </row>
    <row r="976" spans="1:13" ht="13" x14ac:dyDescent="0.15">
      <c r="A976" s="5" t="str">
        <f>HYPERLINK("https://onemount.atlassian.net/browse/DBA-4762","DBA-4762")</f>
        <v>DBA-4762</v>
      </c>
      <c r="B976" s="6" t="s">
        <v>21</v>
      </c>
      <c r="C976" s="6" t="s">
        <v>481</v>
      </c>
      <c r="D976" s="8" t="s">
        <v>17</v>
      </c>
      <c r="E976" s="6" t="s">
        <v>23</v>
      </c>
      <c r="F976" s="6" t="s">
        <v>24</v>
      </c>
      <c r="G976" s="6" t="s">
        <v>4706</v>
      </c>
      <c r="H976" s="10">
        <v>46148</v>
      </c>
      <c r="I976" s="6" t="s">
        <v>4707</v>
      </c>
      <c r="J976" s="6" t="s">
        <v>88</v>
      </c>
      <c r="K976" s="6" t="s">
        <v>59</v>
      </c>
      <c r="L976" s="6" t="s">
        <v>88</v>
      </c>
      <c r="M976" s="6" t="s">
        <v>4708</v>
      </c>
    </row>
    <row r="977" spans="1:13" ht="13" x14ac:dyDescent="0.15">
      <c r="A977" s="5" t="str">
        <f>HYPERLINK("https://onemount.atlassian.net/browse/DBA-4761","DBA-4761")</f>
        <v>DBA-4761</v>
      </c>
      <c r="B977" s="6" t="s">
        <v>21</v>
      </c>
      <c r="C977" s="6" t="s">
        <v>481</v>
      </c>
      <c r="D977" s="8" t="s">
        <v>17</v>
      </c>
      <c r="E977" s="6" t="s">
        <v>23</v>
      </c>
      <c r="F977" s="6" t="s">
        <v>24</v>
      </c>
      <c r="G977" s="6" t="s">
        <v>4709</v>
      </c>
      <c r="H977" s="10">
        <v>46149</v>
      </c>
      <c r="I977" s="6" t="s">
        <v>4710</v>
      </c>
      <c r="J977" s="6" t="s">
        <v>88</v>
      </c>
      <c r="K977" s="6" t="s">
        <v>59</v>
      </c>
      <c r="L977" s="6" t="s">
        <v>88</v>
      </c>
      <c r="M977" s="6" t="s">
        <v>4711</v>
      </c>
    </row>
    <row r="978" spans="1:13" ht="13" x14ac:dyDescent="0.15">
      <c r="A978" s="5" t="str">
        <f>HYPERLINK("https://onemount.atlassian.net/browse/DBA-4760","DBA-4760")</f>
        <v>DBA-4760</v>
      </c>
      <c r="B978" s="6" t="s">
        <v>21</v>
      </c>
      <c r="C978" s="6" t="s">
        <v>4712</v>
      </c>
      <c r="D978" s="8" t="s">
        <v>17</v>
      </c>
      <c r="E978" s="6" t="s">
        <v>23</v>
      </c>
      <c r="F978" s="6" t="s">
        <v>31</v>
      </c>
      <c r="G978" s="6" t="s">
        <v>4713</v>
      </c>
      <c r="H978" s="10">
        <v>46148</v>
      </c>
      <c r="I978" s="6" t="s">
        <v>4714</v>
      </c>
      <c r="J978" s="6" t="s">
        <v>1187</v>
      </c>
      <c r="K978" s="6" t="s">
        <v>35</v>
      </c>
      <c r="L978" s="6" t="s">
        <v>1187</v>
      </c>
      <c r="M978" s="6" t="s">
        <v>4715</v>
      </c>
    </row>
    <row r="979" spans="1:13" ht="13" x14ac:dyDescent="0.15">
      <c r="A979" s="5" t="str">
        <f>HYPERLINK("https://onemount.atlassian.net/browse/DBA-4758","DBA-4758")</f>
        <v>DBA-4758</v>
      </c>
      <c r="B979" s="6" t="s">
        <v>21</v>
      </c>
      <c r="C979" s="6" t="s">
        <v>4716</v>
      </c>
      <c r="D979" s="8" t="s">
        <v>17</v>
      </c>
      <c r="E979" s="6" t="s">
        <v>23</v>
      </c>
      <c r="F979" s="6" t="s">
        <v>24</v>
      </c>
      <c r="G979" s="6" t="s">
        <v>4717</v>
      </c>
      <c r="H979" s="10">
        <v>46148</v>
      </c>
      <c r="I979" s="6" t="s">
        <v>4718</v>
      </c>
      <c r="J979" s="6" t="s">
        <v>146</v>
      </c>
      <c r="K979" s="6" t="s">
        <v>46</v>
      </c>
      <c r="L979" s="6" t="s">
        <v>146</v>
      </c>
      <c r="M979" s="6" t="s">
        <v>4719</v>
      </c>
    </row>
    <row r="980" spans="1:13" ht="13" x14ac:dyDescent="0.15">
      <c r="A980" s="5" t="str">
        <f>HYPERLINK("https://onemount.atlassian.net/browse/DBA-4757","DBA-4757")</f>
        <v>DBA-4757</v>
      </c>
      <c r="B980" s="6" t="s">
        <v>21</v>
      </c>
      <c r="C980" s="6" t="s">
        <v>4720</v>
      </c>
      <c r="D980" s="8" t="s">
        <v>17</v>
      </c>
      <c r="E980" s="6" t="s">
        <v>23</v>
      </c>
      <c r="F980" s="6" t="s">
        <v>31</v>
      </c>
      <c r="G980" s="6" t="s">
        <v>4721</v>
      </c>
      <c r="H980" s="10">
        <v>46147</v>
      </c>
      <c r="I980" s="6" t="s">
        <v>4722</v>
      </c>
      <c r="J980" s="6" t="s">
        <v>71</v>
      </c>
      <c r="K980" s="6" t="s">
        <v>35</v>
      </c>
      <c r="L980" s="6" t="s">
        <v>71</v>
      </c>
      <c r="M980" s="6" t="s">
        <v>4723</v>
      </c>
    </row>
    <row r="981" spans="1:13" ht="13" x14ac:dyDescent="0.15">
      <c r="A981" s="5" t="str">
        <f>HYPERLINK("https://onemount.atlassian.net/browse/DBA-4756","DBA-4756")</f>
        <v>DBA-4756</v>
      </c>
      <c r="B981" s="6" t="s">
        <v>21</v>
      </c>
      <c r="C981" s="6" t="s">
        <v>4724</v>
      </c>
      <c r="D981" s="8" t="s">
        <v>17</v>
      </c>
      <c r="E981" s="6" t="s">
        <v>23</v>
      </c>
      <c r="F981" s="6" t="s">
        <v>52</v>
      </c>
      <c r="G981" s="6" t="s">
        <v>4725</v>
      </c>
      <c r="H981" s="10">
        <v>46148</v>
      </c>
      <c r="I981" s="6" t="s">
        <v>4726</v>
      </c>
      <c r="J981" s="6" t="s">
        <v>2919</v>
      </c>
      <c r="K981" s="6" t="s">
        <v>72</v>
      </c>
      <c r="L981" s="6" t="s">
        <v>188</v>
      </c>
      <c r="M981" s="6" t="s">
        <v>4727</v>
      </c>
    </row>
    <row r="982" spans="1:13" ht="13" x14ac:dyDescent="0.15">
      <c r="A982" s="5" t="str">
        <f>HYPERLINK("https://onemount.atlassian.net/browse/DBA-4755","DBA-4755")</f>
        <v>DBA-4755</v>
      </c>
      <c r="B982" s="6" t="s">
        <v>21</v>
      </c>
      <c r="C982" s="6" t="s">
        <v>4728</v>
      </c>
      <c r="D982" s="8" t="s">
        <v>17</v>
      </c>
      <c r="E982" s="6" t="s">
        <v>23</v>
      </c>
      <c r="F982" s="6" t="s">
        <v>52</v>
      </c>
      <c r="G982" s="6" t="s">
        <v>4729</v>
      </c>
      <c r="H982" s="10">
        <v>46148</v>
      </c>
      <c r="I982" s="6" t="s">
        <v>4730</v>
      </c>
      <c r="J982" s="6" t="s">
        <v>852</v>
      </c>
      <c r="K982" s="6" t="s">
        <v>55</v>
      </c>
      <c r="L982" s="6" t="s">
        <v>852</v>
      </c>
      <c r="M982" s="6" t="s">
        <v>4731</v>
      </c>
    </row>
    <row r="983" spans="1:13" ht="13" x14ac:dyDescent="0.15">
      <c r="A983" s="5" t="str">
        <f>HYPERLINK("https://onemount.atlassian.net/browse/DBA-4754","DBA-4754")</f>
        <v>DBA-4754</v>
      </c>
      <c r="B983" s="6" t="s">
        <v>21</v>
      </c>
      <c r="C983" s="6" t="s">
        <v>4732</v>
      </c>
      <c r="D983" s="8" t="s">
        <v>17</v>
      </c>
      <c r="E983" s="6" t="s">
        <v>23</v>
      </c>
      <c r="F983" s="6" t="s">
        <v>24</v>
      </c>
      <c r="G983" s="6" t="s">
        <v>4733</v>
      </c>
      <c r="H983" s="10">
        <v>46148</v>
      </c>
      <c r="I983" s="6" t="s">
        <v>4734</v>
      </c>
      <c r="J983" s="6" t="s">
        <v>88</v>
      </c>
      <c r="K983" s="6" t="s">
        <v>59</v>
      </c>
      <c r="L983" s="6" t="s">
        <v>88</v>
      </c>
      <c r="M983" s="6" t="s">
        <v>4735</v>
      </c>
    </row>
    <row r="984" spans="1:13" ht="13" x14ac:dyDescent="0.15">
      <c r="A984" s="5" t="str">
        <f>HYPERLINK("https://onemount.atlassian.net/browse/DBA-4751","DBA-4751")</f>
        <v>DBA-4751</v>
      </c>
      <c r="B984" s="6" t="s">
        <v>21</v>
      </c>
      <c r="C984" s="6" t="s">
        <v>4736</v>
      </c>
      <c r="D984" s="8" t="s">
        <v>17</v>
      </c>
      <c r="E984" s="6" t="s">
        <v>23</v>
      </c>
      <c r="F984" s="6" t="s">
        <v>52</v>
      </c>
      <c r="G984" s="6" t="s">
        <v>4737</v>
      </c>
      <c r="H984" s="10">
        <v>46147</v>
      </c>
      <c r="I984" s="6" t="s">
        <v>4738</v>
      </c>
      <c r="J984" s="6" t="s">
        <v>55</v>
      </c>
      <c r="K984" s="6" t="s">
        <v>55</v>
      </c>
      <c r="L984" s="6" t="s">
        <v>984</v>
      </c>
      <c r="M984" s="6" t="s">
        <v>4739</v>
      </c>
    </row>
    <row r="985" spans="1:13" ht="13" x14ac:dyDescent="0.15">
      <c r="A985" s="5" t="str">
        <f>HYPERLINK("https://onemount.atlassian.net/browse/DBA-4750","DBA-4750")</f>
        <v>DBA-4750</v>
      </c>
      <c r="B985" s="6" t="s">
        <v>21</v>
      </c>
      <c r="C985" s="6" t="s">
        <v>1466</v>
      </c>
      <c r="D985" s="8" t="s">
        <v>17</v>
      </c>
      <c r="E985" s="6" t="s">
        <v>23</v>
      </c>
      <c r="F985" s="6" t="s">
        <v>52</v>
      </c>
      <c r="G985" s="6" t="s">
        <v>4740</v>
      </c>
      <c r="H985" s="10">
        <v>46147</v>
      </c>
      <c r="I985" s="6" t="s">
        <v>4741</v>
      </c>
      <c r="J985" s="6" t="s">
        <v>852</v>
      </c>
      <c r="K985" s="6" t="s">
        <v>55</v>
      </c>
      <c r="L985" s="6" t="s">
        <v>855</v>
      </c>
      <c r="M985" s="6" t="s">
        <v>4742</v>
      </c>
    </row>
    <row r="986" spans="1:13" ht="13" x14ac:dyDescent="0.15">
      <c r="A986" s="5" t="str">
        <f>HYPERLINK("https://onemount.atlassian.net/browse/DBA-4749","DBA-4749")</f>
        <v>DBA-4749</v>
      </c>
      <c r="B986" s="6" t="s">
        <v>21</v>
      </c>
      <c r="C986" s="6" t="s">
        <v>4592</v>
      </c>
      <c r="D986" s="8" t="s">
        <v>17</v>
      </c>
      <c r="E986" s="6" t="s">
        <v>23</v>
      </c>
      <c r="F986" s="6" t="s">
        <v>52</v>
      </c>
      <c r="G986" s="6" t="s">
        <v>4743</v>
      </c>
      <c r="H986" s="10">
        <v>46147</v>
      </c>
      <c r="I986" s="6" t="s">
        <v>4744</v>
      </c>
      <c r="J986" s="6" t="s">
        <v>85</v>
      </c>
      <c r="K986" s="6" t="s">
        <v>55</v>
      </c>
      <c r="L986" s="6" t="s">
        <v>85</v>
      </c>
      <c r="M986" s="6" t="s">
        <v>4745</v>
      </c>
    </row>
    <row r="987" spans="1:13" ht="13" x14ac:dyDescent="0.15">
      <c r="A987" s="5" t="str">
        <f>HYPERLINK("https://onemount.atlassian.net/browse/DBA-4748","DBA-4748")</f>
        <v>DBA-4748</v>
      </c>
      <c r="B987" s="6" t="s">
        <v>21</v>
      </c>
      <c r="C987" s="6" t="s">
        <v>4746</v>
      </c>
      <c r="D987" s="14" t="s">
        <v>19</v>
      </c>
      <c r="E987" s="6" t="s">
        <v>23</v>
      </c>
      <c r="F987" s="6" t="s">
        <v>41</v>
      </c>
      <c r="G987" s="6" t="s">
        <v>4747</v>
      </c>
      <c r="H987" s="6" t="s">
        <v>43</v>
      </c>
      <c r="I987" s="6" t="s">
        <v>44</v>
      </c>
      <c r="J987" s="6" t="s">
        <v>1143</v>
      </c>
      <c r="K987" s="6" t="s">
        <v>137</v>
      </c>
      <c r="L987" s="6" t="s">
        <v>1143</v>
      </c>
      <c r="M987" s="6" t="s">
        <v>4748</v>
      </c>
    </row>
    <row r="988" spans="1:13" ht="13" x14ac:dyDescent="0.15">
      <c r="A988" s="5" t="str">
        <f>HYPERLINK("https://onemount.atlassian.net/browse/DBA-4747","DBA-4747")</f>
        <v>DBA-4747</v>
      </c>
      <c r="B988" s="6" t="s">
        <v>21</v>
      </c>
      <c r="C988" s="6" t="s">
        <v>4749</v>
      </c>
      <c r="D988" s="8" t="s">
        <v>17</v>
      </c>
      <c r="E988" s="6" t="s">
        <v>23</v>
      </c>
      <c r="F988" s="6" t="s">
        <v>52</v>
      </c>
      <c r="G988" s="6" t="s">
        <v>4750</v>
      </c>
      <c r="H988" s="10">
        <v>46147</v>
      </c>
      <c r="I988" s="6" t="s">
        <v>4751</v>
      </c>
      <c r="J988" s="6" t="s">
        <v>72</v>
      </c>
      <c r="K988" s="6" t="s">
        <v>72</v>
      </c>
      <c r="L988" s="6" t="s">
        <v>72</v>
      </c>
      <c r="M988" s="6" t="s">
        <v>4752</v>
      </c>
    </row>
    <row r="989" spans="1:13" ht="13" x14ac:dyDescent="0.15">
      <c r="A989" s="5" t="str">
        <f>HYPERLINK("https://onemount.atlassian.net/browse/DBA-4745","DBA-4745")</f>
        <v>DBA-4745</v>
      </c>
      <c r="B989" s="6" t="s">
        <v>21</v>
      </c>
      <c r="C989" s="6" t="s">
        <v>4753</v>
      </c>
      <c r="D989" s="8" t="s">
        <v>17</v>
      </c>
      <c r="E989" s="6" t="s">
        <v>23</v>
      </c>
      <c r="F989" s="6" t="s">
        <v>24</v>
      </c>
      <c r="G989" s="6" t="s">
        <v>4754</v>
      </c>
      <c r="H989" s="10">
        <v>46147</v>
      </c>
      <c r="I989" s="6" t="s">
        <v>4755</v>
      </c>
      <c r="J989" s="6" t="s">
        <v>4163</v>
      </c>
      <c r="K989" s="6" t="s">
        <v>28</v>
      </c>
      <c r="L989" s="6" t="s">
        <v>1116</v>
      </c>
      <c r="M989" s="6" t="s">
        <v>4756</v>
      </c>
    </row>
    <row r="990" spans="1:13" ht="13" x14ac:dyDescent="0.15">
      <c r="A990" s="5" t="str">
        <f>HYPERLINK("https://onemount.atlassian.net/browse/DBA-4744","DBA-4744")</f>
        <v>DBA-4744</v>
      </c>
      <c r="B990" s="6" t="s">
        <v>21</v>
      </c>
      <c r="C990" s="6" t="s">
        <v>4757</v>
      </c>
      <c r="D990" s="8" t="s">
        <v>17</v>
      </c>
      <c r="E990" s="6" t="s">
        <v>23</v>
      </c>
      <c r="F990" s="6" t="s">
        <v>52</v>
      </c>
      <c r="G990" s="6" t="s">
        <v>4758</v>
      </c>
      <c r="H990" s="10">
        <v>46147</v>
      </c>
      <c r="I990" s="6" t="s">
        <v>4759</v>
      </c>
      <c r="J990" s="6" t="s">
        <v>3940</v>
      </c>
      <c r="K990" s="6" t="s">
        <v>46</v>
      </c>
      <c r="L990" s="6" t="s">
        <v>136</v>
      </c>
      <c r="M990" s="6" t="s">
        <v>4760</v>
      </c>
    </row>
    <row r="991" spans="1:13" ht="13" x14ac:dyDescent="0.15">
      <c r="A991" s="5" t="str">
        <f>HYPERLINK("https://onemount.atlassian.net/browse/DBA-4742","DBA-4742")</f>
        <v>DBA-4742</v>
      </c>
      <c r="B991" s="6" t="s">
        <v>21</v>
      </c>
      <c r="C991" s="6" t="s">
        <v>3223</v>
      </c>
      <c r="D991" s="8" t="s">
        <v>17</v>
      </c>
      <c r="E991" s="6" t="s">
        <v>23</v>
      </c>
      <c r="F991" s="6" t="s">
        <v>52</v>
      </c>
      <c r="G991" s="6" t="s">
        <v>4761</v>
      </c>
      <c r="H991" s="10">
        <v>46147</v>
      </c>
      <c r="I991" s="6" t="s">
        <v>4762</v>
      </c>
      <c r="J991" s="6" t="s">
        <v>85</v>
      </c>
      <c r="K991" s="6" t="s">
        <v>55</v>
      </c>
      <c r="L991" s="6" t="s">
        <v>85</v>
      </c>
      <c r="M991" s="6" t="s">
        <v>4763</v>
      </c>
    </row>
    <row r="992" spans="1:13" ht="13" x14ac:dyDescent="0.15">
      <c r="A992" s="21" t="str">
        <f>HYPERLINK("https://onemount.atlassian.net/browse/DBA-4741","DBA-4741")</f>
        <v>DBA-4741</v>
      </c>
      <c r="B992" s="6" t="s">
        <v>21</v>
      </c>
      <c r="C992" s="6" t="s">
        <v>3289</v>
      </c>
      <c r="D992" s="8" t="s">
        <v>17</v>
      </c>
      <c r="E992" s="6" t="s">
        <v>23</v>
      </c>
      <c r="F992" s="6" t="s">
        <v>52</v>
      </c>
      <c r="G992" s="6" t="s">
        <v>4764</v>
      </c>
      <c r="H992" s="10">
        <v>46148</v>
      </c>
      <c r="I992" s="6" t="s">
        <v>4765</v>
      </c>
      <c r="J992" s="6" t="s">
        <v>56</v>
      </c>
      <c r="K992" s="6" t="s">
        <v>55</v>
      </c>
      <c r="L992" s="6" t="s">
        <v>56</v>
      </c>
      <c r="M992" s="6" t="s">
        <v>3292</v>
      </c>
    </row>
    <row r="993" spans="1:13" ht="13" x14ac:dyDescent="0.15">
      <c r="A993" s="5" t="str">
        <f>HYPERLINK("https://onemount.atlassian.net/browse/DBA-4739","DBA-4739")</f>
        <v>DBA-4739</v>
      </c>
      <c r="B993" s="6" t="s">
        <v>21</v>
      </c>
      <c r="C993" s="6" t="s">
        <v>4766</v>
      </c>
      <c r="D993" s="8" t="s">
        <v>17</v>
      </c>
      <c r="E993" s="6" t="s">
        <v>23</v>
      </c>
      <c r="F993" s="6" t="s">
        <v>24</v>
      </c>
      <c r="G993" s="6" t="s">
        <v>4767</v>
      </c>
      <c r="H993" s="10">
        <v>46147</v>
      </c>
      <c r="I993" s="6" t="s">
        <v>4768</v>
      </c>
      <c r="J993" s="6" t="s">
        <v>510</v>
      </c>
      <c r="K993" s="6" t="s">
        <v>165</v>
      </c>
      <c r="L993" s="6" t="s">
        <v>77</v>
      </c>
      <c r="M993" s="6" t="s">
        <v>4769</v>
      </c>
    </row>
    <row r="994" spans="1:13" ht="13" x14ac:dyDescent="0.15">
      <c r="A994" s="5" t="str">
        <f>HYPERLINK("https://onemount.atlassian.net/browse/DBA-4738","DBA-4738")</f>
        <v>DBA-4738</v>
      </c>
      <c r="B994" s="6" t="s">
        <v>21</v>
      </c>
      <c r="C994" s="6" t="s">
        <v>4770</v>
      </c>
      <c r="D994" s="8" t="s">
        <v>17</v>
      </c>
      <c r="E994" s="6" t="s">
        <v>23</v>
      </c>
      <c r="F994" s="6" t="s">
        <v>31</v>
      </c>
      <c r="G994" s="6" t="s">
        <v>4771</v>
      </c>
      <c r="H994" s="10">
        <v>46147</v>
      </c>
      <c r="I994" s="6" t="s">
        <v>4772</v>
      </c>
      <c r="J994" s="6" t="s">
        <v>478</v>
      </c>
      <c r="K994" s="6" t="s">
        <v>35</v>
      </c>
      <c r="L994" s="6" t="s">
        <v>129</v>
      </c>
      <c r="M994" s="6" t="s">
        <v>4773</v>
      </c>
    </row>
    <row r="995" spans="1:13" ht="13" x14ac:dyDescent="0.15">
      <c r="A995" s="5" t="str">
        <f>HYPERLINK("https://onemount.atlassian.net/browse/DBA-4735","DBA-4735")</f>
        <v>DBA-4735</v>
      </c>
      <c r="B995" s="6" t="s">
        <v>21</v>
      </c>
      <c r="C995" s="6" t="s">
        <v>3649</v>
      </c>
      <c r="D995" s="8" t="s">
        <v>17</v>
      </c>
      <c r="E995" s="6" t="s">
        <v>23</v>
      </c>
      <c r="F995" s="6" t="s">
        <v>24</v>
      </c>
      <c r="G995" s="6" t="s">
        <v>4774</v>
      </c>
      <c r="H995" s="10">
        <v>46147</v>
      </c>
      <c r="I995" s="6" t="s">
        <v>4775</v>
      </c>
      <c r="J995" s="6" t="s">
        <v>3553</v>
      </c>
      <c r="K995" s="6" t="s">
        <v>165</v>
      </c>
      <c r="L995" s="6" t="s">
        <v>39</v>
      </c>
      <c r="M995" s="6" t="s">
        <v>4776</v>
      </c>
    </row>
    <row r="996" spans="1:13" ht="13" x14ac:dyDescent="0.15">
      <c r="A996" s="5" t="str">
        <f>HYPERLINK("https://onemount.atlassian.net/browse/DBA-4734","DBA-4734")</f>
        <v>DBA-4734</v>
      </c>
      <c r="B996" s="6" t="s">
        <v>21</v>
      </c>
      <c r="C996" s="6" t="s">
        <v>4777</v>
      </c>
      <c r="D996" s="8" t="s">
        <v>17</v>
      </c>
      <c r="E996" s="6" t="s">
        <v>23</v>
      </c>
      <c r="F996" s="6" t="s">
        <v>52</v>
      </c>
      <c r="G996" s="6" t="s">
        <v>4778</v>
      </c>
      <c r="H996" s="10">
        <v>46147</v>
      </c>
      <c r="I996" s="6" t="s">
        <v>4779</v>
      </c>
      <c r="J996" s="6" t="s">
        <v>2392</v>
      </c>
      <c r="K996" s="6" t="s">
        <v>72</v>
      </c>
      <c r="L996" s="6" t="s">
        <v>188</v>
      </c>
      <c r="M996" s="6" t="s">
        <v>4780</v>
      </c>
    </row>
    <row r="997" spans="1:13" ht="13" x14ac:dyDescent="0.15">
      <c r="A997" s="5" t="str">
        <f>HYPERLINK("https://onemount.atlassian.net/browse/DBA-4733","DBA-4733")</f>
        <v>DBA-4733</v>
      </c>
      <c r="B997" s="6" t="s">
        <v>21</v>
      </c>
      <c r="C997" s="6" t="s">
        <v>4781</v>
      </c>
      <c r="D997" s="8" t="s">
        <v>17</v>
      </c>
      <c r="E997" s="6" t="s">
        <v>23</v>
      </c>
      <c r="F997" s="6" t="s">
        <v>24</v>
      </c>
      <c r="G997" s="6" t="s">
        <v>4782</v>
      </c>
      <c r="H997" s="10">
        <v>46147</v>
      </c>
      <c r="I997" s="6" t="s">
        <v>4783</v>
      </c>
      <c r="J997" s="6" t="s">
        <v>77</v>
      </c>
      <c r="K997" s="6" t="s">
        <v>165</v>
      </c>
      <c r="L997" s="6" t="s">
        <v>77</v>
      </c>
      <c r="M997" s="6" t="s">
        <v>4784</v>
      </c>
    </row>
    <row r="998" spans="1:13" ht="13" x14ac:dyDescent="0.15">
      <c r="A998" s="5" t="str">
        <f>HYPERLINK("https://onemount.atlassian.net/browse/DBA-4726","DBA-4726")</f>
        <v>DBA-4726</v>
      </c>
      <c r="B998" s="6" t="s">
        <v>21</v>
      </c>
      <c r="C998" s="6" t="s">
        <v>4785</v>
      </c>
      <c r="D998" s="8" t="s">
        <v>17</v>
      </c>
      <c r="E998" s="6" t="s">
        <v>23</v>
      </c>
      <c r="F998" s="6" t="s">
        <v>31</v>
      </c>
      <c r="G998" s="6" t="s">
        <v>4786</v>
      </c>
      <c r="H998" s="10">
        <v>46141</v>
      </c>
      <c r="I998" s="6" t="s">
        <v>4787</v>
      </c>
      <c r="J998" s="6" t="s">
        <v>707</v>
      </c>
      <c r="K998" s="6" t="s">
        <v>35</v>
      </c>
      <c r="L998" s="6" t="s">
        <v>707</v>
      </c>
      <c r="M998" s="6" t="s">
        <v>4788</v>
      </c>
    </row>
    <row r="999" spans="1:13" ht="13" x14ac:dyDescent="0.15">
      <c r="A999" s="5" t="str">
        <f>HYPERLINK("https://onemount.atlassian.net/browse/DBA-4721","DBA-4721")</f>
        <v>DBA-4721</v>
      </c>
      <c r="B999" s="6" t="s">
        <v>21</v>
      </c>
      <c r="C999" s="6" t="s">
        <v>4789</v>
      </c>
      <c r="D999" s="8" t="s">
        <v>17</v>
      </c>
      <c r="E999" s="6" t="s">
        <v>23</v>
      </c>
      <c r="F999" s="6" t="s">
        <v>52</v>
      </c>
      <c r="G999" s="6" t="s">
        <v>4790</v>
      </c>
      <c r="H999" s="10">
        <v>46141</v>
      </c>
      <c r="I999" s="6" t="s">
        <v>4791</v>
      </c>
      <c r="J999" s="6" t="s">
        <v>4792</v>
      </c>
      <c r="K999" s="6" t="s">
        <v>55</v>
      </c>
      <c r="L999" s="6" t="s">
        <v>270</v>
      </c>
      <c r="M999" s="6" t="s">
        <v>4793</v>
      </c>
    </row>
    <row r="1000" spans="1:13" ht="13" x14ac:dyDescent="0.15">
      <c r="A1000" s="5" t="str">
        <f>HYPERLINK("https://onemount.atlassian.net/browse/DBA-4639","DBA-4639")</f>
        <v>DBA-4639</v>
      </c>
      <c r="B1000" s="6" t="s">
        <v>21</v>
      </c>
      <c r="C1000" s="6" t="s">
        <v>1635</v>
      </c>
      <c r="D1000" s="8" t="s">
        <v>17</v>
      </c>
      <c r="E1000" s="6" t="s">
        <v>23</v>
      </c>
      <c r="F1000" s="6" t="s">
        <v>52</v>
      </c>
      <c r="G1000" s="6" t="s">
        <v>4794</v>
      </c>
      <c r="H1000" s="10">
        <v>46142</v>
      </c>
      <c r="I1000" s="6" t="s">
        <v>4795</v>
      </c>
      <c r="J1000" s="6" t="s">
        <v>56</v>
      </c>
      <c r="K1000" s="6" t="s">
        <v>55</v>
      </c>
      <c r="L1000" s="6" t="s">
        <v>56</v>
      </c>
      <c r="M1000" s="6" t="s">
        <v>4796</v>
      </c>
    </row>
    <row r="1001" spans="1:13" ht="13" x14ac:dyDescent="0.15">
      <c r="A1001" s="5" t="str">
        <f>HYPERLINK("https://onemount.atlassian.net/browse/DBA-4608","DBA-4608")</f>
        <v>DBA-4608</v>
      </c>
      <c r="B1001" s="6" t="s">
        <v>21</v>
      </c>
      <c r="C1001" s="6" t="s">
        <v>4797</v>
      </c>
      <c r="D1001" s="8" t="s">
        <v>17</v>
      </c>
      <c r="E1001" s="6" t="s">
        <v>23</v>
      </c>
      <c r="F1001" s="6" t="s">
        <v>24</v>
      </c>
      <c r="G1001" s="6" t="s">
        <v>4798</v>
      </c>
      <c r="H1001" s="10">
        <v>46141</v>
      </c>
      <c r="I1001" s="6" t="s">
        <v>4799</v>
      </c>
      <c r="J1001" s="6" t="s">
        <v>164</v>
      </c>
      <c r="K1001" s="6" t="s">
        <v>46</v>
      </c>
      <c r="L1001" s="6" t="s">
        <v>164</v>
      </c>
      <c r="M1001" s="6" t="s">
        <v>4800</v>
      </c>
    </row>
    <row r="1002" spans="1:13" ht="13" x14ac:dyDescent="0.15">
      <c r="A1002" s="5" t="str">
        <f>HYPERLINK("https://onemount.atlassian.net/browse/DBA-4593","DBA-4593")</f>
        <v>DBA-4593</v>
      </c>
      <c r="B1002" s="6" t="s">
        <v>21</v>
      </c>
      <c r="C1002" s="6" t="s">
        <v>4801</v>
      </c>
      <c r="D1002" s="8" t="s">
        <v>17</v>
      </c>
      <c r="E1002" s="6" t="s">
        <v>23</v>
      </c>
      <c r="F1002" s="6" t="s">
        <v>41</v>
      </c>
      <c r="G1002" s="6" t="s">
        <v>4802</v>
      </c>
      <c r="H1002" s="10">
        <v>46232</v>
      </c>
      <c r="I1002" s="6" t="s">
        <v>4803</v>
      </c>
      <c r="J1002" s="6" t="s">
        <v>72</v>
      </c>
      <c r="K1002" s="6" t="s">
        <v>72</v>
      </c>
      <c r="L1002" s="6" t="s">
        <v>99</v>
      </c>
      <c r="M1002" s="6" t="s">
        <v>4804</v>
      </c>
    </row>
    <row r="1003" spans="1:13" ht="13" x14ac:dyDescent="0.15">
      <c r="A1003" s="5" t="str">
        <f>HYPERLINK("https://onemount.atlassian.net/browse/DBA-4591","DBA-4591")</f>
        <v>DBA-4591</v>
      </c>
      <c r="B1003" s="6" t="s">
        <v>21</v>
      </c>
      <c r="C1003" s="6" t="s">
        <v>4805</v>
      </c>
      <c r="D1003" s="8" t="s">
        <v>17</v>
      </c>
      <c r="E1003" s="6" t="s">
        <v>23</v>
      </c>
      <c r="F1003" s="6" t="s">
        <v>52</v>
      </c>
      <c r="G1003" s="6" t="s">
        <v>4806</v>
      </c>
      <c r="H1003" s="10">
        <v>46147</v>
      </c>
      <c r="I1003" s="6" t="s">
        <v>4807</v>
      </c>
      <c r="J1003" s="6" t="s">
        <v>139</v>
      </c>
      <c r="K1003" s="6" t="s">
        <v>137</v>
      </c>
      <c r="L1003" s="6" t="s">
        <v>139</v>
      </c>
      <c r="M1003" s="6" t="s">
        <v>4808</v>
      </c>
    </row>
    <row r="1004" spans="1:13" ht="13" x14ac:dyDescent="0.15">
      <c r="A1004" s="5" t="str">
        <f>HYPERLINK("https://onemount.atlassian.net/browse/DBA-4590","DBA-4590")</f>
        <v>DBA-4590</v>
      </c>
      <c r="B1004" s="6" t="s">
        <v>21</v>
      </c>
      <c r="C1004" s="6" t="s">
        <v>4809</v>
      </c>
      <c r="D1004" s="8" t="s">
        <v>17</v>
      </c>
      <c r="E1004" s="6" t="s">
        <v>23</v>
      </c>
      <c r="F1004" s="6" t="s">
        <v>52</v>
      </c>
      <c r="G1004" s="6" t="s">
        <v>4810</v>
      </c>
      <c r="H1004" s="10">
        <v>46142</v>
      </c>
      <c r="I1004" s="6" t="s">
        <v>4811</v>
      </c>
      <c r="J1004" s="6" t="s">
        <v>3075</v>
      </c>
      <c r="K1004" s="6" t="s">
        <v>46</v>
      </c>
      <c r="L1004" s="6" t="s">
        <v>270</v>
      </c>
      <c r="M1004" s="6" t="s">
        <v>4812</v>
      </c>
    </row>
    <row r="1005" spans="1:13" ht="13" x14ac:dyDescent="0.15">
      <c r="A1005" s="5" t="str">
        <f>HYPERLINK("https://onemount.atlassian.net/browse/DBA-4589","DBA-4589")</f>
        <v>DBA-4589</v>
      </c>
      <c r="B1005" s="6" t="s">
        <v>21</v>
      </c>
      <c r="C1005" s="6" t="s">
        <v>4813</v>
      </c>
      <c r="D1005" s="8" t="s">
        <v>17</v>
      </c>
      <c r="E1005" s="6" t="s">
        <v>23</v>
      </c>
      <c r="F1005" s="6" t="s">
        <v>52</v>
      </c>
      <c r="G1005" s="6" t="s">
        <v>4814</v>
      </c>
      <c r="H1005" s="10">
        <v>46141</v>
      </c>
      <c r="I1005" s="6" t="s">
        <v>4815</v>
      </c>
      <c r="J1005" s="6" t="s">
        <v>55</v>
      </c>
      <c r="K1005" s="6" t="s">
        <v>55</v>
      </c>
      <c r="L1005" s="6" t="s">
        <v>55</v>
      </c>
      <c r="M1005" s="6" t="s">
        <v>4816</v>
      </c>
    </row>
    <row r="1006" spans="1:13" ht="13" x14ac:dyDescent="0.15">
      <c r="A1006" s="5" t="str">
        <f>HYPERLINK("https://onemount.atlassian.net/browse/DBA-4584","DBA-4584")</f>
        <v>DBA-4584</v>
      </c>
      <c r="B1006" s="6" t="s">
        <v>21</v>
      </c>
      <c r="C1006" s="6" t="s">
        <v>4817</v>
      </c>
      <c r="D1006" s="8" t="s">
        <v>17</v>
      </c>
      <c r="E1006" s="6" t="s">
        <v>23</v>
      </c>
      <c r="F1006" s="6" t="s">
        <v>31</v>
      </c>
      <c r="G1006" s="6" t="s">
        <v>4818</v>
      </c>
      <c r="H1006" s="10">
        <v>46141</v>
      </c>
      <c r="I1006" s="6" t="s">
        <v>4819</v>
      </c>
      <c r="J1006" s="6" t="s">
        <v>852</v>
      </c>
      <c r="K1006" s="6" t="s">
        <v>55</v>
      </c>
      <c r="L1006" s="6" t="s">
        <v>855</v>
      </c>
      <c r="M1006" s="6" t="s">
        <v>4820</v>
      </c>
    </row>
    <row r="1007" spans="1:13" ht="13" x14ac:dyDescent="0.15">
      <c r="A1007" s="5" t="str">
        <f>HYPERLINK("https://onemount.atlassian.net/browse/DBA-4582","DBA-4582")</f>
        <v>DBA-4582</v>
      </c>
      <c r="B1007" s="6" t="s">
        <v>21</v>
      </c>
      <c r="C1007" s="6" t="s">
        <v>4821</v>
      </c>
      <c r="D1007" s="8" t="s">
        <v>17</v>
      </c>
      <c r="E1007" s="6" t="s">
        <v>23</v>
      </c>
      <c r="F1007" s="6" t="s">
        <v>52</v>
      </c>
      <c r="G1007" s="6" t="s">
        <v>4822</v>
      </c>
      <c r="H1007" s="10">
        <v>46146</v>
      </c>
      <c r="I1007" s="6" t="s">
        <v>4823</v>
      </c>
      <c r="J1007" s="6" t="s">
        <v>55</v>
      </c>
      <c r="K1007" s="6" t="s">
        <v>55</v>
      </c>
      <c r="L1007" s="6" t="s">
        <v>56</v>
      </c>
      <c r="M1007" s="6" t="s">
        <v>4824</v>
      </c>
    </row>
    <row r="1008" spans="1:13" ht="13" x14ac:dyDescent="0.15">
      <c r="A1008" s="21" t="str">
        <f>HYPERLINK("https://onemount.atlassian.net/browse/DBA-4581","DBA-4581")</f>
        <v>DBA-4581</v>
      </c>
      <c r="B1008" s="6" t="s">
        <v>21</v>
      </c>
      <c r="C1008" s="6" t="s">
        <v>4825</v>
      </c>
      <c r="D1008" s="8" t="s">
        <v>17</v>
      </c>
      <c r="E1008" s="6" t="s">
        <v>23</v>
      </c>
      <c r="F1008" s="6" t="s">
        <v>41</v>
      </c>
      <c r="G1008" s="6" t="s">
        <v>4826</v>
      </c>
      <c r="H1008" s="10">
        <v>46185</v>
      </c>
      <c r="I1008" s="6" t="s">
        <v>4827</v>
      </c>
      <c r="J1008" s="6" t="s">
        <v>72</v>
      </c>
      <c r="K1008" s="6" t="s">
        <v>46</v>
      </c>
      <c r="L1008" s="6" t="s">
        <v>99</v>
      </c>
      <c r="M1008" s="6" t="s">
        <v>4828</v>
      </c>
    </row>
    <row r="1009" spans="1:13" ht="13" x14ac:dyDescent="0.15">
      <c r="A1009" s="5" t="str">
        <f>HYPERLINK("https://onemount.atlassian.net/browse/DBA-4580","DBA-4580")</f>
        <v>DBA-4580</v>
      </c>
      <c r="B1009" s="6" t="s">
        <v>21</v>
      </c>
      <c r="C1009" s="6" t="s">
        <v>4829</v>
      </c>
      <c r="D1009" s="14" t="s">
        <v>19</v>
      </c>
      <c r="E1009" s="6" t="s">
        <v>23</v>
      </c>
      <c r="F1009" s="6" t="s">
        <v>41</v>
      </c>
      <c r="G1009" s="6" t="s">
        <v>4830</v>
      </c>
      <c r="H1009" s="6" t="s">
        <v>43</v>
      </c>
      <c r="I1009" s="6" t="s">
        <v>44</v>
      </c>
      <c r="J1009" s="6" t="s">
        <v>216</v>
      </c>
      <c r="K1009" s="6" t="s">
        <v>72</v>
      </c>
      <c r="L1009" s="6" t="s">
        <v>216</v>
      </c>
      <c r="M1009" s="6" t="s">
        <v>4831</v>
      </c>
    </row>
    <row r="1010" spans="1:13" ht="13" x14ac:dyDescent="0.15">
      <c r="A1010" s="5" t="str">
        <f>HYPERLINK("https://onemount.atlassian.net/browse/DBA-4579","DBA-4579")</f>
        <v>DBA-4579</v>
      </c>
      <c r="B1010" s="6" t="s">
        <v>21</v>
      </c>
      <c r="C1010" s="6" t="s">
        <v>4832</v>
      </c>
      <c r="D1010" s="8" t="s">
        <v>17</v>
      </c>
      <c r="E1010" s="6" t="s">
        <v>23</v>
      </c>
      <c r="F1010" s="6" t="s">
        <v>31</v>
      </c>
      <c r="G1010" s="6" t="s">
        <v>4833</v>
      </c>
      <c r="H1010" s="10">
        <v>46140</v>
      </c>
      <c r="I1010" s="6" t="s">
        <v>4834</v>
      </c>
      <c r="J1010" s="6" t="s">
        <v>1187</v>
      </c>
      <c r="K1010" s="6" t="s">
        <v>35</v>
      </c>
      <c r="L1010" s="6" t="s">
        <v>1187</v>
      </c>
      <c r="M1010" s="6" t="s">
        <v>4835</v>
      </c>
    </row>
    <row r="1011" spans="1:13" ht="13" x14ac:dyDescent="0.15">
      <c r="A1011" s="5" t="str">
        <f>HYPERLINK("https://onemount.atlassian.net/browse/DBA-4578","DBA-4578")</f>
        <v>DBA-4578</v>
      </c>
      <c r="B1011" s="6" t="s">
        <v>21</v>
      </c>
      <c r="C1011" s="6" t="s">
        <v>3649</v>
      </c>
      <c r="D1011" s="8" t="s">
        <v>17</v>
      </c>
      <c r="E1011" s="6" t="s">
        <v>23</v>
      </c>
      <c r="F1011" s="6" t="s">
        <v>24</v>
      </c>
      <c r="G1011" s="6" t="s">
        <v>4836</v>
      </c>
      <c r="H1011" s="10">
        <v>46140</v>
      </c>
      <c r="I1011" s="6" t="s">
        <v>4837</v>
      </c>
      <c r="J1011" s="6" t="s">
        <v>3553</v>
      </c>
      <c r="K1011" s="6" t="s">
        <v>165</v>
      </c>
      <c r="L1011" s="6" t="s">
        <v>39</v>
      </c>
      <c r="M1011" s="6" t="s">
        <v>4838</v>
      </c>
    </row>
    <row r="1012" spans="1:13" ht="13" x14ac:dyDescent="0.15">
      <c r="A1012" s="5" t="str">
        <f>HYPERLINK("https://onemount.atlassian.net/browse/DBA-4577","DBA-4577")</f>
        <v>DBA-4577</v>
      </c>
      <c r="B1012" s="6" t="s">
        <v>21</v>
      </c>
      <c r="C1012" s="6" t="s">
        <v>4839</v>
      </c>
      <c r="D1012" s="8" t="s">
        <v>17</v>
      </c>
      <c r="E1012" s="6" t="s">
        <v>23</v>
      </c>
      <c r="F1012" s="6" t="s">
        <v>52</v>
      </c>
      <c r="G1012" s="6" t="s">
        <v>4840</v>
      </c>
      <c r="H1012" s="10">
        <v>46140</v>
      </c>
      <c r="I1012" s="6" t="s">
        <v>4841</v>
      </c>
      <c r="J1012" s="6" t="s">
        <v>4842</v>
      </c>
      <c r="K1012" s="6" t="s">
        <v>55</v>
      </c>
      <c r="L1012" s="6" t="s">
        <v>270</v>
      </c>
      <c r="M1012" s="6" t="s">
        <v>4843</v>
      </c>
    </row>
    <row r="1013" spans="1:13" ht="13" x14ac:dyDescent="0.15">
      <c r="A1013" s="21" t="str">
        <f>HYPERLINK("https://onemount.atlassian.net/browse/DBA-4576","DBA-4576")</f>
        <v>DBA-4576</v>
      </c>
      <c r="B1013" s="6" t="s">
        <v>21</v>
      </c>
      <c r="C1013" s="6" t="s">
        <v>4844</v>
      </c>
      <c r="D1013" s="8" t="s">
        <v>17</v>
      </c>
      <c r="E1013" s="6" t="s">
        <v>23</v>
      </c>
      <c r="F1013" s="6" t="s">
        <v>52</v>
      </c>
      <c r="G1013" s="6" t="s">
        <v>4845</v>
      </c>
      <c r="H1013" s="10">
        <v>46140</v>
      </c>
      <c r="I1013" s="6" t="s">
        <v>4846</v>
      </c>
      <c r="J1013" s="6" t="s">
        <v>2392</v>
      </c>
      <c r="K1013" s="6" t="s">
        <v>72</v>
      </c>
      <c r="L1013" s="6" t="s">
        <v>188</v>
      </c>
      <c r="M1013" s="6" t="s">
        <v>4847</v>
      </c>
    </row>
    <row r="1014" spans="1:13" ht="13" x14ac:dyDescent="0.15">
      <c r="A1014" s="5" t="str">
        <f>HYPERLINK("https://onemount.atlassian.net/browse/DBA-4575","DBA-4575")</f>
        <v>DBA-4575</v>
      </c>
      <c r="B1014" s="6" t="s">
        <v>21</v>
      </c>
      <c r="C1014" s="6" t="s">
        <v>4848</v>
      </c>
      <c r="D1014" s="8" t="s">
        <v>17</v>
      </c>
      <c r="E1014" s="6" t="s">
        <v>23</v>
      </c>
      <c r="F1014" s="6" t="s">
        <v>31</v>
      </c>
      <c r="G1014" s="6" t="s">
        <v>4849</v>
      </c>
      <c r="H1014" s="10">
        <v>46140</v>
      </c>
      <c r="I1014" s="6" t="s">
        <v>4850</v>
      </c>
      <c r="J1014" s="6" t="s">
        <v>49</v>
      </c>
      <c r="K1014" s="6" t="s">
        <v>35</v>
      </c>
      <c r="L1014" s="6" t="s">
        <v>129</v>
      </c>
      <c r="M1014" s="6" t="s">
        <v>4851</v>
      </c>
    </row>
    <row r="1015" spans="1:13" ht="13" x14ac:dyDescent="0.15">
      <c r="A1015" s="21" t="str">
        <f>HYPERLINK("https://onemount.atlassian.net/browse/DBA-4574","DBA-4574")</f>
        <v>DBA-4574</v>
      </c>
      <c r="B1015" s="6" t="s">
        <v>21</v>
      </c>
      <c r="C1015" s="6" t="s">
        <v>4540</v>
      </c>
      <c r="D1015" s="8" t="s">
        <v>17</v>
      </c>
      <c r="E1015" s="6" t="s">
        <v>23</v>
      </c>
      <c r="F1015" s="6" t="s">
        <v>52</v>
      </c>
      <c r="G1015" s="6" t="s">
        <v>4852</v>
      </c>
      <c r="H1015" s="10">
        <v>46140</v>
      </c>
      <c r="I1015" s="6" t="s">
        <v>4853</v>
      </c>
      <c r="J1015" s="6" t="s">
        <v>353</v>
      </c>
      <c r="K1015" s="6" t="s">
        <v>55</v>
      </c>
      <c r="L1015" s="6" t="s">
        <v>906</v>
      </c>
      <c r="M1015" s="6" t="s">
        <v>4854</v>
      </c>
    </row>
    <row r="1016" spans="1:13" ht="13" x14ac:dyDescent="0.15">
      <c r="A1016" s="5" t="str">
        <f>HYPERLINK("https://onemount.atlassian.net/browse/DBA-4564","DBA-4564")</f>
        <v>DBA-4564</v>
      </c>
      <c r="B1016" s="6" t="s">
        <v>21</v>
      </c>
      <c r="C1016" s="6" t="s">
        <v>4540</v>
      </c>
      <c r="D1016" s="8" t="s">
        <v>17</v>
      </c>
      <c r="E1016" s="6" t="s">
        <v>23</v>
      </c>
      <c r="F1016" s="6" t="s">
        <v>52</v>
      </c>
      <c r="G1016" s="6" t="s">
        <v>4855</v>
      </c>
      <c r="H1016" s="10">
        <v>46138</v>
      </c>
      <c r="I1016" s="6" t="s">
        <v>4856</v>
      </c>
      <c r="J1016" s="6" t="s">
        <v>4543</v>
      </c>
      <c r="K1016" s="6" t="s">
        <v>55</v>
      </c>
      <c r="L1016" s="6" t="s">
        <v>55</v>
      </c>
      <c r="M1016" s="6" t="s">
        <v>4857</v>
      </c>
    </row>
    <row r="1017" spans="1:13" ht="13" x14ac:dyDescent="0.15">
      <c r="A1017" s="5" t="str">
        <f>HYPERLINK("https://onemount.atlassian.net/browse/DBA-4563","DBA-4563")</f>
        <v>DBA-4563</v>
      </c>
      <c r="B1017" s="6" t="s">
        <v>21</v>
      </c>
      <c r="C1017" s="6" t="s">
        <v>4858</v>
      </c>
      <c r="D1017" s="8" t="s">
        <v>17</v>
      </c>
      <c r="E1017" s="6" t="s">
        <v>23</v>
      </c>
      <c r="F1017" s="6" t="s">
        <v>52</v>
      </c>
      <c r="G1017" s="6" t="s">
        <v>4859</v>
      </c>
      <c r="H1017" s="10">
        <v>46138</v>
      </c>
      <c r="I1017" s="6" t="s">
        <v>4860</v>
      </c>
      <c r="J1017" s="6" t="s">
        <v>353</v>
      </c>
      <c r="K1017" s="6" t="s">
        <v>55</v>
      </c>
      <c r="L1017" s="6" t="s">
        <v>906</v>
      </c>
      <c r="M1017" s="6" t="s">
        <v>4861</v>
      </c>
    </row>
    <row r="1018" spans="1:13" ht="13" x14ac:dyDescent="0.15">
      <c r="A1018" s="5" t="str">
        <f>HYPERLINK("https://onemount.atlassian.net/browse/DBA-4562","DBA-4562")</f>
        <v>DBA-4562</v>
      </c>
      <c r="B1018" s="6" t="s">
        <v>21</v>
      </c>
      <c r="C1018" s="6" t="s">
        <v>4862</v>
      </c>
      <c r="D1018" s="8" t="s">
        <v>17</v>
      </c>
      <c r="E1018" s="6" t="s">
        <v>23</v>
      </c>
      <c r="F1018" s="6" t="s">
        <v>52</v>
      </c>
      <c r="G1018" s="6" t="s">
        <v>4863</v>
      </c>
      <c r="H1018" s="10">
        <v>46138</v>
      </c>
      <c r="I1018" s="6" t="s">
        <v>4864</v>
      </c>
      <c r="J1018" s="6" t="s">
        <v>85</v>
      </c>
      <c r="K1018" s="6" t="s">
        <v>55</v>
      </c>
      <c r="L1018" s="6" t="s">
        <v>85</v>
      </c>
      <c r="M1018" s="6" t="s">
        <v>4865</v>
      </c>
    </row>
    <row r="1019" spans="1:13" ht="13" x14ac:dyDescent="0.15">
      <c r="A1019" s="5" t="str">
        <f>HYPERLINK("https://onemount.atlassian.net/browse/DBA-4561","DBA-4561")</f>
        <v>DBA-4561</v>
      </c>
      <c r="B1019" s="6" t="s">
        <v>21</v>
      </c>
      <c r="C1019" s="6" t="s">
        <v>4866</v>
      </c>
      <c r="D1019" s="8" t="s">
        <v>17</v>
      </c>
      <c r="E1019" s="6" t="s">
        <v>23</v>
      </c>
      <c r="F1019" s="6" t="s">
        <v>52</v>
      </c>
      <c r="G1019" s="6" t="s">
        <v>4867</v>
      </c>
      <c r="H1019" s="10">
        <v>46138</v>
      </c>
      <c r="I1019" s="6" t="s">
        <v>4868</v>
      </c>
      <c r="J1019" s="6" t="s">
        <v>977</v>
      </c>
      <c r="K1019" s="6" t="s">
        <v>55</v>
      </c>
      <c r="L1019" s="6" t="s">
        <v>979</v>
      </c>
      <c r="M1019" s="6" t="s">
        <v>4869</v>
      </c>
    </row>
    <row r="1020" spans="1:13" ht="13" x14ac:dyDescent="0.15">
      <c r="A1020" s="5" t="str">
        <f>HYPERLINK("https://onemount.atlassian.net/browse/DBA-4555","DBA-4555")</f>
        <v>DBA-4555</v>
      </c>
      <c r="B1020" s="6" t="s">
        <v>21</v>
      </c>
      <c r="C1020" s="6" t="s">
        <v>4870</v>
      </c>
      <c r="D1020" s="8" t="s">
        <v>17</v>
      </c>
      <c r="E1020" s="6" t="s">
        <v>23</v>
      </c>
      <c r="F1020" s="6" t="s">
        <v>24</v>
      </c>
      <c r="G1020" s="6" t="s">
        <v>4871</v>
      </c>
      <c r="H1020" s="10">
        <v>46141</v>
      </c>
      <c r="I1020" s="6" t="s">
        <v>4872</v>
      </c>
      <c r="J1020" s="6" t="s">
        <v>77</v>
      </c>
      <c r="K1020" s="6" t="s">
        <v>165</v>
      </c>
      <c r="L1020" s="6" t="s">
        <v>77</v>
      </c>
      <c r="M1020" s="6" t="s">
        <v>4873</v>
      </c>
    </row>
    <row r="1021" spans="1:13" ht="13" x14ac:dyDescent="0.15">
      <c r="A1021" s="5" t="str">
        <f>HYPERLINK("https://onemount.atlassian.net/browse/DBA-4554","DBA-4554")</f>
        <v>DBA-4554</v>
      </c>
      <c r="B1021" s="6" t="s">
        <v>21</v>
      </c>
      <c r="C1021" s="6" t="s">
        <v>4874</v>
      </c>
      <c r="D1021" s="8" t="s">
        <v>17</v>
      </c>
      <c r="E1021" s="6" t="s">
        <v>23</v>
      </c>
      <c r="F1021" s="6" t="s">
        <v>24</v>
      </c>
      <c r="G1021" s="6" t="s">
        <v>4875</v>
      </c>
      <c r="H1021" s="10">
        <v>46139</v>
      </c>
      <c r="I1021" s="6" t="s">
        <v>4876</v>
      </c>
      <c r="J1021" s="6" t="s">
        <v>77</v>
      </c>
      <c r="K1021" s="6" t="s">
        <v>165</v>
      </c>
      <c r="L1021" s="6" t="s">
        <v>77</v>
      </c>
      <c r="M1021" s="6" t="s">
        <v>4877</v>
      </c>
    </row>
    <row r="1022" spans="1:13" ht="13" x14ac:dyDescent="0.15">
      <c r="A1022" s="5" t="str">
        <f>HYPERLINK("https://onemount.atlassian.net/browse/DBA-4553","DBA-4553")</f>
        <v>DBA-4553</v>
      </c>
      <c r="B1022" s="6" t="s">
        <v>21</v>
      </c>
      <c r="C1022" s="6" t="s">
        <v>4878</v>
      </c>
      <c r="D1022" s="8" t="s">
        <v>17</v>
      </c>
      <c r="E1022" s="6" t="s">
        <v>23</v>
      </c>
      <c r="F1022" s="6" t="s">
        <v>52</v>
      </c>
      <c r="G1022" s="6" t="s">
        <v>4879</v>
      </c>
      <c r="H1022" s="10">
        <v>46138</v>
      </c>
      <c r="I1022" s="6" t="s">
        <v>4880</v>
      </c>
      <c r="J1022" s="6" t="s">
        <v>85</v>
      </c>
      <c r="K1022" s="6" t="s">
        <v>55</v>
      </c>
      <c r="L1022" s="6" t="s">
        <v>85</v>
      </c>
      <c r="M1022" s="6" t="s">
        <v>4881</v>
      </c>
    </row>
    <row r="1023" spans="1:13" ht="13" x14ac:dyDescent="0.15">
      <c r="A1023" s="21" t="str">
        <f>HYPERLINK("https://onemount.atlassian.net/browse/DBA-4552","DBA-4552")</f>
        <v>DBA-4552</v>
      </c>
      <c r="B1023" s="6" t="s">
        <v>21</v>
      </c>
      <c r="C1023" s="6" t="s">
        <v>4540</v>
      </c>
      <c r="D1023" s="8" t="s">
        <v>17</v>
      </c>
      <c r="E1023" s="6" t="s">
        <v>23</v>
      </c>
      <c r="F1023" s="6" t="s">
        <v>52</v>
      </c>
      <c r="G1023" s="6" t="s">
        <v>4882</v>
      </c>
      <c r="H1023" s="10">
        <v>46140</v>
      </c>
      <c r="I1023" s="6" t="s">
        <v>4883</v>
      </c>
      <c r="J1023" s="6" t="s">
        <v>353</v>
      </c>
      <c r="K1023" s="6" t="s">
        <v>55</v>
      </c>
      <c r="L1023" s="6" t="s">
        <v>906</v>
      </c>
      <c r="M1023" s="6" t="s">
        <v>4854</v>
      </c>
    </row>
    <row r="1024" spans="1:13" ht="13" x14ac:dyDescent="0.15">
      <c r="A1024" s="5" t="str">
        <f>HYPERLINK("https://onemount.atlassian.net/browse/DBA-4551","DBA-4551")</f>
        <v>DBA-4551</v>
      </c>
      <c r="B1024" s="6" t="s">
        <v>21</v>
      </c>
      <c r="C1024" s="6" t="s">
        <v>4884</v>
      </c>
      <c r="D1024" s="8" t="s">
        <v>17</v>
      </c>
      <c r="E1024" s="6" t="s">
        <v>23</v>
      </c>
      <c r="F1024" s="6" t="s">
        <v>24</v>
      </c>
      <c r="G1024" s="6" t="s">
        <v>4885</v>
      </c>
      <c r="H1024" s="10">
        <v>46139</v>
      </c>
      <c r="I1024" s="6" t="s">
        <v>4886</v>
      </c>
      <c r="J1024" s="6" t="s">
        <v>510</v>
      </c>
      <c r="K1024" s="6" t="s">
        <v>46</v>
      </c>
      <c r="L1024" s="6" t="s">
        <v>77</v>
      </c>
      <c r="M1024" s="6" t="s">
        <v>4887</v>
      </c>
    </row>
    <row r="1025" spans="1:13" ht="13" x14ac:dyDescent="0.15">
      <c r="A1025" s="5" t="str">
        <f>HYPERLINK("https://onemount.atlassian.net/browse/DBA-4474","DBA-4474")</f>
        <v>DBA-4474</v>
      </c>
      <c r="B1025" s="6" t="s">
        <v>21</v>
      </c>
      <c r="C1025" s="6" t="s">
        <v>4888</v>
      </c>
      <c r="D1025" s="8" t="s">
        <v>17</v>
      </c>
      <c r="E1025" s="6" t="s">
        <v>23</v>
      </c>
      <c r="F1025" s="6" t="s">
        <v>24</v>
      </c>
      <c r="G1025" s="6" t="s">
        <v>4889</v>
      </c>
      <c r="H1025" s="10">
        <v>46137</v>
      </c>
      <c r="I1025" s="6" t="s">
        <v>4890</v>
      </c>
      <c r="J1025" s="6" t="s">
        <v>55</v>
      </c>
      <c r="K1025" s="6" t="s">
        <v>55</v>
      </c>
      <c r="L1025" s="6" t="s">
        <v>55</v>
      </c>
      <c r="M1025" s="6" t="s">
        <v>4891</v>
      </c>
    </row>
    <row r="1026" spans="1:13" ht="13" x14ac:dyDescent="0.15">
      <c r="A1026" s="5" t="str">
        <f>HYPERLINK("https://onemount.atlassian.net/browse/DBA-4469","DBA-4469")</f>
        <v>DBA-4469</v>
      </c>
      <c r="B1026" s="6" t="s">
        <v>21</v>
      </c>
      <c r="C1026" s="6" t="s">
        <v>4892</v>
      </c>
      <c r="D1026" s="8" t="s">
        <v>17</v>
      </c>
      <c r="E1026" s="6" t="s">
        <v>23</v>
      </c>
      <c r="F1026" s="6" t="s">
        <v>24</v>
      </c>
      <c r="G1026" s="6" t="s">
        <v>4893</v>
      </c>
      <c r="H1026" s="10">
        <v>46136</v>
      </c>
      <c r="I1026" s="6" t="s">
        <v>4894</v>
      </c>
      <c r="J1026" s="6" t="s">
        <v>77</v>
      </c>
      <c r="K1026" s="6" t="s">
        <v>165</v>
      </c>
      <c r="L1026" s="6" t="s">
        <v>77</v>
      </c>
      <c r="M1026" s="6" t="s">
        <v>4895</v>
      </c>
    </row>
    <row r="1027" spans="1:13" ht="13" x14ac:dyDescent="0.15">
      <c r="A1027" s="5" t="str">
        <f>HYPERLINK("https://onemount.atlassian.net/browse/DBA-4468","DBA-4468")</f>
        <v>DBA-4468</v>
      </c>
      <c r="B1027" s="6" t="s">
        <v>21</v>
      </c>
      <c r="C1027" s="6" t="s">
        <v>4896</v>
      </c>
      <c r="D1027" s="8" t="s">
        <v>17</v>
      </c>
      <c r="E1027" s="6" t="s">
        <v>23</v>
      </c>
      <c r="F1027" s="6" t="s">
        <v>31</v>
      </c>
      <c r="G1027" s="6" t="s">
        <v>4897</v>
      </c>
      <c r="H1027" s="10">
        <v>46136</v>
      </c>
      <c r="I1027" s="6" t="s">
        <v>4898</v>
      </c>
      <c r="J1027" s="6" t="s">
        <v>489</v>
      </c>
      <c r="K1027" s="6" t="s">
        <v>35</v>
      </c>
      <c r="L1027" s="6" t="s">
        <v>489</v>
      </c>
      <c r="M1027" s="6" t="s">
        <v>4899</v>
      </c>
    </row>
    <row r="1028" spans="1:13" ht="13" x14ac:dyDescent="0.15">
      <c r="A1028" s="5" t="str">
        <f>HYPERLINK("https://onemount.atlassian.net/browse/DBA-4467","DBA-4467")</f>
        <v>DBA-4467</v>
      </c>
      <c r="B1028" s="6" t="s">
        <v>21</v>
      </c>
      <c r="C1028" s="6" t="s">
        <v>4900</v>
      </c>
      <c r="D1028" s="8" t="s">
        <v>17</v>
      </c>
      <c r="E1028" s="6" t="s">
        <v>23</v>
      </c>
      <c r="F1028" s="6" t="s">
        <v>87</v>
      </c>
      <c r="G1028" s="6" t="s">
        <v>4901</v>
      </c>
      <c r="H1028" s="10">
        <v>46137</v>
      </c>
      <c r="I1028" s="6" t="s">
        <v>4902</v>
      </c>
      <c r="J1028" s="6" t="s">
        <v>2453</v>
      </c>
      <c r="K1028" s="6" t="s">
        <v>165</v>
      </c>
      <c r="L1028" s="6" t="s">
        <v>119</v>
      </c>
      <c r="M1028" s="6" t="s">
        <v>4903</v>
      </c>
    </row>
    <row r="1029" spans="1:13" ht="13" x14ac:dyDescent="0.15">
      <c r="A1029" s="5" t="str">
        <f>HYPERLINK("https://onemount.atlassian.net/browse/DBA-4466","DBA-4466")</f>
        <v>DBA-4466</v>
      </c>
      <c r="B1029" s="6" t="s">
        <v>21</v>
      </c>
      <c r="C1029" s="6" t="s">
        <v>4904</v>
      </c>
      <c r="D1029" s="8" t="s">
        <v>17</v>
      </c>
      <c r="E1029" s="6" t="s">
        <v>23</v>
      </c>
      <c r="F1029" s="6" t="s">
        <v>52</v>
      </c>
      <c r="G1029" s="6" t="s">
        <v>4905</v>
      </c>
      <c r="H1029" s="10">
        <v>46141</v>
      </c>
      <c r="I1029" s="6" t="s">
        <v>4906</v>
      </c>
      <c r="J1029" s="6" t="s">
        <v>55</v>
      </c>
      <c r="K1029" s="6" t="s">
        <v>55</v>
      </c>
      <c r="L1029" s="6" t="s">
        <v>145</v>
      </c>
      <c r="M1029" s="6" t="s">
        <v>4907</v>
      </c>
    </row>
    <row r="1030" spans="1:13" ht="13" x14ac:dyDescent="0.15">
      <c r="A1030" s="5" t="str">
        <f>HYPERLINK("https://onemount.atlassian.net/browse/DBA-4464","DBA-4464")</f>
        <v>DBA-4464</v>
      </c>
      <c r="B1030" s="6" t="s">
        <v>21</v>
      </c>
      <c r="C1030" s="6" t="s">
        <v>4908</v>
      </c>
      <c r="D1030" s="8" t="s">
        <v>17</v>
      </c>
      <c r="E1030" s="6" t="s">
        <v>23</v>
      </c>
      <c r="F1030" s="6" t="s">
        <v>24</v>
      </c>
      <c r="G1030" s="6" t="s">
        <v>4909</v>
      </c>
      <c r="H1030" s="10">
        <v>46142</v>
      </c>
      <c r="I1030" s="6" t="s">
        <v>4910</v>
      </c>
      <c r="J1030" s="6" t="s">
        <v>4911</v>
      </c>
      <c r="K1030" s="6" t="s">
        <v>165</v>
      </c>
      <c r="L1030" s="6" t="s">
        <v>1041</v>
      </c>
      <c r="M1030" s="6" t="s">
        <v>4912</v>
      </c>
    </row>
    <row r="1031" spans="1:13" ht="13" x14ac:dyDescent="0.15">
      <c r="A1031" s="5" t="str">
        <f>HYPERLINK("https://onemount.atlassian.net/browse/DBA-4463","DBA-4463")</f>
        <v>DBA-4463</v>
      </c>
      <c r="B1031" s="6" t="s">
        <v>21</v>
      </c>
      <c r="C1031" s="6" t="s">
        <v>4913</v>
      </c>
      <c r="D1031" s="8" t="s">
        <v>17</v>
      </c>
      <c r="E1031" s="6" t="s">
        <v>23</v>
      </c>
      <c r="F1031" s="6" t="s">
        <v>24</v>
      </c>
      <c r="G1031" s="6" t="s">
        <v>4914</v>
      </c>
      <c r="H1031" s="10">
        <v>46136</v>
      </c>
      <c r="I1031" s="6" t="s">
        <v>4915</v>
      </c>
      <c r="J1031" s="6" t="s">
        <v>807</v>
      </c>
      <c r="K1031" s="6" t="s">
        <v>28</v>
      </c>
      <c r="L1031" s="6" t="s">
        <v>807</v>
      </c>
      <c r="M1031" s="6" t="s">
        <v>4916</v>
      </c>
    </row>
    <row r="1032" spans="1:13" ht="13" x14ac:dyDescent="0.15">
      <c r="A1032" s="5" t="str">
        <f>HYPERLINK("https://onemount.atlassian.net/browse/DBA-4462","DBA-4462")</f>
        <v>DBA-4462</v>
      </c>
      <c r="B1032" s="6" t="s">
        <v>21</v>
      </c>
      <c r="C1032" s="6" t="s">
        <v>4917</v>
      </c>
      <c r="D1032" s="8" t="s">
        <v>17</v>
      </c>
      <c r="E1032" s="6" t="s">
        <v>23</v>
      </c>
      <c r="F1032" s="6" t="s">
        <v>24</v>
      </c>
      <c r="G1032" s="6" t="s">
        <v>4918</v>
      </c>
      <c r="H1032" s="10">
        <v>46137</v>
      </c>
      <c r="I1032" s="6" t="s">
        <v>4919</v>
      </c>
      <c r="J1032" s="6" t="s">
        <v>88</v>
      </c>
      <c r="K1032" s="6" t="s">
        <v>59</v>
      </c>
      <c r="L1032" s="6" t="s">
        <v>88</v>
      </c>
      <c r="M1032" s="6" t="s">
        <v>4920</v>
      </c>
    </row>
    <row r="1033" spans="1:13" ht="13" x14ac:dyDescent="0.15">
      <c r="A1033" s="5" t="str">
        <f>HYPERLINK("https://onemount.atlassian.net/browse/DBA-4461","DBA-4461")</f>
        <v>DBA-4461</v>
      </c>
      <c r="B1033" s="6" t="s">
        <v>21</v>
      </c>
      <c r="C1033" s="6" t="s">
        <v>4407</v>
      </c>
      <c r="D1033" s="8" t="s">
        <v>17</v>
      </c>
      <c r="E1033" s="6" t="s">
        <v>23</v>
      </c>
      <c r="F1033" s="6" t="s">
        <v>52</v>
      </c>
      <c r="G1033" s="6" t="s">
        <v>4921</v>
      </c>
      <c r="H1033" s="10">
        <v>46136</v>
      </c>
      <c r="I1033" s="6" t="s">
        <v>4922</v>
      </c>
      <c r="J1033" s="6" t="s">
        <v>55</v>
      </c>
      <c r="K1033" s="6" t="s">
        <v>55</v>
      </c>
      <c r="L1033" s="6" t="s">
        <v>56</v>
      </c>
      <c r="M1033" s="6" t="s">
        <v>4923</v>
      </c>
    </row>
    <row r="1034" spans="1:13" ht="13" x14ac:dyDescent="0.15">
      <c r="A1034" s="5" t="str">
        <f>HYPERLINK("https://onemount.atlassian.net/browse/DBA-4460","DBA-4460")</f>
        <v>DBA-4460</v>
      </c>
      <c r="B1034" s="6" t="s">
        <v>21</v>
      </c>
      <c r="C1034" s="6" t="s">
        <v>4924</v>
      </c>
      <c r="D1034" s="8" t="s">
        <v>17</v>
      </c>
      <c r="E1034" s="6" t="s">
        <v>23</v>
      </c>
      <c r="F1034" s="6" t="s">
        <v>52</v>
      </c>
      <c r="G1034" s="6" t="s">
        <v>4925</v>
      </c>
      <c r="H1034" s="10">
        <v>46136</v>
      </c>
      <c r="I1034" s="6" t="s">
        <v>4926</v>
      </c>
      <c r="J1034" s="6" t="s">
        <v>85</v>
      </c>
      <c r="K1034" s="6" t="s">
        <v>55</v>
      </c>
      <c r="L1034" s="6" t="s">
        <v>85</v>
      </c>
      <c r="M1034" s="6" t="s">
        <v>4927</v>
      </c>
    </row>
    <row r="1035" spans="1:13" ht="13" x14ac:dyDescent="0.15">
      <c r="A1035" s="5" t="str">
        <f>HYPERLINK("https://onemount.atlassian.net/browse/DBA-4459","DBA-4459")</f>
        <v>DBA-4459</v>
      </c>
      <c r="B1035" s="6" t="s">
        <v>21</v>
      </c>
      <c r="C1035" s="6" t="s">
        <v>4928</v>
      </c>
      <c r="D1035" s="8" t="s">
        <v>17</v>
      </c>
      <c r="E1035" s="6" t="s">
        <v>23</v>
      </c>
      <c r="F1035" s="6" t="s">
        <v>24</v>
      </c>
      <c r="G1035" s="6" t="s">
        <v>4929</v>
      </c>
      <c r="H1035" s="10">
        <v>46136</v>
      </c>
      <c r="I1035" s="6" t="s">
        <v>4930</v>
      </c>
      <c r="J1035" s="6" t="s">
        <v>55</v>
      </c>
      <c r="K1035" s="6" t="s">
        <v>55</v>
      </c>
      <c r="L1035" s="6" t="s">
        <v>93</v>
      </c>
      <c r="M1035" s="6" t="s">
        <v>4931</v>
      </c>
    </row>
    <row r="1036" spans="1:13" ht="13" x14ac:dyDescent="0.15">
      <c r="A1036" s="5" t="str">
        <f>HYPERLINK("https://onemount.atlassian.net/browse/DBA-4458","DBA-4458")</f>
        <v>DBA-4458</v>
      </c>
      <c r="B1036" s="6" t="s">
        <v>21</v>
      </c>
      <c r="C1036" s="6" t="s">
        <v>1466</v>
      </c>
      <c r="D1036" s="8" t="s">
        <v>17</v>
      </c>
      <c r="E1036" s="6" t="s">
        <v>23</v>
      </c>
      <c r="F1036" s="6" t="s">
        <v>52</v>
      </c>
      <c r="G1036" s="6" t="s">
        <v>4932</v>
      </c>
      <c r="H1036" s="10">
        <v>46137</v>
      </c>
      <c r="I1036" s="6" t="s">
        <v>4933</v>
      </c>
      <c r="J1036" s="6" t="s">
        <v>852</v>
      </c>
      <c r="K1036" s="6" t="s">
        <v>55</v>
      </c>
      <c r="L1036" s="6" t="s">
        <v>855</v>
      </c>
      <c r="M1036" s="6" t="s">
        <v>4934</v>
      </c>
    </row>
    <row r="1037" spans="1:13" ht="13" x14ac:dyDescent="0.15">
      <c r="A1037" s="5" t="str">
        <f>HYPERLINK("https://onemount.atlassian.net/browse/DBA-4457","DBA-4457")</f>
        <v>DBA-4457</v>
      </c>
      <c r="B1037" s="6" t="s">
        <v>21</v>
      </c>
      <c r="C1037" s="6" t="s">
        <v>4935</v>
      </c>
      <c r="D1037" s="8" t="s">
        <v>17</v>
      </c>
      <c r="E1037" s="6" t="s">
        <v>23</v>
      </c>
      <c r="F1037" s="6" t="s">
        <v>52</v>
      </c>
      <c r="G1037" s="6" t="s">
        <v>4936</v>
      </c>
      <c r="H1037" s="10">
        <v>46137</v>
      </c>
      <c r="I1037" s="6" t="s">
        <v>4937</v>
      </c>
      <c r="J1037" s="6" t="s">
        <v>4938</v>
      </c>
      <c r="K1037" s="6" t="s">
        <v>137</v>
      </c>
      <c r="L1037" s="6" t="s">
        <v>431</v>
      </c>
      <c r="M1037" s="6" t="s">
        <v>4939</v>
      </c>
    </row>
    <row r="1038" spans="1:13" ht="13" x14ac:dyDescent="0.15">
      <c r="A1038" s="5" t="str">
        <f>HYPERLINK("https://onemount.atlassian.net/browse/DBA-4456","DBA-4456")</f>
        <v>DBA-4456</v>
      </c>
      <c r="B1038" s="6" t="s">
        <v>21</v>
      </c>
      <c r="C1038" s="6" t="s">
        <v>4940</v>
      </c>
      <c r="D1038" s="8" t="s">
        <v>17</v>
      </c>
      <c r="E1038" s="6" t="s">
        <v>23</v>
      </c>
      <c r="F1038" s="6" t="s">
        <v>24</v>
      </c>
      <c r="G1038" s="6" t="s">
        <v>4941</v>
      </c>
      <c r="H1038" s="10">
        <v>46136</v>
      </c>
      <c r="I1038" s="6" t="s">
        <v>4942</v>
      </c>
      <c r="J1038" s="6" t="s">
        <v>27</v>
      </c>
      <c r="K1038" s="6" t="s">
        <v>28</v>
      </c>
      <c r="L1038" s="6" t="s">
        <v>27</v>
      </c>
      <c r="M1038" s="6" t="s">
        <v>4943</v>
      </c>
    </row>
    <row r="1039" spans="1:13" ht="13" x14ac:dyDescent="0.15">
      <c r="A1039" s="5" t="str">
        <f>HYPERLINK("https://onemount.atlassian.net/browse/DBA-4455","DBA-4455")</f>
        <v>DBA-4455</v>
      </c>
      <c r="B1039" s="6" t="s">
        <v>21</v>
      </c>
      <c r="C1039" s="6" t="s">
        <v>4944</v>
      </c>
      <c r="D1039" s="8" t="s">
        <v>17</v>
      </c>
      <c r="E1039" s="6" t="s">
        <v>23</v>
      </c>
      <c r="F1039" s="6" t="s">
        <v>24</v>
      </c>
      <c r="G1039" s="6" t="s">
        <v>4945</v>
      </c>
      <c r="H1039" s="10">
        <v>46136</v>
      </c>
      <c r="I1039" s="6" t="s">
        <v>4946</v>
      </c>
      <c r="J1039" s="6" t="s">
        <v>510</v>
      </c>
      <c r="K1039" s="6" t="s">
        <v>165</v>
      </c>
      <c r="L1039" s="6" t="s">
        <v>77</v>
      </c>
      <c r="M1039" s="6" t="s">
        <v>4947</v>
      </c>
    </row>
    <row r="1040" spans="1:13" ht="13" x14ac:dyDescent="0.15">
      <c r="A1040" s="21" t="str">
        <f>HYPERLINK("https://onemount.atlassian.net/browse/DBA-4454","DBA-4454")</f>
        <v>DBA-4454</v>
      </c>
      <c r="B1040" s="6" t="s">
        <v>21</v>
      </c>
      <c r="C1040" s="6" t="s">
        <v>3289</v>
      </c>
      <c r="D1040" s="8" t="s">
        <v>17</v>
      </c>
      <c r="E1040" s="6" t="s">
        <v>23</v>
      </c>
      <c r="F1040" s="6" t="s">
        <v>24</v>
      </c>
      <c r="G1040" s="6" t="s">
        <v>4948</v>
      </c>
      <c r="H1040" s="10">
        <v>46136</v>
      </c>
      <c r="I1040" s="6" t="s">
        <v>4949</v>
      </c>
      <c r="J1040" s="6" t="s">
        <v>56</v>
      </c>
      <c r="K1040" s="6" t="s">
        <v>55</v>
      </c>
      <c r="L1040" s="6" t="s">
        <v>56</v>
      </c>
      <c r="M1040" s="6" t="s">
        <v>3292</v>
      </c>
    </row>
    <row r="1041" spans="1:13" ht="13" x14ac:dyDescent="0.15">
      <c r="A1041" s="5" t="str">
        <f>HYPERLINK("https://onemount.atlassian.net/browse/DBA-4453","DBA-4453")</f>
        <v>DBA-4453</v>
      </c>
      <c r="B1041" s="6" t="s">
        <v>21</v>
      </c>
      <c r="C1041" s="6" t="s">
        <v>4950</v>
      </c>
      <c r="D1041" s="8" t="s">
        <v>17</v>
      </c>
      <c r="E1041" s="6" t="s">
        <v>23</v>
      </c>
      <c r="F1041" s="6" t="s">
        <v>41</v>
      </c>
      <c r="G1041" s="6" t="s">
        <v>4951</v>
      </c>
      <c r="H1041" s="10">
        <v>46135</v>
      </c>
      <c r="I1041" s="6" t="s">
        <v>4952</v>
      </c>
      <c r="J1041" s="6" t="s">
        <v>72</v>
      </c>
      <c r="K1041" s="6" t="s">
        <v>72</v>
      </c>
      <c r="L1041" s="6" t="s">
        <v>72</v>
      </c>
      <c r="M1041" s="6" t="s">
        <v>4953</v>
      </c>
    </row>
    <row r="1042" spans="1:13" ht="13" x14ac:dyDescent="0.15">
      <c r="A1042" s="5" t="str">
        <f>HYPERLINK("https://onemount.atlassian.net/browse/DBA-4450","DBA-4450")</f>
        <v>DBA-4450</v>
      </c>
      <c r="B1042" s="6" t="s">
        <v>21</v>
      </c>
      <c r="C1042" s="6" t="s">
        <v>4954</v>
      </c>
      <c r="D1042" s="8" t="s">
        <v>17</v>
      </c>
      <c r="E1042" s="6" t="s">
        <v>23</v>
      </c>
      <c r="F1042" s="6" t="s">
        <v>87</v>
      </c>
      <c r="G1042" s="6" t="s">
        <v>4955</v>
      </c>
      <c r="H1042" s="10">
        <v>46135</v>
      </c>
      <c r="I1042" s="6" t="s">
        <v>4956</v>
      </c>
      <c r="J1042" s="6" t="s">
        <v>1091</v>
      </c>
      <c r="K1042" s="6" t="s">
        <v>165</v>
      </c>
      <c r="L1042" s="6" t="s">
        <v>1091</v>
      </c>
      <c r="M1042" s="6" t="s">
        <v>4957</v>
      </c>
    </row>
    <row r="1043" spans="1:13" ht="13" x14ac:dyDescent="0.15">
      <c r="A1043" s="5" t="str">
        <f>HYPERLINK("https://onemount.atlassian.net/browse/DBA-4448","DBA-4448")</f>
        <v>DBA-4448</v>
      </c>
      <c r="B1043" s="6" t="s">
        <v>21</v>
      </c>
      <c r="C1043" s="6" t="s">
        <v>4958</v>
      </c>
      <c r="D1043" s="8" t="s">
        <v>17</v>
      </c>
      <c r="E1043" s="6" t="s">
        <v>23</v>
      </c>
      <c r="F1043" s="6" t="s">
        <v>31</v>
      </c>
      <c r="G1043" s="6" t="s">
        <v>4959</v>
      </c>
      <c r="H1043" s="10">
        <v>46135</v>
      </c>
      <c r="I1043" s="6" t="s">
        <v>4960</v>
      </c>
      <c r="J1043" s="6" t="s">
        <v>707</v>
      </c>
      <c r="K1043" s="6" t="s">
        <v>35</v>
      </c>
      <c r="L1043" s="6" t="s">
        <v>707</v>
      </c>
      <c r="M1043" s="6" t="s">
        <v>4961</v>
      </c>
    </row>
    <row r="1044" spans="1:13" ht="13" x14ac:dyDescent="0.15">
      <c r="A1044" s="5" t="str">
        <f>HYPERLINK("https://onemount.atlassian.net/browse/DBA-4447","DBA-4447")</f>
        <v>DBA-4447</v>
      </c>
      <c r="B1044" s="6" t="s">
        <v>21</v>
      </c>
      <c r="C1044" s="6" t="s">
        <v>4962</v>
      </c>
      <c r="D1044" s="8" t="s">
        <v>17</v>
      </c>
      <c r="E1044" s="6" t="s">
        <v>23</v>
      </c>
      <c r="F1044" s="6" t="s">
        <v>31</v>
      </c>
      <c r="G1044" s="6" t="s">
        <v>4963</v>
      </c>
      <c r="H1044" s="10">
        <v>46136</v>
      </c>
      <c r="I1044" s="6" t="s">
        <v>4964</v>
      </c>
      <c r="J1044" s="6" t="s">
        <v>636</v>
      </c>
      <c r="K1044" s="6" t="s">
        <v>35</v>
      </c>
      <c r="L1044" s="6" t="s">
        <v>692</v>
      </c>
      <c r="M1044" s="6" t="s">
        <v>4965</v>
      </c>
    </row>
    <row r="1045" spans="1:13" ht="13" x14ac:dyDescent="0.15">
      <c r="A1045" s="5" t="str">
        <f>HYPERLINK("https://onemount.atlassian.net/browse/DBA-4445","DBA-4445")</f>
        <v>DBA-4445</v>
      </c>
      <c r="B1045" s="6" t="s">
        <v>21</v>
      </c>
      <c r="C1045" s="6" t="s">
        <v>4966</v>
      </c>
      <c r="D1045" s="8" t="s">
        <v>17</v>
      </c>
      <c r="E1045" s="6" t="s">
        <v>23</v>
      </c>
      <c r="F1045" s="6" t="s">
        <v>52</v>
      </c>
      <c r="G1045" s="6" t="s">
        <v>4967</v>
      </c>
      <c r="H1045" s="10">
        <v>46135</v>
      </c>
      <c r="I1045" s="6" t="s">
        <v>4968</v>
      </c>
      <c r="J1045" s="6" t="s">
        <v>2919</v>
      </c>
      <c r="K1045" s="6" t="s">
        <v>72</v>
      </c>
      <c r="L1045" s="6" t="s">
        <v>188</v>
      </c>
      <c r="M1045" s="6" t="s">
        <v>4969</v>
      </c>
    </row>
    <row r="1046" spans="1:13" ht="13" x14ac:dyDescent="0.15">
      <c r="A1046" s="21" t="str">
        <f>HYPERLINK("https://onemount.atlassian.net/browse/DBA-4444","DBA-4444")</f>
        <v>DBA-4444</v>
      </c>
      <c r="B1046" s="6" t="s">
        <v>21</v>
      </c>
      <c r="C1046" s="6" t="s">
        <v>4970</v>
      </c>
      <c r="D1046" s="8" t="s">
        <v>17</v>
      </c>
      <c r="E1046" s="6" t="s">
        <v>23</v>
      </c>
      <c r="F1046" s="6" t="s">
        <v>52</v>
      </c>
      <c r="G1046" s="6" t="s">
        <v>4971</v>
      </c>
      <c r="H1046" s="10">
        <v>46134</v>
      </c>
      <c r="I1046" s="6" t="s">
        <v>4972</v>
      </c>
      <c r="J1046" s="6" t="s">
        <v>2392</v>
      </c>
      <c r="K1046" s="6" t="s">
        <v>72</v>
      </c>
      <c r="L1046" s="6" t="s">
        <v>188</v>
      </c>
      <c r="M1046" s="6" t="s">
        <v>4847</v>
      </c>
    </row>
    <row r="1047" spans="1:13" ht="13" x14ac:dyDescent="0.15">
      <c r="A1047" s="5" t="str">
        <f>HYPERLINK("https://onemount.atlassian.net/browse/DBA-4443","DBA-4443")</f>
        <v>DBA-4443</v>
      </c>
      <c r="B1047" s="6" t="s">
        <v>21</v>
      </c>
      <c r="C1047" s="6" t="s">
        <v>481</v>
      </c>
      <c r="D1047" s="8" t="s">
        <v>17</v>
      </c>
      <c r="E1047" s="6" t="s">
        <v>23</v>
      </c>
      <c r="F1047" s="6" t="s">
        <v>24</v>
      </c>
      <c r="G1047" s="6" t="s">
        <v>4973</v>
      </c>
      <c r="H1047" s="10">
        <v>46134</v>
      </c>
      <c r="I1047" s="6" t="s">
        <v>4974</v>
      </c>
      <c r="J1047" s="6" t="s">
        <v>88</v>
      </c>
      <c r="K1047" s="6" t="s">
        <v>59</v>
      </c>
      <c r="L1047" s="6" t="s">
        <v>88</v>
      </c>
      <c r="M1047" s="6" t="s">
        <v>4975</v>
      </c>
    </row>
    <row r="1048" spans="1:13" ht="13" x14ac:dyDescent="0.15">
      <c r="A1048" s="5" t="str">
        <f>HYPERLINK("https://onemount.atlassian.net/browse/DBA-4442","DBA-4442")</f>
        <v>DBA-4442</v>
      </c>
      <c r="B1048" s="6" t="s">
        <v>21</v>
      </c>
      <c r="C1048" s="6" t="s">
        <v>4976</v>
      </c>
      <c r="D1048" s="8" t="s">
        <v>17</v>
      </c>
      <c r="E1048" s="6" t="s">
        <v>23</v>
      </c>
      <c r="F1048" s="6" t="s">
        <v>52</v>
      </c>
      <c r="G1048" s="6" t="s">
        <v>4977</v>
      </c>
      <c r="H1048" s="10">
        <v>46135</v>
      </c>
      <c r="I1048" s="6" t="s">
        <v>4978</v>
      </c>
      <c r="J1048" s="6" t="s">
        <v>4979</v>
      </c>
      <c r="K1048" s="6" t="s">
        <v>46</v>
      </c>
      <c r="L1048" s="6" t="s">
        <v>638</v>
      </c>
      <c r="M1048" s="6" t="s">
        <v>4980</v>
      </c>
    </row>
    <row r="1049" spans="1:13" ht="13" x14ac:dyDescent="0.15">
      <c r="A1049" s="5" t="str">
        <f>HYPERLINK("https://onemount.atlassian.net/browse/DBA-4441","DBA-4441")</f>
        <v>DBA-4441</v>
      </c>
      <c r="B1049" s="6" t="s">
        <v>21</v>
      </c>
      <c r="C1049" s="6" t="s">
        <v>4981</v>
      </c>
      <c r="D1049" s="8" t="s">
        <v>17</v>
      </c>
      <c r="E1049" s="6" t="s">
        <v>23</v>
      </c>
      <c r="F1049" s="6" t="s">
        <v>31</v>
      </c>
      <c r="G1049" s="6" t="s">
        <v>4982</v>
      </c>
      <c r="H1049" s="10">
        <v>46134</v>
      </c>
      <c r="I1049" s="6" t="s">
        <v>4983</v>
      </c>
      <c r="J1049" s="6" t="s">
        <v>1236</v>
      </c>
      <c r="K1049" s="6" t="s">
        <v>35</v>
      </c>
      <c r="L1049" s="6" t="s">
        <v>1236</v>
      </c>
      <c r="M1049" s="6" t="s">
        <v>4984</v>
      </c>
    </row>
    <row r="1050" spans="1:13" ht="13" x14ac:dyDescent="0.15">
      <c r="A1050" s="21" t="str">
        <f>HYPERLINK("https://onemount.atlassian.net/browse/DBA-4435","DBA-4435")</f>
        <v>DBA-4435</v>
      </c>
      <c r="B1050" s="6" t="s">
        <v>21</v>
      </c>
      <c r="C1050" s="6" t="s">
        <v>3289</v>
      </c>
      <c r="D1050" s="8" t="s">
        <v>17</v>
      </c>
      <c r="E1050" s="6" t="s">
        <v>23</v>
      </c>
      <c r="F1050" s="6" t="s">
        <v>52</v>
      </c>
      <c r="G1050" s="6" t="s">
        <v>4985</v>
      </c>
      <c r="H1050" s="10">
        <v>46133</v>
      </c>
      <c r="I1050" s="6" t="s">
        <v>4986</v>
      </c>
      <c r="J1050" s="6" t="s">
        <v>56</v>
      </c>
      <c r="K1050" s="6" t="s">
        <v>55</v>
      </c>
      <c r="L1050" s="6" t="s">
        <v>56</v>
      </c>
      <c r="M1050" s="6" t="s">
        <v>3292</v>
      </c>
    </row>
    <row r="1051" spans="1:13" ht="13" x14ac:dyDescent="0.15">
      <c r="A1051" s="5" t="str">
        <f>HYPERLINK("https://onemount.atlassian.net/browse/DBA-4434","DBA-4434")</f>
        <v>DBA-4434</v>
      </c>
      <c r="B1051" s="6" t="s">
        <v>21</v>
      </c>
      <c r="C1051" s="6" t="s">
        <v>4987</v>
      </c>
      <c r="D1051" s="8" t="s">
        <v>17</v>
      </c>
      <c r="E1051" s="6" t="s">
        <v>23</v>
      </c>
      <c r="F1051" s="6" t="s">
        <v>31</v>
      </c>
      <c r="G1051" s="6" t="s">
        <v>4988</v>
      </c>
      <c r="H1051" s="10">
        <v>46133</v>
      </c>
      <c r="I1051" s="6" t="s">
        <v>4989</v>
      </c>
      <c r="J1051" s="6" t="s">
        <v>707</v>
      </c>
      <c r="K1051" s="6" t="s">
        <v>35</v>
      </c>
      <c r="L1051" s="6" t="s">
        <v>707</v>
      </c>
      <c r="M1051" s="6" t="s">
        <v>4990</v>
      </c>
    </row>
    <row r="1052" spans="1:13" ht="13" x14ac:dyDescent="0.15">
      <c r="A1052" s="5" t="str">
        <f>HYPERLINK("https://onemount.atlassian.net/browse/DBA-4433","DBA-4433")</f>
        <v>DBA-4433</v>
      </c>
      <c r="B1052" s="6" t="s">
        <v>21</v>
      </c>
      <c r="C1052" s="6" t="s">
        <v>4991</v>
      </c>
      <c r="D1052" s="8" t="s">
        <v>17</v>
      </c>
      <c r="E1052" s="6" t="s">
        <v>23</v>
      </c>
      <c r="F1052" s="6" t="s">
        <v>31</v>
      </c>
      <c r="G1052" s="6" t="s">
        <v>4992</v>
      </c>
      <c r="H1052" s="10">
        <v>46134</v>
      </c>
      <c r="I1052" s="6" t="s">
        <v>4993</v>
      </c>
      <c r="J1052" s="6" t="s">
        <v>119</v>
      </c>
      <c r="K1052" s="6" t="s">
        <v>35</v>
      </c>
      <c r="L1052" s="6" t="s">
        <v>119</v>
      </c>
      <c r="M1052" s="6" t="s">
        <v>4994</v>
      </c>
    </row>
    <row r="1053" spans="1:13" ht="13" x14ac:dyDescent="0.15">
      <c r="A1053" s="21" t="str">
        <f>HYPERLINK("https://onemount.atlassian.net/browse/DBA-4432","DBA-4432")</f>
        <v>DBA-4432</v>
      </c>
      <c r="B1053" s="6" t="s">
        <v>21</v>
      </c>
      <c r="C1053" s="6" t="s">
        <v>4995</v>
      </c>
      <c r="D1053" s="8" t="s">
        <v>17</v>
      </c>
      <c r="E1053" s="6" t="s">
        <v>23</v>
      </c>
      <c r="F1053" s="6" t="s">
        <v>52</v>
      </c>
      <c r="G1053" s="6" t="s">
        <v>4996</v>
      </c>
      <c r="H1053" s="10">
        <v>46133</v>
      </c>
      <c r="I1053" s="6" t="s">
        <v>4997</v>
      </c>
      <c r="J1053" s="6" t="s">
        <v>2392</v>
      </c>
      <c r="K1053" s="6" t="s">
        <v>72</v>
      </c>
      <c r="L1053" s="6" t="s">
        <v>188</v>
      </c>
      <c r="M1053" s="6" t="s">
        <v>4847</v>
      </c>
    </row>
    <row r="1054" spans="1:13" ht="13" x14ac:dyDescent="0.15">
      <c r="A1054" s="5" t="str">
        <f>HYPERLINK("https://onemount.atlassian.net/browse/DBA-4431","DBA-4431")</f>
        <v>DBA-4431</v>
      </c>
      <c r="B1054" s="6" t="s">
        <v>21</v>
      </c>
      <c r="C1054" s="6" t="s">
        <v>4998</v>
      </c>
      <c r="D1054" s="8" t="s">
        <v>17</v>
      </c>
      <c r="E1054" s="6" t="s">
        <v>23</v>
      </c>
      <c r="F1054" s="6" t="s">
        <v>31</v>
      </c>
      <c r="G1054" s="6" t="s">
        <v>4999</v>
      </c>
      <c r="H1054" s="10">
        <v>46133</v>
      </c>
      <c r="I1054" s="6" t="s">
        <v>5000</v>
      </c>
      <c r="J1054" s="6" t="s">
        <v>5001</v>
      </c>
      <c r="K1054" s="6" t="s">
        <v>35</v>
      </c>
      <c r="L1054" s="6" t="s">
        <v>1234</v>
      </c>
      <c r="M1054" s="6" t="s">
        <v>5002</v>
      </c>
    </row>
    <row r="1055" spans="1:13" ht="13" x14ac:dyDescent="0.15">
      <c r="A1055" s="5" t="str">
        <f>HYPERLINK("https://onemount.atlassian.net/browse/DBA-4429","DBA-4429")</f>
        <v>DBA-4429</v>
      </c>
      <c r="B1055" s="6" t="s">
        <v>21</v>
      </c>
      <c r="C1055" s="6" t="s">
        <v>4105</v>
      </c>
      <c r="D1055" s="8" t="s">
        <v>17</v>
      </c>
      <c r="E1055" s="6" t="s">
        <v>23</v>
      </c>
      <c r="F1055" s="6" t="s">
        <v>24</v>
      </c>
      <c r="G1055" s="6" t="s">
        <v>5003</v>
      </c>
      <c r="H1055" s="10">
        <v>46133</v>
      </c>
      <c r="I1055" s="6" t="s">
        <v>5004</v>
      </c>
      <c r="J1055" s="6" t="s">
        <v>27</v>
      </c>
      <c r="K1055" s="6" t="s">
        <v>28</v>
      </c>
      <c r="L1055" s="6" t="s">
        <v>27</v>
      </c>
      <c r="M1055" s="6" t="s">
        <v>5005</v>
      </c>
    </row>
    <row r="1056" spans="1:13" ht="13" x14ac:dyDescent="0.15">
      <c r="A1056" s="5" t="str">
        <f>HYPERLINK("https://onemount.atlassian.net/browse/DBA-4427","DBA-4427")</f>
        <v>DBA-4427</v>
      </c>
      <c r="B1056" s="6" t="s">
        <v>21</v>
      </c>
      <c r="C1056" s="6" t="s">
        <v>5006</v>
      </c>
      <c r="D1056" s="8" t="s">
        <v>17</v>
      </c>
      <c r="E1056" s="6" t="s">
        <v>23</v>
      </c>
      <c r="F1056" s="6" t="s">
        <v>52</v>
      </c>
      <c r="G1056" s="6" t="s">
        <v>5007</v>
      </c>
      <c r="H1056" s="10">
        <v>46132</v>
      </c>
      <c r="I1056" s="6" t="s">
        <v>5008</v>
      </c>
      <c r="J1056" s="6" t="s">
        <v>4792</v>
      </c>
      <c r="K1056" s="6" t="s">
        <v>55</v>
      </c>
      <c r="L1056" s="6" t="s">
        <v>270</v>
      </c>
      <c r="M1056" s="6" t="s">
        <v>5009</v>
      </c>
    </row>
    <row r="1057" spans="1:13" ht="13" x14ac:dyDescent="0.15">
      <c r="A1057" s="5" t="str">
        <f>HYPERLINK("https://onemount.atlassian.net/browse/DBA-4422","DBA-4422")</f>
        <v>DBA-4422</v>
      </c>
      <c r="B1057" s="6" t="s">
        <v>21</v>
      </c>
      <c r="C1057" s="6" t="s">
        <v>4014</v>
      </c>
      <c r="D1057" s="8" t="s">
        <v>17</v>
      </c>
      <c r="E1057" s="6" t="s">
        <v>23</v>
      </c>
      <c r="F1057" s="6" t="s">
        <v>31</v>
      </c>
      <c r="G1057" s="6" t="s">
        <v>5010</v>
      </c>
      <c r="H1057" s="10">
        <v>46132</v>
      </c>
      <c r="I1057" s="6" t="s">
        <v>5011</v>
      </c>
      <c r="J1057" s="6" t="s">
        <v>128</v>
      </c>
      <c r="K1057" s="6" t="s">
        <v>35</v>
      </c>
      <c r="L1057" s="6" t="s">
        <v>129</v>
      </c>
      <c r="M1057" s="6" t="s">
        <v>5012</v>
      </c>
    </row>
    <row r="1058" spans="1:13" ht="13" x14ac:dyDescent="0.15">
      <c r="A1058" s="5" t="str">
        <f>HYPERLINK("https://onemount.atlassian.net/browse/DBA-4421","DBA-4421")</f>
        <v>DBA-4421</v>
      </c>
      <c r="B1058" s="6" t="s">
        <v>21</v>
      </c>
      <c r="C1058" s="6" t="s">
        <v>5013</v>
      </c>
      <c r="D1058" s="8" t="s">
        <v>17</v>
      </c>
      <c r="E1058" s="6" t="s">
        <v>23</v>
      </c>
      <c r="F1058" s="6" t="s">
        <v>24</v>
      </c>
      <c r="G1058" s="6" t="s">
        <v>5014</v>
      </c>
      <c r="H1058" s="10">
        <v>46132</v>
      </c>
      <c r="I1058" s="6" t="s">
        <v>5015</v>
      </c>
      <c r="J1058" s="6" t="s">
        <v>85</v>
      </c>
      <c r="K1058" s="6" t="s">
        <v>55</v>
      </c>
      <c r="L1058" s="6" t="s">
        <v>85</v>
      </c>
      <c r="M1058" s="6" t="s">
        <v>5016</v>
      </c>
    </row>
    <row r="1059" spans="1:13" ht="13" x14ac:dyDescent="0.15">
      <c r="A1059" s="5" t="str">
        <f>HYPERLINK("https://onemount.atlassian.net/browse/DBA-4420","DBA-4420")</f>
        <v>DBA-4420</v>
      </c>
      <c r="B1059" s="6" t="s">
        <v>21</v>
      </c>
      <c r="C1059" s="6" t="s">
        <v>5017</v>
      </c>
      <c r="D1059" s="8" t="s">
        <v>17</v>
      </c>
      <c r="E1059" s="6" t="s">
        <v>23</v>
      </c>
      <c r="F1059" s="6" t="s">
        <v>31</v>
      </c>
      <c r="G1059" s="6" t="s">
        <v>5018</v>
      </c>
      <c r="H1059" s="10">
        <v>46133</v>
      </c>
      <c r="I1059" s="6" t="s">
        <v>5019</v>
      </c>
      <c r="J1059" s="6" t="s">
        <v>374</v>
      </c>
      <c r="K1059" s="6" t="s">
        <v>35</v>
      </c>
      <c r="L1059" s="6" t="s">
        <v>374</v>
      </c>
      <c r="M1059" s="6" t="s">
        <v>5020</v>
      </c>
    </row>
    <row r="1060" spans="1:13" ht="13" x14ac:dyDescent="0.15">
      <c r="A1060" s="5" t="str">
        <f>HYPERLINK("https://onemount.atlassian.net/browse/DBA-4419","DBA-4419")</f>
        <v>DBA-4419</v>
      </c>
      <c r="B1060" s="6" t="s">
        <v>21</v>
      </c>
      <c r="C1060" s="6" t="s">
        <v>5021</v>
      </c>
      <c r="D1060" s="8" t="s">
        <v>17</v>
      </c>
      <c r="E1060" s="6" t="s">
        <v>23</v>
      </c>
      <c r="F1060" s="6" t="s">
        <v>52</v>
      </c>
      <c r="G1060" s="6" t="s">
        <v>5022</v>
      </c>
      <c r="H1060" s="10">
        <v>46130</v>
      </c>
      <c r="I1060" s="6" t="s">
        <v>5023</v>
      </c>
      <c r="J1060" s="6" t="s">
        <v>85</v>
      </c>
      <c r="K1060" s="6" t="s">
        <v>55</v>
      </c>
      <c r="L1060" s="6" t="s">
        <v>85</v>
      </c>
      <c r="M1060" s="6" t="s">
        <v>5024</v>
      </c>
    </row>
    <row r="1061" spans="1:13" ht="13" x14ac:dyDescent="0.15">
      <c r="A1061" s="21" t="str">
        <f>HYPERLINK("https://onemount.atlassian.net/browse/DBA-4418","DBA-4418")</f>
        <v>DBA-4418</v>
      </c>
      <c r="B1061" s="6" t="s">
        <v>21</v>
      </c>
      <c r="C1061" s="6" t="s">
        <v>5025</v>
      </c>
      <c r="D1061" s="8" t="s">
        <v>17</v>
      </c>
      <c r="E1061" s="6" t="s">
        <v>23</v>
      </c>
      <c r="F1061" s="6" t="s">
        <v>78</v>
      </c>
      <c r="G1061" s="6" t="s">
        <v>5026</v>
      </c>
      <c r="H1061" s="10">
        <v>46131</v>
      </c>
      <c r="I1061" s="6" t="s">
        <v>5027</v>
      </c>
      <c r="J1061" s="6" t="s">
        <v>109</v>
      </c>
      <c r="K1061" s="6" t="s">
        <v>46</v>
      </c>
      <c r="L1061" s="6" t="s">
        <v>109</v>
      </c>
      <c r="M1061" s="6" t="s">
        <v>5028</v>
      </c>
    </row>
    <row r="1062" spans="1:13" ht="13" x14ac:dyDescent="0.15">
      <c r="A1062" s="5" t="str">
        <f>HYPERLINK("https://onemount.atlassian.net/browse/DBA-4417","DBA-4417")</f>
        <v>DBA-4417</v>
      </c>
      <c r="B1062" s="6" t="s">
        <v>21</v>
      </c>
      <c r="C1062" s="6" t="s">
        <v>2322</v>
      </c>
      <c r="D1062" s="8" t="s">
        <v>17</v>
      </c>
      <c r="E1062" s="6" t="s">
        <v>23</v>
      </c>
      <c r="F1062" s="6" t="s">
        <v>41</v>
      </c>
      <c r="G1062" s="6" t="s">
        <v>5029</v>
      </c>
      <c r="H1062" s="10">
        <v>46130</v>
      </c>
      <c r="I1062" s="6" t="s">
        <v>5030</v>
      </c>
      <c r="J1062" s="6" t="s">
        <v>88</v>
      </c>
      <c r="K1062" s="6" t="s">
        <v>59</v>
      </c>
      <c r="L1062" s="6" t="s">
        <v>88</v>
      </c>
      <c r="M1062" s="6" t="s">
        <v>5031</v>
      </c>
    </row>
    <row r="1063" spans="1:13" ht="13" x14ac:dyDescent="0.15">
      <c r="A1063" s="5" t="str">
        <f>HYPERLINK("https://onemount.atlassian.net/browse/DBA-4416","DBA-4416")</f>
        <v>DBA-4416</v>
      </c>
      <c r="B1063" s="6" t="s">
        <v>21</v>
      </c>
      <c r="C1063" s="6" t="s">
        <v>5032</v>
      </c>
      <c r="D1063" s="8" t="s">
        <v>17</v>
      </c>
      <c r="E1063" s="6" t="s">
        <v>23</v>
      </c>
      <c r="F1063" s="6" t="s">
        <v>52</v>
      </c>
      <c r="G1063" s="6" t="s">
        <v>5033</v>
      </c>
      <c r="H1063" s="10">
        <v>46132</v>
      </c>
      <c r="I1063" s="6" t="s">
        <v>5034</v>
      </c>
      <c r="J1063" s="6" t="s">
        <v>55</v>
      </c>
      <c r="K1063" s="6" t="s">
        <v>55</v>
      </c>
      <c r="L1063" s="6" t="s">
        <v>55</v>
      </c>
      <c r="M1063" s="6" t="s">
        <v>5035</v>
      </c>
    </row>
    <row r="1064" spans="1:13" ht="13" x14ac:dyDescent="0.15">
      <c r="A1064" s="5" t="str">
        <f>HYPERLINK("https://onemount.atlassian.net/browse/DBA-4415","DBA-4415")</f>
        <v>DBA-4415</v>
      </c>
      <c r="B1064" s="6" t="s">
        <v>21</v>
      </c>
      <c r="C1064" s="6" t="s">
        <v>2322</v>
      </c>
      <c r="D1064" s="8" t="s">
        <v>17</v>
      </c>
      <c r="E1064" s="6" t="s">
        <v>23</v>
      </c>
      <c r="F1064" s="6" t="s">
        <v>24</v>
      </c>
      <c r="G1064" s="6" t="s">
        <v>5036</v>
      </c>
      <c r="H1064" s="10">
        <v>46129</v>
      </c>
      <c r="I1064" s="6" t="s">
        <v>5037</v>
      </c>
      <c r="J1064" s="6" t="s">
        <v>88</v>
      </c>
      <c r="K1064" s="6" t="s">
        <v>59</v>
      </c>
      <c r="L1064" s="6" t="s">
        <v>88</v>
      </c>
      <c r="M1064" s="6" t="s">
        <v>5038</v>
      </c>
    </row>
    <row r="1065" spans="1:13" ht="13" x14ac:dyDescent="0.15">
      <c r="A1065" s="5" t="str">
        <f>HYPERLINK("https://onemount.atlassian.net/browse/DBA-4414","DBA-4414")</f>
        <v>DBA-4414</v>
      </c>
      <c r="B1065" s="6" t="s">
        <v>21</v>
      </c>
      <c r="C1065" s="6" t="s">
        <v>5039</v>
      </c>
      <c r="D1065" s="8" t="s">
        <v>17</v>
      </c>
      <c r="E1065" s="6" t="s">
        <v>23</v>
      </c>
      <c r="F1065" s="6" t="s">
        <v>31</v>
      </c>
      <c r="G1065" s="6" t="s">
        <v>5040</v>
      </c>
      <c r="H1065" s="10">
        <v>46129</v>
      </c>
      <c r="I1065" s="6" t="s">
        <v>5041</v>
      </c>
      <c r="J1065" s="6" t="s">
        <v>5042</v>
      </c>
      <c r="K1065" s="6" t="s">
        <v>35</v>
      </c>
      <c r="L1065" s="6" t="s">
        <v>1200</v>
      </c>
      <c r="M1065" s="6" t="s">
        <v>5043</v>
      </c>
    </row>
    <row r="1066" spans="1:13" ht="13" x14ac:dyDescent="0.15">
      <c r="A1066" s="5" t="str">
        <f>HYPERLINK("https://onemount.atlassian.net/browse/DBA-4413","DBA-4413")</f>
        <v>DBA-4413</v>
      </c>
      <c r="B1066" s="6" t="s">
        <v>21</v>
      </c>
      <c r="C1066" s="6" t="s">
        <v>5044</v>
      </c>
      <c r="D1066" s="8" t="s">
        <v>17</v>
      </c>
      <c r="E1066" s="6" t="s">
        <v>23</v>
      </c>
      <c r="F1066" s="6" t="s">
        <v>31</v>
      </c>
      <c r="G1066" s="6" t="s">
        <v>5045</v>
      </c>
      <c r="H1066" s="10">
        <v>46129</v>
      </c>
      <c r="I1066" s="6" t="s">
        <v>5046</v>
      </c>
      <c r="J1066" s="6" t="s">
        <v>855</v>
      </c>
      <c r="K1066" s="6" t="s">
        <v>55</v>
      </c>
      <c r="L1066" s="6" t="s">
        <v>855</v>
      </c>
      <c r="M1066" s="6" t="s">
        <v>5047</v>
      </c>
    </row>
    <row r="1067" spans="1:13" ht="13" x14ac:dyDescent="0.15">
      <c r="A1067" s="5" t="str">
        <f>HYPERLINK("https://onemount.atlassian.net/browse/DBA-4412","DBA-4412")</f>
        <v>DBA-4412</v>
      </c>
      <c r="B1067" s="6" t="s">
        <v>21</v>
      </c>
      <c r="C1067" s="6" t="s">
        <v>5048</v>
      </c>
      <c r="D1067" s="8" t="s">
        <v>17</v>
      </c>
      <c r="E1067" s="6" t="s">
        <v>23</v>
      </c>
      <c r="F1067" s="6" t="s">
        <v>24</v>
      </c>
      <c r="G1067" s="6" t="s">
        <v>5049</v>
      </c>
      <c r="H1067" s="10">
        <v>46130</v>
      </c>
      <c r="I1067" s="6" t="s">
        <v>5050</v>
      </c>
      <c r="J1067" s="6" t="s">
        <v>303</v>
      </c>
      <c r="K1067" s="6" t="s">
        <v>59</v>
      </c>
      <c r="L1067" s="6" t="s">
        <v>88</v>
      </c>
      <c r="M1067" s="6" t="s">
        <v>5051</v>
      </c>
    </row>
    <row r="1068" spans="1:13" ht="13" x14ac:dyDescent="0.15">
      <c r="A1068" s="5" t="str">
        <f>HYPERLINK("https://onemount.atlassian.net/browse/DBA-4410","DBA-4410")</f>
        <v>DBA-4410</v>
      </c>
      <c r="B1068" s="6" t="s">
        <v>21</v>
      </c>
      <c r="C1068" s="6" t="s">
        <v>5052</v>
      </c>
      <c r="D1068" s="8" t="s">
        <v>17</v>
      </c>
      <c r="E1068" s="6" t="s">
        <v>23</v>
      </c>
      <c r="F1068" s="6" t="s">
        <v>24</v>
      </c>
      <c r="G1068" s="6" t="s">
        <v>5053</v>
      </c>
      <c r="H1068" s="10">
        <v>46130</v>
      </c>
      <c r="I1068" s="6" t="s">
        <v>5054</v>
      </c>
      <c r="J1068" s="6" t="s">
        <v>510</v>
      </c>
      <c r="K1068" s="6" t="s">
        <v>165</v>
      </c>
      <c r="L1068" s="6" t="s">
        <v>77</v>
      </c>
      <c r="M1068" s="6" t="s">
        <v>5055</v>
      </c>
    </row>
    <row r="1069" spans="1:13" ht="13" x14ac:dyDescent="0.15">
      <c r="A1069" s="5" t="str">
        <f>HYPERLINK("https://onemount.atlassian.net/browse/DBA-4409","DBA-4409")</f>
        <v>DBA-4409</v>
      </c>
      <c r="B1069" s="6" t="s">
        <v>21</v>
      </c>
      <c r="C1069" s="6" t="s">
        <v>4924</v>
      </c>
      <c r="D1069" s="8" t="s">
        <v>17</v>
      </c>
      <c r="E1069" s="6" t="s">
        <v>23</v>
      </c>
      <c r="F1069" s="6" t="s">
        <v>52</v>
      </c>
      <c r="G1069" s="6" t="s">
        <v>5056</v>
      </c>
      <c r="H1069" s="10">
        <v>46129</v>
      </c>
      <c r="I1069" s="6" t="s">
        <v>5057</v>
      </c>
      <c r="J1069" s="6" t="s">
        <v>621</v>
      </c>
      <c r="K1069" s="6" t="s">
        <v>55</v>
      </c>
      <c r="L1069" s="6" t="s">
        <v>85</v>
      </c>
      <c r="M1069" s="6" t="s">
        <v>5058</v>
      </c>
    </row>
    <row r="1070" spans="1:13" ht="13" x14ac:dyDescent="0.15">
      <c r="A1070" s="21" t="str">
        <f>HYPERLINK("https://onemount.atlassian.net/browse/DBA-4408","DBA-4408")</f>
        <v>DBA-4408</v>
      </c>
      <c r="B1070" s="6" t="s">
        <v>21</v>
      </c>
      <c r="C1070" s="6" t="s">
        <v>3289</v>
      </c>
      <c r="D1070" s="8" t="s">
        <v>17</v>
      </c>
      <c r="E1070" s="6" t="s">
        <v>23</v>
      </c>
      <c r="F1070" s="6" t="s">
        <v>24</v>
      </c>
      <c r="G1070" s="6" t="s">
        <v>5059</v>
      </c>
      <c r="H1070" s="10">
        <v>46129</v>
      </c>
      <c r="I1070" s="6" t="s">
        <v>5060</v>
      </c>
      <c r="J1070" s="6" t="s">
        <v>56</v>
      </c>
      <c r="K1070" s="6" t="s">
        <v>55</v>
      </c>
      <c r="L1070" s="6" t="s">
        <v>56</v>
      </c>
      <c r="M1070" s="6" t="s">
        <v>3292</v>
      </c>
    </row>
    <row r="1071" spans="1:13" ht="13" x14ac:dyDescent="0.15">
      <c r="A1071" s="5" t="str">
        <f>HYPERLINK("https://onemount.atlassian.net/browse/DBA-4407","DBA-4407")</f>
        <v>DBA-4407</v>
      </c>
      <c r="B1071" s="6" t="s">
        <v>21</v>
      </c>
      <c r="C1071" s="6" t="s">
        <v>5061</v>
      </c>
      <c r="D1071" s="8" t="s">
        <v>17</v>
      </c>
      <c r="E1071" s="6" t="s">
        <v>23</v>
      </c>
      <c r="F1071" s="6" t="s">
        <v>52</v>
      </c>
      <c r="G1071" s="6" t="s">
        <v>5062</v>
      </c>
      <c r="H1071" s="10">
        <v>46129</v>
      </c>
      <c r="I1071" s="6" t="s">
        <v>5063</v>
      </c>
      <c r="J1071" s="6" t="s">
        <v>977</v>
      </c>
      <c r="K1071" s="6" t="s">
        <v>55</v>
      </c>
      <c r="L1071" s="6" t="s">
        <v>979</v>
      </c>
      <c r="M1071" s="6" t="s">
        <v>5064</v>
      </c>
    </row>
    <row r="1072" spans="1:13" ht="13" x14ac:dyDescent="0.15">
      <c r="A1072" s="5" t="str">
        <f>HYPERLINK("https://onemount.atlassian.net/browse/DBA-4406","DBA-4406")</f>
        <v>DBA-4406</v>
      </c>
      <c r="B1072" s="6" t="s">
        <v>21</v>
      </c>
      <c r="C1072" s="6" t="s">
        <v>5065</v>
      </c>
      <c r="D1072" s="8" t="s">
        <v>17</v>
      </c>
      <c r="E1072" s="6" t="s">
        <v>23</v>
      </c>
      <c r="F1072" s="6" t="s">
        <v>52</v>
      </c>
      <c r="G1072" s="6" t="s">
        <v>5066</v>
      </c>
      <c r="H1072" s="10">
        <v>46129</v>
      </c>
      <c r="I1072" s="6" t="s">
        <v>5067</v>
      </c>
      <c r="J1072" s="6" t="s">
        <v>852</v>
      </c>
      <c r="K1072" s="6" t="s">
        <v>55</v>
      </c>
      <c r="L1072" s="6" t="s">
        <v>855</v>
      </c>
      <c r="M1072" s="6" t="s">
        <v>5068</v>
      </c>
    </row>
    <row r="1073" spans="1:13" ht="13" x14ac:dyDescent="0.15">
      <c r="A1073" s="5" t="str">
        <f>HYPERLINK("https://onemount.atlassian.net/browse/DBA-4403","DBA-4403")</f>
        <v>DBA-4403</v>
      </c>
      <c r="B1073" s="6" t="s">
        <v>21</v>
      </c>
      <c r="C1073" s="6" t="s">
        <v>5069</v>
      </c>
      <c r="D1073" s="8" t="s">
        <v>17</v>
      </c>
      <c r="E1073" s="6" t="s">
        <v>23</v>
      </c>
      <c r="F1073" s="6" t="s">
        <v>52</v>
      </c>
      <c r="G1073" s="6" t="s">
        <v>5070</v>
      </c>
      <c r="H1073" s="10">
        <v>46128</v>
      </c>
      <c r="I1073" s="6" t="s">
        <v>5071</v>
      </c>
      <c r="J1073" s="6" t="s">
        <v>216</v>
      </c>
      <c r="K1073" s="6" t="s">
        <v>72</v>
      </c>
      <c r="L1073" s="6" t="s">
        <v>216</v>
      </c>
      <c r="M1073" s="6" t="s">
        <v>5072</v>
      </c>
    </row>
    <row r="1074" spans="1:13" ht="13" x14ac:dyDescent="0.15">
      <c r="A1074" s="5" t="str">
        <f>HYPERLINK("https://onemount.atlassian.net/browse/DBA-4402","DBA-4402")</f>
        <v>DBA-4402</v>
      </c>
      <c r="B1074" s="6" t="s">
        <v>21</v>
      </c>
      <c r="C1074" s="6" t="s">
        <v>5073</v>
      </c>
      <c r="D1074" s="8" t="s">
        <v>17</v>
      </c>
      <c r="E1074" s="6" t="s">
        <v>23</v>
      </c>
      <c r="F1074" s="6" t="s">
        <v>52</v>
      </c>
      <c r="G1074" s="6" t="s">
        <v>5074</v>
      </c>
      <c r="H1074" s="10">
        <v>46128</v>
      </c>
      <c r="I1074" s="6" t="s">
        <v>5075</v>
      </c>
      <c r="J1074" s="6" t="s">
        <v>216</v>
      </c>
      <c r="K1074" s="6" t="s">
        <v>72</v>
      </c>
      <c r="L1074" s="6" t="s">
        <v>216</v>
      </c>
      <c r="M1074" s="6" t="s">
        <v>5076</v>
      </c>
    </row>
    <row r="1075" spans="1:13" ht="13" x14ac:dyDescent="0.15">
      <c r="A1075" s="21" t="str">
        <f>HYPERLINK("https://onemount.atlassian.net/browse/DBA-4401","DBA-4401")</f>
        <v>DBA-4401</v>
      </c>
      <c r="B1075" s="6" t="s">
        <v>21</v>
      </c>
      <c r="C1075" s="6" t="s">
        <v>4825</v>
      </c>
      <c r="D1075" s="8" t="s">
        <v>17</v>
      </c>
      <c r="E1075" s="6" t="s">
        <v>23</v>
      </c>
      <c r="F1075" s="6" t="s">
        <v>41</v>
      </c>
      <c r="G1075" s="6" t="s">
        <v>5077</v>
      </c>
      <c r="H1075" s="10">
        <v>46185</v>
      </c>
      <c r="I1075" s="6" t="s">
        <v>5078</v>
      </c>
      <c r="J1075" s="6" t="s">
        <v>72</v>
      </c>
      <c r="K1075" s="6" t="s">
        <v>46</v>
      </c>
      <c r="L1075" s="6" t="s">
        <v>99</v>
      </c>
      <c r="M1075" s="6" t="s">
        <v>4828</v>
      </c>
    </row>
    <row r="1076" spans="1:13" ht="13" x14ac:dyDescent="0.15">
      <c r="A1076" s="5" t="str">
        <f>HYPERLINK("https://onemount.atlassian.net/browse/DBA-4400","DBA-4400")</f>
        <v>DBA-4400</v>
      </c>
      <c r="B1076" s="6" t="s">
        <v>21</v>
      </c>
      <c r="C1076" s="6" t="s">
        <v>5079</v>
      </c>
      <c r="D1076" s="8" t="s">
        <v>17</v>
      </c>
      <c r="E1076" s="6" t="s">
        <v>23</v>
      </c>
      <c r="F1076" s="6" t="s">
        <v>52</v>
      </c>
      <c r="G1076" s="6" t="s">
        <v>5080</v>
      </c>
      <c r="H1076" s="10">
        <v>46129</v>
      </c>
      <c r="I1076" s="6" t="s">
        <v>5081</v>
      </c>
      <c r="J1076" s="6" t="s">
        <v>905</v>
      </c>
      <c r="K1076" s="6" t="s">
        <v>137</v>
      </c>
      <c r="L1076" s="6" t="s">
        <v>905</v>
      </c>
      <c r="M1076" s="6" t="s">
        <v>5082</v>
      </c>
    </row>
    <row r="1077" spans="1:13" ht="13" x14ac:dyDescent="0.15">
      <c r="A1077" s="5" t="str">
        <f>HYPERLINK("https://onemount.atlassian.net/browse/DBA-4398","DBA-4398")</f>
        <v>DBA-4398</v>
      </c>
      <c r="B1077" s="6" t="s">
        <v>21</v>
      </c>
      <c r="C1077" s="6" t="s">
        <v>5083</v>
      </c>
      <c r="D1077" s="8" t="s">
        <v>17</v>
      </c>
      <c r="E1077" s="6" t="s">
        <v>23</v>
      </c>
      <c r="F1077" s="6" t="s">
        <v>24</v>
      </c>
      <c r="G1077" s="6" t="s">
        <v>5084</v>
      </c>
      <c r="H1077" s="10">
        <v>46128</v>
      </c>
      <c r="I1077" s="6" t="s">
        <v>5085</v>
      </c>
      <c r="J1077" s="6" t="s">
        <v>353</v>
      </c>
      <c r="K1077" s="6" t="s">
        <v>55</v>
      </c>
      <c r="L1077" s="6" t="s">
        <v>85</v>
      </c>
      <c r="M1077" s="6" t="s">
        <v>5086</v>
      </c>
    </row>
    <row r="1078" spans="1:13" ht="13" x14ac:dyDescent="0.15">
      <c r="A1078" s="5" t="str">
        <f>HYPERLINK("https://onemount.atlassian.net/browse/DBA-4397","DBA-4397")</f>
        <v>DBA-4397</v>
      </c>
      <c r="B1078" s="6" t="s">
        <v>21</v>
      </c>
      <c r="C1078" s="6" t="s">
        <v>5087</v>
      </c>
      <c r="D1078" s="8" t="s">
        <v>17</v>
      </c>
      <c r="E1078" s="6" t="s">
        <v>23</v>
      </c>
      <c r="F1078" s="6" t="s">
        <v>31</v>
      </c>
      <c r="G1078" s="6" t="s">
        <v>5088</v>
      </c>
      <c r="H1078" s="10">
        <v>46128</v>
      </c>
      <c r="I1078" s="6" t="s">
        <v>5089</v>
      </c>
      <c r="J1078" s="6" t="s">
        <v>478</v>
      </c>
      <c r="K1078" s="6" t="s">
        <v>35</v>
      </c>
      <c r="L1078" s="6" t="s">
        <v>478</v>
      </c>
      <c r="M1078" s="6" t="s">
        <v>5090</v>
      </c>
    </row>
    <row r="1079" spans="1:13" ht="13" x14ac:dyDescent="0.15">
      <c r="A1079" s="5" t="str">
        <f>HYPERLINK("https://onemount.atlassian.net/browse/DBA-4396","DBA-4396")</f>
        <v>DBA-4396</v>
      </c>
      <c r="B1079" s="6" t="s">
        <v>21</v>
      </c>
      <c r="C1079" s="6" t="s">
        <v>5091</v>
      </c>
      <c r="D1079" s="8" t="s">
        <v>17</v>
      </c>
      <c r="E1079" s="6" t="s">
        <v>23</v>
      </c>
      <c r="F1079" s="6" t="s">
        <v>52</v>
      </c>
      <c r="G1079" s="6" t="s">
        <v>5092</v>
      </c>
      <c r="H1079" s="10">
        <v>46128</v>
      </c>
      <c r="I1079" s="6" t="s">
        <v>5093</v>
      </c>
      <c r="J1079" s="6" t="s">
        <v>5094</v>
      </c>
      <c r="K1079" s="6" t="s">
        <v>55</v>
      </c>
      <c r="L1079" s="6" t="s">
        <v>55</v>
      </c>
      <c r="M1079" s="6" t="s">
        <v>5095</v>
      </c>
    </row>
    <row r="1080" spans="1:13" ht="13" x14ac:dyDescent="0.15">
      <c r="A1080" s="5" t="str">
        <f>HYPERLINK("https://onemount.atlassian.net/browse/DBA-4393","DBA-4393")</f>
        <v>DBA-4393</v>
      </c>
      <c r="B1080" s="6" t="s">
        <v>21</v>
      </c>
      <c r="C1080" s="6" t="s">
        <v>5096</v>
      </c>
      <c r="D1080" s="8" t="s">
        <v>17</v>
      </c>
      <c r="E1080" s="6" t="s">
        <v>23</v>
      </c>
      <c r="F1080" s="6" t="s">
        <v>31</v>
      </c>
      <c r="G1080" s="6" t="s">
        <v>5097</v>
      </c>
      <c r="H1080" s="10">
        <v>46127</v>
      </c>
      <c r="I1080" s="6" t="s">
        <v>5098</v>
      </c>
      <c r="J1080" s="6" t="s">
        <v>374</v>
      </c>
      <c r="K1080" s="6" t="s">
        <v>35</v>
      </c>
      <c r="L1080" s="6" t="s">
        <v>374</v>
      </c>
      <c r="M1080" s="6" t="s">
        <v>5099</v>
      </c>
    </row>
    <row r="1081" spans="1:13" ht="13" x14ac:dyDescent="0.15">
      <c r="A1081" s="5" t="str">
        <f>HYPERLINK("https://onemount.atlassian.net/browse/DBA-4392","DBA-4392")</f>
        <v>DBA-4392</v>
      </c>
      <c r="B1081" s="6" t="s">
        <v>21</v>
      </c>
      <c r="C1081" s="6" t="s">
        <v>5100</v>
      </c>
      <c r="D1081" s="8" t="s">
        <v>17</v>
      </c>
      <c r="E1081" s="6" t="s">
        <v>23</v>
      </c>
      <c r="F1081" s="6" t="s">
        <v>52</v>
      </c>
      <c r="G1081" s="6" t="s">
        <v>5101</v>
      </c>
      <c r="H1081" s="10">
        <v>46128</v>
      </c>
      <c r="I1081" s="6" t="s">
        <v>5102</v>
      </c>
      <c r="J1081" s="6" t="s">
        <v>3721</v>
      </c>
      <c r="K1081" s="6" t="s">
        <v>137</v>
      </c>
      <c r="L1081" s="6" t="s">
        <v>431</v>
      </c>
      <c r="M1081" s="6" t="s">
        <v>5103</v>
      </c>
    </row>
    <row r="1082" spans="1:13" ht="13" x14ac:dyDescent="0.15">
      <c r="A1082" s="5" t="str">
        <f>HYPERLINK("https://onemount.atlassian.net/browse/DBA-4391","DBA-4391")</f>
        <v>DBA-4391</v>
      </c>
      <c r="B1082" s="6" t="s">
        <v>21</v>
      </c>
      <c r="C1082" s="6" t="s">
        <v>5104</v>
      </c>
      <c r="D1082" s="8" t="s">
        <v>17</v>
      </c>
      <c r="E1082" s="6" t="s">
        <v>23</v>
      </c>
      <c r="F1082" s="6" t="s">
        <v>52</v>
      </c>
      <c r="G1082" s="6" t="s">
        <v>5105</v>
      </c>
      <c r="H1082" s="10">
        <v>46128</v>
      </c>
      <c r="I1082" s="6" t="s">
        <v>5106</v>
      </c>
      <c r="J1082" s="6" t="s">
        <v>431</v>
      </c>
      <c r="K1082" s="6" t="s">
        <v>137</v>
      </c>
      <c r="L1082" s="6" t="s">
        <v>431</v>
      </c>
      <c r="M1082" s="6" t="s">
        <v>5107</v>
      </c>
    </row>
    <row r="1083" spans="1:13" ht="13" x14ac:dyDescent="0.15">
      <c r="A1083" s="5" t="str">
        <f>HYPERLINK("https://onemount.atlassian.net/browse/DBA-4389","DBA-4389")</f>
        <v>DBA-4389</v>
      </c>
      <c r="B1083" s="6" t="s">
        <v>21</v>
      </c>
      <c r="C1083" s="6" t="s">
        <v>5108</v>
      </c>
      <c r="D1083" s="8" t="s">
        <v>17</v>
      </c>
      <c r="E1083" s="6" t="s">
        <v>23</v>
      </c>
      <c r="F1083" s="6" t="s">
        <v>41</v>
      </c>
      <c r="G1083" s="6" t="s">
        <v>5109</v>
      </c>
      <c r="H1083" s="10">
        <v>46128</v>
      </c>
      <c r="I1083" s="6" t="s">
        <v>5110</v>
      </c>
      <c r="J1083" s="6" t="s">
        <v>72</v>
      </c>
      <c r="K1083" s="6" t="s">
        <v>72</v>
      </c>
      <c r="L1083" s="6" t="s">
        <v>72</v>
      </c>
      <c r="M1083" s="6" t="s">
        <v>5111</v>
      </c>
    </row>
    <row r="1084" spans="1:13" ht="13" x14ac:dyDescent="0.15">
      <c r="A1084" s="5" t="str">
        <f>HYPERLINK("https://onemount.atlassian.net/browse/DBA-4366","DBA-4366")</f>
        <v>DBA-4366</v>
      </c>
      <c r="B1084" s="6" t="s">
        <v>21</v>
      </c>
      <c r="C1084" s="6" t="s">
        <v>5112</v>
      </c>
      <c r="D1084" s="8" t="s">
        <v>17</v>
      </c>
      <c r="E1084" s="6" t="s">
        <v>23</v>
      </c>
      <c r="F1084" s="6" t="s">
        <v>41</v>
      </c>
      <c r="G1084" s="6" t="s">
        <v>5113</v>
      </c>
      <c r="H1084" s="10">
        <v>46127</v>
      </c>
      <c r="I1084" s="6" t="s">
        <v>5114</v>
      </c>
      <c r="J1084" s="6" t="s">
        <v>72</v>
      </c>
      <c r="K1084" s="6" t="s">
        <v>72</v>
      </c>
      <c r="L1084" s="6" t="s">
        <v>72</v>
      </c>
      <c r="M1084" s="6" t="s">
        <v>5115</v>
      </c>
    </row>
    <row r="1085" spans="1:13" ht="13" x14ac:dyDescent="0.15">
      <c r="A1085" s="5" t="str">
        <f>HYPERLINK("https://onemount.atlassian.net/browse/DBA-4365","DBA-4365")</f>
        <v>DBA-4365</v>
      </c>
      <c r="B1085" s="6" t="s">
        <v>21</v>
      </c>
      <c r="C1085" s="6" t="s">
        <v>5116</v>
      </c>
      <c r="D1085" s="8" t="s">
        <v>17</v>
      </c>
      <c r="E1085" s="6" t="s">
        <v>23</v>
      </c>
      <c r="F1085" s="6" t="s">
        <v>31</v>
      </c>
      <c r="G1085" s="6" t="s">
        <v>5117</v>
      </c>
      <c r="H1085" s="10">
        <v>46127</v>
      </c>
      <c r="I1085" s="6" t="s">
        <v>5118</v>
      </c>
      <c r="J1085" s="6" t="s">
        <v>128</v>
      </c>
      <c r="K1085" s="6" t="s">
        <v>35</v>
      </c>
      <c r="L1085" s="6" t="s">
        <v>129</v>
      </c>
      <c r="M1085" s="6" t="s">
        <v>5119</v>
      </c>
    </row>
    <row r="1086" spans="1:13" ht="13" x14ac:dyDescent="0.15">
      <c r="A1086" s="5" t="str">
        <f>HYPERLINK("https://onemount.atlassian.net/browse/DBA-4364","DBA-4364")</f>
        <v>DBA-4364</v>
      </c>
      <c r="B1086" s="6" t="s">
        <v>21</v>
      </c>
      <c r="C1086" s="6" t="s">
        <v>5120</v>
      </c>
      <c r="D1086" s="8" t="s">
        <v>17</v>
      </c>
      <c r="E1086" s="6" t="s">
        <v>23</v>
      </c>
      <c r="F1086" s="6" t="s">
        <v>31</v>
      </c>
      <c r="G1086" s="6" t="s">
        <v>5121</v>
      </c>
      <c r="H1086" s="10">
        <v>46128</v>
      </c>
      <c r="I1086" s="6" t="s">
        <v>5122</v>
      </c>
      <c r="J1086" s="6" t="s">
        <v>119</v>
      </c>
      <c r="K1086" s="6" t="s">
        <v>35</v>
      </c>
      <c r="L1086" s="6" t="s">
        <v>119</v>
      </c>
      <c r="M1086" s="6" t="s">
        <v>5123</v>
      </c>
    </row>
    <row r="1087" spans="1:13" ht="13" x14ac:dyDescent="0.15">
      <c r="A1087" s="21" t="str">
        <f>HYPERLINK("https://onemount.atlassian.net/browse/DBA-4363","DBA-4363")</f>
        <v>DBA-4363</v>
      </c>
      <c r="B1087" s="6" t="s">
        <v>21</v>
      </c>
      <c r="C1087" s="6" t="s">
        <v>3289</v>
      </c>
      <c r="D1087" s="8" t="s">
        <v>17</v>
      </c>
      <c r="E1087" s="6" t="s">
        <v>23</v>
      </c>
      <c r="F1087" s="6" t="s">
        <v>52</v>
      </c>
      <c r="G1087" s="6" t="s">
        <v>5124</v>
      </c>
      <c r="H1087" s="10">
        <v>46128</v>
      </c>
      <c r="I1087" s="6" t="s">
        <v>5125</v>
      </c>
      <c r="J1087" s="6" t="s">
        <v>56</v>
      </c>
      <c r="K1087" s="6" t="s">
        <v>55</v>
      </c>
      <c r="L1087" s="6" t="s">
        <v>591</v>
      </c>
      <c r="M1087" s="6" t="s">
        <v>3292</v>
      </c>
    </row>
    <row r="1088" spans="1:13" ht="13" x14ac:dyDescent="0.15">
      <c r="A1088" s="5" t="str">
        <f>HYPERLINK("https://onemount.atlassian.net/browse/DBA-4362","DBA-4362")</f>
        <v>DBA-4362</v>
      </c>
      <c r="B1088" s="6" t="s">
        <v>21</v>
      </c>
      <c r="C1088" s="6" t="s">
        <v>5126</v>
      </c>
      <c r="D1088" s="8" t="s">
        <v>17</v>
      </c>
      <c r="E1088" s="6" t="s">
        <v>23</v>
      </c>
      <c r="F1088" s="6" t="s">
        <v>52</v>
      </c>
      <c r="G1088" s="6" t="s">
        <v>5127</v>
      </c>
      <c r="H1088" s="10">
        <v>46127</v>
      </c>
      <c r="I1088" s="6" t="s">
        <v>5128</v>
      </c>
      <c r="J1088" s="6" t="s">
        <v>977</v>
      </c>
      <c r="K1088" s="6" t="s">
        <v>55</v>
      </c>
      <c r="L1088" s="6" t="s">
        <v>979</v>
      </c>
      <c r="M1088" s="6" t="s">
        <v>5129</v>
      </c>
    </row>
    <row r="1089" spans="1:13" ht="13" x14ac:dyDescent="0.15">
      <c r="A1089" s="5" t="str">
        <f>HYPERLINK("https://onemount.atlassian.net/browse/DBA-4361","DBA-4361")</f>
        <v>DBA-4361</v>
      </c>
      <c r="B1089" s="6" t="s">
        <v>21</v>
      </c>
      <c r="C1089" s="6" t="s">
        <v>4995</v>
      </c>
      <c r="D1089" s="8" t="s">
        <v>17</v>
      </c>
      <c r="E1089" s="6" t="s">
        <v>23</v>
      </c>
      <c r="F1089" s="6" t="s">
        <v>52</v>
      </c>
      <c r="G1089" s="6" t="s">
        <v>5130</v>
      </c>
      <c r="H1089" s="10">
        <v>46129</v>
      </c>
      <c r="I1089" s="6" t="s">
        <v>5131</v>
      </c>
      <c r="J1089" s="6" t="s">
        <v>2392</v>
      </c>
      <c r="K1089" s="6" t="s">
        <v>72</v>
      </c>
      <c r="L1089" s="6" t="s">
        <v>188</v>
      </c>
      <c r="M1089" s="6" t="s">
        <v>5132</v>
      </c>
    </row>
    <row r="1090" spans="1:13" ht="13" x14ac:dyDescent="0.15">
      <c r="A1090" s="5" t="str">
        <f>HYPERLINK("https://onemount.atlassian.net/browse/DBA-4360","DBA-4360")</f>
        <v>DBA-4360</v>
      </c>
      <c r="B1090" s="6" t="s">
        <v>21</v>
      </c>
      <c r="C1090" s="6" t="s">
        <v>5133</v>
      </c>
      <c r="D1090" s="8" t="s">
        <v>17</v>
      </c>
      <c r="E1090" s="6" t="s">
        <v>23</v>
      </c>
      <c r="F1090" s="6" t="s">
        <v>24</v>
      </c>
      <c r="G1090" s="6" t="s">
        <v>5134</v>
      </c>
      <c r="H1090" s="10">
        <v>46126</v>
      </c>
      <c r="I1090" s="6" t="s">
        <v>5135</v>
      </c>
      <c r="J1090" s="6" t="s">
        <v>600</v>
      </c>
      <c r="K1090" s="6" t="s">
        <v>165</v>
      </c>
      <c r="L1090" s="6" t="s">
        <v>1043</v>
      </c>
      <c r="M1090" s="6" t="s">
        <v>5136</v>
      </c>
    </row>
    <row r="1091" spans="1:13" ht="13" x14ac:dyDescent="0.15">
      <c r="A1091" s="5" t="str">
        <f>HYPERLINK("https://onemount.atlassian.net/browse/DBA-4359","DBA-4359")</f>
        <v>DBA-4359</v>
      </c>
      <c r="B1091" s="6" t="s">
        <v>21</v>
      </c>
      <c r="C1091" s="6" t="s">
        <v>5137</v>
      </c>
      <c r="D1091" s="8" t="s">
        <v>17</v>
      </c>
      <c r="E1091" s="6" t="s">
        <v>23</v>
      </c>
      <c r="F1091" s="6" t="s">
        <v>52</v>
      </c>
      <c r="G1091" s="6" t="s">
        <v>5138</v>
      </c>
      <c r="H1091" s="10">
        <v>46126</v>
      </c>
      <c r="I1091" s="6" t="s">
        <v>5139</v>
      </c>
      <c r="J1091" s="6" t="s">
        <v>85</v>
      </c>
      <c r="K1091" s="6" t="s">
        <v>55</v>
      </c>
      <c r="L1091" s="6" t="s">
        <v>85</v>
      </c>
      <c r="M1091" s="6" t="s">
        <v>5140</v>
      </c>
    </row>
    <row r="1092" spans="1:13" ht="13" x14ac:dyDescent="0.15">
      <c r="A1092" s="5" t="str">
        <f>HYPERLINK("https://onemount.atlassian.net/browse/DBA-4358","DBA-4358")</f>
        <v>DBA-4358</v>
      </c>
      <c r="B1092" s="6" t="s">
        <v>21</v>
      </c>
      <c r="C1092" s="6" t="s">
        <v>5141</v>
      </c>
      <c r="D1092" s="8" t="s">
        <v>17</v>
      </c>
      <c r="E1092" s="6" t="s">
        <v>23</v>
      </c>
      <c r="F1092" s="6" t="s">
        <v>52</v>
      </c>
      <c r="G1092" s="6" t="s">
        <v>5142</v>
      </c>
      <c r="H1092" s="10">
        <v>46127</v>
      </c>
      <c r="I1092" s="6" t="s">
        <v>5143</v>
      </c>
      <c r="J1092" s="6" t="s">
        <v>72</v>
      </c>
      <c r="K1092" s="6" t="s">
        <v>72</v>
      </c>
      <c r="L1092" s="6" t="s">
        <v>208</v>
      </c>
      <c r="M1092" s="6" t="s">
        <v>5144</v>
      </c>
    </row>
    <row r="1093" spans="1:13" ht="13" x14ac:dyDescent="0.15">
      <c r="A1093" s="5" t="str">
        <f>HYPERLINK("https://onemount.atlassian.net/browse/DBA-4357","DBA-4357")</f>
        <v>DBA-4357</v>
      </c>
      <c r="B1093" s="6" t="s">
        <v>21</v>
      </c>
      <c r="C1093" s="6" t="s">
        <v>5145</v>
      </c>
      <c r="D1093" s="8" t="s">
        <v>17</v>
      </c>
      <c r="E1093" s="6" t="s">
        <v>23</v>
      </c>
      <c r="F1093" s="6" t="s">
        <v>24</v>
      </c>
      <c r="G1093" s="6" t="s">
        <v>5146</v>
      </c>
      <c r="H1093" s="10">
        <v>46128</v>
      </c>
      <c r="I1093" s="6" t="s">
        <v>5147</v>
      </c>
      <c r="J1093" s="6" t="s">
        <v>3041</v>
      </c>
      <c r="K1093" s="6" t="s">
        <v>28</v>
      </c>
      <c r="L1093" s="6" t="s">
        <v>1140</v>
      </c>
      <c r="M1093" s="6" t="s">
        <v>5148</v>
      </c>
    </row>
    <row r="1094" spans="1:13" ht="13" x14ac:dyDescent="0.15">
      <c r="A1094" s="5" t="str">
        <f>HYPERLINK("https://onemount.atlassian.net/browse/DBA-4356","DBA-4356")</f>
        <v>DBA-4356</v>
      </c>
      <c r="B1094" s="23" t="str">
        <f>HYPERLINK("https://onemount.atlassian.net/browse/DBA-4101","DBA-4101")</f>
        <v>DBA-4101</v>
      </c>
      <c r="C1094" s="6" t="s">
        <v>5149</v>
      </c>
      <c r="D1094" s="8" t="s">
        <v>17</v>
      </c>
      <c r="E1094" s="6" t="s">
        <v>428</v>
      </c>
      <c r="F1094" s="6" t="s">
        <v>87</v>
      </c>
      <c r="G1094" s="6" t="s">
        <v>5150</v>
      </c>
      <c r="H1094" s="10">
        <v>46130</v>
      </c>
      <c r="I1094" s="6" t="s">
        <v>5151</v>
      </c>
      <c r="J1094" s="6" t="s">
        <v>395</v>
      </c>
      <c r="K1094" s="6" t="s">
        <v>46</v>
      </c>
      <c r="L1094" s="6" t="s">
        <v>146</v>
      </c>
      <c r="M1094" s="6" t="s">
        <v>5152</v>
      </c>
    </row>
    <row r="1095" spans="1:13" ht="13" x14ac:dyDescent="0.15">
      <c r="A1095" s="5" t="str">
        <f>HYPERLINK("https://onemount.atlassian.net/browse/DBA-4355","DBA-4355")</f>
        <v>DBA-4355</v>
      </c>
      <c r="B1095" s="6" t="s">
        <v>21</v>
      </c>
      <c r="C1095" s="6" t="s">
        <v>5153</v>
      </c>
      <c r="D1095" s="8" t="s">
        <v>17</v>
      </c>
      <c r="E1095" s="6" t="s">
        <v>23</v>
      </c>
      <c r="F1095" s="6" t="s">
        <v>87</v>
      </c>
      <c r="G1095" s="6" t="s">
        <v>5154</v>
      </c>
      <c r="H1095" s="10">
        <v>46127</v>
      </c>
      <c r="I1095" s="6" t="s">
        <v>5155</v>
      </c>
      <c r="J1095" s="6" t="s">
        <v>1898</v>
      </c>
      <c r="K1095" s="6" t="s">
        <v>165</v>
      </c>
      <c r="L1095" s="6" t="s">
        <v>1097</v>
      </c>
      <c r="M1095" s="6" t="s">
        <v>5156</v>
      </c>
    </row>
    <row r="1096" spans="1:13" ht="13" x14ac:dyDescent="0.15">
      <c r="A1096" s="5" t="str">
        <f>HYPERLINK("https://onemount.atlassian.net/browse/DBA-4354","DBA-4354")</f>
        <v>DBA-4354</v>
      </c>
      <c r="B1096" s="6" t="s">
        <v>21</v>
      </c>
      <c r="C1096" s="6" t="s">
        <v>5157</v>
      </c>
      <c r="D1096" s="8" t="s">
        <v>17</v>
      </c>
      <c r="E1096" s="6" t="s">
        <v>23</v>
      </c>
      <c r="F1096" s="6" t="s">
        <v>41</v>
      </c>
      <c r="G1096" s="6" t="s">
        <v>5158</v>
      </c>
      <c r="H1096" s="10">
        <v>46127</v>
      </c>
      <c r="I1096" s="6" t="s">
        <v>5159</v>
      </c>
      <c r="J1096" s="6" t="s">
        <v>72</v>
      </c>
      <c r="K1096" s="6" t="s">
        <v>72</v>
      </c>
      <c r="L1096" s="6" t="s">
        <v>72</v>
      </c>
      <c r="M1096" s="6" t="s">
        <v>5160</v>
      </c>
    </row>
    <row r="1097" spans="1:13" ht="13" x14ac:dyDescent="0.15">
      <c r="A1097" s="5" t="str">
        <f>HYPERLINK("https://onemount.atlassian.net/browse/DBA-4353","DBA-4353")</f>
        <v>DBA-4353</v>
      </c>
      <c r="B1097" s="6" t="s">
        <v>21</v>
      </c>
      <c r="C1097" s="6" t="s">
        <v>5161</v>
      </c>
      <c r="D1097" s="14" t="s">
        <v>19</v>
      </c>
      <c r="E1097" s="6" t="s">
        <v>23</v>
      </c>
      <c r="F1097" s="6" t="s">
        <v>41</v>
      </c>
      <c r="G1097" s="6" t="s">
        <v>5162</v>
      </c>
      <c r="H1097" s="10">
        <v>46120</v>
      </c>
      <c r="I1097" s="6" t="s">
        <v>44</v>
      </c>
      <c r="J1097" s="6" t="s">
        <v>5163</v>
      </c>
      <c r="K1097" s="6" t="s">
        <v>46</v>
      </c>
      <c r="L1097" s="6" t="s">
        <v>127</v>
      </c>
      <c r="M1097" s="6" t="s">
        <v>5164</v>
      </c>
    </row>
    <row r="1098" spans="1:13" ht="13" x14ac:dyDescent="0.15">
      <c r="A1098" s="5" t="str">
        <f>HYPERLINK("https://onemount.atlassian.net/browse/DBA-4352","DBA-4352")</f>
        <v>DBA-4352</v>
      </c>
      <c r="B1098" s="6" t="s">
        <v>21</v>
      </c>
      <c r="C1098" s="6" t="s">
        <v>5165</v>
      </c>
      <c r="D1098" s="8" t="s">
        <v>17</v>
      </c>
      <c r="E1098" s="6" t="s">
        <v>23</v>
      </c>
      <c r="F1098" s="6" t="s">
        <v>31</v>
      </c>
      <c r="G1098" s="6" t="s">
        <v>5166</v>
      </c>
      <c r="H1098" s="10">
        <v>46126</v>
      </c>
      <c r="I1098" s="6" t="s">
        <v>5167</v>
      </c>
      <c r="J1098" s="6" t="s">
        <v>181</v>
      </c>
      <c r="K1098" s="6" t="s">
        <v>35</v>
      </c>
      <c r="L1098" s="6" t="s">
        <v>638</v>
      </c>
      <c r="M1098" s="6" t="s">
        <v>5168</v>
      </c>
    </row>
    <row r="1099" spans="1:13" ht="13" x14ac:dyDescent="0.15">
      <c r="A1099" s="5" t="str">
        <f>HYPERLINK("https://onemount.atlassian.net/browse/DBA-4351","DBA-4351")</f>
        <v>DBA-4351</v>
      </c>
      <c r="B1099" s="6" t="s">
        <v>21</v>
      </c>
      <c r="C1099" s="6" t="s">
        <v>5169</v>
      </c>
      <c r="D1099" s="8" t="s">
        <v>17</v>
      </c>
      <c r="E1099" s="6" t="s">
        <v>23</v>
      </c>
      <c r="F1099" s="6" t="s">
        <v>52</v>
      </c>
      <c r="G1099" s="6" t="s">
        <v>5170</v>
      </c>
      <c r="H1099" s="10">
        <v>46126</v>
      </c>
      <c r="I1099" s="6" t="s">
        <v>5171</v>
      </c>
      <c r="J1099" s="6" t="s">
        <v>5172</v>
      </c>
      <c r="K1099" s="6" t="s">
        <v>55</v>
      </c>
      <c r="L1099" s="6" t="s">
        <v>85</v>
      </c>
      <c r="M1099" s="6" t="s">
        <v>5173</v>
      </c>
    </row>
    <row r="1100" spans="1:13" ht="13" x14ac:dyDescent="0.15">
      <c r="A1100" s="5" t="str">
        <f>HYPERLINK("https://onemount.atlassian.net/browse/DBA-4350","DBA-4350")</f>
        <v>DBA-4350</v>
      </c>
      <c r="B1100" s="6" t="s">
        <v>21</v>
      </c>
      <c r="C1100" s="6" t="s">
        <v>4014</v>
      </c>
      <c r="D1100" s="8" t="s">
        <v>17</v>
      </c>
      <c r="E1100" s="6" t="s">
        <v>23</v>
      </c>
      <c r="F1100" s="6" t="s">
        <v>31</v>
      </c>
      <c r="G1100" s="6" t="s">
        <v>5174</v>
      </c>
      <c r="H1100" s="10">
        <v>46127</v>
      </c>
      <c r="I1100" s="6" t="s">
        <v>5175</v>
      </c>
      <c r="J1100" s="6" t="s">
        <v>128</v>
      </c>
      <c r="K1100" s="6" t="s">
        <v>35</v>
      </c>
      <c r="L1100" s="6" t="s">
        <v>129</v>
      </c>
      <c r="M1100" s="6" t="s">
        <v>5176</v>
      </c>
    </row>
    <row r="1101" spans="1:13" ht="13" x14ac:dyDescent="0.15">
      <c r="A1101" s="5" t="str">
        <f>HYPERLINK("https://onemount.atlassian.net/browse/DBA-4349","DBA-4349")</f>
        <v>DBA-4349</v>
      </c>
      <c r="B1101" s="6" t="s">
        <v>21</v>
      </c>
      <c r="C1101" s="6" t="s">
        <v>5177</v>
      </c>
      <c r="D1101" s="8" t="s">
        <v>17</v>
      </c>
      <c r="E1101" s="6" t="s">
        <v>23</v>
      </c>
      <c r="F1101" s="6" t="s">
        <v>52</v>
      </c>
      <c r="G1101" s="6" t="s">
        <v>5178</v>
      </c>
      <c r="H1101" s="10">
        <v>46126</v>
      </c>
      <c r="I1101" s="6" t="s">
        <v>5179</v>
      </c>
      <c r="J1101" s="6" t="s">
        <v>270</v>
      </c>
      <c r="K1101" s="6" t="s">
        <v>55</v>
      </c>
      <c r="L1101" s="6" t="s">
        <v>56</v>
      </c>
      <c r="M1101" s="6" t="s">
        <v>5180</v>
      </c>
    </row>
    <row r="1102" spans="1:13" ht="13" x14ac:dyDescent="0.15">
      <c r="A1102" s="5" t="str">
        <f>HYPERLINK("https://onemount.atlassian.net/browse/DBA-4348","DBA-4348")</f>
        <v>DBA-4348</v>
      </c>
      <c r="B1102" s="6" t="s">
        <v>21</v>
      </c>
      <c r="C1102" s="6" t="s">
        <v>5181</v>
      </c>
      <c r="D1102" s="8" t="s">
        <v>17</v>
      </c>
      <c r="E1102" s="6" t="s">
        <v>23</v>
      </c>
      <c r="F1102" s="6" t="s">
        <v>52</v>
      </c>
      <c r="G1102" s="6" t="s">
        <v>5182</v>
      </c>
      <c r="H1102" s="10">
        <v>46127</v>
      </c>
      <c r="I1102" s="6" t="s">
        <v>5183</v>
      </c>
      <c r="J1102" s="6" t="s">
        <v>72</v>
      </c>
      <c r="K1102" s="6" t="s">
        <v>72</v>
      </c>
      <c r="L1102" s="6" t="s">
        <v>208</v>
      </c>
      <c r="M1102" s="6" t="s">
        <v>5184</v>
      </c>
    </row>
    <row r="1103" spans="1:13" ht="13" x14ac:dyDescent="0.15">
      <c r="A1103" s="5" t="str">
        <f>HYPERLINK("https://onemount.atlassian.net/browse/DBA-4347","DBA-4347")</f>
        <v>DBA-4347</v>
      </c>
      <c r="B1103" s="6" t="s">
        <v>21</v>
      </c>
      <c r="C1103" s="6" t="s">
        <v>5185</v>
      </c>
      <c r="D1103" s="8" t="s">
        <v>17</v>
      </c>
      <c r="E1103" s="6" t="s">
        <v>23</v>
      </c>
      <c r="F1103" s="6" t="s">
        <v>87</v>
      </c>
      <c r="G1103" s="6" t="s">
        <v>5186</v>
      </c>
      <c r="H1103" s="10">
        <v>46126</v>
      </c>
      <c r="I1103" s="6" t="s">
        <v>5187</v>
      </c>
      <c r="J1103" s="6" t="s">
        <v>5188</v>
      </c>
      <c r="K1103" s="6" t="s">
        <v>165</v>
      </c>
      <c r="L1103" s="6" t="s">
        <v>288</v>
      </c>
      <c r="M1103" s="6" t="s">
        <v>5189</v>
      </c>
    </row>
    <row r="1104" spans="1:13" ht="13" x14ac:dyDescent="0.15">
      <c r="A1104" s="5" t="str">
        <f>HYPERLINK("https://onemount.atlassian.net/browse/DBA-4346","DBA-4346")</f>
        <v>DBA-4346</v>
      </c>
      <c r="B1104" s="23" t="str">
        <f>HYPERLINK("https://onemount.atlassian.net/browse/DBA-4101","DBA-4101")</f>
        <v>DBA-4101</v>
      </c>
      <c r="C1104" s="6" t="s">
        <v>5190</v>
      </c>
      <c r="D1104" s="8" t="s">
        <v>17</v>
      </c>
      <c r="E1104" s="6" t="s">
        <v>428</v>
      </c>
      <c r="F1104" s="6" t="s">
        <v>52</v>
      </c>
      <c r="G1104" s="6" t="s">
        <v>5191</v>
      </c>
      <c r="H1104" s="10">
        <v>46127</v>
      </c>
      <c r="I1104" s="6" t="s">
        <v>5192</v>
      </c>
      <c r="J1104" s="6" t="s">
        <v>395</v>
      </c>
      <c r="K1104" s="6" t="s">
        <v>55</v>
      </c>
      <c r="L1104" s="6" t="s">
        <v>270</v>
      </c>
      <c r="M1104" s="6" t="s">
        <v>5193</v>
      </c>
    </row>
    <row r="1105" spans="1:13" ht="13" x14ac:dyDescent="0.15">
      <c r="A1105" s="21" t="str">
        <f>HYPERLINK("https://onemount.atlassian.net/browse/DBA-4345","DBA-4345")</f>
        <v>DBA-4345</v>
      </c>
      <c r="B1105" s="6" t="s">
        <v>21</v>
      </c>
      <c r="C1105" s="6" t="s">
        <v>5194</v>
      </c>
      <c r="D1105" s="8" t="s">
        <v>17</v>
      </c>
      <c r="E1105" s="6" t="s">
        <v>23</v>
      </c>
      <c r="F1105" s="6" t="s">
        <v>78</v>
      </c>
      <c r="G1105" s="6" t="s">
        <v>5195</v>
      </c>
      <c r="H1105" s="10">
        <v>46126</v>
      </c>
      <c r="I1105" s="6" t="s">
        <v>5196</v>
      </c>
      <c r="J1105" s="6" t="s">
        <v>109</v>
      </c>
      <c r="K1105" s="6" t="s">
        <v>46</v>
      </c>
      <c r="L1105" s="6" t="s">
        <v>109</v>
      </c>
      <c r="M1105" s="6" t="s">
        <v>5028</v>
      </c>
    </row>
    <row r="1106" spans="1:13" ht="13" x14ac:dyDescent="0.15">
      <c r="A1106" s="21" t="str">
        <f>HYPERLINK("https://onemount.atlassian.net/browse/DBA-4344","DBA-4344")</f>
        <v>DBA-4344</v>
      </c>
      <c r="B1106" s="6" t="s">
        <v>21</v>
      </c>
      <c r="C1106" s="6" t="s">
        <v>4995</v>
      </c>
      <c r="D1106" s="8" t="s">
        <v>17</v>
      </c>
      <c r="E1106" s="6" t="s">
        <v>23</v>
      </c>
      <c r="F1106" s="6" t="s">
        <v>52</v>
      </c>
      <c r="G1106" s="6" t="s">
        <v>5197</v>
      </c>
      <c r="H1106" s="10">
        <v>46126</v>
      </c>
      <c r="I1106" s="6" t="s">
        <v>5198</v>
      </c>
      <c r="J1106" s="6" t="s">
        <v>2392</v>
      </c>
      <c r="K1106" s="6" t="s">
        <v>72</v>
      </c>
      <c r="L1106" s="6" t="s">
        <v>188</v>
      </c>
      <c r="M1106" s="6" t="s">
        <v>4847</v>
      </c>
    </row>
    <row r="1107" spans="1:13" ht="13" x14ac:dyDescent="0.15">
      <c r="A1107" s="5" t="str">
        <f>HYPERLINK("https://onemount.atlassian.net/browse/DBA-4343","DBA-4343")</f>
        <v>DBA-4343</v>
      </c>
      <c r="B1107" s="6" t="s">
        <v>21</v>
      </c>
      <c r="C1107" s="6" t="s">
        <v>5199</v>
      </c>
      <c r="D1107" s="8" t="s">
        <v>17</v>
      </c>
      <c r="E1107" s="6" t="s">
        <v>23</v>
      </c>
      <c r="F1107" s="6" t="s">
        <v>24</v>
      </c>
      <c r="G1107" s="6" t="s">
        <v>5200</v>
      </c>
      <c r="H1107" s="10">
        <v>46126</v>
      </c>
      <c r="I1107" s="6" t="s">
        <v>5201</v>
      </c>
      <c r="J1107" s="6" t="s">
        <v>88</v>
      </c>
      <c r="K1107" s="6" t="s">
        <v>59</v>
      </c>
      <c r="L1107" s="6" t="s">
        <v>88</v>
      </c>
      <c r="M1107" s="6" t="s">
        <v>5202</v>
      </c>
    </row>
    <row r="1108" spans="1:13" ht="13" x14ac:dyDescent="0.15">
      <c r="A1108" s="5" t="str">
        <f>HYPERLINK("https://onemount.atlassian.net/browse/DBA-4341","DBA-4341")</f>
        <v>DBA-4341</v>
      </c>
      <c r="B1108" s="6" t="s">
        <v>21</v>
      </c>
      <c r="C1108" s="6" t="s">
        <v>5203</v>
      </c>
      <c r="D1108" s="8" t="s">
        <v>17</v>
      </c>
      <c r="E1108" s="6" t="s">
        <v>23</v>
      </c>
      <c r="F1108" s="6" t="s">
        <v>41</v>
      </c>
      <c r="G1108" s="6" t="s">
        <v>5204</v>
      </c>
      <c r="H1108" s="10">
        <v>46127</v>
      </c>
      <c r="I1108" s="6" t="s">
        <v>5205</v>
      </c>
      <c r="J1108" s="6" t="s">
        <v>72</v>
      </c>
      <c r="K1108" s="6" t="s">
        <v>72</v>
      </c>
      <c r="L1108" s="6" t="s">
        <v>72</v>
      </c>
      <c r="M1108" s="6" t="s">
        <v>5206</v>
      </c>
    </row>
    <row r="1109" spans="1:13" ht="13" x14ac:dyDescent="0.15">
      <c r="A1109" s="5" t="str">
        <f>HYPERLINK("https://onemount.atlassian.net/browse/DBA-4340","DBA-4340")</f>
        <v>DBA-4340</v>
      </c>
      <c r="B1109" s="6" t="s">
        <v>21</v>
      </c>
      <c r="C1109" s="6" t="s">
        <v>5207</v>
      </c>
      <c r="D1109" s="8" t="s">
        <v>17</v>
      </c>
      <c r="E1109" s="6" t="s">
        <v>1810</v>
      </c>
      <c r="F1109" s="6" t="s">
        <v>41</v>
      </c>
      <c r="G1109" s="6" t="s">
        <v>5208</v>
      </c>
      <c r="H1109" s="10">
        <v>46126</v>
      </c>
      <c r="I1109" s="6" t="s">
        <v>5209</v>
      </c>
      <c r="J1109" s="6" t="s">
        <v>109</v>
      </c>
      <c r="K1109" s="6" t="s">
        <v>46</v>
      </c>
      <c r="L1109" s="6" t="s">
        <v>109</v>
      </c>
      <c r="M1109" s="6" t="s">
        <v>5210</v>
      </c>
    </row>
    <row r="1110" spans="1:13" ht="13" x14ac:dyDescent="0.15">
      <c r="A1110" s="5" t="str">
        <f>HYPERLINK("https://onemount.atlassian.net/browse/DBA-4339","DBA-4339")</f>
        <v>DBA-4339</v>
      </c>
      <c r="B1110" s="6" t="s">
        <v>21</v>
      </c>
      <c r="C1110" s="6" t="s">
        <v>1466</v>
      </c>
      <c r="D1110" s="8" t="s">
        <v>17</v>
      </c>
      <c r="E1110" s="6" t="s">
        <v>23</v>
      </c>
      <c r="F1110" s="6" t="s">
        <v>52</v>
      </c>
      <c r="G1110" s="6" t="s">
        <v>5211</v>
      </c>
      <c r="H1110" s="10">
        <v>46123</v>
      </c>
      <c r="I1110" s="6" t="s">
        <v>5212</v>
      </c>
      <c r="J1110" s="6" t="s">
        <v>852</v>
      </c>
      <c r="K1110" s="6" t="s">
        <v>55</v>
      </c>
      <c r="L1110" s="6" t="s">
        <v>855</v>
      </c>
      <c r="M1110" s="6" t="s">
        <v>5213</v>
      </c>
    </row>
    <row r="1111" spans="1:13" ht="13" x14ac:dyDescent="0.15">
      <c r="A1111" s="5" t="str">
        <f>HYPERLINK("https://onemount.atlassian.net/browse/DBA-4338","DBA-4338")</f>
        <v>DBA-4338</v>
      </c>
      <c r="B1111" s="6" t="s">
        <v>21</v>
      </c>
      <c r="C1111" s="6" t="s">
        <v>5214</v>
      </c>
      <c r="D1111" s="8" t="s">
        <v>17</v>
      </c>
      <c r="E1111" s="6" t="s">
        <v>23</v>
      </c>
      <c r="F1111" s="6" t="s">
        <v>31</v>
      </c>
      <c r="G1111" s="6" t="s">
        <v>5215</v>
      </c>
      <c r="H1111" s="10">
        <v>46124</v>
      </c>
      <c r="I1111" s="6" t="s">
        <v>5216</v>
      </c>
      <c r="J1111" s="6" t="s">
        <v>2453</v>
      </c>
      <c r="K1111" s="6" t="s">
        <v>165</v>
      </c>
      <c r="L1111" s="6" t="s">
        <v>119</v>
      </c>
      <c r="M1111" s="6" t="s">
        <v>5217</v>
      </c>
    </row>
    <row r="1112" spans="1:13" ht="13" x14ac:dyDescent="0.15">
      <c r="A1112" s="5" t="str">
        <f>HYPERLINK("https://onemount.atlassian.net/browse/DBA-4337","DBA-4337")</f>
        <v>DBA-4337</v>
      </c>
      <c r="B1112" s="6" t="s">
        <v>21</v>
      </c>
      <c r="C1112" s="6" t="s">
        <v>5218</v>
      </c>
      <c r="D1112" s="8" t="s">
        <v>17</v>
      </c>
      <c r="E1112" s="6" t="s">
        <v>23</v>
      </c>
      <c r="F1112" s="6" t="s">
        <v>31</v>
      </c>
      <c r="G1112" s="6" t="s">
        <v>5219</v>
      </c>
      <c r="H1112" s="10">
        <v>46122</v>
      </c>
      <c r="I1112" s="6" t="s">
        <v>5220</v>
      </c>
      <c r="J1112" s="6" t="s">
        <v>128</v>
      </c>
      <c r="K1112" s="6" t="s">
        <v>35</v>
      </c>
      <c r="L1112" s="6" t="s">
        <v>129</v>
      </c>
      <c r="M1112" s="6" t="s">
        <v>5221</v>
      </c>
    </row>
    <row r="1113" spans="1:13" ht="13" x14ac:dyDescent="0.15">
      <c r="A1113" s="5" t="str">
        <f>HYPERLINK("https://onemount.atlassian.net/browse/DBA-4336","DBA-4336")</f>
        <v>DBA-4336</v>
      </c>
      <c r="B1113" s="6" t="s">
        <v>21</v>
      </c>
      <c r="C1113" s="6" t="s">
        <v>481</v>
      </c>
      <c r="D1113" s="8" t="s">
        <v>17</v>
      </c>
      <c r="E1113" s="6" t="s">
        <v>23</v>
      </c>
      <c r="F1113" s="6" t="s">
        <v>24</v>
      </c>
      <c r="G1113" s="6" t="s">
        <v>5222</v>
      </c>
      <c r="H1113" s="10">
        <v>46123</v>
      </c>
      <c r="I1113" s="6" t="s">
        <v>5223</v>
      </c>
      <c r="J1113" s="6" t="s">
        <v>88</v>
      </c>
      <c r="K1113" s="6" t="s">
        <v>59</v>
      </c>
      <c r="L1113" s="6" t="s">
        <v>88</v>
      </c>
      <c r="M1113" s="6" t="s">
        <v>5224</v>
      </c>
    </row>
    <row r="1114" spans="1:13" ht="13" x14ac:dyDescent="0.15">
      <c r="A1114" s="5" t="str">
        <f>HYPERLINK("https://onemount.atlassian.net/browse/DBA-4335","DBA-4335")</f>
        <v>DBA-4335</v>
      </c>
      <c r="B1114" s="23" t="str">
        <f t="shared" ref="B1114:B1116" si="11">HYPERLINK("https://onemount.atlassian.net/browse/DBA-4332","DBA-4332")</f>
        <v>DBA-4332</v>
      </c>
      <c r="C1114" s="6" t="s">
        <v>5225</v>
      </c>
      <c r="D1114" s="8" t="s">
        <v>17</v>
      </c>
      <c r="E1114" s="6" t="s">
        <v>428</v>
      </c>
      <c r="F1114" s="6" t="s">
        <v>24</v>
      </c>
      <c r="G1114" s="6" t="s">
        <v>5226</v>
      </c>
      <c r="H1114" s="10">
        <v>46123</v>
      </c>
      <c r="I1114" s="6" t="s">
        <v>5227</v>
      </c>
      <c r="J1114" s="6" t="s">
        <v>2796</v>
      </c>
      <c r="K1114" s="6" t="s">
        <v>55</v>
      </c>
      <c r="L1114" s="6" t="s">
        <v>835</v>
      </c>
      <c r="M1114" s="6" t="s">
        <v>5228</v>
      </c>
    </row>
    <row r="1115" spans="1:13" ht="13" x14ac:dyDescent="0.15">
      <c r="A1115" s="5" t="str">
        <f>HYPERLINK("https://onemount.atlassian.net/browse/DBA-4334","DBA-4334")</f>
        <v>DBA-4334</v>
      </c>
      <c r="B1115" s="23" t="str">
        <f t="shared" si="11"/>
        <v>DBA-4332</v>
      </c>
      <c r="C1115" s="6" t="s">
        <v>5229</v>
      </c>
      <c r="D1115" s="8" t="s">
        <v>17</v>
      </c>
      <c r="E1115" s="6" t="s">
        <v>428</v>
      </c>
      <c r="F1115" s="6" t="s">
        <v>24</v>
      </c>
      <c r="G1115" s="6" t="s">
        <v>5230</v>
      </c>
      <c r="H1115" s="10">
        <v>46123</v>
      </c>
      <c r="I1115" s="6" t="s">
        <v>5231</v>
      </c>
      <c r="J1115" s="6" t="s">
        <v>2796</v>
      </c>
      <c r="K1115" s="6" t="s">
        <v>55</v>
      </c>
      <c r="L1115" s="6" t="s">
        <v>835</v>
      </c>
      <c r="M1115" s="6" t="s">
        <v>5232</v>
      </c>
    </row>
    <row r="1116" spans="1:13" ht="13" x14ac:dyDescent="0.15">
      <c r="A1116" s="21" t="str">
        <f>HYPERLINK("https://onemount.atlassian.net/browse/DBA-4333","DBA-4333")</f>
        <v>DBA-4333</v>
      </c>
      <c r="B1116" s="23" t="str">
        <f t="shared" si="11"/>
        <v>DBA-4332</v>
      </c>
      <c r="C1116" s="6" t="s">
        <v>5233</v>
      </c>
      <c r="D1116" s="8" t="s">
        <v>17</v>
      </c>
      <c r="E1116" s="6" t="s">
        <v>428</v>
      </c>
      <c r="F1116" s="6" t="s">
        <v>24</v>
      </c>
      <c r="G1116" s="6" t="s">
        <v>5234</v>
      </c>
      <c r="H1116" s="10">
        <v>46123</v>
      </c>
      <c r="I1116" s="6" t="s">
        <v>5235</v>
      </c>
      <c r="J1116" s="6" t="s">
        <v>2796</v>
      </c>
      <c r="K1116" s="6" t="s">
        <v>55</v>
      </c>
      <c r="L1116" s="6" t="s">
        <v>835</v>
      </c>
      <c r="M1116" s="6" t="s">
        <v>3895</v>
      </c>
    </row>
    <row r="1117" spans="1:13" ht="13" x14ac:dyDescent="0.15">
      <c r="A1117" s="5" t="str">
        <f>HYPERLINK("https://onemount.atlassian.net/browse/DBA-4332","DBA-4332")</f>
        <v>DBA-4332</v>
      </c>
      <c r="B1117" s="23" t="str">
        <f>HYPERLINK("https://onemount.atlassian.net/browse/DBA-3006","DBA-3006")</f>
        <v>DBA-3006</v>
      </c>
      <c r="C1117" s="6" t="s">
        <v>5236</v>
      </c>
      <c r="D1117" s="8" t="s">
        <v>17</v>
      </c>
      <c r="E1117" s="6" t="s">
        <v>23</v>
      </c>
      <c r="F1117" s="6" t="s">
        <v>24</v>
      </c>
      <c r="G1117" s="6" t="s">
        <v>5237</v>
      </c>
      <c r="H1117" s="10">
        <v>46126</v>
      </c>
      <c r="I1117" s="6" t="s">
        <v>5238</v>
      </c>
      <c r="J1117" s="6" t="s">
        <v>2796</v>
      </c>
      <c r="K1117" s="6" t="s">
        <v>55</v>
      </c>
      <c r="L1117" s="6" t="s">
        <v>835</v>
      </c>
      <c r="M1117" s="6" t="s">
        <v>5239</v>
      </c>
    </row>
    <row r="1118" spans="1:13" ht="13" x14ac:dyDescent="0.15">
      <c r="A1118" s="5" t="str">
        <f>HYPERLINK("https://onemount.atlassian.net/browse/DBA-4331","DBA-4331")</f>
        <v>DBA-4331</v>
      </c>
      <c r="B1118" s="6" t="s">
        <v>21</v>
      </c>
      <c r="C1118" s="6" t="s">
        <v>5240</v>
      </c>
      <c r="D1118" s="8" t="s">
        <v>17</v>
      </c>
      <c r="E1118" s="6" t="s">
        <v>23</v>
      </c>
      <c r="F1118" s="6" t="s">
        <v>24</v>
      </c>
      <c r="G1118" s="6" t="s">
        <v>5241</v>
      </c>
      <c r="H1118" s="10">
        <v>46123</v>
      </c>
      <c r="I1118" s="6" t="s">
        <v>5242</v>
      </c>
      <c r="J1118" s="6" t="s">
        <v>77</v>
      </c>
      <c r="K1118" s="6" t="s">
        <v>165</v>
      </c>
      <c r="L1118" s="6" t="s">
        <v>77</v>
      </c>
      <c r="M1118" s="6" t="s">
        <v>5243</v>
      </c>
    </row>
    <row r="1119" spans="1:13" ht="13" x14ac:dyDescent="0.15">
      <c r="A1119" s="5" t="str">
        <f>HYPERLINK("https://onemount.atlassian.net/browse/DBA-4330","DBA-4330")</f>
        <v>DBA-4330</v>
      </c>
      <c r="B1119" s="6" t="s">
        <v>21</v>
      </c>
      <c r="C1119" s="6" t="s">
        <v>5244</v>
      </c>
      <c r="D1119" s="8" t="s">
        <v>17</v>
      </c>
      <c r="E1119" s="6" t="s">
        <v>23</v>
      </c>
      <c r="F1119" s="6" t="s">
        <v>52</v>
      </c>
      <c r="G1119" s="6" t="s">
        <v>5245</v>
      </c>
      <c r="H1119" s="10">
        <v>46122</v>
      </c>
      <c r="I1119" s="6" t="s">
        <v>5246</v>
      </c>
      <c r="J1119" s="6" t="s">
        <v>4792</v>
      </c>
      <c r="K1119" s="6" t="s">
        <v>55</v>
      </c>
      <c r="L1119" s="6" t="s">
        <v>270</v>
      </c>
      <c r="M1119" s="6" t="s">
        <v>5247</v>
      </c>
    </row>
    <row r="1120" spans="1:13" ht="13" x14ac:dyDescent="0.15">
      <c r="A1120" s="5" t="str">
        <f>HYPERLINK("https://onemount.atlassian.net/browse/DBA-4329","DBA-4329")</f>
        <v>DBA-4329</v>
      </c>
      <c r="B1120" s="6" t="s">
        <v>21</v>
      </c>
      <c r="C1120" s="6" t="s">
        <v>5248</v>
      </c>
      <c r="D1120" s="8" t="s">
        <v>17</v>
      </c>
      <c r="E1120" s="6" t="s">
        <v>23</v>
      </c>
      <c r="F1120" s="6" t="s">
        <v>24</v>
      </c>
      <c r="G1120" s="6" t="s">
        <v>5249</v>
      </c>
      <c r="H1120" s="10">
        <v>46123</v>
      </c>
      <c r="I1120" s="6" t="s">
        <v>5250</v>
      </c>
      <c r="J1120" s="6" t="s">
        <v>88</v>
      </c>
      <c r="K1120" s="6" t="s">
        <v>59</v>
      </c>
      <c r="L1120" s="6" t="s">
        <v>88</v>
      </c>
      <c r="M1120" s="6" t="s">
        <v>5251</v>
      </c>
    </row>
    <row r="1121" spans="1:13" ht="13" x14ac:dyDescent="0.15">
      <c r="A1121" s="5" t="str">
        <f>HYPERLINK("https://onemount.atlassian.net/browse/DBA-4328","DBA-4328")</f>
        <v>DBA-4328</v>
      </c>
      <c r="B1121" s="23" t="str">
        <f t="shared" ref="B1121:B1122" si="12">HYPERLINK("https://onemount.atlassian.net/browse/DBA-4101","DBA-4101")</f>
        <v>DBA-4101</v>
      </c>
      <c r="C1121" s="6" t="s">
        <v>5252</v>
      </c>
      <c r="D1121" s="8" t="s">
        <v>17</v>
      </c>
      <c r="E1121" s="6" t="s">
        <v>428</v>
      </c>
      <c r="F1121" s="6" t="s">
        <v>87</v>
      </c>
      <c r="G1121" s="6" t="s">
        <v>5253</v>
      </c>
      <c r="H1121" s="10">
        <v>46140</v>
      </c>
      <c r="I1121" s="6" t="s">
        <v>5254</v>
      </c>
      <c r="J1121" s="6" t="s">
        <v>395</v>
      </c>
      <c r="K1121" s="6" t="s">
        <v>46</v>
      </c>
      <c r="L1121" s="6" t="s">
        <v>146</v>
      </c>
      <c r="M1121" s="6" t="s">
        <v>5255</v>
      </c>
    </row>
    <row r="1122" spans="1:13" ht="13" x14ac:dyDescent="0.15">
      <c r="A1122" s="5" t="str">
        <f>HYPERLINK("https://onemount.atlassian.net/browse/DBA-4327","DBA-4327")</f>
        <v>DBA-4327</v>
      </c>
      <c r="B1122" s="23" t="str">
        <f t="shared" si="12"/>
        <v>DBA-4101</v>
      </c>
      <c r="C1122" s="6" t="s">
        <v>5256</v>
      </c>
      <c r="D1122" s="8" t="s">
        <v>17</v>
      </c>
      <c r="E1122" s="6" t="s">
        <v>428</v>
      </c>
      <c r="F1122" s="6" t="s">
        <v>87</v>
      </c>
      <c r="G1122" s="6" t="s">
        <v>5257</v>
      </c>
      <c r="H1122" s="10">
        <v>46128</v>
      </c>
      <c r="I1122" s="6" t="s">
        <v>5258</v>
      </c>
      <c r="J1122" s="6" t="s">
        <v>395</v>
      </c>
      <c r="K1122" s="6" t="s">
        <v>46</v>
      </c>
      <c r="L1122" s="6" t="s">
        <v>146</v>
      </c>
      <c r="M1122" s="6" t="s">
        <v>5259</v>
      </c>
    </row>
    <row r="1123" spans="1:13" ht="13" x14ac:dyDescent="0.15">
      <c r="A1123" s="5" t="str">
        <f>HYPERLINK("https://onemount.atlassian.net/browse/DBA-4325","DBA-4325")</f>
        <v>DBA-4325</v>
      </c>
      <c r="B1123" s="6" t="s">
        <v>21</v>
      </c>
      <c r="C1123" s="6" t="s">
        <v>481</v>
      </c>
      <c r="D1123" s="8" t="s">
        <v>17</v>
      </c>
      <c r="E1123" s="6" t="s">
        <v>23</v>
      </c>
      <c r="F1123" s="6" t="s">
        <v>24</v>
      </c>
      <c r="G1123" s="6" t="s">
        <v>5260</v>
      </c>
      <c r="H1123" s="10">
        <v>46122</v>
      </c>
      <c r="I1123" s="6" t="s">
        <v>5261</v>
      </c>
      <c r="J1123" s="6" t="s">
        <v>88</v>
      </c>
      <c r="K1123" s="6" t="s">
        <v>59</v>
      </c>
      <c r="L1123" s="6" t="s">
        <v>88</v>
      </c>
      <c r="M1123" s="6" t="s">
        <v>5262</v>
      </c>
    </row>
    <row r="1124" spans="1:13" ht="13" x14ac:dyDescent="0.15">
      <c r="A1124" s="5" t="str">
        <f>HYPERLINK("https://onemount.atlassian.net/browse/DBA-4324","DBA-4324")</f>
        <v>DBA-4324</v>
      </c>
      <c r="B1124" s="23" t="str">
        <f t="shared" ref="B1124:B1125" si="13">HYPERLINK("https://onemount.atlassian.net/browse/DBA-4101","DBA-4101")</f>
        <v>DBA-4101</v>
      </c>
      <c r="C1124" s="6" t="s">
        <v>5263</v>
      </c>
      <c r="D1124" s="8" t="s">
        <v>17</v>
      </c>
      <c r="E1124" s="6" t="s">
        <v>428</v>
      </c>
      <c r="F1124" s="6" t="s">
        <v>24</v>
      </c>
      <c r="G1124" s="6" t="s">
        <v>5264</v>
      </c>
      <c r="H1124" s="10">
        <v>46122</v>
      </c>
      <c r="I1124" s="6" t="s">
        <v>5265</v>
      </c>
      <c r="J1124" s="6" t="s">
        <v>395</v>
      </c>
      <c r="K1124" s="6" t="s">
        <v>46</v>
      </c>
      <c r="L1124" s="6" t="s">
        <v>395</v>
      </c>
      <c r="M1124" s="6" t="s">
        <v>5266</v>
      </c>
    </row>
    <row r="1125" spans="1:13" ht="13" x14ac:dyDescent="0.15">
      <c r="A1125" s="5" t="str">
        <f>HYPERLINK("https://onemount.atlassian.net/browse/DBA-4323","DBA-4323")</f>
        <v>DBA-4323</v>
      </c>
      <c r="B1125" s="23" t="str">
        <f t="shared" si="13"/>
        <v>DBA-4101</v>
      </c>
      <c r="C1125" s="6" t="s">
        <v>5267</v>
      </c>
      <c r="D1125" s="8" t="s">
        <v>17</v>
      </c>
      <c r="E1125" s="6" t="s">
        <v>428</v>
      </c>
      <c r="F1125" s="6" t="s">
        <v>24</v>
      </c>
      <c r="G1125" s="6" t="s">
        <v>5268</v>
      </c>
      <c r="H1125" s="10">
        <v>46125</v>
      </c>
      <c r="I1125" s="6" t="s">
        <v>5269</v>
      </c>
      <c r="J1125" s="6" t="s">
        <v>395</v>
      </c>
      <c r="K1125" s="6" t="s">
        <v>35</v>
      </c>
      <c r="L1125" s="6" t="s">
        <v>395</v>
      </c>
      <c r="M1125" s="6" t="s">
        <v>5270</v>
      </c>
    </row>
    <row r="1126" spans="1:13" ht="13" x14ac:dyDescent="0.15">
      <c r="A1126" s="5" t="str">
        <f>HYPERLINK("https://onemount.atlassian.net/browse/DBA-4322","DBA-4322")</f>
        <v>DBA-4322</v>
      </c>
      <c r="B1126" s="6" t="s">
        <v>21</v>
      </c>
      <c r="C1126" s="6" t="s">
        <v>5271</v>
      </c>
      <c r="D1126" s="8" t="s">
        <v>17</v>
      </c>
      <c r="E1126" s="6" t="s">
        <v>23</v>
      </c>
      <c r="F1126" s="6" t="s">
        <v>31</v>
      </c>
      <c r="G1126" s="6" t="s">
        <v>5272</v>
      </c>
      <c r="H1126" s="10">
        <v>46123</v>
      </c>
      <c r="I1126" s="6" t="s">
        <v>5273</v>
      </c>
      <c r="J1126" s="6" t="s">
        <v>478</v>
      </c>
      <c r="K1126" s="6" t="s">
        <v>35</v>
      </c>
      <c r="L1126" s="6" t="s">
        <v>129</v>
      </c>
      <c r="M1126" s="6" t="s">
        <v>5274</v>
      </c>
    </row>
    <row r="1127" spans="1:13" ht="13" x14ac:dyDescent="0.15">
      <c r="A1127" s="5" t="str">
        <f>HYPERLINK("https://onemount.atlassian.net/browse/DBA-4321","DBA-4321")</f>
        <v>DBA-4321</v>
      </c>
      <c r="B1127" s="6" t="s">
        <v>21</v>
      </c>
      <c r="C1127" s="6" t="s">
        <v>5275</v>
      </c>
      <c r="D1127" s="8" t="s">
        <v>17</v>
      </c>
      <c r="E1127" s="6" t="s">
        <v>23</v>
      </c>
      <c r="F1127" s="6" t="s">
        <v>31</v>
      </c>
      <c r="G1127" s="6" t="s">
        <v>5276</v>
      </c>
      <c r="H1127" s="10">
        <v>46123</v>
      </c>
      <c r="I1127" s="6" t="s">
        <v>5277</v>
      </c>
      <c r="J1127" s="6" t="s">
        <v>638</v>
      </c>
      <c r="K1127" s="6" t="s">
        <v>35</v>
      </c>
      <c r="L1127" s="6" t="s">
        <v>638</v>
      </c>
      <c r="M1127" s="6" t="s">
        <v>5278</v>
      </c>
    </row>
    <row r="1128" spans="1:13" ht="13" x14ac:dyDescent="0.15">
      <c r="A1128" s="5" t="str">
        <f>HYPERLINK("https://onemount.atlassian.net/browse/DBA-4319","DBA-4319")</f>
        <v>DBA-4319</v>
      </c>
      <c r="B1128" s="6" t="s">
        <v>21</v>
      </c>
      <c r="C1128" s="6" t="s">
        <v>5279</v>
      </c>
      <c r="D1128" s="8" t="s">
        <v>17</v>
      </c>
      <c r="E1128" s="6" t="s">
        <v>23</v>
      </c>
      <c r="F1128" s="6" t="s">
        <v>24</v>
      </c>
      <c r="G1128" s="6" t="s">
        <v>5280</v>
      </c>
      <c r="H1128" s="10">
        <v>46122</v>
      </c>
      <c r="I1128" s="6" t="s">
        <v>5281</v>
      </c>
      <c r="J1128" s="6" t="s">
        <v>3553</v>
      </c>
      <c r="K1128" s="6" t="s">
        <v>165</v>
      </c>
      <c r="L1128" s="6" t="s">
        <v>39</v>
      </c>
      <c r="M1128" s="6" t="s">
        <v>5282</v>
      </c>
    </row>
    <row r="1129" spans="1:13" ht="13" x14ac:dyDescent="0.15">
      <c r="A1129" s="5" t="str">
        <f>HYPERLINK("https://onemount.atlassian.net/browse/DBA-4318","DBA-4318")</f>
        <v>DBA-4318</v>
      </c>
      <c r="B1129" s="6" t="s">
        <v>21</v>
      </c>
      <c r="C1129" s="6" t="s">
        <v>5283</v>
      </c>
      <c r="D1129" s="8" t="s">
        <v>17</v>
      </c>
      <c r="E1129" s="6" t="s">
        <v>23</v>
      </c>
      <c r="F1129" s="6" t="s">
        <v>52</v>
      </c>
      <c r="G1129" s="6" t="s">
        <v>5284</v>
      </c>
      <c r="H1129" s="10">
        <v>46122</v>
      </c>
      <c r="I1129" s="6" t="s">
        <v>5285</v>
      </c>
      <c r="J1129" s="6" t="s">
        <v>5163</v>
      </c>
      <c r="K1129" s="6" t="s">
        <v>46</v>
      </c>
      <c r="L1129" s="6" t="s">
        <v>127</v>
      </c>
      <c r="M1129" s="6" t="s">
        <v>5286</v>
      </c>
    </row>
    <row r="1130" spans="1:13" ht="13" x14ac:dyDescent="0.15">
      <c r="A1130" s="5" t="str">
        <f>HYPERLINK("https://onemount.atlassian.net/browse/DBA-4317","DBA-4317")</f>
        <v>DBA-4317</v>
      </c>
      <c r="B1130" s="6" t="s">
        <v>21</v>
      </c>
      <c r="C1130" s="6" t="s">
        <v>3289</v>
      </c>
      <c r="D1130" s="8" t="s">
        <v>17</v>
      </c>
      <c r="E1130" s="6" t="s">
        <v>23</v>
      </c>
      <c r="F1130" s="6" t="s">
        <v>52</v>
      </c>
      <c r="G1130" s="6" t="s">
        <v>5287</v>
      </c>
      <c r="H1130" s="10">
        <v>46121</v>
      </c>
      <c r="I1130" s="6" t="s">
        <v>5288</v>
      </c>
      <c r="J1130" s="6" t="s">
        <v>56</v>
      </c>
      <c r="K1130" s="6" t="s">
        <v>55</v>
      </c>
      <c r="L1130" s="6" t="s">
        <v>56</v>
      </c>
      <c r="M1130" s="6" t="s">
        <v>5289</v>
      </c>
    </row>
    <row r="1131" spans="1:13" ht="13" x14ac:dyDescent="0.15">
      <c r="A1131" s="5" t="str">
        <f>HYPERLINK("https://onemount.atlassian.net/browse/DBA-4316","DBA-4316")</f>
        <v>DBA-4316</v>
      </c>
      <c r="B1131" s="6" t="s">
        <v>21</v>
      </c>
      <c r="C1131" s="6" t="s">
        <v>2722</v>
      </c>
      <c r="D1131" s="8" t="s">
        <v>17</v>
      </c>
      <c r="E1131" s="6" t="s">
        <v>23</v>
      </c>
      <c r="F1131" s="6" t="s">
        <v>52</v>
      </c>
      <c r="G1131" s="6" t="s">
        <v>5290</v>
      </c>
      <c r="H1131" s="10">
        <v>46122</v>
      </c>
      <c r="I1131" s="6" t="s">
        <v>5291</v>
      </c>
      <c r="J1131" s="6" t="s">
        <v>463</v>
      </c>
      <c r="K1131" s="6" t="s">
        <v>55</v>
      </c>
      <c r="L1131" s="6" t="s">
        <v>254</v>
      </c>
      <c r="M1131" s="6" t="s">
        <v>5292</v>
      </c>
    </row>
    <row r="1132" spans="1:13" ht="13" x14ac:dyDescent="0.15">
      <c r="A1132" s="5" t="str">
        <f>HYPERLINK("https://onemount.atlassian.net/browse/DBA-4315","DBA-4315")</f>
        <v>DBA-4315</v>
      </c>
      <c r="B1132" s="6" t="s">
        <v>21</v>
      </c>
      <c r="C1132" s="6" t="s">
        <v>5293</v>
      </c>
      <c r="D1132" s="8" t="s">
        <v>17</v>
      </c>
      <c r="E1132" s="6" t="s">
        <v>23</v>
      </c>
      <c r="F1132" s="6" t="s">
        <v>52</v>
      </c>
      <c r="G1132" s="6" t="s">
        <v>5294</v>
      </c>
      <c r="H1132" s="10">
        <v>46122</v>
      </c>
      <c r="I1132" s="6" t="s">
        <v>5295</v>
      </c>
      <c r="J1132" s="6" t="s">
        <v>463</v>
      </c>
      <c r="K1132" s="6" t="s">
        <v>55</v>
      </c>
      <c r="L1132" s="6" t="s">
        <v>254</v>
      </c>
      <c r="M1132" s="6" t="s">
        <v>5296</v>
      </c>
    </row>
    <row r="1133" spans="1:13" ht="13" x14ac:dyDescent="0.15">
      <c r="A1133" s="21" t="str">
        <f>HYPERLINK("https://onemount.atlassian.net/browse/DBA-4313","DBA-4313")</f>
        <v>DBA-4313</v>
      </c>
      <c r="B1133" s="6" t="s">
        <v>21</v>
      </c>
      <c r="C1133" s="6" t="s">
        <v>5297</v>
      </c>
      <c r="D1133" s="8" t="s">
        <v>17</v>
      </c>
      <c r="E1133" s="6" t="s">
        <v>23</v>
      </c>
      <c r="F1133" s="6" t="s">
        <v>41</v>
      </c>
      <c r="G1133" s="6" t="s">
        <v>5298</v>
      </c>
      <c r="H1133" s="10">
        <v>46122</v>
      </c>
      <c r="I1133" s="6" t="s">
        <v>5299</v>
      </c>
      <c r="J1133" s="6" t="s">
        <v>5300</v>
      </c>
      <c r="K1133" s="6" t="s">
        <v>72</v>
      </c>
      <c r="L1133" s="6" t="s">
        <v>103</v>
      </c>
      <c r="M1133" s="6" t="s">
        <v>5301</v>
      </c>
    </row>
    <row r="1134" spans="1:13" ht="13" x14ac:dyDescent="0.15">
      <c r="A1134" s="21" t="str">
        <f>HYPERLINK("https://onemount.atlassian.net/browse/DBA-4312","DBA-4312")</f>
        <v>DBA-4312</v>
      </c>
      <c r="B1134" s="6" t="s">
        <v>21</v>
      </c>
      <c r="C1134" s="6" t="s">
        <v>5302</v>
      </c>
      <c r="D1134" s="8" t="s">
        <v>17</v>
      </c>
      <c r="E1134" s="6" t="s">
        <v>23</v>
      </c>
      <c r="F1134" s="6" t="s">
        <v>52</v>
      </c>
      <c r="G1134" s="6" t="s">
        <v>5303</v>
      </c>
      <c r="H1134" s="10">
        <v>46121</v>
      </c>
      <c r="I1134" s="6" t="s">
        <v>5304</v>
      </c>
      <c r="J1134" s="6" t="s">
        <v>2392</v>
      </c>
      <c r="K1134" s="6" t="s">
        <v>72</v>
      </c>
      <c r="L1134" s="6" t="s">
        <v>188</v>
      </c>
      <c r="M1134" s="6" t="s">
        <v>5305</v>
      </c>
    </row>
    <row r="1135" spans="1:13" ht="13" x14ac:dyDescent="0.15">
      <c r="A1135" s="5" t="str">
        <f>HYPERLINK("https://onemount.atlassian.net/browse/DBA-4311","DBA-4311")</f>
        <v>DBA-4311</v>
      </c>
      <c r="B1135" s="6" t="s">
        <v>21</v>
      </c>
      <c r="C1135" s="6" t="s">
        <v>5161</v>
      </c>
      <c r="D1135" s="8" t="s">
        <v>17</v>
      </c>
      <c r="E1135" s="6" t="s">
        <v>23</v>
      </c>
      <c r="F1135" s="6" t="s">
        <v>52</v>
      </c>
      <c r="G1135" s="6" t="s">
        <v>5306</v>
      </c>
      <c r="H1135" s="10">
        <v>46122</v>
      </c>
      <c r="I1135" s="6" t="s">
        <v>5307</v>
      </c>
      <c r="J1135" s="6" t="s">
        <v>5163</v>
      </c>
      <c r="K1135" s="6" t="s">
        <v>46</v>
      </c>
      <c r="L1135" s="6" t="s">
        <v>127</v>
      </c>
      <c r="M1135" s="6" t="s">
        <v>5308</v>
      </c>
    </row>
    <row r="1136" spans="1:13" ht="13" x14ac:dyDescent="0.15">
      <c r="A1136" s="5" t="str">
        <f>HYPERLINK("https://onemount.atlassian.net/browse/DBA-4309","DBA-4309")</f>
        <v>DBA-4309</v>
      </c>
      <c r="B1136" s="6" t="s">
        <v>21</v>
      </c>
      <c r="C1136" s="6" t="s">
        <v>5309</v>
      </c>
      <c r="D1136" s="8" t="s">
        <v>17</v>
      </c>
      <c r="E1136" s="6" t="s">
        <v>23</v>
      </c>
      <c r="F1136" s="6" t="s">
        <v>24</v>
      </c>
      <c r="G1136" s="6" t="s">
        <v>5310</v>
      </c>
      <c r="H1136" s="10">
        <v>46122</v>
      </c>
      <c r="I1136" s="6" t="s">
        <v>5311</v>
      </c>
      <c r="J1136" s="6" t="s">
        <v>3553</v>
      </c>
      <c r="K1136" s="6" t="s">
        <v>165</v>
      </c>
      <c r="L1136" s="6" t="s">
        <v>39</v>
      </c>
      <c r="M1136" s="6" t="s">
        <v>5312</v>
      </c>
    </row>
    <row r="1137" spans="1:13" ht="13" x14ac:dyDescent="0.15">
      <c r="A1137" s="5" t="str">
        <f>HYPERLINK("https://onemount.atlassian.net/browse/DBA-4308","DBA-4308")</f>
        <v>DBA-4308</v>
      </c>
      <c r="B1137" s="23" t="str">
        <f>HYPERLINK("https://onemount.atlassian.net/browse/DBA-4101","DBA-4101")</f>
        <v>DBA-4101</v>
      </c>
      <c r="C1137" s="6" t="s">
        <v>5313</v>
      </c>
      <c r="D1137" s="8" t="s">
        <v>17</v>
      </c>
      <c r="E1137" s="6" t="s">
        <v>428</v>
      </c>
      <c r="F1137" s="6" t="s">
        <v>24</v>
      </c>
      <c r="G1137" s="6" t="s">
        <v>5314</v>
      </c>
      <c r="H1137" s="10">
        <v>46127</v>
      </c>
      <c r="I1137" s="6" t="s">
        <v>5315</v>
      </c>
      <c r="J1137" s="6" t="s">
        <v>395</v>
      </c>
      <c r="K1137" s="6" t="s">
        <v>165</v>
      </c>
      <c r="L1137" s="6" t="s">
        <v>395</v>
      </c>
      <c r="M1137" s="6" t="s">
        <v>5316</v>
      </c>
    </row>
    <row r="1138" spans="1:13" ht="13" x14ac:dyDescent="0.15">
      <c r="A1138" s="5" t="str">
        <f>HYPERLINK("https://onemount.atlassian.net/browse/DBA-4307","DBA-4307")</f>
        <v>DBA-4307</v>
      </c>
      <c r="B1138" s="6" t="s">
        <v>21</v>
      </c>
      <c r="C1138" s="6" t="s">
        <v>5317</v>
      </c>
      <c r="D1138" s="8" t="s">
        <v>17</v>
      </c>
      <c r="E1138" s="6" t="s">
        <v>23</v>
      </c>
      <c r="F1138" s="6" t="s">
        <v>87</v>
      </c>
      <c r="G1138" s="6" t="s">
        <v>5318</v>
      </c>
      <c r="H1138" s="10">
        <v>46121</v>
      </c>
      <c r="I1138" s="6" t="s">
        <v>5319</v>
      </c>
      <c r="J1138" s="6" t="s">
        <v>2453</v>
      </c>
      <c r="K1138" s="6" t="s">
        <v>165</v>
      </c>
      <c r="L1138" s="6" t="s">
        <v>119</v>
      </c>
      <c r="M1138" s="6" t="s">
        <v>5320</v>
      </c>
    </row>
    <row r="1139" spans="1:13" ht="13" x14ac:dyDescent="0.15">
      <c r="A1139" s="5" t="str">
        <f>HYPERLINK("https://onemount.atlassian.net/browse/DBA-4305","DBA-4305")</f>
        <v>DBA-4305</v>
      </c>
      <c r="B1139" s="6" t="s">
        <v>21</v>
      </c>
      <c r="C1139" s="6" t="s">
        <v>5321</v>
      </c>
      <c r="D1139" s="8" t="s">
        <v>17</v>
      </c>
      <c r="E1139" s="6" t="s">
        <v>23</v>
      </c>
      <c r="F1139" s="6" t="s">
        <v>31</v>
      </c>
      <c r="G1139" s="6" t="s">
        <v>5322</v>
      </c>
      <c r="H1139" s="10">
        <v>46123</v>
      </c>
      <c r="I1139" s="6" t="s">
        <v>5323</v>
      </c>
      <c r="J1139" s="6" t="s">
        <v>254</v>
      </c>
      <c r="K1139" s="6" t="s">
        <v>55</v>
      </c>
      <c r="L1139" s="6" t="s">
        <v>254</v>
      </c>
      <c r="M1139" s="6" t="s">
        <v>5324</v>
      </c>
    </row>
    <row r="1140" spans="1:13" ht="13" x14ac:dyDescent="0.15">
      <c r="A1140" s="5" t="str">
        <f>HYPERLINK("https://onemount.atlassian.net/browse/DBA-4304","DBA-4304")</f>
        <v>DBA-4304</v>
      </c>
      <c r="B1140" s="6" t="s">
        <v>21</v>
      </c>
      <c r="C1140" s="6" t="s">
        <v>5325</v>
      </c>
      <c r="D1140" s="8" t="s">
        <v>17</v>
      </c>
      <c r="E1140" s="6" t="s">
        <v>23</v>
      </c>
      <c r="F1140" s="6" t="s">
        <v>52</v>
      </c>
      <c r="G1140" s="6" t="s">
        <v>5326</v>
      </c>
      <c r="H1140" s="10">
        <v>46121</v>
      </c>
      <c r="I1140" s="6" t="s">
        <v>5327</v>
      </c>
      <c r="J1140" s="6" t="s">
        <v>5172</v>
      </c>
      <c r="K1140" s="6" t="s">
        <v>55</v>
      </c>
      <c r="L1140" s="6" t="s">
        <v>85</v>
      </c>
      <c r="M1140" s="6" t="s">
        <v>5328</v>
      </c>
    </row>
    <row r="1141" spans="1:13" ht="13" x14ac:dyDescent="0.15">
      <c r="A1141" s="5" t="str">
        <f>HYPERLINK("https://onemount.atlassian.net/browse/DBA-4303","DBA-4303")</f>
        <v>DBA-4303</v>
      </c>
      <c r="B1141" s="6" t="s">
        <v>21</v>
      </c>
      <c r="C1141" s="6" t="s">
        <v>5329</v>
      </c>
      <c r="D1141" s="8" t="s">
        <v>17</v>
      </c>
      <c r="E1141" s="6" t="s">
        <v>23</v>
      </c>
      <c r="F1141" s="6" t="s">
        <v>24</v>
      </c>
      <c r="G1141" s="6" t="s">
        <v>5330</v>
      </c>
      <c r="H1141" s="10">
        <v>46121</v>
      </c>
      <c r="I1141" s="6" t="s">
        <v>5331</v>
      </c>
      <c r="J1141" s="6" t="s">
        <v>510</v>
      </c>
      <c r="K1141" s="6" t="s">
        <v>165</v>
      </c>
      <c r="L1141" s="6" t="s">
        <v>77</v>
      </c>
      <c r="M1141" s="6" t="s">
        <v>5332</v>
      </c>
    </row>
    <row r="1142" spans="1:13" ht="13" x14ac:dyDescent="0.15">
      <c r="A1142" s="5" t="str">
        <f>HYPERLINK("https://onemount.atlassian.net/browse/DBA-4302","DBA-4302")</f>
        <v>DBA-4302</v>
      </c>
      <c r="B1142" s="6" t="s">
        <v>21</v>
      </c>
      <c r="C1142" s="6" t="s">
        <v>5333</v>
      </c>
      <c r="D1142" s="8" t="s">
        <v>17</v>
      </c>
      <c r="E1142" s="6" t="s">
        <v>23</v>
      </c>
      <c r="F1142" s="6" t="s">
        <v>24</v>
      </c>
      <c r="G1142" s="6" t="s">
        <v>5334</v>
      </c>
      <c r="H1142" s="10">
        <v>46120</v>
      </c>
      <c r="I1142" s="6" t="s">
        <v>5335</v>
      </c>
      <c r="J1142" s="6" t="s">
        <v>77</v>
      </c>
      <c r="K1142" s="6" t="s">
        <v>165</v>
      </c>
      <c r="L1142" s="6" t="s">
        <v>77</v>
      </c>
      <c r="M1142" s="6" t="s">
        <v>5336</v>
      </c>
    </row>
    <row r="1143" spans="1:13" ht="13" x14ac:dyDescent="0.15">
      <c r="A1143" s="5" t="str">
        <f>HYPERLINK("https://onemount.atlassian.net/browse/DBA-4301","DBA-4301")</f>
        <v>DBA-4301</v>
      </c>
      <c r="B1143" s="6" t="s">
        <v>21</v>
      </c>
      <c r="C1143" s="6" t="s">
        <v>5337</v>
      </c>
      <c r="D1143" s="8" t="s">
        <v>17</v>
      </c>
      <c r="E1143" s="6" t="s">
        <v>23</v>
      </c>
      <c r="F1143" s="6" t="s">
        <v>31</v>
      </c>
      <c r="G1143" s="6" t="s">
        <v>5338</v>
      </c>
      <c r="H1143" s="10">
        <v>46123</v>
      </c>
      <c r="I1143" s="6" t="s">
        <v>5339</v>
      </c>
      <c r="J1143" s="6" t="s">
        <v>374</v>
      </c>
      <c r="K1143" s="6" t="s">
        <v>35</v>
      </c>
      <c r="L1143" s="6" t="s">
        <v>374</v>
      </c>
      <c r="M1143" s="6" t="s">
        <v>5340</v>
      </c>
    </row>
    <row r="1144" spans="1:13" ht="13" x14ac:dyDescent="0.15">
      <c r="A1144" s="5" t="str">
        <f>HYPERLINK("https://onemount.atlassian.net/browse/DBA-4298","DBA-4298")</f>
        <v>DBA-4298</v>
      </c>
      <c r="B1144" s="6" t="s">
        <v>21</v>
      </c>
      <c r="C1144" s="6" t="s">
        <v>5341</v>
      </c>
      <c r="D1144" s="8" t="s">
        <v>17</v>
      </c>
      <c r="E1144" s="6" t="s">
        <v>23</v>
      </c>
      <c r="F1144" s="6" t="s">
        <v>31</v>
      </c>
      <c r="G1144" s="6" t="s">
        <v>5342</v>
      </c>
      <c r="H1144" s="10">
        <v>46120</v>
      </c>
      <c r="I1144" s="6" t="s">
        <v>5343</v>
      </c>
      <c r="J1144" s="6" t="s">
        <v>638</v>
      </c>
      <c r="K1144" s="6" t="s">
        <v>35</v>
      </c>
      <c r="L1144" s="6" t="s">
        <v>638</v>
      </c>
      <c r="M1144" s="6" t="s">
        <v>5344</v>
      </c>
    </row>
    <row r="1145" spans="1:13" ht="13" x14ac:dyDescent="0.15">
      <c r="A1145" s="5" t="str">
        <f>HYPERLINK("https://onemount.atlassian.net/browse/DBA-4297","DBA-4297")</f>
        <v>DBA-4297</v>
      </c>
      <c r="B1145" s="6" t="s">
        <v>21</v>
      </c>
      <c r="C1145" s="6" t="s">
        <v>5345</v>
      </c>
      <c r="D1145" s="8" t="s">
        <v>17</v>
      </c>
      <c r="E1145" s="6" t="s">
        <v>23</v>
      </c>
      <c r="F1145" s="6" t="s">
        <v>52</v>
      </c>
      <c r="G1145" s="6" t="s">
        <v>5346</v>
      </c>
      <c r="H1145" s="10">
        <v>46120</v>
      </c>
      <c r="I1145" s="6" t="s">
        <v>5347</v>
      </c>
      <c r="J1145" s="6" t="s">
        <v>5172</v>
      </c>
      <c r="K1145" s="6" t="s">
        <v>55</v>
      </c>
      <c r="L1145" s="6" t="s">
        <v>85</v>
      </c>
      <c r="M1145" s="6" t="s">
        <v>5348</v>
      </c>
    </row>
    <row r="1146" spans="1:13" ht="13" x14ac:dyDescent="0.15">
      <c r="A1146" s="5" t="str">
        <f>HYPERLINK("https://onemount.atlassian.net/browse/DBA-4296","DBA-4296")</f>
        <v>DBA-4296</v>
      </c>
      <c r="B1146" s="6" t="s">
        <v>21</v>
      </c>
      <c r="C1146" s="6" t="s">
        <v>5349</v>
      </c>
      <c r="D1146" s="8" t="s">
        <v>17</v>
      </c>
      <c r="E1146" s="6" t="s">
        <v>23</v>
      </c>
      <c r="F1146" s="6" t="s">
        <v>52</v>
      </c>
      <c r="G1146" s="6" t="s">
        <v>5350</v>
      </c>
      <c r="H1146" s="10">
        <v>46120</v>
      </c>
      <c r="I1146" s="6" t="s">
        <v>5351</v>
      </c>
      <c r="J1146" s="6" t="s">
        <v>55</v>
      </c>
      <c r="K1146" s="6" t="s">
        <v>55</v>
      </c>
      <c r="L1146" s="6" t="s">
        <v>67</v>
      </c>
      <c r="M1146" s="6" t="s">
        <v>5352</v>
      </c>
    </row>
    <row r="1147" spans="1:13" ht="13" x14ac:dyDescent="0.15">
      <c r="A1147" s="5" t="str">
        <f>HYPERLINK("https://onemount.atlassian.net/browse/DBA-4295","DBA-4295")</f>
        <v>DBA-4295</v>
      </c>
      <c r="B1147" s="6" t="s">
        <v>21</v>
      </c>
      <c r="C1147" s="6" t="s">
        <v>5353</v>
      </c>
      <c r="D1147" s="8" t="s">
        <v>17</v>
      </c>
      <c r="E1147" s="6" t="s">
        <v>23</v>
      </c>
      <c r="F1147" s="6" t="s">
        <v>41</v>
      </c>
      <c r="G1147" s="6" t="s">
        <v>5354</v>
      </c>
      <c r="H1147" s="10">
        <v>46119</v>
      </c>
      <c r="I1147" s="6" t="s">
        <v>5355</v>
      </c>
      <c r="J1147" s="6" t="s">
        <v>5356</v>
      </c>
      <c r="K1147" s="6" t="s">
        <v>28</v>
      </c>
      <c r="L1147" s="6" t="s">
        <v>28</v>
      </c>
      <c r="M1147" s="6" t="s">
        <v>5357</v>
      </c>
    </row>
    <row r="1148" spans="1:13" ht="13" x14ac:dyDescent="0.15">
      <c r="A1148" s="5" t="str">
        <f>HYPERLINK("https://onemount.atlassian.net/browse/DBA-4294","DBA-4294")</f>
        <v>DBA-4294</v>
      </c>
      <c r="B1148" s="23" t="str">
        <f t="shared" ref="B1148:B1149" si="14">HYPERLINK("https://onemount.atlassian.net/browse/DBA-4101","DBA-4101")</f>
        <v>DBA-4101</v>
      </c>
      <c r="C1148" s="6" t="s">
        <v>5358</v>
      </c>
      <c r="D1148" s="8" t="s">
        <v>17</v>
      </c>
      <c r="E1148" s="6" t="s">
        <v>428</v>
      </c>
      <c r="F1148" s="6" t="s">
        <v>24</v>
      </c>
      <c r="G1148" s="6" t="s">
        <v>5359</v>
      </c>
      <c r="H1148" s="10">
        <v>46122</v>
      </c>
      <c r="I1148" s="6" t="s">
        <v>5360</v>
      </c>
      <c r="J1148" s="6" t="s">
        <v>395</v>
      </c>
      <c r="K1148" s="6" t="s">
        <v>55</v>
      </c>
      <c r="L1148" s="6" t="s">
        <v>395</v>
      </c>
      <c r="M1148" s="6" t="s">
        <v>5361</v>
      </c>
    </row>
    <row r="1149" spans="1:13" ht="13" x14ac:dyDescent="0.15">
      <c r="A1149" s="5" t="str">
        <f>HYPERLINK("https://onemount.atlassian.net/browse/DBA-4291","DBA-4291")</f>
        <v>DBA-4291</v>
      </c>
      <c r="B1149" s="23" t="str">
        <f t="shared" si="14"/>
        <v>DBA-4101</v>
      </c>
      <c r="C1149" s="6" t="s">
        <v>5362</v>
      </c>
      <c r="D1149" s="8" t="s">
        <v>17</v>
      </c>
      <c r="E1149" s="6" t="s">
        <v>428</v>
      </c>
      <c r="F1149" s="6" t="s">
        <v>52</v>
      </c>
      <c r="G1149" s="6" t="s">
        <v>5363</v>
      </c>
      <c r="H1149" s="10">
        <v>46127</v>
      </c>
      <c r="I1149" s="6" t="s">
        <v>5364</v>
      </c>
      <c r="J1149" s="6" t="s">
        <v>395</v>
      </c>
      <c r="K1149" s="6" t="s">
        <v>55</v>
      </c>
      <c r="L1149" s="6" t="s">
        <v>270</v>
      </c>
      <c r="M1149" s="6" t="s">
        <v>5365</v>
      </c>
    </row>
    <row r="1150" spans="1:13" ht="13" x14ac:dyDescent="0.15">
      <c r="A1150" s="5" t="str">
        <f>HYPERLINK("https://onemount.atlassian.net/browse/DBA-4290","DBA-4290")</f>
        <v>DBA-4290</v>
      </c>
      <c r="B1150" s="6" t="s">
        <v>21</v>
      </c>
      <c r="C1150" s="6" t="s">
        <v>5366</v>
      </c>
      <c r="D1150" s="8" t="s">
        <v>17</v>
      </c>
      <c r="E1150" s="6" t="s">
        <v>23</v>
      </c>
      <c r="F1150" s="6" t="s">
        <v>52</v>
      </c>
      <c r="G1150" s="6" t="s">
        <v>5367</v>
      </c>
      <c r="H1150" s="10">
        <v>46120</v>
      </c>
      <c r="I1150" s="6" t="s">
        <v>5368</v>
      </c>
      <c r="J1150" s="6" t="s">
        <v>5369</v>
      </c>
      <c r="K1150" s="6" t="s">
        <v>46</v>
      </c>
      <c r="L1150" s="6" t="s">
        <v>46</v>
      </c>
      <c r="M1150" s="6" t="s">
        <v>5370</v>
      </c>
    </row>
    <row r="1151" spans="1:13" ht="13" x14ac:dyDescent="0.15">
      <c r="A1151" s="5" t="str">
        <f>HYPERLINK("https://onemount.atlassian.net/browse/DBA-4289","DBA-4289")</f>
        <v>DBA-4289</v>
      </c>
      <c r="B1151" s="6" t="s">
        <v>21</v>
      </c>
      <c r="C1151" s="6" t="s">
        <v>5333</v>
      </c>
      <c r="D1151" s="8" t="s">
        <v>17</v>
      </c>
      <c r="E1151" s="6" t="s">
        <v>23</v>
      </c>
      <c r="F1151" s="6" t="s">
        <v>24</v>
      </c>
      <c r="G1151" s="6" t="s">
        <v>5371</v>
      </c>
      <c r="H1151" s="10">
        <v>46119</v>
      </c>
      <c r="I1151" s="6" t="s">
        <v>5372</v>
      </c>
      <c r="J1151" s="6" t="s">
        <v>77</v>
      </c>
      <c r="K1151" s="6" t="s">
        <v>165</v>
      </c>
      <c r="L1151" s="6" t="s">
        <v>77</v>
      </c>
      <c r="M1151" s="6" t="s">
        <v>5373</v>
      </c>
    </row>
    <row r="1152" spans="1:13" ht="13" x14ac:dyDescent="0.15">
      <c r="A1152" s="5" t="str">
        <f>HYPERLINK("https://onemount.atlassian.net/browse/DBA-4288","DBA-4288")</f>
        <v>DBA-4288</v>
      </c>
      <c r="B1152" s="6" t="s">
        <v>21</v>
      </c>
      <c r="C1152" s="6" t="s">
        <v>5374</v>
      </c>
      <c r="D1152" s="8" t="s">
        <v>17</v>
      </c>
      <c r="E1152" s="6" t="s">
        <v>23</v>
      </c>
      <c r="F1152" s="6" t="s">
        <v>24</v>
      </c>
      <c r="G1152" s="6" t="s">
        <v>5375</v>
      </c>
      <c r="H1152" s="10">
        <v>46119</v>
      </c>
      <c r="I1152" s="6" t="s">
        <v>5376</v>
      </c>
      <c r="J1152" s="6" t="s">
        <v>77</v>
      </c>
      <c r="K1152" s="6" t="s">
        <v>165</v>
      </c>
      <c r="L1152" s="6" t="s">
        <v>77</v>
      </c>
      <c r="M1152" s="6" t="s">
        <v>5377</v>
      </c>
    </row>
    <row r="1153" spans="1:13" ht="13" x14ac:dyDescent="0.15">
      <c r="A1153" s="5" t="str">
        <f>HYPERLINK("https://onemount.atlassian.net/browse/DBA-4286","DBA-4286")</f>
        <v>DBA-4286</v>
      </c>
      <c r="B1153" s="6" t="s">
        <v>21</v>
      </c>
      <c r="C1153" s="6" t="s">
        <v>5378</v>
      </c>
      <c r="D1153" s="8" t="s">
        <v>17</v>
      </c>
      <c r="E1153" s="6" t="s">
        <v>23</v>
      </c>
      <c r="F1153" s="6" t="s">
        <v>52</v>
      </c>
      <c r="G1153" s="6" t="s">
        <v>5379</v>
      </c>
      <c r="H1153" s="10">
        <v>46120</v>
      </c>
      <c r="I1153" s="6" t="s">
        <v>5380</v>
      </c>
      <c r="J1153" s="6" t="s">
        <v>55</v>
      </c>
      <c r="K1153" s="6" t="s">
        <v>55</v>
      </c>
      <c r="L1153" s="6" t="s">
        <v>93</v>
      </c>
      <c r="M1153" s="6" t="s">
        <v>5381</v>
      </c>
    </row>
    <row r="1154" spans="1:13" ht="13" x14ac:dyDescent="0.15">
      <c r="A1154" s="5" t="str">
        <f>HYPERLINK("https://onemount.atlassian.net/browse/DBA-4285","DBA-4285")</f>
        <v>DBA-4285</v>
      </c>
      <c r="B1154" s="6" t="s">
        <v>21</v>
      </c>
      <c r="C1154" s="6" t="s">
        <v>5382</v>
      </c>
      <c r="D1154" s="8" t="s">
        <v>17</v>
      </c>
      <c r="E1154" s="6" t="s">
        <v>23</v>
      </c>
      <c r="F1154" s="6" t="s">
        <v>31</v>
      </c>
      <c r="G1154" s="6" t="s">
        <v>5383</v>
      </c>
      <c r="H1154" s="10">
        <v>46120</v>
      </c>
      <c r="I1154" s="6" t="s">
        <v>5384</v>
      </c>
      <c r="J1154" s="6" t="s">
        <v>478</v>
      </c>
      <c r="K1154" s="6" t="s">
        <v>35</v>
      </c>
      <c r="L1154" s="6" t="s">
        <v>478</v>
      </c>
      <c r="M1154" s="6" t="s">
        <v>5385</v>
      </c>
    </row>
    <row r="1155" spans="1:13" ht="13" x14ac:dyDescent="0.15">
      <c r="A1155" s="5" t="str">
        <f>HYPERLINK("https://onemount.atlassian.net/browse/DBA-4283","DBA-4283")</f>
        <v>DBA-4283</v>
      </c>
      <c r="B1155" s="6" t="s">
        <v>21</v>
      </c>
      <c r="C1155" s="6" t="s">
        <v>5386</v>
      </c>
      <c r="D1155" s="8" t="s">
        <v>17</v>
      </c>
      <c r="E1155" s="6" t="s">
        <v>23</v>
      </c>
      <c r="F1155" s="6" t="s">
        <v>87</v>
      </c>
      <c r="G1155" s="6" t="s">
        <v>5387</v>
      </c>
      <c r="H1155" s="10">
        <v>46118</v>
      </c>
      <c r="I1155" s="6" t="s">
        <v>5388</v>
      </c>
      <c r="J1155" s="6" t="s">
        <v>1898</v>
      </c>
      <c r="K1155" s="6" t="s">
        <v>165</v>
      </c>
      <c r="L1155" s="6" t="s">
        <v>1097</v>
      </c>
      <c r="M1155" s="6" t="s">
        <v>5389</v>
      </c>
    </row>
    <row r="1156" spans="1:13" ht="13" x14ac:dyDescent="0.15">
      <c r="A1156" s="5" t="str">
        <f>HYPERLINK("https://onemount.atlassian.net/browse/DBA-4282","DBA-4282")</f>
        <v>DBA-4282</v>
      </c>
      <c r="B1156" s="6" t="s">
        <v>21</v>
      </c>
      <c r="C1156" s="6" t="s">
        <v>5390</v>
      </c>
      <c r="D1156" s="8" t="s">
        <v>17</v>
      </c>
      <c r="E1156" s="6" t="s">
        <v>23</v>
      </c>
      <c r="F1156" s="6" t="s">
        <v>52</v>
      </c>
      <c r="G1156" s="6" t="s">
        <v>5391</v>
      </c>
      <c r="H1156" s="10">
        <v>46118</v>
      </c>
      <c r="I1156" s="6" t="s">
        <v>5392</v>
      </c>
      <c r="J1156" s="6" t="s">
        <v>85</v>
      </c>
      <c r="K1156" s="6" t="s">
        <v>55</v>
      </c>
      <c r="L1156" s="6" t="s">
        <v>85</v>
      </c>
      <c r="M1156" s="6" t="s">
        <v>5393</v>
      </c>
    </row>
    <row r="1157" spans="1:13" ht="13" x14ac:dyDescent="0.15">
      <c r="A1157" s="5" t="str">
        <f>HYPERLINK("https://onemount.atlassian.net/browse/DBA-4281","DBA-4281")</f>
        <v>DBA-4281</v>
      </c>
      <c r="B1157" s="6" t="s">
        <v>21</v>
      </c>
      <c r="C1157" s="6" t="s">
        <v>5394</v>
      </c>
      <c r="D1157" s="8" t="s">
        <v>17</v>
      </c>
      <c r="E1157" s="6" t="s">
        <v>23</v>
      </c>
      <c r="F1157" s="6" t="s">
        <v>24</v>
      </c>
      <c r="G1157" s="6" t="s">
        <v>5395</v>
      </c>
      <c r="H1157" s="10">
        <v>46118</v>
      </c>
      <c r="I1157" s="6" t="s">
        <v>5396</v>
      </c>
      <c r="J1157" s="6" t="s">
        <v>77</v>
      </c>
      <c r="K1157" s="6" t="s">
        <v>165</v>
      </c>
      <c r="L1157" s="6" t="s">
        <v>77</v>
      </c>
      <c r="M1157" s="6" t="s">
        <v>5397</v>
      </c>
    </row>
    <row r="1158" spans="1:13" ht="13" x14ac:dyDescent="0.15">
      <c r="A1158" s="5" t="str">
        <f>HYPERLINK("https://onemount.atlassian.net/browse/DBA-4280","DBA-4280")</f>
        <v>DBA-4280</v>
      </c>
      <c r="B1158" s="23" t="str">
        <f>HYPERLINK("https://onemount.atlassian.net/browse/DBA-4101","DBA-4101")</f>
        <v>DBA-4101</v>
      </c>
      <c r="C1158" s="6" t="s">
        <v>5398</v>
      </c>
      <c r="D1158" s="8" t="s">
        <v>17</v>
      </c>
      <c r="E1158" s="6" t="s">
        <v>428</v>
      </c>
      <c r="F1158" s="6" t="s">
        <v>24</v>
      </c>
      <c r="G1158" s="6" t="s">
        <v>5399</v>
      </c>
      <c r="H1158" s="10">
        <v>46120</v>
      </c>
      <c r="I1158" s="6" t="s">
        <v>5400</v>
      </c>
      <c r="J1158" s="6" t="s">
        <v>395</v>
      </c>
      <c r="K1158" s="6" t="s">
        <v>46</v>
      </c>
      <c r="L1158" s="6" t="s">
        <v>395</v>
      </c>
      <c r="M1158" s="6" t="s">
        <v>5401</v>
      </c>
    </row>
    <row r="1159" spans="1:13" ht="13" x14ac:dyDescent="0.15">
      <c r="A1159" s="5" t="str">
        <f>HYPERLINK("https://onemount.atlassian.net/browse/DBA-4279","DBA-4279")</f>
        <v>DBA-4279</v>
      </c>
      <c r="B1159" s="6" t="s">
        <v>21</v>
      </c>
      <c r="C1159" s="6" t="s">
        <v>5402</v>
      </c>
      <c r="D1159" s="8" t="s">
        <v>17</v>
      </c>
      <c r="E1159" s="6" t="s">
        <v>23</v>
      </c>
      <c r="F1159" s="6" t="s">
        <v>24</v>
      </c>
      <c r="G1159" s="6" t="s">
        <v>5403</v>
      </c>
      <c r="H1159" s="10">
        <v>46118</v>
      </c>
      <c r="I1159" s="6" t="s">
        <v>5404</v>
      </c>
      <c r="J1159" s="6" t="s">
        <v>510</v>
      </c>
      <c r="K1159" s="6" t="s">
        <v>165</v>
      </c>
      <c r="L1159" s="6" t="s">
        <v>77</v>
      </c>
      <c r="M1159" s="6" t="s">
        <v>5405</v>
      </c>
    </row>
    <row r="1160" spans="1:13" ht="13" x14ac:dyDescent="0.15">
      <c r="A1160" s="5" t="str">
        <f>HYPERLINK("https://onemount.atlassian.net/browse/DBA-4278","DBA-4278")</f>
        <v>DBA-4278</v>
      </c>
      <c r="B1160" s="6" t="s">
        <v>21</v>
      </c>
      <c r="C1160" s="6" t="s">
        <v>5406</v>
      </c>
      <c r="D1160" s="8" t="s">
        <v>17</v>
      </c>
      <c r="E1160" s="6" t="s">
        <v>23</v>
      </c>
      <c r="F1160" s="6" t="s">
        <v>24</v>
      </c>
      <c r="G1160" s="6" t="s">
        <v>5407</v>
      </c>
      <c r="H1160" s="10">
        <v>46120</v>
      </c>
      <c r="I1160" s="6" t="s">
        <v>5408</v>
      </c>
      <c r="J1160" s="6" t="s">
        <v>3553</v>
      </c>
      <c r="K1160" s="6" t="s">
        <v>165</v>
      </c>
      <c r="L1160" s="6" t="s">
        <v>39</v>
      </c>
      <c r="M1160" s="6" t="s">
        <v>5409</v>
      </c>
    </row>
    <row r="1161" spans="1:13" ht="13" x14ac:dyDescent="0.15">
      <c r="A1161" s="5" t="str">
        <f>HYPERLINK("https://onemount.atlassian.net/browse/DBA-4277","DBA-4277")</f>
        <v>DBA-4277</v>
      </c>
      <c r="B1161" s="6" t="s">
        <v>21</v>
      </c>
      <c r="C1161" s="6" t="s">
        <v>5410</v>
      </c>
      <c r="D1161" s="8" t="s">
        <v>17</v>
      </c>
      <c r="E1161" s="6" t="s">
        <v>23</v>
      </c>
      <c r="F1161" s="6" t="s">
        <v>24</v>
      </c>
      <c r="G1161" s="6" t="s">
        <v>5411</v>
      </c>
      <c r="H1161" s="10">
        <v>46120</v>
      </c>
      <c r="I1161" s="6" t="s">
        <v>5412</v>
      </c>
      <c r="J1161" s="6" t="s">
        <v>3553</v>
      </c>
      <c r="K1161" s="6" t="s">
        <v>165</v>
      </c>
      <c r="L1161" s="6" t="s">
        <v>39</v>
      </c>
      <c r="M1161" s="6" t="s">
        <v>5413</v>
      </c>
    </row>
    <row r="1162" spans="1:13" ht="13" x14ac:dyDescent="0.15">
      <c r="A1162" s="5" t="str">
        <f>HYPERLINK("https://onemount.atlassian.net/browse/DBA-4276","DBA-4276")</f>
        <v>DBA-4276</v>
      </c>
      <c r="B1162" s="6" t="s">
        <v>21</v>
      </c>
      <c r="C1162" s="6" t="s">
        <v>5414</v>
      </c>
      <c r="D1162" s="8" t="s">
        <v>17</v>
      </c>
      <c r="E1162" s="6" t="s">
        <v>23</v>
      </c>
      <c r="F1162" s="6" t="s">
        <v>24</v>
      </c>
      <c r="G1162" s="6" t="s">
        <v>5415</v>
      </c>
      <c r="H1162" s="10">
        <v>46120</v>
      </c>
      <c r="I1162" s="6" t="s">
        <v>5416</v>
      </c>
      <c r="J1162" s="6" t="s">
        <v>39</v>
      </c>
      <c r="K1162" s="6" t="s">
        <v>165</v>
      </c>
      <c r="L1162" s="6" t="s">
        <v>39</v>
      </c>
      <c r="M1162" s="6" t="s">
        <v>5417</v>
      </c>
    </row>
    <row r="1163" spans="1:13" ht="13" x14ac:dyDescent="0.15">
      <c r="A1163" s="5" t="str">
        <f>HYPERLINK("https://onemount.atlassian.net/browse/DBA-4275","DBA-4275")</f>
        <v>DBA-4275</v>
      </c>
      <c r="B1163" s="6" t="s">
        <v>21</v>
      </c>
      <c r="C1163" s="6" t="s">
        <v>5418</v>
      </c>
      <c r="D1163" s="8" t="s">
        <v>17</v>
      </c>
      <c r="E1163" s="6" t="s">
        <v>23</v>
      </c>
      <c r="F1163" s="6" t="s">
        <v>24</v>
      </c>
      <c r="G1163" s="6" t="s">
        <v>5419</v>
      </c>
      <c r="H1163" s="10">
        <v>46120</v>
      </c>
      <c r="I1163" s="6" t="s">
        <v>5420</v>
      </c>
      <c r="J1163" s="6" t="s">
        <v>3553</v>
      </c>
      <c r="K1163" s="6" t="s">
        <v>165</v>
      </c>
      <c r="L1163" s="6" t="s">
        <v>39</v>
      </c>
      <c r="M1163" s="6" t="s">
        <v>5421</v>
      </c>
    </row>
    <row r="1164" spans="1:13" ht="13" x14ac:dyDescent="0.15">
      <c r="A1164" s="5" t="str">
        <f>HYPERLINK("https://onemount.atlassian.net/browse/DBA-4274","DBA-4274")</f>
        <v>DBA-4274</v>
      </c>
      <c r="B1164" s="6" t="s">
        <v>21</v>
      </c>
      <c r="C1164" s="6" t="s">
        <v>5422</v>
      </c>
      <c r="D1164" s="8" t="s">
        <v>17</v>
      </c>
      <c r="E1164" s="6" t="s">
        <v>23</v>
      </c>
      <c r="F1164" s="6" t="s">
        <v>24</v>
      </c>
      <c r="G1164" s="6" t="s">
        <v>5423</v>
      </c>
      <c r="H1164" s="10">
        <v>46120</v>
      </c>
      <c r="I1164" s="6" t="s">
        <v>5424</v>
      </c>
      <c r="J1164" s="6" t="s">
        <v>39</v>
      </c>
      <c r="K1164" s="6" t="s">
        <v>165</v>
      </c>
      <c r="L1164" s="6" t="s">
        <v>39</v>
      </c>
      <c r="M1164" s="6" t="s">
        <v>5425</v>
      </c>
    </row>
    <row r="1165" spans="1:13" ht="13" x14ac:dyDescent="0.15">
      <c r="A1165" s="5" t="str">
        <f>HYPERLINK("https://onemount.atlassian.net/browse/DBA-4273","DBA-4273")</f>
        <v>DBA-4273</v>
      </c>
      <c r="B1165" s="6" t="s">
        <v>21</v>
      </c>
      <c r="C1165" s="6" t="s">
        <v>5426</v>
      </c>
      <c r="D1165" s="8" t="s">
        <v>17</v>
      </c>
      <c r="E1165" s="6" t="s">
        <v>23</v>
      </c>
      <c r="F1165" s="6" t="s">
        <v>41</v>
      </c>
      <c r="G1165" s="6" t="s">
        <v>5427</v>
      </c>
      <c r="H1165" s="10">
        <v>46120</v>
      </c>
      <c r="I1165" s="6" t="s">
        <v>5428</v>
      </c>
      <c r="J1165" s="6" t="s">
        <v>3369</v>
      </c>
      <c r="K1165" s="6" t="s">
        <v>168</v>
      </c>
      <c r="L1165" s="6" t="s">
        <v>1148</v>
      </c>
      <c r="M1165" s="6" t="s">
        <v>5429</v>
      </c>
    </row>
    <row r="1166" spans="1:13" ht="13" x14ac:dyDescent="0.15">
      <c r="A1166" s="5" t="str">
        <f>HYPERLINK("https://onemount.atlassian.net/browse/DBA-4271","DBA-4271")</f>
        <v>DBA-4271</v>
      </c>
      <c r="B1166" s="6" t="s">
        <v>21</v>
      </c>
      <c r="C1166" s="6" t="s">
        <v>2147</v>
      </c>
      <c r="D1166" s="8" t="s">
        <v>17</v>
      </c>
      <c r="E1166" s="6" t="s">
        <v>23</v>
      </c>
      <c r="F1166" s="6" t="s">
        <v>41</v>
      </c>
      <c r="G1166" s="6" t="s">
        <v>5430</v>
      </c>
      <c r="H1166" s="10">
        <v>46120</v>
      </c>
      <c r="I1166" s="6" t="s">
        <v>5431</v>
      </c>
      <c r="J1166" s="6" t="s">
        <v>72</v>
      </c>
      <c r="K1166" s="6" t="s">
        <v>72</v>
      </c>
      <c r="L1166" s="6" t="s">
        <v>72</v>
      </c>
      <c r="M1166" s="6" t="s">
        <v>5432</v>
      </c>
    </row>
    <row r="1167" spans="1:13" ht="13" x14ac:dyDescent="0.15">
      <c r="A1167" s="5" t="str">
        <f>HYPERLINK("https://onemount.atlassian.net/browse/DBA-4270","DBA-4270")</f>
        <v>DBA-4270</v>
      </c>
      <c r="B1167" s="6" t="s">
        <v>21</v>
      </c>
      <c r="C1167" s="6" t="s">
        <v>5433</v>
      </c>
      <c r="D1167" s="8" t="s">
        <v>17</v>
      </c>
      <c r="E1167" s="6" t="s">
        <v>23</v>
      </c>
      <c r="F1167" s="6" t="s">
        <v>31</v>
      </c>
      <c r="G1167" s="6" t="s">
        <v>5434</v>
      </c>
      <c r="H1167" s="10">
        <v>46119</v>
      </c>
      <c r="I1167" s="6" t="s">
        <v>5435</v>
      </c>
      <c r="J1167" s="6" t="s">
        <v>1236</v>
      </c>
      <c r="K1167" s="6" t="s">
        <v>35</v>
      </c>
      <c r="L1167" s="6" t="s">
        <v>638</v>
      </c>
      <c r="M1167" s="6" t="s">
        <v>5436</v>
      </c>
    </row>
    <row r="1168" spans="1:13" ht="13" x14ac:dyDescent="0.15">
      <c r="A1168" s="5" t="str">
        <f>HYPERLINK("https://onemount.atlassian.net/browse/DBA-4269","DBA-4269")</f>
        <v>DBA-4269</v>
      </c>
      <c r="B1168" s="6" t="s">
        <v>21</v>
      </c>
      <c r="C1168" s="6" t="s">
        <v>5394</v>
      </c>
      <c r="D1168" s="8" t="s">
        <v>17</v>
      </c>
      <c r="E1168" s="6" t="s">
        <v>23</v>
      </c>
      <c r="F1168" s="6" t="s">
        <v>24</v>
      </c>
      <c r="G1168" s="6" t="s">
        <v>5437</v>
      </c>
      <c r="H1168" s="10">
        <v>46116</v>
      </c>
      <c r="I1168" s="6" t="s">
        <v>5438</v>
      </c>
      <c r="J1168" s="6" t="s">
        <v>77</v>
      </c>
      <c r="K1168" s="6" t="s">
        <v>165</v>
      </c>
      <c r="L1168" s="6" t="s">
        <v>77</v>
      </c>
      <c r="M1168" s="6" t="s">
        <v>5439</v>
      </c>
    </row>
    <row r="1169" spans="1:13" ht="13" x14ac:dyDescent="0.15">
      <c r="A1169" s="5" t="str">
        <f>HYPERLINK("https://onemount.atlassian.net/browse/DBA-4268","DBA-4268")</f>
        <v>DBA-4268</v>
      </c>
      <c r="B1169" s="6" t="s">
        <v>21</v>
      </c>
      <c r="C1169" s="6" t="s">
        <v>5440</v>
      </c>
      <c r="D1169" s="8" t="s">
        <v>17</v>
      </c>
      <c r="E1169" s="6" t="s">
        <v>23</v>
      </c>
      <c r="F1169" s="6" t="s">
        <v>24</v>
      </c>
      <c r="G1169" s="6" t="s">
        <v>5441</v>
      </c>
      <c r="H1169" s="10">
        <v>46116</v>
      </c>
      <c r="I1169" s="6" t="s">
        <v>5442</v>
      </c>
      <c r="J1169" s="6" t="s">
        <v>4792</v>
      </c>
      <c r="K1169" s="6" t="s">
        <v>55</v>
      </c>
      <c r="L1169" s="6" t="s">
        <v>270</v>
      </c>
      <c r="M1169" s="6" t="s">
        <v>5443</v>
      </c>
    </row>
    <row r="1170" spans="1:13" ht="13" x14ac:dyDescent="0.15">
      <c r="A1170" s="5" t="str">
        <f>HYPERLINK("https://onemount.atlassian.net/browse/DBA-4267","DBA-4267")</f>
        <v>DBA-4267</v>
      </c>
      <c r="B1170" s="6" t="s">
        <v>21</v>
      </c>
      <c r="C1170" s="6" t="s">
        <v>3289</v>
      </c>
      <c r="D1170" s="8" t="s">
        <v>17</v>
      </c>
      <c r="E1170" s="6" t="s">
        <v>23</v>
      </c>
      <c r="F1170" s="6" t="s">
        <v>24</v>
      </c>
      <c r="G1170" s="6" t="s">
        <v>5444</v>
      </c>
      <c r="H1170" s="10">
        <v>46117</v>
      </c>
      <c r="I1170" s="6" t="s">
        <v>5445</v>
      </c>
      <c r="J1170" s="6" t="s">
        <v>56</v>
      </c>
      <c r="K1170" s="6" t="s">
        <v>55</v>
      </c>
      <c r="L1170" s="6" t="s">
        <v>56</v>
      </c>
      <c r="M1170" s="6" t="s">
        <v>5446</v>
      </c>
    </row>
    <row r="1171" spans="1:13" ht="13" x14ac:dyDescent="0.15">
      <c r="A1171" s="21" t="str">
        <f>HYPERLINK("https://onemount.atlassian.net/browse/DBA-4266","DBA-4266")</f>
        <v>DBA-4266</v>
      </c>
      <c r="B1171" s="6" t="s">
        <v>21</v>
      </c>
      <c r="C1171" s="6" t="s">
        <v>5447</v>
      </c>
      <c r="D1171" s="8" t="s">
        <v>17</v>
      </c>
      <c r="E1171" s="6" t="s">
        <v>23</v>
      </c>
      <c r="F1171" s="6" t="s">
        <v>52</v>
      </c>
      <c r="G1171" s="6" t="s">
        <v>5448</v>
      </c>
      <c r="H1171" s="10">
        <v>46116</v>
      </c>
      <c r="I1171" s="6" t="s">
        <v>5449</v>
      </c>
      <c r="J1171" s="6" t="s">
        <v>2392</v>
      </c>
      <c r="K1171" s="6" t="s">
        <v>72</v>
      </c>
      <c r="L1171" s="6" t="s">
        <v>188</v>
      </c>
      <c r="M1171" s="6" t="s">
        <v>5450</v>
      </c>
    </row>
    <row r="1172" spans="1:13" ht="13" x14ac:dyDescent="0.15">
      <c r="A1172" s="21" t="str">
        <f>HYPERLINK("https://onemount.atlassian.net/browse/DBA-4265","DBA-4265")</f>
        <v>DBA-4265</v>
      </c>
      <c r="B1172" s="6" t="s">
        <v>21</v>
      </c>
      <c r="C1172" s="6" t="s">
        <v>5447</v>
      </c>
      <c r="D1172" s="8" t="s">
        <v>17</v>
      </c>
      <c r="E1172" s="6" t="s">
        <v>23</v>
      </c>
      <c r="F1172" s="6" t="s">
        <v>52</v>
      </c>
      <c r="G1172" s="6" t="s">
        <v>5451</v>
      </c>
      <c r="H1172" s="10">
        <v>46117</v>
      </c>
      <c r="I1172" s="6" t="s">
        <v>5452</v>
      </c>
      <c r="J1172" s="6" t="s">
        <v>2392</v>
      </c>
      <c r="K1172" s="6" t="s">
        <v>72</v>
      </c>
      <c r="L1172" s="6" t="s">
        <v>188</v>
      </c>
      <c r="M1172" s="6" t="s">
        <v>5305</v>
      </c>
    </row>
    <row r="1173" spans="1:13" ht="13" x14ac:dyDescent="0.15">
      <c r="A1173" s="5" t="str">
        <f>HYPERLINK("https://onemount.atlassian.net/browse/DBA-4264","DBA-4264")</f>
        <v>DBA-4264</v>
      </c>
      <c r="B1173" s="6" t="s">
        <v>21</v>
      </c>
      <c r="C1173" s="6" t="s">
        <v>5453</v>
      </c>
      <c r="D1173" s="8" t="s">
        <v>17</v>
      </c>
      <c r="E1173" s="6" t="s">
        <v>23</v>
      </c>
      <c r="F1173" s="6" t="s">
        <v>24</v>
      </c>
      <c r="G1173" s="6" t="s">
        <v>5454</v>
      </c>
      <c r="H1173" s="10">
        <v>46115</v>
      </c>
      <c r="I1173" s="6" t="s">
        <v>5455</v>
      </c>
      <c r="J1173" s="6" t="s">
        <v>4792</v>
      </c>
      <c r="K1173" s="6" t="s">
        <v>55</v>
      </c>
      <c r="L1173" s="6" t="s">
        <v>270</v>
      </c>
      <c r="M1173" s="6" t="s">
        <v>5456</v>
      </c>
    </row>
    <row r="1174" spans="1:13" ht="13" x14ac:dyDescent="0.15">
      <c r="A1174" s="5" t="str">
        <f>HYPERLINK("https://onemount.atlassian.net/browse/DBA-4263","DBA-4263")</f>
        <v>DBA-4263</v>
      </c>
      <c r="B1174" s="6" t="s">
        <v>21</v>
      </c>
      <c r="C1174" s="6" t="s">
        <v>5457</v>
      </c>
      <c r="D1174" s="8" t="s">
        <v>17</v>
      </c>
      <c r="E1174" s="6" t="s">
        <v>23</v>
      </c>
      <c r="F1174" s="6" t="s">
        <v>52</v>
      </c>
      <c r="G1174" s="6" t="s">
        <v>5458</v>
      </c>
      <c r="H1174" s="10">
        <v>46116</v>
      </c>
      <c r="I1174" s="6" t="s">
        <v>5459</v>
      </c>
      <c r="J1174" s="6" t="s">
        <v>353</v>
      </c>
      <c r="K1174" s="6" t="s">
        <v>55</v>
      </c>
      <c r="L1174" s="6" t="s">
        <v>85</v>
      </c>
      <c r="M1174" s="6" t="s">
        <v>5460</v>
      </c>
    </row>
    <row r="1175" spans="1:13" ht="13" x14ac:dyDescent="0.15">
      <c r="A1175" s="5" t="str">
        <f>HYPERLINK("https://onemount.atlassian.net/browse/DBA-4261","DBA-4261")</f>
        <v>DBA-4261</v>
      </c>
      <c r="B1175" s="6" t="s">
        <v>21</v>
      </c>
      <c r="C1175" s="6" t="s">
        <v>5461</v>
      </c>
      <c r="D1175" s="8" t="s">
        <v>17</v>
      </c>
      <c r="E1175" s="6" t="s">
        <v>23</v>
      </c>
      <c r="F1175" s="6" t="s">
        <v>87</v>
      </c>
      <c r="G1175" s="6" t="s">
        <v>5462</v>
      </c>
      <c r="H1175" s="10">
        <v>46116</v>
      </c>
      <c r="I1175" s="6" t="s">
        <v>5463</v>
      </c>
      <c r="J1175" s="6" t="s">
        <v>1898</v>
      </c>
      <c r="K1175" s="6" t="s">
        <v>165</v>
      </c>
      <c r="L1175" s="6" t="s">
        <v>1097</v>
      </c>
      <c r="M1175" s="6" t="s">
        <v>5464</v>
      </c>
    </row>
    <row r="1176" spans="1:13" ht="13" x14ac:dyDescent="0.15">
      <c r="A1176" s="5" t="str">
        <f>HYPERLINK("https://onemount.atlassian.net/browse/DBA-4260","DBA-4260")</f>
        <v>DBA-4260</v>
      </c>
      <c r="B1176" s="6" t="s">
        <v>21</v>
      </c>
      <c r="C1176" s="6" t="s">
        <v>5465</v>
      </c>
      <c r="D1176" s="8" t="s">
        <v>17</v>
      </c>
      <c r="E1176" s="6" t="s">
        <v>23</v>
      </c>
      <c r="F1176" s="6" t="s">
        <v>31</v>
      </c>
      <c r="G1176" s="6" t="s">
        <v>5466</v>
      </c>
      <c r="H1176" s="10">
        <v>46116</v>
      </c>
      <c r="I1176" s="6" t="s">
        <v>5467</v>
      </c>
      <c r="J1176" s="6" t="s">
        <v>373</v>
      </c>
      <c r="K1176" s="6" t="s">
        <v>35</v>
      </c>
      <c r="L1176" s="6" t="s">
        <v>36</v>
      </c>
      <c r="M1176" s="6" t="s">
        <v>5468</v>
      </c>
    </row>
    <row r="1177" spans="1:13" ht="13" x14ac:dyDescent="0.15">
      <c r="A1177" s="5" t="str">
        <f>HYPERLINK("https://onemount.atlassian.net/browse/DBA-4259","DBA-4259")</f>
        <v>DBA-4259</v>
      </c>
      <c r="B1177" s="6" t="s">
        <v>21</v>
      </c>
      <c r="C1177" s="6" t="s">
        <v>5469</v>
      </c>
      <c r="D1177" s="8" t="s">
        <v>17</v>
      </c>
      <c r="E1177" s="6" t="s">
        <v>23</v>
      </c>
      <c r="F1177" s="6" t="s">
        <v>52</v>
      </c>
      <c r="G1177" s="6" t="s">
        <v>5470</v>
      </c>
      <c r="H1177" s="10">
        <v>46115</v>
      </c>
      <c r="I1177" s="6" t="s">
        <v>5471</v>
      </c>
      <c r="J1177" s="6" t="s">
        <v>39</v>
      </c>
      <c r="K1177" s="6" t="s">
        <v>165</v>
      </c>
      <c r="L1177" s="6" t="s">
        <v>1054</v>
      </c>
      <c r="M1177" s="6" t="s">
        <v>5472</v>
      </c>
    </row>
    <row r="1178" spans="1:13" ht="13" x14ac:dyDescent="0.15">
      <c r="A1178" s="5" t="str">
        <f>HYPERLINK("https://onemount.atlassian.net/browse/DBA-4258","DBA-4258")</f>
        <v>DBA-4258</v>
      </c>
      <c r="B1178" s="6" t="s">
        <v>21</v>
      </c>
      <c r="C1178" s="6" t="s">
        <v>481</v>
      </c>
      <c r="D1178" s="8" t="s">
        <v>17</v>
      </c>
      <c r="E1178" s="6" t="s">
        <v>23</v>
      </c>
      <c r="F1178" s="6" t="s">
        <v>24</v>
      </c>
      <c r="G1178" s="6" t="s">
        <v>5473</v>
      </c>
      <c r="H1178" s="10">
        <v>46115</v>
      </c>
      <c r="I1178" s="6" t="s">
        <v>5474</v>
      </c>
      <c r="J1178" s="6" t="s">
        <v>88</v>
      </c>
      <c r="K1178" s="6" t="s">
        <v>59</v>
      </c>
      <c r="L1178" s="6" t="s">
        <v>88</v>
      </c>
      <c r="M1178" s="6" t="s">
        <v>5475</v>
      </c>
    </row>
    <row r="1179" spans="1:13" ht="13" x14ac:dyDescent="0.15">
      <c r="A1179" s="5" t="str">
        <f>HYPERLINK("https://onemount.atlassian.net/browse/DBA-4257","DBA-4257")</f>
        <v>DBA-4257</v>
      </c>
      <c r="B1179" s="6" t="s">
        <v>21</v>
      </c>
      <c r="C1179" s="6" t="s">
        <v>5476</v>
      </c>
      <c r="D1179" s="8" t="s">
        <v>17</v>
      </c>
      <c r="E1179" s="6" t="s">
        <v>23</v>
      </c>
      <c r="F1179" s="6" t="s">
        <v>52</v>
      </c>
      <c r="G1179" s="6" t="s">
        <v>5477</v>
      </c>
      <c r="H1179" s="10">
        <v>46116</v>
      </c>
      <c r="I1179" s="6" t="s">
        <v>5478</v>
      </c>
      <c r="J1179" s="6" t="s">
        <v>5479</v>
      </c>
      <c r="K1179" s="6" t="s">
        <v>55</v>
      </c>
      <c r="L1179" s="6" t="s">
        <v>254</v>
      </c>
      <c r="M1179" s="6" t="s">
        <v>5480</v>
      </c>
    </row>
    <row r="1180" spans="1:13" ht="13" x14ac:dyDescent="0.15">
      <c r="A1180" s="5" t="str">
        <f>HYPERLINK("https://onemount.atlassian.net/browse/DBA-4256","DBA-4256")</f>
        <v>DBA-4256</v>
      </c>
      <c r="B1180" s="6" t="s">
        <v>21</v>
      </c>
      <c r="C1180" s="6" t="s">
        <v>5481</v>
      </c>
      <c r="D1180" s="8" t="s">
        <v>17</v>
      </c>
      <c r="E1180" s="6" t="s">
        <v>23</v>
      </c>
      <c r="F1180" s="6" t="s">
        <v>31</v>
      </c>
      <c r="G1180" s="6" t="s">
        <v>5482</v>
      </c>
      <c r="H1180" s="10">
        <v>46116</v>
      </c>
      <c r="I1180" s="6" t="s">
        <v>5483</v>
      </c>
      <c r="J1180" s="6" t="s">
        <v>2924</v>
      </c>
      <c r="K1180" s="6" t="s">
        <v>46</v>
      </c>
      <c r="L1180" s="6" t="s">
        <v>600</v>
      </c>
      <c r="M1180" s="6" t="s">
        <v>5484</v>
      </c>
    </row>
    <row r="1181" spans="1:13" ht="13" x14ac:dyDescent="0.15">
      <c r="A1181" s="5" t="str">
        <f>HYPERLINK("https://onemount.atlassian.net/browse/DBA-4254","DBA-4254")</f>
        <v>DBA-4254</v>
      </c>
      <c r="B1181" s="23" t="str">
        <f>HYPERLINK("https://onemount.atlassian.net/browse/DBA-2062","DBA-2062")</f>
        <v>DBA-2062</v>
      </c>
      <c r="C1181" s="6" t="s">
        <v>5485</v>
      </c>
      <c r="D1181" s="8" t="s">
        <v>17</v>
      </c>
      <c r="E1181" s="6" t="s">
        <v>428</v>
      </c>
      <c r="F1181" s="6" t="s">
        <v>52</v>
      </c>
      <c r="G1181" s="6" t="s">
        <v>5486</v>
      </c>
      <c r="H1181" s="10">
        <v>46116</v>
      </c>
      <c r="I1181" s="6" t="s">
        <v>5487</v>
      </c>
      <c r="J1181" s="6" t="s">
        <v>2678</v>
      </c>
      <c r="K1181" s="6" t="s">
        <v>55</v>
      </c>
      <c r="L1181" s="6" t="s">
        <v>778</v>
      </c>
      <c r="M1181" s="6" t="s">
        <v>5488</v>
      </c>
    </row>
    <row r="1182" spans="1:13" ht="13" x14ac:dyDescent="0.15">
      <c r="A1182" s="5" t="str">
        <f>HYPERLINK("https://onemount.atlassian.net/browse/DBA-4248","DBA-4248")</f>
        <v>DBA-4248</v>
      </c>
      <c r="B1182" s="6" t="s">
        <v>21</v>
      </c>
      <c r="C1182" s="6" t="s">
        <v>5489</v>
      </c>
      <c r="D1182" s="8" t="s">
        <v>17</v>
      </c>
      <c r="E1182" s="6" t="s">
        <v>23</v>
      </c>
      <c r="F1182" s="6" t="s">
        <v>24</v>
      </c>
      <c r="G1182" s="6" t="s">
        <v>5490</v>
      </c>
      <c r="H1182" s="10">
        <v>46115</v>
      </c>
      <c r="I1182" s="6" t="s">
        <v>5491</v>
      </c>
      <c r="J1182" s="6" t="s">
        <v>3553</v>
      </c>
      <c r="K1182" s="6" t="s">
        <v>165</v>
      </c>
      <c r="L1182" s="6" t="s">
        <v>39</v>
      </c>
      <c r="M1182" s="6" t="s">
        <v>5492</v>
      </c>
    </row>
    <row r="1183" spans="1:13" ht="13" x14ac:dyDescent="0.15">
      <c r="A1183" s="5" t="str">
        <f>HYPERLINK("https://onemount.atlassian.net/browse/DBA-4247","DBA-4247")</f>
        <v>DBA-4247</v>
      </c>
      <c r="B1183" s="6" t="s">
        <v>21</v>
      </c>
      <c r="C1183" s="6" t="s">
        <v>5493</v>
      </c>
      <c r="D1183" s="8" t="s">
        <v>17</v>
      </c>
      <c r="E1183" s="6" t="s">
        <v>23</v>
      </c>
      <c r="F1183" s="6" t="s">
        <v>24</v>
      </c>
      <c r="G1183" s="6" t="s">
        <v>5494</v>
      </c>
      <c r="H1183" s="10">
        <v>46114</v>
      </c>
      <c r="I1183" s="6" t="s">
        <v>5495</v>
      </c>
      <c r="J1183" s="6" t="s">
        <v>3553</v>
      </c>
      <c r="K1183" s="6" t="s">
        <v>165</v>
      </c>
      <c r="L1183" s="6" t="s">
        <v>39</v>
      </c>
      <c r="M1183" s="6" t="s">
        <v>5496</v>
      </c>
    </row>
    <row r="1184" spans="1:13" ht="13" x14ac:dyDescent="0.15">
      <c r="A1184" s="5" t="str">
        <f>HYPERLINK("https://onemount.atlassian.net/browse/DBA-4246","DBA-4246")</f>
        <v>DBA-4246</v>
      </c>
      <c r="B1184" s="6" t="s">
        <v>21</v>
      </c>
      <c r="C1184" s="6" t="s">
        <v>5333</v>
      </c>
      <c r="D1184" s="8" t="s">
        <v>17</v>
      </c>
      <c r="E1184" s="6" t="s">
        <v>23</v>
      </c>
      <c r="F1184" s="6" t="s">
        <v>24</v>
      </c>
      <c r="G1184" s="6" t="s">
        <v>5497</v>
      </c>
      <c r="H1184" s="10">
        <v>46114</v>
      </c>
      <c r="I1184" s="6" t="s">
        <v>5498</v>
      </c>
      <c r="J1184" s="6" t="s">
        <v>77</v>
      </c>
      <c r="K1184" s="6" t="s">
        <v>165</v>
      </c>
      <c r="L1184" s="6" t="s">
        <v>77</v>
      </c>
      <c r="M1184" s="6" t="s">
        <v>5499</v>
      </c>
    </row>
    <row r="1185" spans="1:13" ht="13" x14ac:dyDescent="0.15">
      <c r="A1185" s="5" t="str">
        <f>HYPERLINK("https://onemount.atlassian.net/browse/DBA-4243","DBA-4243")</f>
        <v>DBA-4243</v>
      </c>
      <c r="B1185" s="6" t="s">
        <v>21</v>
      </c>
      <c r="C1185" s="6" t="s">
        <v>4662</v>
      </c>
      <c r="D1185" s="8" t="s">
        <v>17</v>
      </c>
      <c r="E1185" s="6" t="s">
        <v>23</v>
      </c>
      <c r="F1185" s="6" t="s">
        <v>24</v>
      </c>
      <c r="G1185" s="6" t="s">
        <v>5500</v>
      </c>
      <c r="H1185" s="10">
        <v>46114</v>
      </c>
      <c r="I1185" s="6" t="s">
        <v>5501</v>
      </c>
      <c r="J1185" s="6" t="s">
        <v>88</v>
      </c>
      <c r="K1185" s="6" t="s">
        <v>59</v>
      </c>
      <c r="L1185" s="6" t="s">
        <v>88</v>
      </c>
      <c r="M1185" s="6" t="s">
        <v>5502</v>
      </c>
    </row>
    <row r="1186" spans="1:13" ht="13" x14ac:dyDescent="0.15">
      <c r="A1186" s="5" t="str">
        <f>HYPERLINK("https://onemount.atlassian.net/browse/DBA-4242","DBA-4242")</f>
        <v>DBA-4242</v>
      </c>
      <c r="B1186" s="6" t="s">
        <v>21</v>
      </c>
      <c r="C1186" s="6" t="s">
        <v>5503</v>
      </c>
      <c r="D1186" s="8" t="s">
        <v>17</v>
      </c>
      <c r="E1186" s="6" t="s">
        <v>23</v>
      </c>
      <c r="F1186" s="6" t="s">
        <v>52</v>
      </c>
      <c r="G1186" s="6" t="s">
        <v>5504</v>
      </c>
      <c r="H1186" s="10">
        <v>46114</v>
      </c>
      <c r="I1186" s="6" t="s">
        <v>5505</v>
      </c>
      <c r="J1186" s="6" t="s">
        <v>353</v>
      </c>
      <c r="K1186" s="6" t="s">
        <v>55</v>
      </c>
      <c r="L1186" s="6" t="s">
        <v>85</v>
      </c>
      <c r="M1186" s="6" t="s">
        <v>5506</v>
      </c>
    </row>
    <row r="1187" spans="1:13" ht="13" x14ac:dyDescent="0.15">
      <c r="A1187" s="5" t="str">
        <f>HYPERLINK("https://onemount.atlassian.net/browse/DBA-4240","DBA-4240")</f>
        <v>DBA-4240</v>
      </c>
      <c r="B1187" s="6" t="s">
        <v>21</v>
      </c>
      <c r="C1187" s="6" t="s">
        <v>5503</v>
      </c>
      <c r="D1187" s="8" t="s">
        <v>17</v>
      </c>
      <c r="E1187" s="6" t="s">
        <v>23</v>
      </c>
      <c r="F1187" s="6" t="s">
        <v>52</v>
      </c>
      <c r="G1187" s="6" t="s">
        <v>5507</v>
      </c>
      <c r="H1187" s="10">
        <v>46115</v>
      </c>
      <c r="I1187" s="6" t="s">
        <v>5508</v>
      </c>
      <c r="J1187" s="6" t="s">
        <v>353</v>
      </c>
      <c r="K1187" s="6" t="s">
        <v>55</v>
      </c>
      <c r="L1187" s="6" t="s">
        <v>85</v>
      </c>
      <c r="M1187" s="6" t="s">
        <v>5509</v>
      </c>
    </row>
    <row r="1188" spans="1:13" ht="13" x14ac:dyDescent="0.15">
      <c r="A1188" s="5" t="str">
        <f>HYPERLINK("https://onemount.atlassian.net/browse/DBA-4239","DBA-4239")</f>
        <v>DBA-4239</v>
      </c>
      <c r="B1188" s="6" t="s">
        <v>21</v>
      </c>
      <c r="C1188" s="6" t="s">
        <v>2722</v>
      </c>
      <c r="D1188" s="8" t="s">
        <v>17</v>
      </c>
      <c r="E1188" s="6" t="s">
        <v>23</v>
      </c>
      <c r="F1188" s="6" t="s">
        <v>52</v>
      </c>
      <c r="G1188" s="6" t="s">
        <v>5510</v>
      </c>
      <c r="H1188" s="10">
        <v>46114</v>
      </c>
      <c r="I1188" s="6" t="s">
        <v>5511</v>
      </c>
      <c r="J1188" s="6" t="s">
        <v>463</v>
      </c>
      <c r="K1188" s="6" t="s">
        <v>55</v>
      </c>
      <c r="L1188" s="6" t="s">
        <v>254</v>
      </c>
      <c r="M1188" s="6" t="s">
        <v>5512</v>
      </c>
    </row>
    <row r="1189" spans="1:13" ht="13" x14ac:dyDescent="0.15">
      <c r="A1189" s="5" t="str">
        <f>HYPERLINK("https://onemount.atlassian.net/browse/DBA-4237","DBA-4237")</f>
        <v>DBA-4237</v>
      </c>
      <c r="B1189" s="6" t="s">
        <v>21</v>
      </c>
      <c r="C1189" s="6" t="s">
        <v>5513</v>
      </c>
      <c r="D1189" s="8" t="s">
        <v>17</v>
      </c>
      <c r="E1189" s="6" t="s">
        <v>23</v>
      </c>
      <c r="F1189" s="6" t="s">
        <v>24</v>
      </c>
      <c r="G1189" s="6" t="s">
        <v>5514</v>
      </c>
      <c r="H1189" s="10">
        <v>46114</v>
      </c>
      <c r="I1189" s="6" t="s">
        <v>5515</v>
      </c>
      <c r="J1189" s="6" t="s">
        <v>510</v>
      </c>
      <c r="K1189" s="6" t="s">
        <v>165</v>
      </c>
      <c r="L1189" s="6" t="s">
        <v>77</v>
      </c>
      <c r="M1189" s="6" t="s">
        <v>5516</v>
      </c>
    </row>
    <row r="1190" spans="1:13" ht="13" x14ac:dyDescent="0.15">
      <c r="A1190" s="5" t="str">
        <f>HYPERLINK("https://onemount.atlassian.net/browse/DBA-4235","DBA-4235")</f>
        <v>DBA-4235</v>
      </c>
      <c r="B1190" s="6" t="s">
        <v>21</v>
      </c>
      <c r="C1190" s="6" t="s">
        <v>5517</v>
      </c>
      <c r="D1190" s="8" t="s">
        <v>17</v>
      </c>
      <c r="E1190" s="6" t="s">
        <v>23</v>
      </c>
      <c r="F1190" s="6" t="s">
        <v>52</v>
      </c>
      <c r="G1190" s="6" t="s">
        <v>5518</v>
      </c>
      <c r="H1190" s="10">
        <v>46113</v>
      </c>
      <c r="I1190" s="6" t="s">
        <v>5519</v>
      </c>
      <c r="J1190" s="6" t="s">
        <v>85</v>
      </c>
      <c r="K1190" s="6" t="s">
        <v>55</v>
      </c>
      <c r="L1190" s="6" t="s">
        <v>85</v>
      </c>
      <c r="M1190" s="6" t="s">
        <v>5520</v>
      </c>
    </row>
    <row r="1191" spans="1:13" ht="13" x14ac:dyDescent="0.15">
      <c r="A1191" s="5" t="str">
        <f>HYPERLINK("https://onemount.atlassian.net/browse/DBA-4231","DBA-4231")</f>
        <v>DBA-4231</v>
      </c>
      <c r="B1191" s="6" t="s">
        <v>21</v>
      </c>
      <c r="C1191" s="6" t="s">
        <v>5521</v>
      </c>
      <c r="D1191" s="8" t="s">
        <v>17</v>
      </c>
      <c r="E1191" s="6" t="s">
        <v>23</v>
      </c>
      <c r="F1191" s="6" t="s">
        <v>31</v>
      </c>
      <c r="G1191" s="6" t="s">
        <v>5522</v>
      </c>
      <c r="H1191" s="10">
        <v>46113</v>
      </c>
      <c r="I1191" s="6" t="s">
        <v>5523</v>
      </c>
      <c r="J1191" s="6" t="s">
        <v>707</v>
      </c>
      <c r="K1191" s="6" t="s">
        <v>35</v>
      </c>
      <c r="L1191" s="6" t="s">
        <v>707</v>
      </c>
      <c r="M1191" s="6" t="s">
        <v>5524</v>
      </c>
    </row>
    <row r="1192" spans="1:13" ht="13" x14ac:dyDescent="0.15">
      <c r="A1192" s="5" t="str">
        <f>HYPERLINK("https://onemount.atlassian.net/browse/DBA-4230","DBA-4230")</f>
        <v>DBA-4230</v>
      </c>
      <c r="B1192" s="6" t="s">
        <v>21</v>
      </c>
      <c r="C1192" s="6" t="s">
        <v>5525</v>
      </c>
      <c r="D1192" s="8" t="s">
        <v>17</v>
      </c>
      <c r="E1192" s="6" t="s">
        <v>23</v>
      </c>
      <c r="F1192" s="6" t="s">
        <v>52</v>
      </c>
      <c r="G1192" s="6" t="s">
        <v>5526</v>
      </c>
      <c r="H1192" s="10">
        <v>46113</v>
      </c>
      <c r="I1192" s="6" t="s">
        <v>5527</v>
      </c>
      <c r="J1192" s="6" t="s">
        <v>852</v>
      </c>
      <c r="K1192" s="6" t="s">
        <v>55</v>
      </c>
      <c r="L1192" s="6" t="s">
        <v>855</v>
      </c>
      <c r="M1192" s="6" t="s">
        <v>5528</v>
      </c>
    </row>
    <row r="1193" spans="1:13" ht="13" x14ac:dyDescent="0.15">
      <c r="A1193" s="5" t="str">
        <f>HYPERLINK("https://onemount.atlassian.net/browse/DBA-4225","DBA-4225")</f>
        <v>DBA-4225</v>
      </c>
      <c r="B1193" s="6" t="s">
        <v>21</v>
      </c>
      <c r="C1193" s="6" t="s">
        <v>5529</v>
      </c>
      <c r="D1193" s="8" t="s">
        <v>17</v>
      </c>
      <c r="E1193" s="6" t="s">
        <v>23</v>
      </c>
      <c r="F1193" s="6" t="s">
        <v>52</v>
      </c>
      <c r="G1193" s="6" t="s">
        <v>5530</v>
      </c>
      <c r="H1193" s="10">
        <v>46114</v>
      </c>
      <c r="I1193" s="6" t="s">
        <v>5531</v>
      </c>
      <c r="J1193" s="6" t="s">
        <v>55</v>
      </c>
      <c r="K1193" s="6" t="s">
        <v>55</v>
      </c>
      <c r="L1193" s="6" t="s">
        <v>425</v>
      </c>
      <c r="M1193" s="6" t="s">
        <v>5532</v>
      </c>
    </row>
    <row r="1194" spans="1:13" ht="13" x14ac:dyDescent="0.15">
      <c r="A1194" s="5" t="str">
        <f>HYPERLINK("https://onemount.atlassian.net/browse/DBA-4224","DBA-4224")</f>
        <v>DBA-4224</v>
      </c>
      <c r="B1194" s="6" t="s">
        <v>21</v>
      </c>
      <c r="C1194" s="6" t="s">
        <v>5533</v>
      </c>
      <c r="D1194" s="8" t="s">
        <v>17</v>
      </c>
      <c r="E1194" s="6" t="s">
        <v>23</v>
      </c>
      <c r="F1194" s="6" t="s">
        <v>87</v>
      </c>
      <c r="G1194" s="6" t="s">
        <v>5534</v>
      </c>
      <c r="H1194" s="10">
        <v>46114</v>
      </c>
      <c r="I1194" s="6" t="s">
        <v>5535</v>
      </c>
      <c r="J1194" s="6" t="s">
        <v>2453</v>
      </c>
      <c r="K1194" s="6" t="s">
        <v>165</v>
      </c>
      <c r="L1194" s="6" t="s">
        <v>119</v>
      </c>
      <c r="M1194" s="6" t="s">
        <v>5536</v>
      </c>
    </row>
    <row r="1195" spans="1:13" ht="13" x14ac:dyDescent="0.15">
      <c r="A1195" s="5" t="str">
        <f>HYPERLINK("https://onemount.atlassian.net/browse/DBA-4218","DBA-4218")</f>
        <v>DBA-4218</v>
      </c>
      <c r="B1195" s="6" t="s">
        <v>21</v>
      </c>
      <c r="C1195" s="6" t="s">
        <v>5537</v>
      </c>
      <c r="D1195" s="8" t="s">
        <v>17</v>
      </c>
      <c r="E1195" s="6" t="s">
        <v>23</v>
      </c>
      <c r="F1195" s="6" t="s">
        <v>24</v>
      </c>
      <c r="G1195" s="6" t="s">
        <v>5538</v>
      </c>
      <c r="H1195" s="10">
        <v>46114</v>
      </c>
      <c r="I1195" s="6" t="s">
        <v>5539</v>
      </c>
      <c r="J1195" s="6" t="s">
        <v>55</v>
      </c>
      <c r="K1195" s="6" t="s">
        <v>55</v>
      </c>
      <c r="L1195" s="6" t="s">
        <v>55</v>
      </c>
      <c r="M1195" s="6" t="s">
        <v>5540</v>
      </c>
    </row>
    <row r="1196" spans="1:13" ht="13" x14ac:dyDescent="0.15">
      <c r="A1196" s="5" t="str">
        <f>HYPERLINK("https://onemount.atlassian.net/browse/DBA-4217","DBA-4217")</f>
        <v>DBA-4217</v>
      </c>
      <c r="B1196" s="6" t="s">
        <v>21</v>
      </c>
      <c r="C1196" s="6" t="s">
        <v>5541</v>
      </c>
      <c r="D1196" s="8" t="s">
        <v>17</v>
      </c>
      <c r="E1196" s="6" t="s">
        <v>23</v>
      </c>
      <c r="F1196" s="6" t="s">
        <v>24</v>
      </c>
      <c r="G1196" s="6" t="s">
        <v>5542</v>
      </c>
      <c r="H1196" s="10">
        <v>46116</v>
      </c>
      <c r="I1196" s="6" t="s">
        <v>5543</v>
      </c>
      <c r="J1196" s="6" t="s">
        <v>39</v>
      </c>
      <c r="K1196" s="6" t="s">
        <v>165</v>
      </c>
      <c r="L1196" s="6" t="s">
        <v>39</v>
      </c>
      <c r="M1196" s="6" t="s">
        <v>5544</v>
      </c>
    </row>
    <row r="1197" spans="1:13" ht="13" x14ac:dyDescent="0.15">
      <c r="A1197" s="5" t="str">
        <f>HYPERLINK("https://onemount.atlassian.net/browse/DBA-4216","DBA-4216")</f>
        <v>DBA-4216</v>
      </c>
      <c r="B1197" s="6" t="s">
        <v>21</v>
      </c>
      <c r="C1197" s="6" t="s">
        <v>5545</v>
      </c>
      <c r="D1197" s="8" t="s">
        <v>17</v>
      </c>
      <c r="E1197" s="6" t="s">
        <v>23</v>
      </c>
      <c r="F1197" s="6" t="s">
        <v>24</v>
      </c>
      <c r="G1197" s="6" t="s">
        <v>5546</v>
      </c>
      <c r="H1197" s="10">
        <v>46113</v>
      </c>
      <c r="I1197" s="6" t="s">
        <v>5547</v>
      </c>
      <c r="J1197" s="6" t="s">
        <v>510</v>
      </c>
      <c r="K1197" s="6" t="s">
        <v>165</v>
      </c>
      <c r="L1197" s="6" t="s">
        <v>77</v>
      </c>
      <c r="M1197" s="6" t="s">
        <v>5548</v>
      </c>
    </row>
    <row r="1198" spans="1:13" ht="13" x14ac:dyDescent="0.15">
      <c r="A1198" s="21" t="str">
        <f>HYPERLINK("https://onemount.atlassian.net/browse/DBA-4215","DBA-4215")</f>
        <v>DBA-4215</v>
      </c>
      <c r="B1198" s="6" t="s">
        <v>21</v>
      </c>
      <c r="C1198" s="6" t="s">
        <v>4995</v>
      </c>
      <c r="D1198" s="8" t="s">
        <v>17</v>
      </c>
      <c r="E1198" s="6" t="s">
        <v>23</v>
      </c>
      <c r="F1198" s="6" t="s">
        <v>52</v>
      </c>
      <c r="G1198" s="6" t="s">
        <v>5549</v>
      </c>
      <c r="H1198" s="10">
        <v>46112</v>
      </c>
      <c r="I1198" s="6" t="s">
        <v>5550</v>
      </c>
      <c r="J1198" s="6" t="s">
        <v>2392</v>
      </c>
      <c r="K1198" s="6" t="s">
        <v>72</v>
      </c>
      <c r="L1198" s="6" t="s">
        <v>188</v>
      </c>
      <c r="M1198" s="6" t="s">
        <v>4847</v>
      </c>
    </row>
    <row r="1199" spans="1:13" ht="13" x14ac:dyDescent="0.15">
      <c r="A1199" s="5" t="str">
        <f>HYPERLINK("https://onemount.atlassian.net/browse/DBA-4214","DBA-4214")</f>
        <v>DBA-4214</v>
      </c>
      <c r="B1199" s="6" t="s">
        <v>21</v>
      </c>
      <c r="C1199" s="6" t="s">
        <v>4014</v>
      </c>
      <c r="D1199" s="8" t="s">
        <v>17</v>
      </c>
      <c r="E1199" s="6" t="s">
        <v>23</v>
      </c>
      <c r="F1199" s="6" t="s">
        <v>31</v>
      </c>
      <c r="G1199" s="6" t="s">
        <v>5551</v>
      </c>
      <c r="H1199" s="10">
        <v>46112</v>
      </c>
      <c r="I1199" s="6" t="s">
        <v>5552</v>
      </c>
      <c r="J1199" s="6" t="s">
        <v>478</v>
      </c>
      <c r="K1199" s="6" t="s">
        <v>35</v>
      </c>
      <c r="L1199" s="6" t="s">
        <v>478</v>
      </c>
      <c r="M1199" s="6" t="s">
        <v>5553</v>
      </c>
    </row>
    <row r="1200" spans="1:13" ht="13" x14ac:dyDescent="0.15">
      <c r="A1200" s="5" t="str">
        <f>HYPERLINK("https://onemount.atlassian.net/browse/DBA-4213","DBA-4213")</f>
        <v>DBA-4213</v>
      </c>
      <c r="B1200" s="6" t="s">
        <v>21</v>
      </c>
      <c r="C1200" s="6" t="s">
        <v>5554</v>
      </c>
      <c r="D1200" s="8" t="s">
        <v>17</v>
      </c>
      <c r="E1200" s="6" t="s">
        <v>23</v>
      </c>
      <c r="F1200" s="6" t="s">
        <v>24</v>
      </c>
      <c r="G1200" s="6" t="s">
        <v>5555</v>
      </c>
      <c r="H1200" s="10">
        <v>46112</v>
      </c>
      <c r="I1200" s="6" t="s">
        <v>5556</v>
      </c>
      <c r="J1200" s="6" t="s">
        <v>270</v>
      </c>
      <c r="K1200" s="6" t="s">
        <v>55</v>
      </c>
      <c r="L1200" s="6" t="s">
        <v>270</v>
      </c>
      <c r="M1200" s="6" t="s">
        <v>5557</v>
      </c>
    </row>
    <row r="1201" spans="1:13" ht="13" x14ac:dyDescent="0.15">
      <c r="A1201" s="5" t="str">
        <f>HYPERLINK("https://onemount.atlassian.net/browse/DBA-4212","DBA-4212")</f>
        <v>DBA-4212</v>
      </c>
      <c r="B1201" s="6" t="s">
        <v>21</v>
      </c>
      <c r="C1201" s="6" t="s">
        <v>3289</v>
      </c>
      <c r="D1201" s="8" t="s">
        <v>17</v>
      </c>
      <c r="E1201" s="6" t="s">
        <v>23</v>
      </c>
      <c r="F1201" s="6" t="s">
        <v>24</v>
      </c>
      <c r="G1201" s="6" t="s">
        <v>5558</v>
      </c>
      <c r="H1201" s="10">
        <v>46112</v>
      </c>
      <c r="I1201" s="6" t="s">
        <v>5559</v>
      </c>
      <c r="J1201" s="6" t="s">
        <v>56</v>
      </c>
      <c r="K1201" s="6" t="s">
        <v>55</v>
      </c>
      <c r="L1201" s="6" t="s">
        <v>56</v>
      </c>
      <c r="M1201" s="6" t="s">
        <v>5560</v>
      </c>
    </row>
    <row r="1202" spans="1:13" ht="13" x14ac:dyDescent="0.15">
      <c r="A1202" s="5" t="str">
        <f>HYPERLINK("https://onemount.atlassian.net/browse/DBA-4211","DBA-4211")</f>
        <v>DBA-4211</v>
      </c>
      <c r="B1202" s="6" t="s">
        <v>21</v>
      </c>
      <c r="C1202" s="6" t="s">
        <v>5561</v>
      </c>
      <c r="D1202" s="8" t="s">
        <v>17</v>
      </c>
      <c r="E1202" s="6" t="s">
        <v>23</v>
      </c>
      <c r="F1202" s="6" t="s">
        <v>31</v>
      </c>
      <c r="G1202" s="6" t="s">
        <v>5562</v>
      </c>
      <c r="H1202" s="10">
        <v>46113</v>
      </c>
      <c r="I1202" s="6" t="s">
        <v>5563</v>
      </c>
      <c r="J1202" s="6" t="s">
        <v>5564</v>
      </c>
      <c r="K1202" s="6" t="s">
        <v>35</v>
      </c>
      <c r="L1202" s="6" t="s">
        <v>692</v>
      </c>
      <c r="M1202" s="6" t="s">
        <v>5565</v>
      </c>
    </row>
    <row r="1203" spans="1:13" ht="13" x14ac:dyDescent="0.15">
      <c r="A1203" s="5" t="str">
        <f>HYPERLINK("https://onemount.atlassian.net/browse/DBA-4210","DBA-4210")</f>
        <v>DBA-4210</v>
      </c>
      <c r="B1203" s="6" t="s">
        <v>21</v>
      </c>
      <c r="C1203" s="6" t="s">
        <v>5566</v>
      </c>
      <c r="D1203" s="8" t="s">
        <v>17</v>
      </c>
      <c r="E1203" s="6" t="s">
        <v>23</v>
      </c>
      <c r="F1203" s="6" t="s">
        <v>87</v>
      </c>
      <c r="G1203" s="6" t="s">
        <v>5567</v>
      </c>
      <c r="H1203" s="10">
        <v>46112</v>
      </c>
      <c r="I1203" s="6" t="s">
        <v>5568</v>
      </c>
      <c r="J1203" s="6" t="s">
        <v>1898</v>
      </c>
      <c r="K1203" s="6" t="s">
        <v>165</v>
      </c>
      <c r="L1203" s="6" t="s">
        <v>1097</v>
      </c>
      <c r="M1203" s="6" t="s">
        <v>5569</v>
      </c>
    </row>
    <row r="1204" spans="1:13" ht="13" x14ac:dyDescent="0.15">
      <c r="A1204" s="5" t="str">
        <f>HYPERLINK("https://onemount.atlassian.net/browse/DBA-4209","DBA-4209")</f>
        <v>DBA-4209</v>
      </c>
      <c r="B1204" s="6" t="s">
        <v>21</v>
      </c>
      <c r="C1204" s="6" t="s">
        <v>4789</v>
      </c>
      <c r="D1204" s="8" t="s">
        <v>17</v>
      </c>
      <c r="E1204" s="6" t="s">
        <v>23</v>
      </c>
      <c r="F1204" s="6" t="s">
        <v>24</v>
      </c>
      <c r="G1204" s="6" t="s">
        <v>5570</v>
      </c>
      <c r="H1204" s="10">
        <v>46114</v>
      </c>
      <c r="I1204" s="6" t="s">
        <v>5571</v>
      </c>
      <c r="J1204" s="6" t="s">
        <v>4792</v>
      </c>
      <c r="K1204" s="6" t="s">
        <v>55</v>
      </c>
      <c r="L1204" s="6" t="s">
        <v>270</v>
      </c>
      <c r="M1204" s="6" t="s">
        <v>5572</v>
      </c>
    </row>
    <row r="1205" spans="1:13" ht="13" x14ac:dyDescent="0.15">
      <c r="A1205" s="5" t="str">
        <f>HYPERLINK("https://onemount.atlassian.net/browse/DBA-4205","DBA-4205")</f>
        <v>DBA-4205</v>
      </c>
      <c r="B1205" s="6" t="s">
        <v>21</v>
      </c>
      <c r="C1205" s="6" t="s">
        <v>5573</v>
      </c>
      <c r="D1205" s="8" t="s">
        <v>17</v>
      </c>
      <c r="E1205" s="6" t="s">
        <v>23</v>
      </c>
      <c r="F1205" s="6" t="s">
        <v>41</v>
      </c>
      <c r="G1205" s="6" t="s">
        <v>5574</v>
      </c>
      <c r="H1205" s="10">
        <v>46113</v>
      </c>
      <c r="I1205" s="6" t="s">
        <v>5575</v>
      </c>
      <c r="J1205" s="6" t="s">
        <v>72</v>
      </c>
      <c r="K1205" s="6" t="s">
        <v>72</v>
      </c>
      <c r="L1205" s="6" t="s">
        <v>72</v>
      </c>
      <c r="M1205" s="6" t="s">
        <v>5576</v>
      </c>
    </row>
    <row r="1206" spans="1:13" ht="13" x14ac:dyDescent="0.15">
      <c r="A1206" s="5" t="str">
        <f>HYPERLINK("https://onemount.atlassian.net/browse/DBA-4204","DBA-4204")</f>
        <v>DBA-4204</v>
      </c>
      <c r="B1206" s="6" t="s">
        <v>21</v>
      </c>
      <c r="C1206" s="6" t="s">
        <v>5577</v>
      </c>
      <c r="D1206" s="8" t="s">
        <v>17</v>
      </c>
      <c r="E1206" s="6" t="s">
        <v>23</v>
      </c>
      <c r="F1206" s="6" t="s">
        <v>52</v>
      </c>
      <c r="G1206" s="6" t="s">
        <v>5578</v>
      </c>
      <c r="H1206" s="10">
        <v>46113</v>
      </c>
      <c r="I1206" s="6" t="s">
        <v>5579</v>
      </c>
      <c r="J1206" s="6" t="s">
        <v>2392</v>
      </c>
      <c r="K1206" s="6" t="s">
        <v>72</v>
      </c>
      <c r="L1206" s="6" t="s">
        <v>188</v>
      </c>
      <c r="M1206" s="6" t="s">
        <v>5580</v>
      </c>
    </row>
    <row r="1207" spans="1:13" ht="13" x14ac:dyDescent="0.15">
      <c r="A1207" s="5" t="str">
        <f>HYPERLINK("https://onemount.atlassian.net/browse/DBA-4203","DBA-4203")</f>
        <v>DBA-4203</v>
      </c>
      <c r="B1207" s="6" t="s">
        <v>21</v>
      </c>
      <c r="C1207" s="6" t="s">
        <v>5581</v>
      </c>
      <c r="D1207" s="8" t="s">
        <v>17</v>
      </c>
      <c r="E1207" s="6" t="s">
        <v>23</v>
      </c>
      <c r="F1207" s="6" t="s">
        <v>87</v>
      </c>
      <c r="G1207" s="6" t="s">
        <v>5582</v>
      </c>
      <c r="H1207" s="10">
        <v>46112</v>
      </c>
      <c r="I1207" s="6" t="s">
        <v>5583</v>
      </c>
      <c r="J1207" s="6" t="s">
        <v>224</v>
      </c>
      <c r="K1207" s="6" t="s">
        <v>72</v>
      </c>
      <c r="L1207" s="6" t="s">
        <v>224</v>
      </c>
      <c r="M1207" s="6" t="s">
        <v>5584</v>
      </c>
    </row>
    <row r="1208" spans="1:13" ht="13" x14ac:dyDescent="0.15">
      <c r="A1208" s="5" t="str">
        <f>HYPERLINK("https://onemount.atlassian.net/browse/DBA-4202","DBA-4202")</f>
        <v>DBA-4202</v>
      </c>
      <c r="B1208" s="23" t="str">
        <f>HYPERLINK("https://onemount.atlassian.net/browse/DBA-4101","DBA-4101")</f>
        <v>DBA-4101</v>
      </c>
      <c r="C1208" s="6" t="s">
        <v>5585</v>
      </c>
      <c r="D1208" s="8" t="s">
        <v>17</v>
      </c>
      <c r="E1208" s="6" t="s">
        <v>428</v>
      </c>
      <c r="F1208" s="6" t="s">
        <v>52</v>
      </c>
      <c r="G1208" s="6" t="s">
        <v>5586</v>
      </c>
      <c r="H1208" s="10">
        <v>46123</v>
      </c>
      <c r="I1208" s="6" t="s">
        <v>5587</v>
      </c>
      <c r="J1208" s="6" t="s">
        <v>395</v>
      </c>
      <c r="K1208" s="6" t="s">
        <v>46</v>
      </c>
      <c r="L1208" s="6" t="s">
        <v>389</v>
      </c>
      <c r="M1208" s="6" t="s">
        <v>5588</v>
      </c>
    </row>
    <row r="1209" spans="1:13" ht="13" x14ac:dyDescent="0.15">
      <c r="A1209" s="5" t="str">
        <f>HYPERLINK("https://onemount.atlassian.net/browse/DBA-4200","DBA-4200")</f>
        <v>DBA-4200</v>
      </c>
      <c r="B1209" s="6" t="s">
        <v>21</v>
      </c>
      <c r="C1209" s="6" t="s">
        <v>5589</v>
      </c>
      <c r="D1209" s="8" t="s">
        <v>17</v>
      </c>
      <c r="E1209" s="6" t="s">
        <v>23</v>
      </c>
      <c r="F1209" s="6" t="s">
        <v>31</v>
      </c>
      <c r="G1209" s="6" t="s">
        <v>5590</v>
      </c>
      <c r="H1209" s="10">
        <v>46111</v>
      </c>
      <c r="I1209" s="6" t="s">
        <v>5591</v>
      </c>
      <c r="J1209" s="6" t="s">
        <v>707</v>
      </c>
      <c r="K1209" s="6" t="s">
        <v>35</v>
      </c>
      <c r="L1209" s="6" t="s">
        <v>707</v>
      </c>
      <c r="M1209" s="6" t="s">
        <v>5592</v>
      </c>
    </row>
    <row r="1210" spans="1:13" ht="13" x14ac:dyDescent="0.15">
      <c r="A1210" s="21" t="str">
        <f>HYPERLINK("https://onemount.atlassian.net/browse/DBA-4199","DBA-4199")</f>
        <v>DBA-4199</v>
      </c>
      <c r="B1210" s="6" t="s">
        <v>21</v>
      </c>
      <c r="C1210" s="6" t="s">
        <v>5593</v>
      </c>
      <c r="D1210" s="8" t="s">
        <v>17</v>
      </c>
      <c r="E1210" s="6" t="s">
        <v>23</v>
      </c>
      <c r="F1210" s="6" t="s">
        <v>31</v>
      </c>
      <c r="G1210" s="6" t="s">
        <v>5594</v>
      </c>
      <c r="H1210" s="10">
        <v>46112</v>
      </c>
      <c r="I1210" s="6" t="s">
        <v>5595</v>
      </c>
      <c r="J1210" s="6" t="s">
        <v>638</v>
      </c>
      <c r="K1210" s="6" t="s">
        <v>35</v>
      </c>
      <c r="L1210" s="6" t="s">
        <v>638</v>
      </c>
      <c r="M1210" s="6" t="s">
        <v>5596</v>
      </c>
    </row>
    <row r="1211" spans="1:13" ht="13" x14ac:dyDescent="0.15">
      <c r="A1211" s="5" t="str">
        <f>HYPERLINK("https://onemount.atlassian.net/browse/DBA-4198","DBA-4198")</f>
        <v>DBA-4198</v>
      </c>
      <c r="B1211" s="6" t="s">
        <v>21</v>
      </c>
      <c r="C1211" s="6" t="s">
        <v>5597</v>
      </c>
      <c r="D1211" s="8" t="s">
        <v>17</v>
      </c>
      <c r="E1211" s="6" t="s">
        <v>23</v>
      </c>
      <c r="F1211" s="6" t="s">
        <v>24</v>
      </c>
      <c r="G1211" s="6" t="s">
        <v>5598</v>
      </c>
      <c r="H1211" s="10">
        <v>46111</v>
      </c>
      <c r="I1211" s="6" t="s">
        <v>5599</v>
      </c>
      <c r="J1211" s="6" t="s">
        <v>224</v>
      </c>
      <c r="K1211" s="6" t="s">
        <v>165</v>
      </c>
      <c r="L1211" s="6" t="s">
        <v>224</v>
      </c>
      <c r="M1211" s="6" t="s">
        <v>5600</v>
      </c>
    </row>
    <row r="1212" spans="1:13" ht="13" x14ac:dyDescent="0.15">
      <c r="A1212" s="5" t="str">
        <f>HYPERLINK("https://onemount.atlassian.net/browse/DBA-4197","DBA-4197")</f>
        <v>DBA-4197</v>
      </c>
      <c r="B1212" s="6" t="s">
        <v>21</v>
      </c>
      <c r="C1212" s="6" t="s">
        <v>481</v>
      </c>
      <c r="D1212" s="8" t="s">
        <v>17</v>
      </c>
      <c r="E1212" s="6" t="s">
        <v>23</v>
      </c>
      <c r="F1212" s="6" t="s">
        <v>24</v>
      </c>
      <c r="G1212" s="6" t="s">
        <v>5601</v>
      </c>
      <c r="H1212" s="10">
        <v>46112</v>
      </c>
      <c r="I1212" s="6" t="s">
        <v>5602</v>
      </c>
      <c r="J1212" s="6" t="s">
        <v>88</v>
      </c>
      <c r="K1212" s="6" t="s">
        <v>59</v>
      </c>
      <c r="L1212" s="6" t="s">
        <v>88</v>
      </c>
      <c r="M1212" s="6" t="s">
        <v>5603</v>
      </c>
    </row>
    <row r="1213" spans="1:13" ht="13" x14ac:dyDescent="0.15">
      <c r="A1213" s="5" t="str">
        <f>HYPERLINK("https://onemount.atlassian.net/browse/DBA-4194","DBA-4194")</f>
        <v>DBA-4194</v>
      </c>
      <c r="B1213" s="23" t="str">
        <f>HYPERLINK("https://onemount.atlassian.net/browse/DBA-2062","DBA-2062")</f>
        <v>DBA-2062</v>
      </c>
      <c r="C1213" s="6" t="s">
        <v>5604</v>
      </c>
      <c r="D1213" s="8" t="s">
        <v>17</v>
      </c>
      <c r="E1213" s="6" t="s">
        <v>428</v>
      </c>
      <c r="F1213" s="6" t="s">
        <v>52</v>
      </c>
      <c r="G1213" s="6" t="s">
        <v>5605</v>
      </c>
      <c r="H1213" s="10">
        <v>46112</v>
      </c>
      <c r="I1213" s="6" t="s">
        <v>5606</v>
      </c>
      <c r="J1213" s="6" t="s">
        <v>2678</v>
      </c>
      <c r="K1213" s="6" t="s">
        <v>55</v>
      </c>
      <c r="L1213" s="6" t="s">
        <v>778</v>
      </c>
      <c r="M1213" s="6" t="s">
        <v>5607</v>
      </c>
    </row>
    <row r="1214" spans="1:13" ht="13" x14ac:dyDescent="0.15">
      <c r="A1214" s="5" t="str">
        <f>HYPERLINK("https://onemount.atlassian.net/browse/DBA-4193","DBA-4193")</f>
        <v>DBA-4193</v>
      </c>
      <c r="B1214" s="6" t="s">
        <v>21</v>
      </c>
      <c r="C1214" s="6" t="s">
        <v>5608</v>
      </c>
      <c r="D1214" s="8" t="s">
        <v>17</v>
      </c>
      <c r="E1214" s="6" t="s">
        <v>23</v>
      </c>
      <c r="F1214" s="6" t="s">
        <v>31</v>
      </c>
      <c r="G1214" s="6" t="s">
        <v>5609</v>
      </c>
      <c r="H1214" s="10">
        <v>46112</v>
      </c>
      <c r="I1214" s="6" t="s">
        <v>5610</v>
      </c>
      <c r="J1214" s="6" t="s">
        <v>707</v>
      </c>
      <c r="K1214" s="6" t="s">
        <v>35</v>
      </c>
      <c r="L1214" s="6" t="s">
        <v>707</v>
      </c>
      <c r="M1214" s="6" t="s">
        <v>5611</v>
      </c>
    </row>
    <row r="1215" spans="1:13" ht="13" x14ac:dyDescent="0.15">
      <c r="A1215" s="21" t="str">
        <f>HYPERLINK("https://onemount.atlassian.net/browse/DBA-4190","DBA-4190")</f>
        <v>DBA-4190</v>
      </c>
      <c r="B1215" s="6" t="s">
        <v>21</v>
      </c>
      <c r="C1215" s="6" t="s">
        <v>5593</v>
      </c>
      <c r="D1215" s="8" t="s">
        <v>17</v>
      </c>
      <c r="E1215" s="6" t="s">
        <v>23</v>
      </c>
      <c r="F1215" s="6" t="s">
        <v>31</v>
      </c>
      <c r="G1215" s="6" t="s">
        <v>5612</v>
      </c>
      <c r="H1215" s="10">
        <v>46109</v>
      </c>
      <c r="I1215" s="6" t="s">
        <v>5613</v>
      </c>
      <c r="J1215" s="6" t="s">
        <v>638</v>
      </c>
      <c r="K1215" s="6" t="s">
        <v>35</v>
      </c>
      <c r="L1215" s="6" t="s">
        <v>638</v>
      </c>
      <c r="M1215" s="6" t="s">
        <v>5596</v>
      </c>
    </row>
    <row r="1216" spans="1:13" ht="13" x14ac:dyDescent="0.15">
      <c r="A1216" s="5" t="str">
        <f>HYPERLINK("https://onemount.atlassian.net/browse/DBA-4187","DBA-4187")</f>
        <v>DBA-4187</v>
      </c>
      <c r="B1216" s="6" t="s">
        <v>21</v>
      </c>
      <c r="C1216" s="6" t="s">
        <v>5614</v>
      </c>
      <c r="D1216" s="8" t="s">
        <v>17</v>
      </c>
      <c r="E1216" s="6" t="s">
        <v>23</v>
      </c>
      <c r="F1216" s="6" t="s">
        <v>31</v>
      </c>
      <c r="G1216" s="6" t="s">
        <v>5615</v>
      </c>
      <c r="H1216" s="10">
        <v>46111</v>
      </c>
      <c r="I1216" s="6" t="s">
        <v>5616</v>
      </c>
      <c r="J1216" s="6" t="s">
        <v>478</v>
      </c>
      <c r="K1216" s="6" t="s">
        <v>35</v>
      </c>
      <c r="L1216" s="6" t="s">
        <v>129</v>
      </c>
      <c r="M1216" s="6" t="s">
        <v>5617</v>
      </c>
    </row>
    <row r="1217" spans="1:13" ht="13" x14ac:dyDescent="0.15">
      <c r="A1217" s="5" t="str">
        <f>HYPERLINK("https://onemount.atlassian.net/browse/DBA-4186","DBA-4186")</f>
        <v>DBA-4186</v>
      </c>
      <c r="B1217" s="6" t="s">
        <v>21</v>
      </c>
      <c r="C1217" s="6" t="s">
        <v>5618</v>
      </c>
      <c r="D1217" s="8" t="s">
        <v>17</v>
      </c>
      <c r="E1217" s="6" t="s">
        <v>23</v>
      </c>
      <c r="F1217" s="6" t="s">
        <v>41</v>
      </c>
      <c r="G1217" s="6" t="s">
        <v>5619</v>
      </c>
      <c r="H1217" s="10">
        <v>46113</v>
      </c>
      <c r="I1217" s="6" t="s">
        <v>5620</v>
      </c>
      <c r="J1217" s="6" t="s">
        <v>72</v>
      </c>
      <c r="K1217" s="6" t="s">
        <v>72</v>
      </c>
      <c r="L1217" s="6" t="s">
        <v>72</v>
      </c>
      <c r="M1217" s="6" t="s">
        <v>5621</v>
      </c>
    </row>
    <row r="1218" spans="1:13" ht="13" x14ac:dyDescent="0.15">
      <c r="A1218" s="5" t="str">
        <f>HYPERLINK("https://onemount.atlassian.net/browse/DBA-4183","DBA-4183")</f>
        <v>DBA-4183</v>
      </c>
      <c r="B1218" s="6" t="s">
        <v>21</v>
      </c>
      <c r="C1218" s="6" t="s">
        <v>5622</v>
      </c>
      <c r="D1218" s="8" t="s">
        <v>17</v>
      </c>
      <c r="E1218" s="6" t="s">
        <v>23</v>
      </c>
      <c r="F1218" s="6" t="s">
        <v>52</v>
      </c>
      <c r="G1218" s="6" t="s">
        <v>5623</v>
      </c>
      <c r="H1218" s="10">
        <v>46108</v>
      </c>
      <c r="I1218" s="6" t="s">
        <v>5624</v>
      </c>
      <c r="J1218" s="6" t="s">
        <v>5625</v>
      </c>
      <c r="K1218" s="6" t="s">
        <v>55</v>
      </c>
      <c r="L1218" s="6" t="s">
        <v>254</v>
      </c>
      <c r="M1218" s="6" t="s">
        <v>5626</v>
      </c>
    </row>
    <row r="1219" spans="1:13" ht="13" x14ac:dyDescent="0.15">
      <c r="A1219" s="5" t="str">
        <f>HYPERLINK("https://onemount.atlassian.net/browse/DBA-4182","DBA-4182")</f>
        <v>DBA-4182</v>
      </c>
      <c r="B1219" s="6" t="s">
        <v>21</v>
      </c>
      <c r="C1219" s="6" t="s">
        <v>5627</v>
      </c>
      <c r="D1219" s="8" t="s">
        <v>17</v>
      </c>
      <c r="E1219" s="6" t="s">
        <v>23</v>
      </c>
      <c r="F1219" s="6" t="s">
        <v>31</v>
      </c>
      <c r="G1219" s="6" t="s">
        <v>5628</v>
      </c>
      <c r="H1219" s="10">
        <v>46108</v>
      </c>
      <c r="I1219" s="6" t="s">
        <v>5629</v>
      </c>
      <c r="J1219" s="6" t="s">
        <v>478</v>
      </c>
      <c r="K1219" s="6" t="s">
        <v>35</v>
      </c>
      <c r="L1219" s="6" t="s">
        <v>478</v>
      </c>
      <c r="M1219" s="6" t="s">
        <v>5630</v>
      </c>
    </row>
    <row r="1220" spans="1:13" ht="13" x14ac:dyDescent="0.15">
      <c r="A1220" s="5" t="str">
        <f>HYPERLINK("https://onemount.atlassian.net/browse/DBA-4181","DBA-4181")</f>
        <v>DBA-4181</v>
      </c>
      <c r="B1220" s="6" t="s">
        <v>21</v>
      </c>
      <c r="C1220" s="6" t="s">
        <v>5631</v>
      </c>
      <c r="D1220" s="8" t="s">
        <v>17</v>
      </c>
      <c r="E1220" s="6" t="s">
        <v>23</v>
      </c>
      <c r="F1220" s="6" t="s">
        <v>52</v>
      </c>
      <c r="G1220" s="6" t="s">
        <v>5632</v>
      </c>
      <c r="H1220" s="10">
        <v>46108</v>
      </c>
      <c r="I1220" s="6" t="s">
        <v>5633</v>
      </c>
      <c r="J1220" s="6" t="s">
        <v>353</v>
      </c>
      <c r="K1220" s="6" t="s">
        <v>55</v>
      </c>
      <c r="L1220" s="6" t="s">
        <v>85</v>
      </c>
      <c r="M1220" s="6" t="s">
        <v>5634</v>
      </c>
    </row>
    <row r="1221" spans="1:13" ht="13" x14ac:dyDescent="0.15">
      <c r="A1221" s="5" t="str">
        <f>HYPERLINK("https://onemount.atlassian.net/browse/DBA-4180","DBA-4180")</f>
        <v>DBA-4180</v>
      </c>
      <c r="B1221" s="6" t="s">
        <v>21</v>
      </c>
      <c r="C1221" s="6" t="s">
        <v>5635</v>
      </c>
      <c r="D1221" s="8" t="s">
        <v>17</v>
      </c>
      <c r="E1221" s="6" t="s">
        <v>23</v>
      </c>
      <c r="F1221" s="6" t="s">
        <v>31</v>
      </c>
      <c r="G1221" s="6" t="s">
        <v>5636</v>
      </c>
      <c r="H1221" s="10">
        <v>46108</v>
      </c>
      <c r="I1221" s="6" t="s">
        <v>5637</v>
      </c>
      <c r="J1221" s="6" t="s">
        <v>478</v>
      </c>
      <c r="K1221" s="6" t="s">
        <v>35</v>
      </c>
      <c r="L1221" s="6" t="s">
        <v>478</v>
      </c>
      <c r="M1221" s="6" t="s">
        <v>5638</v>
      </c>
    </row>
    <row r="1222" spans="1:13" ht="13" x14ac:dyDescent="0.15">
      <c r="A1222" s="5" t="str">
        <f>HYPERLINK("https://onemount.atlassian.net/browse/DBA-4179","DBA-4179")</f>
        <v>DBA-4179</v>
      </c>
      <c r="B1222" s="6" t="s">
        <v>21</v>
      </c>
      <c r="C1222" s="6" t="s">
        <v>5639</v>
      </c>
      <c r="D1222" s="8" t="s">
        <v>17</v>
      </c>
      <c r="E1222" s="6" t="s">
        <v>23</v>
      </c>
      <c r="F1222" s="6" t="s">
        <v>41</v>
      </c>
      <c r="G1222" s="6" t="s">
        <v>5640</v>
      </c>
      <c r="H1222" s="10">
        <v>46162</v>
      </c>
      <c r="I1222" s="6" t="s">
        <v>5641</v>
      </c>
      <c r="J1222" s="6" t="s">
        <v>4145</v>
      </c>
      <c r="K1222" s="6" t="s">
        <v>72</v>
      </c>
      <c r="L1222" s="6" t="s">
        <v>109</v>
      </c>
      <c r="M1222" s="6" t="s">
        <v>5642</v>
      </c>
    </row>
    <row r="1223" spans="1:13" ht="13" x14ac:dyDescent="0.15">
      <c r="A1223" s="5" t="str">
        <f>HYPERLINK("https://onemount.atlassian.net/browse/DBA-4178","DBA-4178")</f>
        <v>DBA-4178</v>
      </c>
      <c r="B1223" s="6" t="s">
        <v>21</v>
      </c>
      <c r="C1223" s="6" t="s">
        <v>5643</v>
      </c>
      <c r="D1223" s="8" t="s">
        <v>17</v>
      </c>
      <c r="E1223" s="6" t="s">
        <v>23</v>
      </c>
      <c r="F1223" s="6" t="s">
        <v>52</v>
      </c>
      <c r="G1223" s="6" t="s">
        <v>5644</v>
      </c>
      <c r="H1223" s="10">
        <v>46108</v>
      </c>
      <c r="I1223" s="6" t="s">
        <v>5645</v>
      </c>
      <c r="J1223" s="6" t="s">
        <v>55</v>
      </c>
      <c r="K1223" s="6" t="s">
        <v>55</v>
      </c>
      <c r="L1223" s="6" t="s">
        <v>93</v>
      </c>
      <c r="M1223" s="6" t="s">
        <v>5646</v>
      </c>
    </row>
    <row r="1224" spans="1:13" ht="13" x14ac:dyDescent="0.15">
      <c r="A1224" s="5" t="str">
        <f>HYPERLINK("https://onemount.atlassian.net/browse/DBA-4177","DBA-4177")</f>
        <v>DBA-4177</v>
      </c>
      <c r="B1224" s="6" t="s">
        <v>21</v>
      </c>
      <c r="C1224" s="6" t="s">
        <v>5647</v>
      </c>
      <c r="D1224" s="8" t="s">
        <v>17</v>
      </c>
      <c r="E1224" s="6" t="s">
        <v>23</v>
      </c>
      <c r="F1224" s="6" t="s">
        <v>31</v>
      </c>
      <c r="G1224" s="6" t="s">
        <v>5648</v>
      </c>
      <c r="H1224" s="10">
        <v>46107</v>
      </c>
      <c r="I1224" s="6" t="s">
        <v>5649</v>
      </c>
      <c r="J1224" s="6" t="s">
        <v>707</v>
      </c>
      <c r="K1224" s="6" t="s">
        <v>35</v>
      </c>
      <c r="L1224" s="6" t="s">
        <v>707</v>
      </c>
      <c r="M1224" s="6" t="s">
        <v>5650</v>
      </c>
    </row>
    <row r="1225" spans="1:13" ht="13" x14ac:dyDescent="0.15">
      <c r="A1225" s="5" t="str">
        <f>HYPERLINK("https://onemount.atlassian.net/browse/DBA-4176","DBA-4176")</f>
        <v>DBA-4176</v>
      </c>
      <c r="B1225" s="6" t="s">
        <v>21</v>
      </c>
      <c r="C1225" s="6" t="s">
        <v>4954</v>
      </c>
      <c r="D1225" s="8" t="s">
        <v>17</v>
      </c>
      <c r="E1225" s="6" t="s">
        <v>23</v>
      </c>
      <c r="F1225" s="6" t="s">
        <v>87</v>
      </c>
      <c r="G1225" s="6" t="s">
        <v>5651</v>
      </c>
      <c r="H1225" s="10">
        <v>46108</v>
      </c>
      <c r="I1225" s="6" t="s">
        <v>5652</v>
      </c>
      <c r="J1225" s="6" t="s">
        <v>1091</v>
      </c>
      <c r="K1225" s="6" t="s">
        <v>165</v>
      </c>
      <c r="L1225" s="6" t="s">
        <v>1091</v>
      </c>
      <c r="M1225" s="6" t="s">
        <v>5653</v>
      </c>
    </row>
    <row r="1226" spans="1:13" ht="13" x14ac:dyDescent="0.15">
      <c r="A1226" s="5" t="str">
        <f>HYPERLINK("https://onemount.atlassian.net/browse/DBA-4175","DBA-4175")</f>
        <v>DBA-4175</v>
      </c>
      <c r="B1226" s="6" t="s">
        <v>21</v>
      </c>
      <c r="C1226" s="6" t="s">
        <v>5654</v>
      </c>
      <c r="D1226" s="8" t="s">
        <v>17</v>
      </c>
      <c r="E1226" s="6" t="s">
        <v>23</v>
      </c>
      <c r="F1226" s="6" t="s">
        <v>41</v>
      </c>
      <c r="G1226" s="6" t="s">
        <v>5655</v>
      </c>
      <c r="H1226" s="10">
        <v>46108</v>
      </c>
      <c r="I1226" s="6" t="s">
        <v>5656</v>
      </c>
      <c r="J1226" s="6" t="s">
        <v>1146</v>
      </c>
      <c r="K1226" s="6" t="s">
        <v>168</v>
      </c>
      <c r="L1226" s="6" t="s">
        <v>1146</v>
      </c>
      <c r="M1226" s="6" t="s">
        <v>5657</v>
      </c>
    </row>
    <row r="1227" spans="1:13" ht="13" x14ac:dyDescent="0.15">
      <c r="A1227" s="5" t="str">
        <f>HYPERLINK("https://onemount.atlassian.net/browse/DBA-4174","DBA-4174")</f>
        <v>DBA-4174</v>
      </c>
      <c r="B1227" s="6" t="s">
        <v>21</v>
      </c>
      <c r="C1227" s="6" t="s">
        <v>5465</v>
      </c>
      <c r="D1227" s="8" t="s">
        <v>17</v>
      </c>
      <c r="E1227" s="6" t="s">
        <v>23</v>
      </c>
      <c r="F1227" s="6" t="s">
        <v>52</v>
      </c>
      <c r="G1227" s="6" t="s">
        <v>5658</v>
      </c>
      <c r="H1227" s="10">
        <v>46108</v>
      </c>
      <c r="I1227" s="6" t="s">
        <v>5659</v>
      </c>
      <c r="J1227" s="6" t="s">
        <v>34</v>
      </c>
      <c r="K1227" s="6" t="s">
        <v>35</v>
      </c>
      <c r="L1227" s="6" t="s">
        <v>36</v>
      </c>
      <c r="M1227" s="6" t="s">
        <v>5660</v>
      </c>
    </row>
    <row r="1228" spans="1:13" ht="13" x14ac:dyDescent="0.15">
      <c r="A1228" s="5" t="str">
        <f>HYPERLINK("https://onemount.atlassian.net/browse/DBA-4173","DBA-4173")</f>
        <v>DBA-4173</v>
      </c>
      <c r="B1228" s="6" t="s">
        <v>21</v>
      </c>
      <c r="C1228" s="6" t="s">
        <v>5661</v>
      </c>
      <c r="D1228" s="8" t="s">
        <v>17</v>
      </c>
      <c r="E1228" s="6" t="s">
        <v>23</v>
      </c>
      <c r="F1228" s="6" t="s">
        <v>52</v>
      </c>
      <c r="G1228" s="6" t="s">
        <v>5662</v>
      </c>
      <c r="H1228" s="10">
        <v>46107</v>
      </c>
      <c r="I1228" s="6" t="s">
        <v>5663</v>
      </c>
      <c r="J1228" s="6" t="s">
        <v>977</v>
      </c>
      <c r="K1228" s="6" t="s">
        <v>55</v>
      </c>
      <c r="L1228" s="6" t="s">
        <v>979</v>
      </c>
      <c r="M1228" s="6" t="s">
        <v>5664</v>
      </c>
    </row>
    <row r="1229" spans="1:13" ht="13" x14ac:dyDescent="0.15">
      <c r="A1229" s="5" t="str">
        <f>HYPERLINK("https://onemount.atlassian.net/browse/DBA-4172","DBA-4172")</f>
        <v>DBA-4172</v>
      </c>
      <c r="B1229" s="6" t="s">
        <v>21</v>
      </c>
      <c r="C1229" s="6" t="s">
        <v>5643</v>
      </c>
      <c r="D1229" s="8" t="s">
        <v>17</v>
      </c>
      <c r="E1229" s="6" t="s">
        <v>23</v>
      </c>
      <c r="F1229" s="6" t="s">
        <v>52</v>
      </c>
      <c r="G1229" s="6" t="s">
        <v>5665</v>
      </c>
      <c r="H1229" s="10">
        <v>46107</v>
      </c>
      <c r="I1229" s="6" t="s">
        <v>5666</v>
      </c>
      <c r="J1229" s="6" t="s">
        <v>55</v>
      </c>
      <c r="K1229" s="6" t="s">
        <v>55</v>
      </c>
      <c r="L1229" s="6" t="s">
        <v>93</v>
      </c>
      <c r="M1229" s="6" t="s">
        <v>5667</v>
      </c>
    </row>
    <row r="1230" spans="1:13" ht="13" x14ac:dyDescent="0.15">
      <c r="A1230" s="5" t="str">
        <f>HYPERLINK("https://onemount.atlassian.net/browse/DBA-4171","DBA-4171")</f>
        <v>DBA-4171</v>
      </c>
      <c r="B1230" s="6" t="s">
        <v>21</v>
      </c>
      <c r="C1230" s="6" t="s">
        <v>5668</v>
      </c>
      <c r="D1230" s="8" t="s">
        <v>17</v>
      </c>
      <c r="E1230" s="6" t="s">
        <v>23</v>
      </c>
      <c r="F1230" s="6" t="s">
        <v>87</v>
      </c>
      <c r="G1230" s="6" t="s">
        <v>5669</v>
      </c>
      <c r="H1230" s="10">
        <v>46107</v>
      </c>
      <c r="I1230" s="6" t="s">
        <v>5670</v>
      </c>
      <c r="J1230" s="6" t="s">
        <v>1898</v>
      </c>
      <c r="K1230" s="6" t="s">
        <v>165</v>
      </c>
      <c r="L1230" s="6" t="s">
        <v>1097</v>
      </c>
      <c r="M1230" s="6" t="s">
        <v>5671</v>
      </c>
    </row>
    <row r="1231" spans="1:13" ht="13" x14ac:dyDescent="0.15">
      <c r="A1231" s="5" t="str">
        <f>HYPERLINK("https://onemount.atlassian.net/browse/DBA-4170","DBA-4170")</f>
        <v>DBA-4170</v>
      </c>
      <c r="B1231" s="6" t="s">
        <v>21</v>
      </c>
      <c r="C1231" s="6" t="s">
        <v>5672</v>
      </c>
      <c r="D1231" s="8" t="s">
        <v>17</v>
      </c>
      <c r="E1231" s="6" t="s">
        <v>23</v>
      </c>
      <c r="F1231" s="6" t="s">
        <v>24</v>
      </c>
      <c r="G1231" s="6" t="s">
        <v>5673</v>
      </c>
      <c r="H1231" s="10">
        <v>46107</v>
      </c>
      <c r="I1231" s="6" t="s">
        <v>5674</v>
      </c>
      <c r="J1231" s="6" t="s">
        <v>5675</v>
      </c>
      <c r="K1231" s="6" t="s">
        <v>55</v>
      </c>
      <c r="L1231" s="6" t="s">
        <v>270</v>
      </c>
      <c r="M1231" s="6" t="s">
        <v>5676</v>
      </c>
    </row>
    <row r="1232" spans="1:13" ht="13" x14ac:dyDescent="0.15">
      <c r="A1232" s="5" t="str">
        <f>HYPERLINK("https://onemount.atlassian.net/browse/DBA-4169","DBA-4169")</f>
        <v>DBA-4169</v>
      </c>
      <c r="B1232" s="6" t="s">
        <v>21</v>
      </c>
      <c r="C1232" s="6" t="s">
        <v>5677</v>
      </c>
      <c r="D1232" s="8" t="s">
        <v>17</v>
      </c>
      <c r="E1232" s="6" t="s">
        <v>23</v>
      </c>
      <c r="F1232" s="6" t="s">
        <v>52</v>
      </c>
      <c r="G1232" s="6" t="s">
        <v>5678</v>
      </c>
      <c r="H1232" s="10">
        <v>46107</v>
      </c>
      <c r="I1232" s="6" t="s">
        <v>5679</v>
      </c>
      <c r="J1232" s="6" t="s">
        <v>85</v>
      </c>
      <c r="K1232" s="6" t="s">
        <v>55</v>
      </c>
      <c r="L1232" s="6" t="s">
        <v>85</v>
      </c>
      <c r="M1232" s="6" t="s">
        <v>5680</v>
      </c>
    </row>
    <row r="1233" spans="1:13" ht="13" x14ac:dyDescent="0.15">
      <c r="A1233" s="5" t="str">
        <f>HYPERLINK("https://onemount.atlassian.net/browse/DBA-4168","DBA-4168")</f>
        <v>DBA-4168</v>
      </c>
      <c r="B1233" s="6" t="s">
        <v>21</v>
      </c>
      <c r="C1233" s="6" t="s">
        <v>5681</v>
      </c>
      <c r="D1233" s="8" t="s">
        <v>17</v>
      </c>
      <c r="E1233" s="6" t="s">
        <v>23</v>
      </c>
      <c r="F1233" s="6" t="s">
        <v>52</v>
      </c>
      <c r="G1233" s="6" t="s">
        <v>5682</v>
      </c>
      <c r="H1233" s="10">
        <v>46108</v>
      </c>
      <c r="I1233" s="6" t="s">
        <v>5683</v>
      </c>
      <c r="J1233" s="6" t="s">
        <v>165</v>
      </c>
      <c r="K1233" s="6" t="s">
        <v>165</v>
      </c>
      <c r="L1233" s="6" t="s">
        <v>288</v>
      </c>
      <c r="M1233" s="6" t="s">
        <v>5684</v>
      </c>
    </row>
    <row r="1234" spans="1:13" ht="13" x14ac:dyDescent="0.15">
      <c r="A1234" s="5" t="str">
        <f>HYPERLINK("https://onemount.atlassian.net/browse/DBA-4167","DBA-4167")</f>
        <v>DBA-4167</v>
      </c>
      <c r="B1234" s="6" t="s">
        <v>21</v>
      </c>
      <c r="C1234" s="6" t="s">
        <v>5685</v>
      </c>
      <c r="D1234" s="8" t="s">
        <v>17</v>
      </c>
      <c r="E1234" s="6" t="s">
        <v>23</v>
      </c>
      <c r="F1234" s="6" t="s">
        <v>52</v>
      </c>
      <c r="G1234" s="6" t="s">
        <v>5686</v>
      </c>
      <c r="H1234" s="10">
        <v>46107</v>
      </c>
      <c r="I1234" s="6" t="s">
        <v>5687</v>
      </c>
      <c r="J1234" s="6" t="s">
        <v>56</v>
      </c>
      <c r="K1234" s="6" t="s">
        <v>55</v>
      </c>
      <c r="L1234" s="6" t="s">
        <v>56</v>
      </c>
      <c r="M1234" s="6" t="s">
        <v>5688</v>
      </c>
    </row>
    <row r="1235" spans="1:13" ht="13" x14ac:dyDescent="0.15">
      <c r="A1235" s="5" t="str">
        <f>HYPERLINK("https://onemount.atlassian.net/browse/DBA-4166","DBA-4166")</f>
        <v>DBA-4166</v>
      </c>
      <c r="B1235" s="6" t="s">
        <v>21</v>
      </c>
      <c r="C1235" s="6" t="s">
        <v>5689</v>
      </c>
      <c r="D1235" s="8" t="s">
        <v>17</v>
      </c>
      <c r="E1235" s="6" t="s">
        <v>23</v>
      </c>
      <c r="F1235" s="6" t="s">
        <v>41</v>
      </c>
      <c r="G1235" s="6" t="s">
        <v>5690</v>
      </c>
      <c r="H1235" s="10">
        <v>46107</v>
      </c>
      <c r="I1235" s="6" t="s">
        <v>5691</v>
      </c>
      <c r="J1235" s="6" t="s">
        <v>27</v>
      </c>
      <c r="K1235" s="6" t="s">
        <v>28</v>
      </c>
      <c r="L1235" s="6" t="s">
        <v>27</v>
      </c>
      <c r="M1235" s="6" t="s">
        <v>5692</v>
      </c>
    </row>
    <row r="1236" spans="1:13" ht="13" x14ac:dyDescent="0.15">
      <c r="A1236" s="5" t="str">
        <f>HYPERLINK("https://onemount.atlassian.net/browse/DBA-4165","DBA-4165")</f>
        <v>DBA-4165</v>
      </c>
      <c r="B1236" s="6" t="s">
        <v>21</v>
      </c>
      <c r="C1236" s="6" t="s">
        <v>5693</v>
      </c>
      <c r="D1236" s="8" t="s">
        <v>17</v>
      </c>
      <c r="E1236" s="6" t="s">
        <v>23</v>
      </c>
      <c r="F1236" s="6" t="s">
        <v>41</v>
      </c>
      <c r="G1236" s="6" t="s">
        <v>5694</v>
      </c>
      <c r="H1236" s="10">
        <v>46107</v>
      </c>
      <c r="I1236" s="6" t="s">
        <v>5695</v>
      </c>
      <c r="J1236" s="6" t="s">
        <v>1143</v>
      </c>
      <c r="K1236" s="6" t="s">
        <v>28</v>
      </c>
      <c r="L1236" s="6" t="s">
        <v>1143</v>
      </c>
      <c r="M1236" s="6" t="s">
        <v>5696</v>
      </c>
    </row>
    <row r="1237" spans="1:13" ht="13" x14ac:dyDescent="0.15">
      <c r="A1237" s="5" t="str">
        <f>HYPERLINK("https://onemount.atlassian.net/browse/DBA-4164","DBA-4164")</f>
        <v>DBA-4164</v>
      </c>
      <c r="B1237" s="6" t="s">
        <v>21</v>
      </c>
      <c r="C1237" s="6" t="s">
        <v>5697</v>
      </c>
      <c r="D1237" s="8" t="s">
        <v>17</v>
      </c>
      <c r="E1237" s="6" t="s">
        <v>23</v>
      </c>
      <c r="F1237" s="6" t="s">
        <v>24</v>
      </c>
      <c r="G1237" s="6" t="s">
        <v>5698</v>
      </c>
      <c r="H1237" s="10">
        <v>46106</v>
      </c>
      <c r="I1237" s="6" t="s">
        <v>5699</v>
      </c>
      <c r="J1237" s="6" t="s">
        <v>88</v>
      </c>
      <c r="K1237" s="6" t="s">
        <v>59</v>
      </c>
      <c r="L1237" s="6" t="s">
        <v>88</v>
      </c>
      <c r="M1237" s="6" t="s">
        <v>5700</v>
      </c>
    </row>
    <row r="1238" spans="1:13" ht="13" x14ac:dyDescent="0.15">
      <c r="A1238" s="5" t="str">
        <f>HYPERLINK("https://onemount.atlassian.net/browse/DBA-4163","DBA-4163")</f>
        <v>DBA-4163</v>
      </c>
      <c r="B1238" s="6" t="s">
        <v>21</v>
      </c>
      <c r="C1238" s="6" t="s">
        <v>5701</v>
      </c>
      <c r="D1238" s="8" t="s">
        <v>17</v>
      </c>
      <c r="E1238" s="6" t="s">
        <v>23</v>
      </c>
      <c r="F1238" s="6" t="s">
        <v>52</v>
      </c>
      <c r="G1238" s="6" t="s">
        <v>5702</v>
      </c>
      <c r="H1238" s="10">
        <v>46107</v>
      </c>
      <c r="I1238" s="6" t="s">
        <v>5703</v>
      </c>
      <c r="J1238" s="6" t="s">
        <v>56</v>
      </c>
      <c r="K1238" s="6" t="s">
        <v>55</v>
      </c>
      <c r="L1238" s="6" t="s">
        <v>56</v>
      </c>
      <c r="M1238" s="6" t="s">
        <v>5704</v>
      </c>
    </row>
    <row r="1239" spans="1:13" ht="13" x14ac:dyDescent="0.15">
      <c r="A1239" s="5" t="str">
        <f>HYPERLINK("https://onemount.atlassian.net/browse/DBA-4162","DBA-4162")</f>
        <v>DBA-4162</v>
      </c>
      <c r="B1239" s="6" t="s">
        <v>21</v>
      </c>
      <c r="C1239" s="6" t="s">
        <v>5705</v>
      </c>
      <c r="D1239" s="8" t="s">
        <v>17</v>
      </c>
      <c r="E1239" s="6" t="s">
        <v>23</v>
      </c>
      <c r="F1239" s="6" t="s">
        <v>41</v>
      </c>
      <c r="G1239" s="6" t="s">
        <v>5706</v>
      </c>
      <c r="H1239" s="10">
        <v>46107</v>
      </c>
      <c r="I1239" s="6" t="s">
        <v>5707</v>
      </c>
      <c r="J1239" s="6" t="s">
        <v>5708</v>
      </c>
      <c r="K1239" s="6" t="s">
        <v>137</v>
      </c>
      <c r="L1239" s="6" t="s">
        <v>715</v>
      </c>
      <c r="M1239" s="6" t="s">
        <v>5709</v>
      </c>
    </row>
    <row r="1240" spans="1:13" ht="13" x14ac:dyDescent="0.15">
      <c r="A1240" s="21" t="str">
        <f>HYPERLINK("https://onemount.atlassian.net/browse/DBA-4161","DBA-4161")</f>
        <v>DBA-4161</v>
      </c>
      <c r="B1240" s="6" t="s">
        <v>21</v>
      </c>
      <c r="C1240" s="6" t="s">
        <v>5710</v>
      </c>
      <c r="D1240" s="8" t="s">
        <v>17</v>
      </c>
      <c r="E1240" s="6" t="s">
        <v>23</v>
      </c>
      <c r="F1240" s="6" t="s">
        <v>52</v>
      </c>
      <c r="G1240" s="6" t="s">
        <v>5711</v>
      </c>
      <c r="H1240" s="10">
        <v>46108</v>
      </c>
      <c r="I1240" s="6" t="s">
        <v>5712</v>
      </c>
      <c r="J1240" s="6" t="s">
        <v>1464</v>
      </c>
      <c r="K1240" s="6" t="s">
        <v>55</v>
      </c>
      <c r="L1240" s="6" t="s">
        <v>254</v>
      </c>
      <c r="M1240" s="6" t="s">
        <v>5713</v>
      </c>
    </row>
    <row r="1241" spans="1:13" ht="13" x14ac:dyDescent="0.15">
      <c r="A1241" s="21" t="str">
        <f>HYPERLINK("https://onemount.atlassian.net/browse/DBA-4160","DBA-4160")</f>
        <v>DBA-4160</v>
      </c>
      <c r="B1241" s="6" t="s">
        <v>21</v>
      </c>
      <c r="C1241" s="6" t="s">
        <v>5710</v>
      </c>
      <c r="D1241" s="8" t="s">
        <v>17</v>
      </c>
      <c r="E1241" s="6" t="s">
        <v>23</v>
      </c>
      <c r="F1241" s="6" t="s">
        <v>52</v>
      </c>
      <c r="G1241" s="6" t="s">
        <v>5714</v>
      </c>
      <c r="H1241" s="10">
        <v>46108</v>
      </c>
      <c r="I1241" s="6" t="s">
        <v>5715</v>
      </c>
      <c r="J1241" s="6" t="s">
        <v>1464</v>
      </c>
      <c r="K1241" s="6" t="s">
        <v>55</v>
      </c>
      <c r="L1241" s="6" t="s">
        <v>254</v>
      </c>
      <c r="M1241" s="6" t="s">
        <v>5713</v>
      </c>
    </row>
    <row r="1242" spans="1:13" ht="13" x14ac:dyDescent="0.15">
      <c r="A1242" s="5" t="str">
        <f>HYPERLINK("https://onemount.atlassian.net/browse/DBA-4159","DBA-4159")</f>
        <v>DBA-4159</v>
      </c>
      <c r="B1242" s="6" t="s">
        <v>21</v>
      </c>
      <c r="C1242" s="6" t="s">
        <v>4954</v>
      </c>
      <c r="D1242" s="8" t="s">
        <v>17</v>
      </c>
      <c r="E1242" s="6" t="s">
        <v>23</v>
      </c>
      <c r="F1242" s="6" t="s">
        <v>87</v>
      </c>
      <c r="G1242" s="6" t="s">
        <v>5716</v>
      </c>
      <c r="H1242" s="10">
        <v>46107</v>
      </c>
      <c r="I1242" s="6" t="s">
        <v>5717</v>
      </c>
      <c r="J1242" s="6" t="s">
        <v>1091</v>
      </c>
      <c r="K1242" s="6" t="s">
        <v>165</v>
      </c>
      <c r="L1242" s="6" t="s">
        <v>1091</v>
      </c>
      <c r="M1242" s="6" t="s">
        <v>5718</v>
      </c>
    </row>
    <row r="1243" spans="1:13" ht="13" x14ac:dyDescent="0.15">
      <c r="A1243" s="5" t="str">
        <f>HYPERLINK("https://onemount.atlassian.net/browse/DBA-4158","DBA-4158")</f>
        <v>DBA-4158</v>
      </c>
      <c r="B1243" s="6" t="s">
        <v>21</v>
      </c>
      <c r="C1243" s="6" t="s">
        <v>5719</v>
      </c>
      <c r="D1243" s="8" t="s">
        <v>17</v>
      </c>
      <c r="E1243" s="6" t="s">
        <v>23</v>
      </c>
      <c r="F1243" s="6" t="s">
        <v>41</v>
      </c>
      <c r="G1243" s="6" t="s">
        <v>5720</v>
      </c>
      <c r="H1243" s="10">
        <v>46106</v>
      </c>
      <c r="I1243" s="6" t="s">
        <v>5721</v>
      </c>
      <c r="J1243" s="6" t="s">
        <v>27</v>
      </c>
      <c r="K1243" s="6" t="s">
        <v>28</v>
      </c>
      <c r="L1243" s="6" t="s">
        <v>27</v>
      </c>
      <c r="M1243" s="6" t="s">
        <v>5722</v>
      </c>
    </row>
    <row r="1244" spans="1:13" ht="13" x14ac:dyDescent="0.15">
      <c r="A1244" s="5" t="str">
        <f>HYPERLINK("https://onemount.atlassian.net/browse/DBA-4157","DBA-4157")</f>
        <v>DBA-4157</v>
      </c>
      <c r="B1244" s="6" t="s">
        <v>21</v>
      </c>
      <c r="C1244" s="6" t="s">
        <v>5723</v>
      </c>
      <c r="D1244" s="8" t="s">
        <v>17</v>
      </c>
      <c r="E1244" s="6" t="s">
        <v>23</v>
      </c>
      <c r="F1244" s="6" t="s">
        <v>52</v>
      </c>
      <c r="G1244" s="6" t="s">
        <v>5724</v>
      </c>
      <c r="H1244" s="10">
        <v>46107</v>
      </c>
      <c r="I1244" s="6" t="s">
        <v>5725</v>
      </c>
      <c r="J1244" s="6" t="s">
        <v>56</v>
      </c>
      <c r="K1244" s="6" t="s">
        <v>55</v>
      </c>
      <c r="L1244" s="6" t="s">
        <v>56</v>
      </c>
      <c r="M1244" s="6" t="s">
        <v>5726</v>
      </c>
    </row>
    <row r="1245" spans="1:13" ht="13" x14ac:dyDescent="0.15">
      <c r="A1245" s="5" t="str">
        <f>HYPERLINK("https://onemount.atlassian.net/browse/DBA-4156","DBA-4156")</f>
        <v>DBA-4156</v>
      </c>
      <c r="B1245" s="6" t="s">
        <v>21</v>
      </c>
      <c r="C1245" s="6" t="s">
        <v>5727</v>
      </c>
      <c r="D1245" s="8" t="s">
        <v>17</v>
      </c>
      <c r="E1245" s="6" t="s">
        <v>23</v>
      </c>
      <c r="F1245" s="6" t="s">
        <v>87</v>
      </c>
      <c r="G1245" s="6" t="s">
        <v>5728</v>
      </c>
      <c r="H1245" s="10">
        <v>46106</v>
      </c>
      <c r="I1245" s="6" t="s">
        <v>5729</v>
      </c>
      <c r="J1245" s="6" t="s">
        <v>1898</v>
      </c>
      <c r="K1245" s="6" t="s">
        <v>165</v>
      </c>
      <c r="L1245" s="6" t="s">
        <v>1097</v>
      </c>
      <c r="M1245" s="6" t="s">
        <v>5730</v>
      </c>
    </row>
    <row r="1246" spans="1:13" ht="13" x14ac:dyDescent="0.15">
      <c r="A1246" s="5" t="str">
        <f>HYPERLINK("https://onemount.atlassian.net/browse/DBA-4155","DBA-4155")</f>
        <v>DBA-4155</v>
      </c>
      <c r="B1246" s="6" t="s">
        <v>21</v>
      </c>
      <c r="C1246" s="6" t="s">
        <v>5731</v>
      </c>
      <c r="D1246" s="8" t="s">
        <v>17</v>
      </c>
      <c r="E1246" s="6" t="s">
        <v>23</v>
      </c>
      <c r="F1246" s="6" t="s">
        <v>24</v>
      </c>
      <c r="G1246" s="6" t="s">
        <v>5732</v>
      </c>
      <c r="H1246" s="10">
        <v>46106</v>
      </c>
      <c r="I1246" s="6" t="s">
        <v>5733</v>
      </c>
      <c r="J1246" s="6" t="s">
        <v>3553</v>
      </c>
      <c r="K1246" s="6" t="s">
        <v>165</v>
      </c>
      <c r="L1246" s="6" t="s">
        <v>39</v>
      </c>
      <c r="M1246" s="6" t="s">
        <v>5734</v>
      </c>
    </row>
    <row r="1247" spans="1:13" ht="13" x14ac:dyDescent="0.15">
      <c r="A1247" s="5" t="str">
        <f>HYPERLINK("https://onemount.atlassian.net/browse/DBA-4154","DBA-4154")</f>
        <v>DBA-4154</v>
      </c>
      <c r="B1247" s="6" t="s">
        <v>21</v>
      </c>
      <c r="C1247" s="6" t="s">
        <v>5735</v>
      </c>
      <c r="D1247" s="8" t="s">
        <v>17</v>
      </c>
      <c r="E1247" s="6" t="s">
        <v>23</v>
      </c>
      <c r="F1247" s="6" t="s">
        <v>24</v>
      </c>
      <c r="G1247" s="6" t="s">
        <v>5736</v>
      </c>
      <c r="H1247" s="10">
        <v>46106</v>
      </c>
      <c r="I1247" s="6" t="s">
        <v>5737</v>
      </c>
      <c r="J1247" s="6" t="s">
        <v>3553</v>
      </c>
      <c r="K1247" s="6" t="s">
        <v>165</v>
      </c>
      <c r="L1247" s="6" t="s">
        <v>39</v>
      </c>
      <c r="M1247" s="6" t="s">
        <v>5738</v>
      </c>
    </row>
    <row r="1248" spans="1:13" ht="13" x14ac:dyDescent="0.15">
      <c r="A1248" s="5" t="str">
        <f>HYPERLINK("https://onemount.atlassian.net/browse/DBA-4153","DBA-4153")</f>
        <v>DBA-4153</v>
      </c>
      <c r="B1248" s="6" t="s">
        <v>21</v>
      </c>
      <c r="C1248" s="6" t="s">
        <v>5739</v>
      </c>
      <c r="D1248" s="8" t="s">
        <v>17</v>
      </c>
      <c r="E1248" s="6" t="s">
        <v>23</v>
      </c>
      <c r="F1248" s="6" t="s">
        <v>24</v>
      </c>
      <c r="G1248" s="6" t="s">
        <v>5740</v>
      </c>
      <c r="H1248" s="10">
        <v>46106</v>
      </c>
      <c r="I1248" s="6" t="s">
        <v>5741</v>
      </c>
      <c r="J1248" s="6" t="s">
        <v>3553</v>
      </c>
      <c r="K1248" s="6" t="s">
        <v>165</v>
      </c>
      <c r="L1248" s="6" t="s">
        <v>39</v>
      </c>
      <c r="M1248" s="6" t="s">
        <v>5742</v>
      </c>
    </row>
    <row r="1249" spans="1:13" ht="13" x14ac:dyDescent="0.15">
      <c r="A1249" s="5" t="str">
        <f>HYPERLINK("https://onemount.atlassian.net/browse/DBA-4152","DBA-4152")</f>
        <v>DBA-4152</v>
      </c>
      <c r="B1249" s="6" t="s">
        <v>21</v>
      </c>
      <c r="C1249" s="6" t="s">
        <v>5743</v>
      </c>
      <c r="D1249" s="8" t="s">
        <v>17</v>
      </c>
      <c r="E1249" s="6" t="s">
        <v>23</v>
      </c>
      <c r="F1249" s="6" t="s">
        <v>31</v>
      </c>
      <c r="G1249" s="6" t="s">
        <v>5744</v>
      </c>
      <c r="H1249" s="10">
        <v>46106</v>
      </c>
      <c r="I1249" s="6" t="s">
        <v>5745</v>
      </c>
      <c r="J1249" s="6" t="s">
        <v>5746</v>
      </c>
      <c r="K1249" s="6" t="s">
        <v>35</v>
      </c>
      <c r="L1249" s="6" t="s">
        <v>962</v>
      </c>
      <c r="M1249" s="6" t="s">
        <v>5747</v>
      </c>
    </row>
    <row r="1250" spans="1:13" ht="13" x14ac:dyDescent="0.15">
      <c r="A1250" s="5" t="str">
        <f>HYPERLINK("https://onemount.atlassian.net/browse/DBA-4151","DBA-4151")</f>
        <v>DBA-4151</v>
      </c>
      <c r="B1250" s="6" t="s">
        <v>21</v>
      </c>
      <c r="C1250" s="6" t="s">
        <v>5748</v>
      </c>
      <c r="D1250" s="8" t="s">
        <v>17</v>
      </c>
      <c r="E1250" s="6" t="s">
        <v>23</v>
      </c>
      <c r="F1250" s="6" t="s">
        <v>31</v>
      </c>
      <c r="G1250" s="6" t="s">
        <v>5749</v>
      </c>
      <c r="H1250" s="10">
        <v>46107</v>
      </c>
      <c r="I1250" s="6" t="s">
        <v>5750</v>
      </c>
      <c r="J1250" s="6" t="s">
        <v>707</v>
      </c>
      <c r="K1250" s="6" t="s">
        <v>35</v>
      </c>
      <c r="L1250" s="6" t="s">
        <v>707</v>
      </c>
      <c r="M1250" s="6" t="s">
        <v>5751</v>
      </c>
    </row>
    <row r="1251" spans="1:13" ht="13" x14ac:dyDescent="0.15">
      <c r="A1251" s="5" t="str">
        <f>HYPERLINK("https://onemount.atlassian.net/browse/DBA-4150","DBA-4150")</f>
        <v>DBA-4150</v>
      </c>
      <c r="B1251" s="6" t="s">
        <v>21</v>
      </c>
      <c r="C1251" s="6" t="s">
        <v>5752</v>
      </c>
      <c r="D1251" s="8" t="s">
        <v>17</v>
      </c>
      <c r="E1251" s="6" t="s">
        <v>23</v>
      </c>
      <c r="F1251" s="6" t="s">
        <v>52</v>
      </c>
      <c r="G1251" s="6" t="s">
        <v>5753</v>
      </c>
      <c r="H1251" s="10">
        <v>46107</v>
      </c>
      <c r="I1251" s="6" t="s">
        <v>5754</v>
      </c>
      <c r="J1251" s="6" t="s">
        <v>3096</v>
      </c>
      <c r="K1251" s="6" t="s">
        <v>55</v>
      </c>
      <c r="L1251" s="6" t="s">
        <v>900</v>
      </c>
      <c r="M1251" s="6" t="s">
        <v>5755</v>
      </c>
    </row>
    <row r="1252" spans="1:13" ht="13" x14ac:dyDescent="0.15">
      <c r="A1252" s="5" t="str">
        <f>HYPERLINK("https://onemount.atlassian.net/browse/DBA-4149","DBA-4149")</f>
        <v>DBA-4149</v>
      </c>
      <c r="B1252" s="6" t="s">
        <v>21</v>
      </c>
      <c r="C1252" s="6" t="s">
        <v>5756</v>
      </c>
      <c r="D1252" s="8" t="s">
        <v>17</v>
      </c>
      <c r="E1252" s="6" t="s">
        <v>23</v>
      </c>
      <c r="F1252" s="6" t="s">
        <v>31</v>
      </c>
      <c r="G1252" s="6" t="s">
        <v>5757</v>
      </c>
      <c r="H1252" s="10">
        <v>46107</v>
      </c>
      <c r="I1252" s="6" t="s">
        <v>5758</v>
      </c>
      <c r="J1252" s="6" t="s">
        <v>373</v>
      </c>
      <c r="K1252" s="6" t="s">
        <v>35</v>
      </c>
      <c r="L1252" s="6" t="s">
        <v>36</v>
      </c>
      <c r="M1252" s="6" t="s">
        <v>5759</v>
      </c>
    </row>
    <row r="1253" spans="1:13" ht="13" x14ac:dyDescent="0.15">
      <c r="A1253" s="5" t="str">
        <f>HYPERLINK("https://onemount.atlassian.net/browse/DBA-4147","DBA-4147")</f>
        <v>DBA-4147</v>
      </c>
      <c r="B1253" s="6" t="s">
        <v>21</v>
      </c>
      <c r="C1253" s="6" t="s">
        <v>5760</v>
      </c>
      <c r="D1253" s="8" t="s">
        <v>17</v>
      </c>
      <c r="E1253" s="6" t="s">
        <v>23</v>
      </c>
      <c r="F1253" s="6" t="s">
        <v>52</v>
      </c>
      <c r="G1253" s="6" t="s">
        <v>5761</v>
      </c>
      <c r="H1253" s="10">
        <v>46105</v>
      </c>
      <c r="I1253" s="6" t="s">
        <v>5762</v>
      </c>
      <c r="J1253" s="6" t="s">
        <v>85</v>
      </c>
      <c r="K1253" s="6" t="s">
        <v>55</v>
      </c>
      <c r="L1253" s="6" t="s">
        <v>85</v>
      </c>
      <c r="M1253" s="6" t="s">
        <v>5763</v>
      </c>
    </row>
    <row r="1254" spans="1:13" ht="13" x14ac:dyDescent="0.15">
      <c r="A1254" s="5" t="str">
        <f>HYPERLINK("https://onemount.atlassian.net/browse/DBA-4146","DBA-4146")</f>
        <v>DBA-4146</v>
      </c>
      <c r="B1254" s="6" t="s">
        <v>21</v>
      </c>
      <c r="C1254" s="6" t="s">
        <v>5764</v>
      </c>
      <c r="D1254" s="8" t="s">
        <v>17</v>
      </c>
      <c r="E1254" s="6" t="s">
        <v>23</v>
      </c>
      <c r="F1254" s="6" t="s">
        <v>24</v>
      </c>
      <c r="G1254" s="6" t="s">
        <v>5765</v>
      </c>
      <c r="H1254" s="10">
        <v>46106</v>
      </c>
      <c r="I1254" s="6" t="s">
        <v>5766</v>
      </c>
      <c r="J1254" s="6" t="s">
        <v>3553</v>
      </c>
      <c r="K1254" s="6" t="s">
        <v>165</v>
      </c>
      <c r="L1254" s="6" t="s">
        <v>39</v>
      </c>
      <c r="M1254" s="6" t="s">
        <v>5767</v>
      </c>
    </row>
    <row r="1255" spans="1:13" ht="13" x14ac:dyDescent="0.15">
      <c r="A1255" s="5" t="str">
        <f>HYPERLINK("https://onemount.atlassian.net/browse/DBA-4145","DBA-4145")</f>
        <v>DBA-4145</v>
      </c>
      <c r="B1255" s="6" t="s">
        <v>21</v>
      </c>
      <c r="C1255" s="6" t="s">
        <v>3289</v>
      </c>
      <c r="D1255" s="8" t="s">
        <v>17</v>
      </c>
      <c r="E1255" s="6" t="s">
        <v>23</v>
      </c>
      <c r="F1255" s="6" t="s">
        <v>52</v>
      </c>
      <c r="G1255" s="6" t="s">
        <v>5768</v>
      </c>
      <c r="H1255" s="10">
        <v>46107</v>
      </c>
      <c r="I1255" s="6" t="s">
        <v>5769</v>
      </c>
      <c r="J1255" s="6" t="s">
        <v>56</v>
      </c>
      <c r="K1255" s="6" t="s">
        <v>55</v>
      </c>
      <c r="L1255" s="6" t="s">
        <v>56</v>
      </c>
      <c r="M1255" s="6" t="s">
        <v>5770</v>
      </c>
    </row>
    <row r="1256" spans="1:13" ht="13" x14ac:dyDescent="0.15">
      <c r="A1256" s="5" t="str">
        <f>HYPERLINK("https://onemount.atlassian.net/browse/DBA-4143","DBA-4143")</f>
        <v>DBA-4143</v>
      </c>
      <c r="B1256" s="6" t="s">
        <v>21</v>
      </c>
      <c r="C1256" s="6" t="s">
        <v>5771</v>
      </c>
      <c r="D1256" s="8" t="s">
        <v>17</v>
      </c>
      <c r="E1256" s="6" t="s">
        <v>23</v>
      </c>
      <c r="F1256" s="6" t="s">
        <v>24</v>
      </c>
      <c r="G1256" s="6" t="s">
        <v>5772</v>
      </c>
      <c r="H1256" s="10">
        <v>46106</v>
      </c>
      <c r="I1256" s="6" t="s">
        <v>5773</v>
      </c>
      <c r="J1256" s="6" t="s">
        <v>510</v>
      </c>
      <c r="K1256" s="6" t="s">
        <v>165</v>
      </c>
      <c r="L1256" s="6" t="s">
        <v>77</v>
      </c>
      <c r="M1256" s="6" t="s">
        <v>5774</v>
      </c>
    </row>
    <row r="1257" spans="1:13" ht="13" x14ac:dyDescent="0.15">
      <c r="A1257" s="5" t="str">
        <f>HYPERLINK("https://onemount.atlassian.net/browse/DBA-4142","DBA-4142")</f>
        <v>DBA-4142</v>
      </c>
      <c r="B1257" s="6" t="s">
        <v>21</v>
      </c>
      <c r="C1257" s="6" t="s">
        <v>5775</v>
      </c>
      <c r="D1257" s="8" t="s">
        <v>17</v>
      </c>
      <c r="E1257" s="6" t="s">
        <v>23</v>
      </c>
      <c r="F1257" s="6" t="s">
        <v>41</v>
      </c>
      <c r="G1257" s="6" t="s">
        <v>5776</v>
      </c>
      <c r="H1257" s="10">
        <v>46105</v>
      </c>
      <c r="I1257" s="6" t="s">
        <v>5777</v>
      </c>
      <c r="J1257" s="6" t="s">
        <v>1146</v>
      </c>
      <c r="K1257" s="6" t="s">
        <v>28</v>
      </c>
      <c r="L1257" s="6" t="s">
        <v>1146</v>
      </c>
      <c r="M1257" s="6" t="s">
        <v>5778</v>
      </c>
    </row>
    <row r="1258" spans="1:13" ht="13" x14ac:dyDescent="0.15">
      <c r="A1258" s="5" t="str">
        <f>HYPERLINK("https://onemount.atlassian.net/browse/DBA-4141","DBA-4141")</f>
        <v>DBA-4141</v>
      </c>
      <c r="B1258" s="6" t="s">
        <v>21</v>
      </c>
      <c r="C1258" s="6" t="s">
        <v>5779</v>
      </c>
      <c r="D1258" s="8" t="s">
        <v>17</v>
      </c>
      <c r="E1258" s="6" t="s">
        <v>23</v>
      </c>
      <c r="F1258" s="6" t="s">
        <v>52</v>
      </c>
      <c r="G1258" s="6" t="s">
        <v>5780</v>
      </c>
      <c r="H1258" s="10">
        <v>46106</v>
      </c>
      <c r="I1258" s="6" t="s">
        <v>5781</v>
      </c>
      <c r="J1258" s="6" t="s">
        <v>5782</v>
      </c>
      <c r="K1258" s="6" t="s">
        <v>72</v>
      </c>
      <c r="L1258" s="6" t="s">
        <v>72</v>
      </c>
      <c r="M1258" s="6" t="s">
        <v>5783</v>
      </c>
    </row>
    <row r="1259" spans="1:13" ht="13" x14ac:dyDescent="0.15">
      <c r="A1259" s="5" t="str">
        <f>HYPERLINK("https://onemount.atlassian.net/browse/DBA-4140","DBA-4140")</f>
        <v>DBA-4140</v>
      </c>
      <c r="B1259" s="6" t="s">
        <v>21</v>
      </c>
      <c r="C1259" s="6" t="s">
        <v>5784</v>
      </c>
      <c r="D1259" s="8" t="s">
        <v>17</v>
      </c>
      <c r="E1259" s="6" t="s">
        <v>23</v>
      </c>
      <c r="F1259" s="6" t="s">
        <v>52</v>
      </c>
      <c r="G1259" s="6" t="s">
        <v>5785</v>
      </c>
      <c r="H1259" s="10">
        <v>46106</v>
      </c>
      <c r="I1259" s="6" t="s">
        <v>5786</v>
      </c>
      <c r="J1259" s="6" t="s">
        <v>408</v>
      </c>
      <c r="K1259" s="6" t="s">
        <v>46</v>
      </c>
      <c r="L1259" s="6" t="s">
        <v>408</v>
      </c>
      <c r="M1259" s="6" t="s">
        <v>5787</v>
      </c>
    </row>
    <row r="1260" spans="1:13" ht="13" x14ac:dyDescent="0.15">
      <c r="A1260" s="5" t="str">
        <f>HYPERLINK("https://onemount.atlassian.net/browse/DBA-4139","DBA-4139")</f>
        <v>DBA-4139</v>
      </c>
      <c r="B1260" s="6" t="s">
        <v>21</v>
      </c>
      <c r="C1260" s="6" t="s">
        <v>5788</v>
      </c>
      <c r="D1260" s="8" t="s">
        <v>17</v>
      </c>
      <c r="E1260" s="6" t="s">
        <v>23</v>
      </c>
      <c r="F1260" s="6" t="s">
        <v>52</v>
      </c>
      <c r="G1260" s="6" t="s">
        <v>5789</v>
      </c>
      <c r="H1260" s="10">
        <v>46106</v>
      </c>
      <c r="I1260" s="6" t="s">
        <v>5790</v>
      </c>
      <c r="J1260" s="6" t="s">
        <v>5791</v>
      </c>
      <c r="K1260" s="6" t="s">
        <v>55</v>
      </c>
      <c r="L1260" s="6" t="s">
        <v>56</v>
      </c>
      <c r="M1260" s="6" t="s">
        <v>5792</v>
      </c>
    </row>
    <row r="1261" spans="1:13" ht="13" x14ac:dyDescent="0.15">
      <c r="A1261" s="5" t="str">
        <f>HYPERLINK("https://onemount.atlassian.net/browse/DBA-4138","DBA-4138")</f>
        <v>DBA-4138</v>
      </c>
      <c r="B1261" s="6" t="s">
        <v>21</v>
      </c>
      <c r="C1261" s="6" t="s">
        <v>5793</v>
      </c>
      <c r="D1261" s="8" t="s">
        <v>17</v>
      </c>
      <c r="E1261" s="6" t="s">
        <v>23</v>
      </c>
      <c r="F1261" s="6" t="s">
        <v>24</v>
      </c>
      <c r="G1261" s="6" t="s">
        <v>5794</v>
      </c>
      <c r="H1261" s="10">
        <v>46105</v>
      </c>
      <c r="I1261" s="6" t="s">
        <v>5795</v>
      </c>
      <c r="J1261" s="6" t="s">
        <v>3553</v>
      </c>
      <c r="K1261" s="6" t="s">
        <v>165</v>
      </c>
      <c r="L1261" s="6" t="s">
        <v>39</v>
      </c>
      <c r="M1261" s="6" t="s">
        <v>5796</v>
      </c>
    </row>
    <row r="1262" spans="1:13" ht="13" x14ac:dyDescent="0.15">
      <c r="A1262" s="5" t="str">
        <f>HYPERLINK("https://onemount.atlassian.net/browse/DBA-4136","DBA-4136")</f>
        <v>DBA-4136</v>
      </c>
      <c r="B1262" s="6" t="s">
        <v>21</v>
      </c>
      <c r="C1262" s="6" t="s">
        <v>2263</v>
      </c>
      <c r="D1262" s="8" t="s">
        <v>17</v>
      </c>
      <c r="E1262" s="6" t="s">
        <v>23</v>
      </c>
      <c r="F1262" s="6" t="s">
        <v>24</v>
      </c>
      <c r="G1262" s="6" t="s">
        <v>5797</v>
      </c>
      <c r="H1262" s="10">
        <v>46106</v>
      </c>
      <c r="I1262" s="6" t="s">
        <v>5798</v>
      </c>
      <c r="J1262" s="6" t="s">
        <v>55</v>
      </c>
      <c r="K1262" s="6" t="s">
        <v>55</v>
      </c>
      <c r="L1262" s="6" t="s">
        <v>55</v>
      </c>
      <c r="M1262" s="6" t="s">
        <v>5799</v>
      </c>
    </row>
    <row r="1263" spans="1:13" ht="13" x14ac:dyDescent="0.15">
      <c r="A1263" s="5" t="str">
        <f>HYPERLINK("https://onemount.atlassian.net/browse/DBA-4134","DBA-4134")</f>
        <v>DBA-4134</v>
      </c>
      <c r="B1263" s="6" t="s">
        <v>21</v>
      </c>
      <c r="C1263" s="6" t="s">
        <v>5800</v>
      </c>
      <c r="D1263" s="8" t="s">
        <v>17</v>
      </c>
      <c r="E1263" s="6" t="s">
        <v>23</v>
      </c>
      <c r="F1263" s="6" t="s">
        <v>24</v>
      </c>
      <c r="G1263" s="6" t="s">
        <v>5801</v>
      </c>
      <c r="H1263" s="10">
        <v>46105</v>
      </c>
      <c r="I1263" s="6" t="s">
        <v>5802</v>
      </c>
      <c r="J1263" s="6" t="s">
        <v>27</v>
      </c>
      <c r="K1263" s="6" t="s">
        <v>28</v>
      </c>
      <c r="L1263" s="6" t="s">
        <v>27</v>
      </c>
      <c r="M1263" s="6" t="s">
        <v>5803</v>
      </c>
    </row>
    <row r="1264" spans="1:13" ht="13" x14ac:dyDescent="0.15">
      <c r="A1264" s="5" t="str">
        <f>HYPERLINK("https://onemount.atlassian.net/browse/DBA-4133","DBA-4133")</f>
        <v>DBA-4133</v>
      </c>
      <c r="B1264" s="6" t="s">
        <v>21</v>
      </c>
      <c r="C1264" s="6" t="s">
        <v>5476</v>
      </c>
      <c r="D1264" s="8" t="s">
        <v>17</v>
      </c>
      <c r="E1264" s="6" t="s">
        <v>23</v>
      </c>
      <c r="F1264" s="6" t="s">
        <v>52</v>
      </c>
      <c r="G1264" s="6" t="s">
        <v>5804</v>
      </c>
      <c r="H1264" s="10">
        <v>46107</v>
      </c>
      <c r="I1264" s="6" t="s">
        <v>5805</v>
      </c>
      <c r="J1264" s="6" t="s">
        <v>5479</v>
      </c>
      <c r="K1264" s="6" t="s">
        <v>55</v>
      </c>
      <c r="L1264" s="6" t="s">
        <v>254</v>
      </c>
      <c r="M1264" s="6" t="s">
        <v>5806</v>
      </c>
    </row>
    <row r="1265" spans="1:13" ht="13" x14ac:dyDescent="0.15">
      <c r="A1265" s="5" t="str">
        <f>HYPERLINK("https://onemount.atlassian.net/browse/DBA-4132","DBA-4132")</f>
        <v>DBA-4132</v>
      </c>
      <c r="B1265" s="6" t="s">
        <v>21</v>
      </c>
      <c r="C1265" s="6" t="s">
        <v>5807</v>
      </c>
      <c r="D1265" s="8" t="s">
        <v>17</v>
      </c>
      <c r="E1265" s="6" t="s">
        <v>23</v>
      </c>
      <c r="F1265" s="6" t="s">
        <v>52</v>
      </c>
      <c r="G1265" s="6" t="s">
        <v>5808</v>
      </c>
      <c r="H1265" s="10">
        <v>46105</v>
      </c>
      <c r="I1265" s="6" t="s">
        <v>5809</v>
      </c>
      <c r="J1265" s="6" t="s">
        <v>55</v>
      </c>
      <c r="K1265" s="6" t="s">
        <v>55</v>
      </c>
      <c r="L1265" s="6" t="s">
        <v>942</v>
      </c>
      <c r="M1265" s="6" t="s">
        <v>5810</v>
      </c>
    </row>
    <row r="1266" spans="1:13" ht="13" x14ac:dyDescent="0.15">
      <c r="A1266" s="5" t="str">
        <f>HYPERLINK("https://onemount.atlassian.net/browse/DBA-4131","DBA-4131")</f>
        <v>DBA-4131</v>
      </c>
      <c r="B1266" s="6" t="s">
        <v>21</v>
      </c>
      <c r="C1266" s="6" t="s">
        <v>5811</v>
      </c>
      <c r="D1266" s="8" t="s">
        <v>17</v>
      </c>
      <c r="E1266" s="6" t="s">
        <v>23</v>
      </c>
      <c r="F1266" s="6" t="s">
        <v>52</v>
      </c>
      <c r="G1266" s="6" t="s">
        <v>5812</v>
      </c>
      <c r="H1266" s="10">
        <v>46104</v>
      </c>
      <c r="I1266" s="6" t="s">
        <v>5813</v>
      </c>
      <c r="J1266" s="6" t="s">
        <v>85</v>
      </c>
      <c r="K1266" s="6" t="s">
        <v>55</v>
      </c>
      <c r="L1266" s="6" t="s">
        <v>85</v>
      </c>
      <c r="M1266" s="6" t="s">
        <v>5814</v>
      </c>
    </row>
    <row r="1267" spans="1:13" ht="13" x14ac:dyDescent="0.15">
      <c r="A1267" s="5" t="str">
        <f>HYPERLINK("https://onemount.atlassian.net/browse/DBA-4129","DBA-4129")</f>
        <v>DBA-4129</v>
      </c>
      <c r="B1267" s="6" t="s">
        <v>21</v>
      </c>
      <c r="C1267" s="6" t="s">
        <v>4014</v>
      </c>
      <c r="D1267" s="8" t="s">
        <v>17</v>
      </c>
      <c r="E1267" s="6" t="s">
        <v>23</v>
      </c>
      <c r="F1267" s="6" t="s">
        <v>31</v>
      </c>
      <c r="G1267" s="6" t="s">
        <v>5815</v>
      </c>
      <c r="H1267" s="10">
        <v>46104</v>
      </c>
      <c r="I1267" s="6" t="s">
        <v>5816</v>
      </c>
      <c r="J1267" s="6" t="s">
        <v>478</v>
      </c>
      <c r="K1267" s="6" t="s">
        <v>35</v>
      </c>
      <c r="L1267" s="6" t="s">
        <v>478</v>
      </c>
      <c r="M1267" s="6" t="s">
        <v>5817</v>
      </c>
    </row>
    <row r="1268" spans="1:13" ht="13" x14ac:dyDescent="0.15">
      <c r="A1268" s="5" t="str">
        <f>HYPERLINK("https://onemount.atlassian.net/browse/DBA-4128","DBA-4128")</f>
        <v>DBA-4128</v>
      </c>
      <c r="B1268" s="6" t="s">
        <v>21</v>
      </c>
      <c r="C1268" s="6" t="s">
        <v>5818</v>
      </c>
      <c r="D1268" s="8" t="s">
        <v>17</v>
      </c>
      <c r="E1268" s="6" t="s">
        <v>23</v>
      </c>
      <c r="F1268" s="6" t="s">
        <v>31</v>
      </c>
      <c r="G1268" s="6" t="s">
        <v>5819</v>
      </c>
      <c r="H1268" s="10">
        <v>46105</v>
      </c>
      <c r="I1268" s="6" t="s">
        <v>5820</v>
      </c>
      <c r="J1268" s="6" t="s">
        <v>478</v>
      </c>
      <c r="K1268" s="6" t="s">
        <v>35</v>
      </c>
      <c r="L1268" s="6" t="s">
        <v>478</v>
      </c>
      <c r="M1268" s="6" t="s">
        <v>5821</v>
      </c>
    </row>
    <row r="1269" spans="1:13" ht="13" x14ac:dyDescent="0.15">
      <c r="A1269" s="5" t="str">
        <f>HYPERLINK("https://onemount.atlassian.net/browse/DBA-4127","DBA-4127")</f>
        <v>DBA-4127</v>
      </c>
      <c r="B1269" s="6" t="s">
        <v>21</v>
      </c>
      <c r="C1269" s="6" t="s">
        <v>4596</v>
      </c>
      <c r="D1269" s="8" t="s">
        <v>17</v>
      </c>
      <c r="E1269" s="6" t="s">
        <v>23</v>
      </c>
      <c r="F1269" s="6" t="s">
        <v>52</v>
      </c>
      <c r="G1269" s="6" t="s">
        <v>5822</v>
      </c>
      <c r="H1269" s="10">
        <v>46105</v>
      </c>
      <c r="I1269" s="6" t="s">
        <v>5823</v>
      </c>
      <c r="J1269" s="6" t="s">
        <v>72</v>
      </c>
      <c r="K1269" s="6" t="s">
        <v>72</v>
      </c>
      <c r="L1269" s="6" t="s">
        <v>208</v>
      </c>
      <c r="M1269" s="6" t="s">
        <v>5824</v>
      </c>
    </row>
    <row r="1270" spans="1:13" ht="13" x14ac:dyDescent="0.15">
      <c r="A1270" s="5" t="str">
        <f>HYPERLINK("https://onemount.atlassian.net/browse/DBA-4126","DBA-4126")</f>
        <v>DBA-4126</v>
      </c>
      <c r="B1270" s="6" t="s">
        <v>21</v>
      </c>
      <c r="C1270" s="6" t="s">
        <v>5825</v>
      </c>
      <c r="D1270" s="8" t="s">
        <v>17</v>
      </c>
      <c r="E1270" s="6" t="s">
        <v>23</v>
      </c>
      <c r="F1270" s="6" t="s">
        <v>52</v>
      </c>
      <c r="G1270" s="6" t="s">
        <v>5826</v>
      </c>
      <c r="H1270" s="10">
        <v>46104</v>
      </c>
      <c r="I1270" s="6" t="s">
        <v>5827</v>
      </c>
      <c r="J1270" s="6" t="s">
        <v>85</v>
      </c>
      <c r="K1270" s="6" t="s">
        <v>55</v>
      </c>
      <c r="L1270" s="6" t="s">
        <v>85</v>
      </c>
      <c r="M1270" s="6" t="s">
        <v>5828</v>
      </c>
    </row>
    <row r="1271" spans="1:13" ht="13" x14ac:dyDescent="0.15">
      <c r="A1271" s="5" t="str">
        <f>HYPERLINK("https://onemount.atlassian.net/browse/DBA-4125","DBA-4125")</f>
        <v>DBA-4125</v>
      </c>
      <c r="B1271" s="6" t="s">
        <v>21</v>
      </c>
      <c r="C1271" s="6" t="s">
        <v>5829</v>
      </c>
      <c r="D1271" s="8" t="s">
        <v>17</v>
      </c>
      <c r="E1271" s="6" t="s">
        <v>23</v>
      </c>
      <c r="F1271" s="6" t="s">
        <v>41</v>
      </c>
      <c r="G1271" s="6" t="s">
        <v>5830</v>
      </c>
      <c r="H1271" s="10">
        <v>46162</v>
      </c>
      <c r="I1271" s="6" t="s">
        <v>5831</v>
      </c>
      <c r="J1271" s="6" t="s">
        <v>5832</v>
      </c>
      <c r="K1271" s="6" t="s">
        <v>59</v>
      </c>
      <c r="L1271" s="6" t="s">
        <v>47</v>
      </c>
      <c r="M1271" s="6" t="s">
        <v>5833</v>
      </c>
    </row>
    <row r="1272" spans="1:13" ht="13" x14ac:dyDescent="0.15">
      <c r="A1272" s="5" t="str">
        <f>HYPERLINK("https://onemount.atlassian.net/browse/DBA-4124","DBA-4124")</f>
        <v>DBA-4124</v>
      </c>
      <c r="B1272" s="6" t="s">
        <v>21</v>
      </c>
      <c r="C1272" s="6" t="s">
        <v>2263</v>
      </c>
      <c r="D1272" s="8" t="s">
        <v>17</v>
      </c>
      <c r="E1272" s="6" t="s">
        <v>23</v>
      </c>
      <c r="F1272" s="6" t="s">
        <v>24</v>
      </c>
      <c r="G1272" s="6" t="s">
        <v>5834</v>
      </c>
      <c r="H1272" s="10">
        <v>46106</v>
      </c>
      <c r="I1272" s="6" t="s">
        <v>5835</v>
      </c>
      <c r="J1272" s="6" t="s">
        <v>55</v>
      </c>
      <c r="K1272" s="6" t="s">
        <v>55</v>
      </c>
      <c r="L1272" s="6" t="s">
        <v>55</v>
      </c>
      <c r="M1272" s="6" t="s">
        <v>5836</v>
      </c>
    </row>
    <row r="1273" spans="1:13" ht="13" x14ac:dyDescent="0.15">
      <c r="A1273" s="5" t="str">
        <f>HYPERLINK("https://onemount.atlassian.net/browse/DBA-4123","DBA-4123")</f>
        <v>DBA-4123</v>
      </c>
      <c r="B1273" s="6" t="s">
        <v>21</v>
      </c>
      <c r="C1273" s="6" t="s">
        <v>5837</v>
      </c>
      <c r="D1273" s="8" t="s">
        <v>17</v>
      </c>
      <c r="E1273" s="6" t="s">
        <v>23</v>
      </c>
      <c r="F1273" s="6" t="s">
        <v>24</v>
      </c>
      <c r="G1273" s="6" t="s">
        <v>5838</v>
      </c>
      <c r="H1273" s="10">
        <v>46108</v>
      </c>
      <c r="I1273" s="6" t="s">
        <v>5839</v>
      </c>
      <c r="J1273" s="6" t="s">
        <v>3553</v>
      </c>
      <c r="K1273" s="6" t="s">
        <v>165</v>
      </c>
      <c r="L1273" s="6" t="s">
        <v>39</v>
      </c>
      <c r="M1273" s="6" t="s">
        <v>5840</v>
      </c>
    </row>
    <row r="1274" spans="1:13" ht="13" x14ac:dyDescent="0.15">
      <c r="A1274" s="5" t="str">
        <f>HYPERLINK("https://onemount.atlassian.net/browse/DBA-4122","DBA-4122")</f>
        <v>DBA-4122</v>
      </c>
      <c r="B1274" s="6" t="s">
        <v>21</v>
      </c>
      <c r="C1274" s="6" t="s">
        <v>5841</v>
      </c>
      <c r="D1274" s="8" t="s">
        <v>17</v>
      </c>
      <c r="E1274" s="6" t="s">
        <v>23</v>
      </c>
      <c r="F1274" s="6" t="s">
        <v>87</v>
      </c>
      <c r="G1274" s="6" t="s">
        <v>5842</v>
      </c>
      <c r="H1274" s="10">
        <v>46107</v>
      </c>
      <c r="I1274" s="6" t="s">
        <v>5843</v>
      </c>
      <c r="J1274" s="6" t="s">
        <v>5844</v>
      </c>
      <c r="K1274" s="6" t="s">
        <v>165</v>
      </c>
      <c r="L1274" s="6" t="s">
        <v>224</v>
      </c>
      <c r="M1274" s="6" t="s">
        <v>5845</v>
      </c>
    </row>
    <row r="1275" spans="1:13" ht="13" x14ac:dyDescent="0.15">
      <c r="A1275" s="5" t="str">
        <f>HYPERLINK("https://onemount.atlassian.net/browse/DBA-4121","DBA-4121")</f>
        <v>DBA-4121</v>
      </c>
      <c r="B1275" s="6" t="s">
        <v>21</v>
      </c>
      <c r="C1275" s="6" t="s">
        <v>5846</v>
      </c>
      <c r="D1275" s="8" t="s">
        <v>17</v>
      </c>
      <c r="E1275" s="6" t="s">
        <v>23</v>
      </c>
      <c r="F1275" s="6" t="s">
        <v>24</v>
      </c>
      <c r="G1275" s="6" t="s">
        <v>5847</v>
      </c>
      <c r="H1275" s="10">
        <v>46104</v>
      </c>
      <c r="I1275" s="6" t="s">
        <v>5848</v>
      </c>
      <c r="J1275" s="6" t="s">
        <v>88</v>
      </c>
      <c r="K1275" s="6" t="s">
        <v>59</v>
      </c>
      <c r="L1275" s="6" t="s">
        <v>88</v>
      </c>
      <c r="M1275" s="6" t="s">
        <v>5849</v>
      </c>
    </row>
    <row r="1276" spans="1:13" ht="13" x14ac:dyDescent="0.15">
      <c r="A1276" s="5" t="str">
        <f>HYPERLINK("https://onemount.atlassian.net/browse/DBA-4120","DBA-4120")</f>
        <v>DBA-4120</v>
      </c>
      <c r="B1276" s="6" t="s">
        <v>21</v>
      </c>
      <c r="C1276" s="6" t="s">
        <v>5850</v>
      </c>
      <c r="D1276" s="8" t="s">
        <v>17</v>
      </c>
      <c r="E1276" s="6" t="s">
        <v>23</v>
      </c>
      <c r="F1276" s="6" t="s">
        <v>31</v>
      </c>
      <c r="G1276" s="6" t="s">
        <v>5851</v>
      </c>
      <c r="H1276" s="10">
        <v>46105</v>
      </c>
      <c r="I1276" s="6" t="s">
        <v>5852</v>
      </c>
      <c r="J1276" s="6" t="s">
        <v>5746</v>
      </c>
      <c r="K1276" s="6" t="s">
        <v>35</v>
      </c>
      <c r="L1276" s="6" t="s">
        <v>962</v>
      </c>
      <c r="M1276" s="6" t="s">
        <v>5853</v>
      </c>
    </row>
    <row r="1277" spans="1:13" ht="13" x14ac:dyDescent="0.15">
      <c r="A1277" s="5" t="str">
        <f>HYPERLINK("https://onemount.atlassian.net/browse/DBA-4119","DBA-4119")</f>
        <v>DBA-4119</v>
      </c>
      <c r="B1277" s="6" t="s">
        <v>21</v>
      </c>
      <c r="C1277" s="6" t="s">
        <v>5854</v>
      </c>
      <c r="D1277" s="8" t="s">
        <v>17</v>
      </c>
      <c r="E1277" s="6" t="s">
        <v>23</v>
      </c>
      <c r="F1277" s="6" t="s">
        <v>52</v>
      </c>
      <c r="G1277" s="6" t="s">
        <v>5855</v>
      </c>
      <c r="H1277" s="10">
        <v>46104</v>
      </c>
      <c r="I1277" s="6" t="s">
        <v>5856</v>
      </c>
      <c r="J1277" s="6" t="s">
        <v>85</v>
      </c>
      <c r="K1277" s="6" t="s">
        <v>55</v>
      </c>
      <c r="L1277" s="6" t="s">
        <v>85</v>
      </c>
      <c r="M1277" s="6" t="s">
        <v>5857</v>
      </c>
    </row>
    <row r="1278" spans="1:13" ht="13" x14ac:dyDescent="0.15">
      <c r="A1278" s="5" t="str">
        <f>HYPERLINK("https://onemount.atlassian.net/browse/DBA-4118","DBA-4118")</f>
        <v>DBA-4118</v>
      </c>
      <c r="B1278" s="6" t="s">
        <v>21</v>
      </c>
      <c r="C1278" s="6" t="s">
        <v>2722</v>
      </c>
      <c r="D1278" s="8" t="s">
        <v>17</v>
      </c>
      <c r="E1278" s="6" t="s">
        <v>23</v>
      </c>
      <c r="F1278" s="6" t="s">
        <v>52</v>
      </c>
      <c r="G1278" s="6" t="s">
        <v>5858</v>
      </c>
      <c r="H1278" s="10">
        <v>46109</v>
      </c>
      <c r="I1278" s="6" t="s">
        <v>5859</v>
      </c>
      <c r="J1278" s="6" t="s">
        <v>5625</v>
      </c>
      <c r="K1278" s="6" t="s">
        <v>55</v>
      </c>
      <c r="L1278" s="6" t="s">
        <v>254</v>
      </c>
      <c r="M1278" s="6" t="s">
        <v>5860</v>
      </c>
    </row>
    <row r="1279" spans="1:13" ht="13" x14ac:dyDescent="0.15">
      <c r="A1279" s="5" t="str">
        <f>HYPERLINK("https://onemount.atlassian.net/browse/DBA-4117","DBA-4117")</f>
        <v>DBA-4117</v>
      </c>
      <c r="B1279" s="6" t="s">
        <v>21</v>
      </c>
      <c r="C1279" s="6" t="s">
        <v>5861</v>
      </c>
      <c r="D1279" s="8" t="s">
        <v>17</v>
      </c>
      <c r="E1279" s="6" t="s">
        <v>23</v>
      </c>
      <c r="F1279" s="6" t="s">
        <v>31</v>
      </c>
      <c r="G1279" s="6" t="s">
        <v>5862</v>
      </c>
      <c r="H1279" s="10">
        <v>46104</v>
      </c>
      <c r="I1279" s="6" t="s">
        <v>5863</v>
      </c>
      <c r="J1279" s="6" t="s">
        <v>638</v>
      </c>
      <c r="K1279" s="6" t="s">
        <v>35</v>
      </c>
      <c r="L1279" s="6" t="s">
        <v>638</v>
      </c>
      <c r="M1279" s="6" t="s">
        <v>5864</v>
      </c>
    </row>
    <row r="1280" spans="1:13" ht="13" x14ac:dyDescent="0.15">
      <c r="A1280" s="5" t="str">
        <f>HYPERLINK("https://onemount.atlassian.net/browse/DBA-4116","DBA-4116")</f>
        <v>DBA-4116</v>
      </c>
      <c r="B1280" s="6" t="s">
        <v>21</v>
      </c>
      <c r="C1280" s="6" t="s">
        <v>5865</v>
      </c>
      <c r="D1280" s="8" t="s">
        <v>17</v>
      </c>
      <c r="E1280" s="6" t="s">
        <v>23</v>
      </c>
      <c r="F1280" s="6" t="s">
        <v>24</v>
      </c>
      <c r="G1280" s="6" t="s">
        <v>5866</v>
      </c>
      <c r="H1280" s="10">
        <v>46107</v>
      </c>
      <c r="I1280" s="6" t="s">
        <v>5867</v>
      </c>
      <c r="J1280" s="6" t="s">
        <v>77</v>
      </c>
      <c r="K1280" s="6" t="s">
        <v>165</v>
      </c>
      <c r="L1280" s="6" t="s">
        <v>77</v>
      </c>
      <c r="M1280" s="6" t="s">
        <v>5868</v>
      </c>
    </row>
    <row r="1281" spans="1:13" ht="13" x14ac:dyDescent="0.15">
      <c r="A1281" s="5" t="str">
        <f>HYPERLINK("https://onemount.atlassian.net/browse/DBA-4115","DBA-4115")</f>
        <v>DBA-4115</v>
      </c>
      <c r="B1281" s="6" t="s">
        <v>21</v>
      </c>
      <c r="C1281" s="6" t="s">
        <v>5869</v>
      </c>
      <c r="D1281" s="8" t="s">
        <v>17</v>
      </c>
      <c r="E1281" s="6" t="s">
        <v>23</v>
      </c>
      <c r="F1281" s="6" t="s">
        <v>52</v>
      </c>
      <c r="G1281" s="6" t="s">
        <v>5870</v>
      </c>
      <c r="H1281" s="10">
        <v>46105</v>
      </c>
      <c r="I1281" s="6" t="s">
        <v>5871</v>
      </c>
      <c r="J1281" s="6" t="s">
        <v>5872</v>
      </c>
      <c r="K1281" s="6" t="s">
        <v>55</v>
      </c>
      <c r="L1281" s="6" t="s">
        <v>85</v>
      </c>
      <c r="M1281" s="6" t="s">
        <v>5873</v>
      </c>
    </row>
    <row r="1282" spans="1:13" ht="13" x14ac:dyDescent="0.15">
      <c r="A1282" s="5" t="str">
        <f>HYPERLINK("https://onemount.atlassian.net/browse/DBA-4113","DBA-4113")</f>
        <v>DBA-4113</v>
      </c>
      <c r="B1282" s="6" t="s">
        <v>21</v>
      </c>
      <c r="C1282" s="6" t="s">
        <v>5874</v>
      </c>
      <c r="D1282" s="8" t="s">
        <v>17</v>
      </c>
      <c r="E1282" s="6" t="s">
        <v>23</v>
      </c>
      <c r="F1282" s="6" t="s">
        <v>52</v>
      </c>
      <c r="G1282" s="6" t="s">
        <v>5875</v>
      </c>
      <c r="H1282" s="10">
        <v>46102</v>
      </c>
      <c r="I1282" s="6" t="s">
        <v>5876</v>
      </c>
      <c r="J1282" s="6" t="s">
        <v>4792</v>
      </c>
      <c r="K1282" s="6" t="s">
        <v>55</v>
      </c>
      <c r="L1282" s="6" t="s">
        <v>270</v>
      </c>
      <c r="M1282" s="6" t="s">
        <v>5877</v>
      </c>
    </row>
    <row r="1283" spans="1:13" ht="13" x14ac:dyDescent="0.15">
      <c r="A1283" s="5" t="str">
        <f>HYPERLINK("https://onemount.atlassian.net/browse/DBA-4112","DBA-4112")</f>
        <v>DBA-4112</v>
      </c>
      <c r="B1283" s="6" t="s">
        <v>21</v>
      </c>
      <c r="C1283" s="6" t="s">
        <v>5878</v>
      </c>
      <c r="D1283" s="8" t="s">
        <v>17</v>
      </c>
      <c r="E1283" s="6" t="s">
        <v>23</v>
      </c>
      <c r="F1283" s="6" t="s">
        <v>87</v>
      </c>
      <c r="G1283" s="6" t="s">
        <v>5879</v>
      </c>
      <c r="H1283" s="10">
        <v>46102</v>
      </c>
      <c r="I1283" s="6" t="s">
        <v>5880</v>
      </c>
      <c r="J1283" s="6" t="s">
        <v>5881</v>
      </c>
      <c r="K1283" s="6" t="s">
        <v>165</v>
      </c>
      <c r="L1283" s="6" t="s">
        <v>119</v>
      </c>
      <c r="M1283" s="6" t="s">
        <v>5882</v>
      </c>
    </row>
    <row r="1284" spans="1:13" ht="13" x14ac:dyDescent="0.15">
      <c r="A1284" s="5" t="str">
        <f>HYPERLINK("https://onemount.atlassian.net/browse/DBA-4111","DBA-4111")</f>
        <v>DBA-4111</v>
      </c>
      <c r="B1284" s="6" t="s">
        <v>21</v>
      </c>
      <c r="C1284" s="6" t="s">
        <v>5883</v>
      </c>
      <c r="D1284" s="8" t="s">
        <v>17</v>
      </c>
      <c r="E1284" s="6" t="s">
        <v>23</v>
      </c>
      <c r="F1284" s="6" t="s">
        <v>31</v>
      </c>
      <c r="G1284" s="6" t="s">
        <v>5884</v>
      </c>
      <c r="H1284" s="10">
        <v>46101</v>
      </c>
      <c r="I1284" s="6" t="s">
        <v>5885</v>
      </c>
      <c r="J1284" s="6" t="s">
        <v>707</v>
      </c>
      <c r="K1284" s="6" t="s">
        <v>35</v>
      </c>
      <c r="L1284" s="6" t="s">
        <v>707</v>
      </c>
      <c r="M1284" s="6" t="s">
        <v>5886</v>
      </c>
    </row>
    <row r="1285" spans="1:13" ht="13" x14ac:dyDescent="0.15">
      <c r="A1285" s="5" t="str">
        <f>HYPERLINK("https://onemount.atlassian.net/browse/DBA-4110","DBA-4110")</f>
        <v>DBA-4110</v>
      </c>
      <c r="B1285" s="6" t="s">
        <v>21</v>
      </c>
      <c r="C1285" s="6" t="s">
        <v>5887</v>
      </c>
      <c r="D1285" s="8" t="s">
        <v>17</v>
      </c>
      <c r="E1285" s="6" t="s">
        <v>23</v>
      </c>
      <c r="F1285" s="6" t="s">
        <v>52</v>
      </c>
      <c r="G1285" s="6" t="s">
        <v>5888</v>
      </c>
      <c r="H1285" s="10">
        <v>46101</v>
      </c>
      <c r="I1285" s="6" t="s">
        <v>5889</v>
      </c>
      <c r="J1285" s="6" t="s">
        <v>85</v>
      </c>
      <c r="K1285" s="6" t="s">
        <v>55</v>
      </c>
      <c r="L1285" s="6" t="s">
        <v>85</v>
      </c>
      <c r="M1285" s="6" t="s">
        <v>5890</v>
      </c>
    </row>
    <row r="1286" spans="1:13" ht="13" x14ac:dyDescent="0.15">
      <c r="A1286" s="5" t="str">
        <f>HYPERLINK("https://onemount.atlassian.net/browse/DBA-4109","DBA-4109")</f>
        <v>DBA-4109</v>
      </c>
      <c r="B1286" s="6" t="s">
        <v>21</v>
      </c>
      <c r="C1286" s="6" t="s">
        <v>5891</v>
      </c>
      <c r="D1286" s="8" t="s">
        <v>17</v>
      </c>
      <c r="E1286" s="6" t="s">
        <v>23</v>
      </c>
      <c r="F1286" s="6" t="s">
        <v>31</v>
      </c>
      <c r="G1286" s="6" t="s">
        <v>5892</v>
      </c>
      <c r="H1286" s="10">
        <v>46101</v>
      </c>
      <c r="I1286" s="6" t="s">
        <v>5893</v>
      </c>
      <c r="J1286" s="6" t="s">
        <v>165</v>
      </c>
      <c r="K1286" s="6" t="s">
        <v>165</v>
      </c>
      <c r="L1286" s="6" t="s">
        <v>288</v>
      </c>
      <c r="M1286" s="6" t="s">
        <v>5894</v>
      </c>
    </row>
    <row r="1287" spans="1:13" ht="13" x14ac:dyDescent="0.15">
      <c r="A1287" s="5" t="str">
        <f>HYPERLINK("https://onemount.atlassian.net/browse/DBA-4108","DBA-4108")</f>
        <v>DBA-4108</v>
      </c>
      <c r="B1287" s="6" t="s">
        <v>21</v>
      </c>
      <c r="C1287" s="6" t="s">
        <v>5825</v>
      </c>
      <c r="D1287" s="8" t="s">
        <v>17</v>
      </c>
      <c r="E1287" s="6" t="s">
        <v>23</v>
      </c>
      <c r="F1287" s="6" t="s">
        <v>52</v>
      </c>
      <c r="G1287" s="6" t="s">
        <v>5895</v>
      </c>
      <c r="H1287" s="10">
        <v>46101</v>
      </c>
      <c r="I1287" s="6" t="s">
        <v>5896</v>
      </c>
      <c r="J1287" s="6" t="s">
        <v>85</v>
      </c>
      <c r="K1287" s="6" t="s">
        <v>55</v>
      </c>
      <c r="L1287" s="6" t="s">
        <v>85</v>
      </c>
      <c r="M1287" s="6" t="s">
        <v>5897</v>
      </c>
    </row>
    <row r="1288" spans="1:13" ht="13" x14ac:dyDescent="0.15">
      <c r="A1288" s="5" t="str">
        <f>HYPERLINK("https://onemount.atlassian.net/browse/DBA-4107","DBA-4107")</f>
        <v>DBA-4107</v>
      </c>
      <c r="B1288" s="23" t="str">
        <f t="shared" ref="B1288:B1289" si="15">HYPERLINK("https://onemount.atlassian.net/browse/DBA-4101","DBA-4101")</f>
        <v>DBA-4101</v>
      </c>
      <c r="C1288" s="6" t="s">
        <v>5898</v>
      </c>
      <c r="D1288" s="8" t="s">
        <v>17</v>
      </c>
      <c r="E1288" s="6" t="s">
        <v>428</v>
      </c>
      <c r="F1288" s="6" t="s">
        <v>24</v>
      </c>
      <c r="G1288" s="6" t="s">
        <v>5899</v>
      </c>
      <c r="H1288" s="10">
        <v>46117</v>
      </c>
      <c r="I1288" s="6" t="s">
        <v>5900</v>
      </c>
      <c r="J1288" s="6" t="s">
        <v>395</v>
      </c>
      <c r="K1288" s="6" t="s">
        <v>46</v>
      </c>
      <c r="L1288" s="6" t="s">
        <v>165</v>
      </c>
      <c r="M1288" s="6" t="s">
        <v>5901</v>
      </c>
    </row>
    <row r="1289" spans="1:13" ht="13" x14ac:dyDescent="0.15">
      <c r="A1289" s="5" t="str">
        <f>HYPERLINK("https://onemount.atlassian.net/browse/DBA-4106","DBA-4106")</f>
        <v>DBA-4106</v>
      </c>
      <c r="B1289" s="23" t="str">
        <f t="shared" si="15"/>
        <v>DBA-4101</v>
      </c>
      <c r="C1289" s="6" t="s">
        <v>5902</v>
      </c>
      <c r="D1289" s="8" t="s">
        <v>17</v>
      </c>
      <c r="E1289" s="6" t="s">
        <v>428</v>
      </c>
      <c r="F1289" s="6" t="s">
        <v>31</v>
      </c>
      <c r="G1289" s="6" t="s">
        <v>5903</v>
      </c>
      <c r="H1289" s="10">
        <v>46109</v>
      </c>
      <c r="I1289" s="6" t="s">
        <v>5904</v>
      </c>
      <c r="J1289" s="6" t="s">
        <v>395</v>
      </c>
      <c r="K1289" s="6" t="s">
        <v>46</v>
      </c>
      <c r="L1289" s="6" t="s">
        <v>395</v>
      </c>
      <c r="M1289" s="6" t="s">
        <v>5905</v>
      </c>
    </row>
    <row r="1290" spans="1:13" ht="13" x14ac:dyDescent="0.15">
      <c r="A1290" s="5" t="str">
        <f>HYPERLINK("https://onemount.atlassian.net/browse/DBA-4105","DBA-4105")</f>
        <v>DBA-4105</v>
      </c>
      <c r="B1290" s="6" t="s">
        <v>21</v>
      </c>
      <c r="C1290" s="6" t="s">
        <v>5906</v>
      </c>
      <c r="D1290" s="8" t="s">
        <v>17</v>
      </c>
      <c r="E1290" s="6" t="s">
        <v>23</v>
      </c>
      <c r="F1290" s="6" t="s">
        <v>41</v>
      </c>
      <c r="G1290" s="6" t="s">
        <v>5907</v>
      </c>
      <c r="H1290" s="10">
        <v>46113</v>
      </c>
      <c r="I1290" s="6" t="s">
        <v>5908</v>
      </c>
      <c r="J1290" s="6" t="s">
        <v>5909</v>
      </c>
      <c r="K1290" s="6" t="s">
        <v>124</v>
      </c>
      <c r="L1290" s="6" t="s">
        <v>132</v>
      </c>
      <c r="M1290" s="6" t="s">
        <v>5910</v>
      </c>
    </row>
    <row r="1291" spans="1:13" ht="13" x14ac:dyDescent="0.15">
      <c r="A1291" s="5" t="str">
        <f>HYPERLINK("https://onemount.atlassian.net/browse/DBA-4104","DBA-4104")</f>
        <v>DBA-4104</v>
      </c>
      <c r="B1291" s="23" t="str">
        <f t="shared" ref="B1291:B1293" si="16">HYPERLINK("https://onemount.atlassian.net/browse/DBA-4101","DBA-4101")</f>
        <v>DBA-4101</v>
      </c>
      <c r="C1291" s="6" t="s">
        <v>5911</v>
      </c>
      <c r="D1291" s="8" t="s">
        <v>17</v>
      </c>
      <c r="E1291" s="6" t="s">
        <v>428</v>
      </c>
      <c r="F1291" s="6" t="s">
        <v>31</v>
      </c>
      <c r="G1291" s="6" t="s">
        <v>5912</v>
      </c>
      <c r="H1291" s="10">
        <v>46102</v>
      </c>
      <c r="I1291" s="6" t="s">
        <v>5913</v>
      </c>
      <c r="J1291" s="6" t="s">
        <v>395</v>
      </c>
      <c r="K1291" s="6" t="s">
        <v>46</v>
      </c>
      <c r="L1291" s="6" t="s">
        <v>395</v>
      </c>
      <c r="M1291" s="6" t="s">
        <v>5914</v>
      </c>
    </row>
    <row r="1292" spans="1:13" ht="13" x14ac:dyDescent="0.15">
      <c r="A1292" s="5" t="str">
        <f>HYPERLINK("https://onemount.atlassian.net/browse/DBA-4103","DBA-4103")</f>
        <v>DBA-4103</v>
      </c>
      <c r="B1292" s="23" t="str">
        <f t="shared" si="16"/>
        <v>DBA-4101</v>
      </c>
      <c r="C1292" s="6" t="s">
        <v>5915</v>
      </c>
      <c r="D1292" s="8" t="s">
        <v>17</v>
      </c>
      <c r="E1292" s="6" t="s">
        <v>428</v>
      </c>
      <c r="F1292" s="6" t="s">
        <v>31</v>
      </c>
      <c r="G1292" s="6" t="s">
        <v>5916</v>
      </c>
      <c r="H1292" s="10">
        <v>46105</v>
      </c>
      <c r="I1292" s="6" t="s">
        <v>5917</v>
      </c>
      <c r="J1292" s="6" t="s">
        <v>395</v>
      </c>
      <c r="K1292" s="6" t="s">
        <v>46</v>
      </c>
      <c r="L1292" s="6" t="s">
        <v>395</v>
      </c>
      <c r="M1292" s="6" t="s">
        <v>5918</v>
      </c>
    </row>
    <row r="1293" spans="1:13" ht="13" x14ac:dyDescent="0.15">
      <c r="A1293" s="5" t="str">
        <f>HYPERLINK("https://onemount.atlassian.net/browse/DBA-4102","DBA-4102")</f>
        <v>DBA-4102</v>
      </c>
      <c r="B1293" s="23" t="str">
        <f t="shared" si="16"/>
        <v>DBA-4101</v>
      </c>
      <c r="C1293" s="6" t="s">
        <v>5919</v>
      </c>
      <c r="D1293" s="8" t="s">
        <v>17</v>
      </c>
      <c r="E1293" s="6" t="s">
        <v>428</v>
      </c>
      <c r="F1293" s="6" t="s">
        <v>31</v>
      </c>
      <c r="G1293" s="6" t="s">
        <v>5920</v>
      </c>
      <c r="H1293" s="10">
        <v>46102</v>
      </c>
      <c r="I1293" s="6" t="s">
        <v>5921</v>
      </c>
      <c r="J1293" s="6" t="s">
        <v>395</v>
      </c>
      <c r="K1293" s="6" t="s">
        <v>55</v>
      </c>
      <c r="L1293" s="6" t="s">
        <v>395</v>
      </c>
      <c r="M1293" s="6" t="s">
        <v>5922</v>
      </c>
    </row>
    <row r="1294" spans="1:13" ht="13" x14ac:dyDescent="0.15">
      <c r="A1294" s="5" t="str">
        <f>HYPERLINK("https://onemount.atlassian.net/browse/DBA-4101","DBA-4101")</f>
        <v>DBA-4101</v>
      </c>
      <c r="B1294" s="6" t="s">
        <v>21</v>
      </c>
      <c r="C1294" s="6" t="s">
        <v>5923</v>
      </c>
      <c r="D1294" s="8" t="s">
        <v>17</v>
      </c>
      <c r="E1294" s="6" t="s">
        <v>23</v>
      </c>
      <c r="F1294" s="6" t="s">
        <v>31</v>
      </c>
      <c r="G1294" s="6" t="s">
        <v>5924</v>
      </c>
      <c r="H1294" s="10">
        <v>46387</v>
      </c>
      <c r="I1294" s="6" t="s">
        <v>5925</v>
      </c>
      <c r="J1294" s="6" t="s">
        <v>395</v>
      </c>
      <c r="K1294" s="6" t="s">
        <v>46</v>
      </c>
      <c r="L1294" s="6" t="s">
        <v>395</v>
      </c>
      <c r="M1294" s="6" t="s">
        <v>5926</v>
      </c>
    </row>
    <row r="1295" spans="1:13" ht="13" x14ac:dyDescent="0.15">
      <c r="A1295" s="5" t="str">
        <f>HYPERLINK("https://onemount.atlassian.net/browse/DBA-4100","DBA-4100")</f>
        <v>DBA-4100</v>
      </c>
      <c r="B1295" s="6" t="s">
        <v>21</v>
      </c>
      <c r="C1295" s="6" t="s">
        <v>2184</v>
      </c>
      <c r="D1295" s="8" t="s">
        <v>17</v>
      </c>
      <c r="E1295" s="6" t="s">
        <v>23</v>
      </c>
      <c r="F1295" s="6" t="s">
        <v>52</v>
      </c>
      <c r="G1295" s="6" t="s">
        <v>5927</v>
      </c>
      <c r="H1295" s="10">
        <v>46101</v>
      </c>
      <c r="I1295" s="6" t="s">
        <v>5928</v>
      </c>
      <c r="J1295" s="6" t="s">
        <v>293</v>
      </c>
      <c r="K1295" s="6" t="s">
        <v>55</v>
      </c>
      <c r="L1295" s="6" t="s">
        <v>293</v>
      </c>
      <c r="M1295" s="6" t="s">
        <v>5929</v>
      </c>
    </row>
    <row r="1296" spans="1:13" ht="13" x14ac:dyDescent="0.15">
      <c r="A1296" s="5" t="str">
        <f>HYPERLINK("https://onemount.atlassian.net/browse/DBA-4099","DBA-4099")</f>
        <v>DBA-4099</v>
      </c>
      <c r="B1296" s="6" t="s">
        <v>21</v>
      </c>
      <c r="C1296" s="6" t="s">
        <v>5930</v>
      </c>
      <c r="D1296" s="8" t="s">
        <v>17</v>
      </c>
      <c r="E1296" s="6" t="s">
        <v>23</v>
      </c>
      <c r="F1296" s="6" t="s">
        <v>31</v>
      </c>
      <c r="G1296" s="6" t="s">
        <v>5931</v>
      </c>
      <c r="H1296" s="10">
        <v>46101</v>
      </c>
      <c r="I1296" s="6" t="s">
        <v>5932</v>
      </c>
      <c r="J1296" s="6" t="s">
        <v>638</v>
      </c>
      <c r="K1296" s="6" t="s">
        <v>35</v>
      </c>
      <c r="L1296" s="6" t="s">
        <v>638</v>
      </c>
      <c r="M1296" s="6" t="s">
        <v>5933</v>
      </c>
    </row>
    <row r="1297" spans="1:13" ht="13" x14ac:dyDescent="0.15">
      <c r="A1297" s="5" t="str">
        <f>HYPERLINK("https://onemount.atlassian.net/browse/DBA-4098","DBA-4098")</f>
        <v>DBA-4098</v>
      </c>
      <c r="B1297" s="6" t="s">
        <v>21</v>
      </c>
      <c r="C1297" s="6" t="s">
        <v>5934</v>
      </c>
      <c r="D1297" s="8" t="s">
        <v>17</v>
      </c>
      <c r="E1297" s="6" t="s">
        <v>23</v>
      </c>
      <c r="F1297" s="6" t="s">
        <v>52</v>
      </c>
      <c r="G1297" s="6" t="s">
        <v>5935</v>
      </c>
      <c r="H1297" s="10">
        <v>46105</v>
      </c>
      <c r="I1297" s="6" t="s">
        <v>5936</v>
      </c>
      <c r="J1297" s="6" t="s">
        <v>93</v>
      </c>
      <c r="K1297" s="6" t="s">
        <v>55</v>
      </c>
      <c r="L1297" s="6" t="s">
        <v>956</v>
      </c>
      <c r="M1297" s="6" t="s">
        <v>5937</v>
      </c>
    </row>
    <row r="1298" spans="1:13" ht="13" x14ac:dyDescent="0.15">
      <c r="A1298" s="5" t="str">
        <f>HYPERLINK("https://onemount.atlassian.net/browse/DBA-4097","DBA-4097")</f>
        <v>DBA-4097</v>
      </c>
      <c r="B1298" s="6" t="s">
        <v>21</v>
      </c>
      <c r="C1298" s="6" t="s">
        <v>5938</v>
      </c>
      <c r="D1298" s="8" t="s">
        <v>17</v>
      </c>
      <c r="E1298" s="6" t="s">
        <v>23</v>
      </c>
      <c r="F1298" s="6" t="s">
        <v>52</v>
      </c>
      <c r="G1298" s="6" t="s">
        <v>5939</v>
      </c>
      <c r="H1298" s="10">
        <v>46100</v>
      </c>
      <c r="I1298" s="6" t="s">
        <v>5940</v>
      </c>
      <c r="J1298" s="6" t="s">
        <v>852</v>
      </c>
      <c r="K1298" s="6" t="s">
        <v>55</v>
      </c>
      <c r="L1298" s="6" t="s">
        <v>855</v>
      </c>
      <c r="M1298" s="6" t="s">
        <v>5941</v>
      </c>
    </row>
    <row r="1299" spans="1:13" ht="13" x14ac:dyDescent="0.15">
      <c r="A1299" s="5" t="str">
        <f>HYPERLINK("https://onemount.atlassian.net/browse/DBA-4093","DBA-4093")</f>
        <v>DBA-4093</v>
      </c>
      <c r="B1299" s="6" t="s">
        <v>21</v>
      </c>
      <c r="C1299" s="6" t="s">
        <v>2722</v>
      </c>
      <c r="D1299" s="8" t="s">
        <v>17</v>
      </c>
      <c r="E1299" s="6" t="s">
        <v>23</v>
      </c>
      <c r="F1299" s="6" t="s">
        <v>52</v>
      </c>
      <c r="G1299" s="6" t="s">
        <v>5942</v>
      </c>
      <c r="H1299" s="10">
        <v>46101</v>
      </c>
      <c r="I1299" s="6" t="s">
        <v>5943</v>
      </c>
      <c r="J1299" s="6" t="s">
        <v>5625</v>
      </c>
      <c r="K1299" s="6" t="s">
        <v>55</v>
      </c>
      <c r="L1299" s="6" t="s">
        <v>254</v>
      </c>
      <c r="M1299" s="6" t="s">
        <v>5944</v>
      </c>
    </row>
    <row r="1300" spans="1:13" ht="13" x14ac:dyDescent="0.15">
      <c r="A1300" s="5" t="str">
        <f>HYPERLINK("https://onemount.atlassian.net/browse/DBA-4091","DBA-4091")</f>
        <v>DBA-4091</v>
      </c>
      <c r="B1300" s="6" t="s">
        <v>21</v>
      </c>
      <c r="C1300" s="6" t="s">
        <v>5945</v>
      </c>
      <c r="D1300" s="8" t="s">
        <v>17</v>
      </c>
      <c r="E1300" s="6" t="s">
        <v>23</v>
      </c>
      <c r="F1300" s="6" t="s">
        <v>87</v>
      </c>
      <c r="G1300" s="6" t="s">
        <v>5946</v>
      </c>
      <c r="H1300" s="10">
        <v>46101</v>
      </c>
      <c r="I1300" s="6" t="s">
        <v>5947</v>
      </c>
      <c r="J1300" s="6" t="s">
        <v>628</v>
      </c>
      <c r="K1300" s="6" t="s">
        <v>165</v>
      </c>
      <c r="L1300" s="6" t="s">
        <v>119</v>
      </c>
      <c r="M1300" s="6" t="s">
        <v>5948</v>
      </c>
    </row>
    <row r="1301" spans="1:13" ht="13" x14ac:dyDescent="0.15">
      <c r="A1301" s="5" t="str">
        <f>HYPERLINK("https://onemount.atlassian.net/browse/DBA-4090","DBA-4090")</f>
        <v>DBA-4090</v>
      </c>
      <c r="B1301" s="6" t="s">
        <v>21</v>
      </c>
      <c r="C1301" s="6" t="s">
        <v>5949</v>
      </c>
      <c r="D1301" s="8" t="s">
        <v>17</v>
      </c>
      <c r="E1301" s="6" t="s">
        <v>23</v>
      </c>
      <c r="F1301" s="6" t="s">
        <v>52</v>
      </c>
      <c r="G1301" s="6" t="s">
        <v>5950</v>
      </c>
      <c r="H1301" s="10">
        <v>46100</v>
      </c>
      <c r="I1301" s="6" t="s">
        <v>5951</v>
      </c>
      <c r="J1301" s="6" t="s">
        <v>85</v>
      </c>
      <c r="K1301" s="6" t="s">
        <v>55</v>
      </c>
      <c r="L1301" s="6" t="s">
        <v>85</v>
      </c>
      <c r="M1301" s="6" t="s">
        <v>5952</v>
      </c>
    </row>
    <row r="1302" spans="1:13" ht="13" x14ac:dyDescent="0.15">
      <c r="A1302" s="5" t="str">
        <f>HYPERLINK("https://onemount.atlassian.net/browse/DBA-4089","DBA-4089")</f>
        <v>DBA-4089</v>
      </c>
      <c r="B1302" s="6" t="s">
        <v>21</v>
      </c>
      <c r="C1302" s="6" t="s">
        <v>5953</v>
      </c>
      <c r="D1302" s="8" t="s">
        <v>17</v>
      </c>
      <c r="E1302" s="6" t="s">
        <v>23</v>
      </c>
      <c r="F1302" s="6" t="s">
        <v>31</v>
      </c>
      <c r="G1302" s="6" t="s">
        <v>5954</v>
      </c>
      <c r="H1302" s="10">
        <v>46101</v>
      </c>
      <c r="I1302" s="6" t="s">
        <v>5955</v>
      </c>
      <c r="J1302" s="6" t="s">
        <v>374</v>
      </c>
      <c r="K1302" s="6" t="s">
        <v>35</v>
      </c>
      <c r="L1302" s="6" t="s">
        <v>374</v>
      </c>
      <c r="M1302" s="6" t="s">
        <v>5956</v>
      </c>
    </row>
    <row r="1303" spans="1:13" ht="13" x14ac:dyDescent="0.15">
      <c r="A1303" s="5" t="str">
        <f>HYPERLINK("https://onemount.atlassian.net/browse/DBA-4088","DBA-4088")</f>
        <v>DBA-4088</v>
      </c>
      <c r="B1303" s="6" t="s">
        <v>21</v>
      </c>
      <c r="C1303" s="6" t="s">
        <v>5957</v>
      </c>
      <c r="D1303" s="8" t="s">
        <v>17</v>
      </c>
      <c r="E1303" s="6" t="s">
        <v>23</v>
      </c>
      <c r="F1303" s="6" t="s">
        <v>31</v>
      </c>
      <c r="G1303" s="6" t="s">
        <v>5958</v>
      </c>
      <c r="H1303" s="10">
        <v>46101</v>
      </c>
      <c r="I1303" s="6" t="s">
        <v>5959</v>
      </c>
      <c r="J1303" s="6" t="s">
        <v>707</v>
      </c>
      <c r="K1303" s="6" t="s">
        <v>35</v>
      </c>
      <c r="L1303" s="6" t="s">
        <v>707</v>
      </c>
      <c r="M1303" s="6" t="s">
        <v>5960</v>
      </c>
    </row>
    <row r="1304" spans="1:13" ht="13" x14ac:dyDescent="0.15">
      <c r="A1304" s="21" t="str">
        <f>HYPERLINK("https://onemount.atlassian.net/browse/DBA-4085","DBA-4085")</f>
        <v>DBA-4085</v>
      </c>
      <c r="B1304" s="6" t="s">
        <v>21</v>
      </c>
      <c r="C1304" s="6" t="s">
        <v>5961</v>
      </c>
      <c r="D1304" s="8" t="s">
        <v>17</v>
      </c>
      <c r="E1304" s="6" t="s">
        <v>23</v>
      </c>
      <c r="F1304" s="6" t="s">
        <v>24</v>
      </c>
      <c r="G1304" s="6" t="s">
        <v>5962</v>
      </c>
      <c r="H1304" s="10">
        <v>46101</v>
      </c>
      <c r="I1304" s="6" t="s">
        <v>5963</v>
      </c>
      <c r="J1304" s="6" t="s">
        <v>88</v>
      </c>
      <c r="K1304" s="6" t="s">
        <v>59</v>
      </c>
      <c r="L1304" s="6" t="s">
        <v>88</v>
      </c>
      <c r="M1304" s="6" t="s">
        <v>5964</v>
      </c>
    </row>
    <row r="1305" spans="1:13" ht="13" x14ac:dyDescent="0.15">
      <c r="A1305" s="21" t="str">
        <f>HYPERLINK("https://onemount.atlassian.net/browse/DBA-4083","DBA-4083")</f>
        <v>DBA-4083</v>
      </c>
      <c r="B1305" s="6" t="s">
        <v>21</v>
      </c>
      <c r="C1305" s="6" t="s">
        <v>5961</v>
      </c>
      <c r="D1305" s="8" t="s">
        <v>17</v>
      </c>
      <c r="E1305" s="6" t="s">
        <v>23</v>
      </c>
      <c r="F1305" s="6" t="s">
        <v>24</v>
      </c>
      <c r="G1305" s="6" t="s">
        <v>5965</v>
      </c>
      <c r="H1305" s="10">
        <v>46101</v>
      </c>
      <c r="I1305" s="6" t="s">
        <v>5966</v>
      </c>
      <c r="J1305" s="6" t="s">
        <v>88</v>
      </c>
      <c r="K1305" s="6" t="s">
        <v>59</v>
      </c>
      <c r="L1305" s="6" t="s">
        <v>88</v>
      </c>
      <c r="M1305" s="6" t="s">
        <v>5964</v>
      </c>
    </row>
    <row r="1306" spans="1:13" ht="13" x14ac:dyDescent="0.15">
      <c r="A1306" s="5" t="str">
        <f>HYPERLINK("https://onemount.atlassian.net/browse/DBA-4082","DBA-4082")</f>
        <v>DBA-4082</v>
      </c>
      <c r="B1306" s="6" t="s">
        <v>21</v>
      </c>
      <c r="C1306" s="6" t="s">
        <v>5967</v>
      </c>
      <c r="D1306" s="8" t="s">
        <v>17</v>
      </c>
      <c r="E1306" s="6" t="s">
        <v>23</v>
      </c>
      <c r="F1306" s="6" t="s">
        <v>31</v>
      </c>
      <c r="G1306" s="6" t="s">
        <v>5968</v>
      </c>
      <c r="H1306" s="10">
        <v>46099</v>
      </c>
      <c r="I1306" s="6" t="s">
        <v>5969</v>
      </c>
      <c r="J1306" s="6" t="s">
        <v>5746</v>
      </c>
      <c r="K1306" s="6" t="s">
        <v>35</v>
      </c>
      <c r="L1306" s="6" t="s">
        <v>962</v>
      </c>
      <c r="M1306" s="6" t="s">
        <v>5970</v>
      </c>
    </row>
    <row r="1307" spans="1:13" ht="13" x14ac:dyDescent="0.15">
      <c r="A1307" s="5" t="str">
        <f>HYPERLINK("https://onemount.atlassian.net/browse/DBA-4080","DBA-4080")</f>
        <v>DBA-4080</v>
      </c>
      <c r="B1307" s="6" t="s">
        <v>21</v>
      </c>
      <c r="C1307" s="6" t="s">
        <v>5971</v>
      </c>
      <c r="D1307" s="8" t="s">
        <v>17</v>
      </c>
      <c r="E1307" s="6" t="s">
        <v>23</v>
      </c>
      <c r="F1307" s="6" t="s">
        <v>52</v>
      </c>
      <c r="G1307" s="6" t="s">
        <v>5972</v>
      </c>
      <c r="H1307" s="10">
        <v>46101</v>
      </c>
      <c r="I1307" s="6" t="s">
        <v>5973</v>
      </c>
      <c r="J1307" s="6" t="s">
        <v>85</v>
      </c>
      <c r="K1307" s="6" t="s">
        <v>55</v>
      </c>
      <c r="L1307" s="6" t="s">
        <v>85</v>
      </c>
      <c r="M1307" s="6" t="s">
        <v>5974</v>
      </c>
    </row>
    <row r="1308" spans="1:13" ht="13" x14ac:dyDescent="0.15">
      <c r="A1308" s="5" t="str">
        <f>HYPERLINK("https://onemount.atlassian.net/browse/DBA-4078","DBA-4078")</f>
        <v>DBA-4078</v>
      </c>
      <c r="B1308" s="6" t="s">
        <v>21</v>
      </c>
      <c r="C1308" s="6" t="s">
        <v>5975</v>
      </c>
      <c r="D1308" s="8" t="s">
        <v>17</v>
      </c>
      <c r="E1308" s="6" t="s">
        <v>23</v>
      </c>
      <c r="F1308" s="6" t="s">
        <v>31</v>
      </c>
      <c r="G1308" s="6" t="s">
        <v>5976</v>
      </c>
      <c r="H1308" s="10">
        <v>46098</v>
      </c>
      <c r="I1308" s="6" t="s">
        <v>5977</v>
      </c>
      <c r="J1308" s="6" t="s">
        <v>5746</v>
      </c>
      <c r="K1308" s="6" t="s">
        <v>35</v>
      </c>
      <c r="L1308" s="6" t="s">
        <v>962</v>
      </c>
      <c r="M1308" s="6" t="s">
        <v>5978</v>
      </c>
    </row>
    <row r="1309" spans="1:13" ht="13" x14ac:dyDescent="0.15">
      <c r="A1309" s="5" t="str">
        <f>HYPERLINK("https://onemount.atlassian.net/browse/DBA-4077","DBA-4077")</f>
        <v>DBA-4077</v>
      </c>
      <c r="B1309" s="6" t="s">
        <v>21</v>
      </c>
      <c r="C1309" s="6" t="s">
        <v>5979</v>
      </c>
      <c r="D1309" s="8" t="s">
        <v>17</v>
      </c>
      <c r="E1309" s="6" t="s">
        <v>23</v>
      </c>
      <c r="F1309" s="6" t="s">
        <v>52</v>
      </c>
      <c r="G1309" s="6" t="s">
        <v>5980</v>
      </c>
      <c r="H1309" s="10">
        <v>46098</v>
      </c>
      <c r="I1309" s="6" t="s">
        <v>5981</v>
      </c>
      <c r="J1309" s="6" t="s">
        <v>85</v>
      </c>
      <c r="K1309" s="6" t="s">
        <v>55</v>
      </c>
      <c r="L1309" s="6" t="s">
        <v>85</v>
      </c>
      <c r="M1309" s="6" t="s">
        <v>5982</v>
      </c>
    </row>
    <row r="1310" spans="1:13" ht="13" x14ac:dyDescent="0.15">
      <c r="A1310" s="5" t="str">
        <f>HYPERLINK("https://onemount.atlassian.net/browse/DBA-4073","DBA-4073")</f>
        <v>DBA-4073</v>
      </c>
      <c r="B1310" s="6" t="s">
        <v>21</v>
      </c>
      <c r="C1310" s="6" t="s">
        <v>5983</v>
      </c>
      <c r="D1310" s="8" t="s">
        <v>17</v>
      </c>
      <c r="E1310" s="6" t="s">
        <v>23</v>
      </c>
      <c r="F1310" s="6" t="s">
        <v>52</v>
      </c>
      <c r="G1310" s="6" t="s">
        <v>5984</v>
      </c>
      <c r="H1310" s="10">
        <v>46098</v>
      </c>
      <c r="I1310" s="6" t="s">
        <v>5985</v>
      </c>
      <c r="J1310" s="6" t="s">
        <v>852</v>
      </c>
      <c r="K1310" s="6" t="s">
        <v>55</v>
      </c>
      <c r="L1310" s="6" t="s">
        <v>855</v>
      </c>
      <c r="M1310" s="6" t="s">
        <v>5986</v>
      </c>
    </row>
    <row r="1311" spans="1:13" ht="13" x14ac:dyDescent="0.15">
      <c r="A1311" s="5" t="str">
        <f>HYPERLINK("https://onemount.atlassian.net/browse/DBA-4072","DBA-4072")</f>
        <v>DBA-4072</v>
      </c>
      <c r="B1311" s="6" t="s">
        <v>21</v>
      </c>
      <c r="C1311" s="6" t="s">
        <v>5987</v>
      </c>
      <c r="D1311" s="8" t="s">
        <v>17</v>
      </c>
      <c r="E1311" s="6" t="s">
        <v>23</v>
      </c>
      <c r="F1311" s="6" t="s">
        <v>52</v>
      </c>
      <c r="G1311" s="6" t="s">
        <v>5988</v>
      </c>
      <c r="H1311" s="10">
        <v>46098</v>
      </c>
      <c r="I1311" s="6" t="s">
        <v>5989</v>
      </c>
      <c r="J1311" s="6" t="s">
        <v>55</v>
      </c>
      <c r="K1311" s="6" t="s">
        <v>55</v>
      </c>
      <c r="L1311" s="6" t="s">
        <v>93</v>
      </c>
      <c r="M1311" s="6" t="s">
        <v>5990</v>
      </c>
    </row>
    <row r="1312" spans="1:13" ht="13" x14ac:dyDescent="0.15">
      <c r="A1312" s="5" t="str">
        <f>HYPERLINK("https://onemount.atlassian.net/browse/DBA-4071","DBA-4071")</f>
        <v>DBA-4071</v>
      </c>
      <c r="B1312" s="6" t="s">
        <v>21</v>
      </c>
      <c r="C1312" s="6" t="s">
        <v>5991</v>
      </c>
      <c r="D1312" s="8" t="s">
        <v>17</v>
      </c>
      <c r="E1312" s="6" t="s">
        <v>23</v>
      </c>
      <c r="F1312" s="6" t="s">
        <v>52</v>
      </c>
      <c r="G1312" s="6" t="s">
        <v>5992</v>
      </c>
      <c r="H1312" s="10">
        <v>46098</v>
      </c>
      <c r="I1312" s="6" t="s">
        <v>5993</v>
      </c>
      <c r="J1312" s="6" t="s">
        <v>4792</v>
      </c>
      <c r="K1312" s="6" t="s">
        <v>55</v>
      </c>
      <c r="L1312" s="6" t="s">
        <v>270</v>
      </c>
      <c r="M1312" s="6" t="s">
        <v>5994</v>
      </c>
    </row>
    <row r="1313" spans="1:13" ht="13" x14ac:dyDescent="0.15">
      <c r="A1313" s="5" t="str">
        <f>HYPERLINK("https://onemount.atlassian.net/browse/DBA-4070","DBA-4070")</f>
        <v>DBA-4070</v>
      </c>
      <c r="B1313" s="6" t="s">
        <v>21</v>
      </c>
      <c r="C1313" s="6" t="s">
        <v>5995</v>
      </c>
      <c r="D1313" s="8" t="s">
        <v>17</v>
      </c>
      <c r="E1313" s="6" t="s">
        <v>23</v>
      </c>
      <c r="F1313" s="6" t="s">
        <v>52</v>
      </c>
      <c r="G1313" s="6" t="s">
        <v>5996</v>
      </c>
      <c r="H1313" s="10">
        <v>46099</v>
      </c>
      <c r="I1313" s="6" t="s">
        <v>5997</v>
      </c>
      <c r="J1313" s="6" t="s">
        <v>5998</v>
      </c>
      <c r="K1313" s="6" t="s">
        <v>46</v>
      </c>
      <c r="L1313" s="6" t="s">
        <v>562</v>
      </c>
      <c r="M1313" s="6" t="s">
        <v>5999</v>
      </c>
    </row>
    <row r="1314" spans="1:13" ht="13" x14ac:dyDescent="0.15">
      <c r="A1314" s="5" t="str">
        <f>HYPERLINK("https://onemount.atlassian.net/browse/DBA-4069","DBA-4069")</f>
        <v>DBA-4069</v>
      </c>
      <c r="B1314" s="23" t="str">
        <f>HYPERLINK("https://onemount.atlassian.net/browse/DBA-4008","DBA-4008")</f>
        <v>DBA-4008</v>
      </c>
      <c r="C1314" s="6" t="s">
        <v>6000</v>
      </c>
      <c r="D1314" s="8" t="s">
        <v>17</v>
      </c>
      <c r="E1314" s="6" t="s">
        <v>428</v>
      </c>
      <c r="F1314" s="6" t="s">
        <v>24</v>
      </c>
      <c r="G1314" s="6" t="s">
        <v>6001</v>
      </c>
      <c r="H1314" s="10">
        <v>46099</v>
      </c>
      <c r="I1314" s="6" t="s">
        <v>6002</v>
      </c>
      <c r="J1314" s="6" t="s">
        <v>2796</v>
      </c>
      <c r="K1314" s="6" t="s">
        <v>55</v>
      </c>
      <c r="L1314" s="6" t="s">
        <v>835</v>
      </c>
      <c r="M1314" s="6" t="s">
        <v>6003</v>
      </c>
    </row>
    <row r="1315" spans="1:13" ht="13" x14ac:dyDescent="0.15">
      <c r="A1315" s="5" t="str">
        <f>HYPERLINK("https://onemount.atlassian.net/browse/DBA-4068","DBA-4068")</f>
        <v>DBA-4068</v>
      </c>
      <c r="B1315" s="6" t="s">
        <v>21</v>
      </c>
      <c r="C1315" s="6" t="s">
        <v>6004</v>
      </c>
      <c r="D1315" s="8" t="s">
        <v>17</v>
      </c>
      <c r="E1315" s="6" t="s">
        <v>23</v>
      </c>
      <c r="F1315" s="6" t="s">
        <v>24</v>
      </c>
      <c r="G1315" s="6" t="s">
        <v>6005</v>
      </c>
      <c r="H1315" s="10">
        <v>46099</v>
      </c>
      <c r="I1315" s="6" t="s">
        <v>6006</v>
      </c>
      <c r="J1315" s="6" t="s">
        <v>77</v>
      </c>
      <c r="K1315" s="6" t="s">
        <v>165</v>
      </c>
      <c r="L1315" s="6" t="s">
        <v>77</v>
      </c>
      <c r="M1315" s="6" t="s">
        <v>6007</v>
      </c>
    </row>
    <row r="1316" spans="1:13" ht="13" x14ac:dyDescent="0.15">
      <c r="A1316" s="5" t="str">
        <f>HYPERLINK("https://onemount.atlassian.net/browse/DBA-4067","DBA-4067")</f>
        <v>DBA-4067</v>
      </c>
      <c r="B1316" s="6" t="s">
        <v>21</v>
      </c>
      <c r="C1316" s="6" t="s">
        <v>6008</v>
      </c>
      <c r="D1316" s="8" t="s">
        <v>17</v>
      </c>
      <c r="E1316" s="6" t="s">
        <v>23</v>
      </c>
      <c r="F1316" s="6" t="s">
        <v>87</v>
      </c>
      <c r="G1316" s="6" t="s">
        <v>6009</v>
      </c>
      <c r="H1316" s="10">
        <v>46099</v>
      </c>
      <c r="I1316" s="6" t="s">
        <v>6010</v>
      </c>
      <c r="J1316" s="6" t="s">
        <v>1898</v>
      </c>
      <c r="K1316" s="6" t="s">
        <v>165</v>
      </c>
      <c r="L1316" s="6" t="s">
        <v>1097</v>
      </c>
      <c r="M1316" s="6" t="s">
        <v>6011</v>
      </c>
    </row>
    <row r="1317" spans="1:13" ht="13" x14ac:dyDescent="0.15">
      <c r="A1317" s="5" t="str">
        <f>HYPERLINK("https://onemount.atlassian.net/browse/DBA-4066","DBA-4066")</f>
        <v>DBA-4066</v>
      </c>
      <c r="B1317" s="6" t="s">
        <v>21</v>
      </c>
      <c r="C1317" s="6" t="s">
        <v>6012</v>
      </c>
      <c r="D1317" s="8" t="s">
        <v>17</v>
      </c>
      <c r="E1317" s="6" t="s">
        <v>23</v>
      </c>
      <c r="F1317" s="6" t="s">
        <v>24</v>
      </c>
      <c r="G1317" s="6" t="s">
        <v>6013</v>
      </c>
      <c r="H1317" s="10">
        <v>46098</v>
      </c>
      <c r="I1317" s="6" t="s">
        <v>6014</v>
      </c>
      <c r="J1317" s="6" t="s">
        <v>510</v>
      </c>
      <c r="K1317" s="6" t="s">
        <v>165</v>
      </c>
      <c r="L1317" s="6" t="s">
        <v>77</v>
      </c>
      <c r="M1317" s="6" t="s">
        <v>6015</v>
      </c>
    </row>
    <row r="1318" spans="1:13" ht="13" x14ac:dyDescent="0.15">
      <c r="A1318" s="5" t="str">
        <f>HYPERLINK("https://onemount.atlassian.net/browse/DBA-4065","DBA-4065")</f>
        <v>DBA-4065</v>
      </c>
      <c r="B1318" s="6" t="s">
        <v>21</v>
      </c>
      <c r="C1318" s="6" t="s">
        <v>481</v>
      </c>
      <c r="D1318" s="8" t="s">
        <v>17</v>
      </c>
      <c r="E1318" s="6" t="s">
        <v>23</v>
      </c>
      <c r="F1318" s="6" t="s">
        <v>24</v>
      </c>
      <c r="G1318" s="6" t="s">
        <v>6016</v>
      </c>
      <c r="H1318" s="10">
        <v>46099</v>
      </c>
      <c r="I1318" s="6" t="s">
        <v>6017</v>
      </c>
      <c r="J1318" s="6" t="s">
        <v>88</v>
      </c>
      <c r="K1318" s="6" t="s">
        <v>59</v>
      </c>
      <c r="L1318" s="6" t="s">
        <v>88</v>
      </c>
      <c r="M1318" s="6" t="s">
        <v>6018</v>
      </c>
    </row>
    <row r="1319" spans="1:13" ht="13" x14ac:dyDescent="0.15">
      <c r="A1319" s="5" t="str">
        <f>HYPERLINK("https://onemount.atlassian.net/browse/DBA-4062","DBA-4062")</f>
        <v>DBA-4062</v>
      </c>
      <c r="B1319" s="6" t="s">
        <v>21</v>
      </c>
      <c r="C1319" s="6" t="s">
        <v>5756</v>
      </c>
      <c r="D1319" s="8" t="s">
        <v>17</v>
      </c>
      <c r="E1319" s="6" t="s">
        <v>23</v>
      </c>
      <c r="F1319" s="6" t="s">
        <v>31</v>
      </c>
      <c r="G1319" s="6" t="s">
        <v>6019</v>
      </c>
      <c r="H1319" s="10">
        <v>46097</v>
      </c>
      <c r="I1319" s="6" t="s">
        <v>6020</v>
      </c>
      <c r="J1319" s="6" t="s">
        <v>489</v>
      </c>
      <c r="K1319" s="6" t="s">
        <v>35</v>
      </c>
      <c r="L1319" s="6" t="s">
        <v>489</v>
      </c>
      <c r="M1319" s="6" t="s">
        <v>6021</v>
      </c>
    </row>
    <row r="1320" spans="1:13" ht="13" x14ac:dyDescent="0.15">
      <c r="A1320" s="21" t="str">
        <f>HYPERLINK("https://onemount.atlassian.net/browse/DBA-4061","DBA-4061")</f>
        <v>DBA-4061</v>
      </c>
      <c r="B1320" s="6" t="s">
        <v>21</v>
      </c>
      <c r="C1320" s="6" t="s">
        <v>6022</v>
      </c>
      <c r="D1320" s="8" t="s">
        <v>17</v>
      </c>
      <c r="E1320" s="6" t="s">
        <v>23</v>
      </c>
      <c r="F1320" s="6" t="s">
        <v>41</v>
      </c>
      <c r="G1320" s="6" t="s">
        <v>6023</v>
      </c>
      <c r="H1320" s="10">
        <v>46098</v>
      </c>
      <c r="I1320" s="6" t="s">
        <v>6024</v>
      </c>
      <c r="J1320" s="6" t="s">
        <v>6025</v>
      </c>
      <c r="K1320" s="6" t="s">
        <v>59</v>
      </c>
      <c r="L1320" s="6" t="s">
        <v>72</v>
      </c>
      <c r="M1320" s="6" t="s">
        <v>6026</v>
      </c>
    </row>
    <row r="1321" spans="1:13" ht="13" x14ac:dyDescent="0.15">
      <c r="A1321" s="5" t="str">
        <f>HYPERLINK("https://onemount.atlassian.net/browse/DBA-4060","DBA-4060")</f>
        <v>DBA-4060</v>
      </c>
      <c r="B1321" s="6" t="s">
        <v>21</v>
      </c>
      <c r="C1321" s="6" t="s">
        <v>3967</v>
      </c>
      <c r="D1321" s="8" t="s">
        <v>17</v>
      </c>
      <c r="E1321" s="6" t="s">
        <v>23</v>
      </c>
      <c r="F1321" s="6" t="s">
        <v>41</v>
      </c>
      <c r="G1321" s="6" t="s">
        <v>6027</v>
      </c>
      <c r="H1321" s="10">
        <v>46098</v>
      </c>
      <c r="I1321" s="6" t="s">
        <v>6028</v>
      </c>
      <c r="J1321" s="6" t="s">
        <v>2427</v>
      </c>
      <c r="K1321" s="6" t="s">
        <v>28</v>
      </c>
      <c r="L1321" s="6" t="s">
        <v>1000</v>
      </c>
      <c r="M1321" s="6" t="s">
        <v>6029</v>
      </c>
    </row>
    <row r="1322" spans="1:13" ht="13" x14ac:dyDescent="0.15">
      <c r="A1322" s="21" t="str">
        <f>HYPERLINK("https://onemount.atlassian.net/browse/DBA-4059","DBA-4059")</f>
        <v>DBA-4059</v>
      </c>
      <c r="B1322" s="6" t="s">
        <v>21</v>
      </c>
      <c r="C1322" s="6" t="s">
        <v>6030</v>
      </c>
      <c r="D1322" s="8" t="s">
        <v>17</v>
      </c>
      <c r="E1322" s="6" t="s">
        <v>23</v>
      </c>
      <c r="F1322" s="6" t="s">
        <v>24</v>
      </c>
      <c r="G1322" s="6" t="s">
        <v>6031</v>
      </c>
      <c r="H1322" s="10">
        <v>46098</v>
      </c>
      <c r="I1322" s="6" t="s">
        <v>6032</v>
      </c>
      <c r="J1322" s="6" t="s">
        <v>88</v>
      </c>
      <c r="K1322" s="6" t="s">
        <v>59</v>
      </c>
      <c r="L1322" s="6" t="s">
        <v>88</v>
      </c>
      <c r="M1322" s="6" t="s">
        <v>6033</v>
      </c>
    </row>
    <row r="1323" spans="1:13" ht="13" x14ac:dyDescent="0.15">
      <c r="A1323" s="5" t="str">
        <f>HYPERLINK("https://onemount.atlassian.net/browse/DBA-4058","DBA-4058")</f>
        <v>DBA-4058</v>
      </c>
      <c r="B1323" s="6" t="s">
        <v>21</v>
      </c>
      <c r="C1323" s="6" t="s">
        <v>6034</v>
      </c>
      <c r="D1323" s="8" t="s">
        <v>17</v>
      </c>
      <c r="E1323" s="6" t="s">
        <v>23</v>
      </c>
      <c r="F1323" s="6" t="s">
        <v>52</v>
      </c>
      <c r="G1323" s="6" t="s">
        <v>6035</v>
      </c>
      <c r="H1323" s="10">
        <v>46097</v>
      </c>
      <c r="I1323" s="6" t="s">
        <v>6036</v>
      </c>
      <c r="J1323" s="6" t="s">
        <v>270</v>
      </c>
      <c r="K1323" s="6" t="s">
        <v>55</v>
      </c>
      <c r="L1323" s="6" t="s">
        <v>270</v>
      </c>
      <c r="M1323" s="6" t="s">
        <v>6037</v>
      </c>
    </row>
    <row r="1324" spans="1:13" ht="13" x14ac:dyDescent="0.15">
      <c r="A1324" s="5" t="str">
        <f>HYPERLINK("https://onemount.atlassian.net/browse/DBA-4057","DBA-4057")</f>
        <v>DBA-4057</v>
      </c>
      <c r="B1324" s="6" t="s">
        <v>21</v>
      </c>
      <c r="C1324" s="6" t="s">
        <v>5883</v>
      </c>
      <c r="D1324" s="8" t="s">
        <v>17</v>
      </c>
      <c r="E1324" s="6" t="s">
        <v>23</v>
      </c>
      <c r="F1324" s="6" t="s">
        <v>31</v>
      </c>
      <c r="G1324" s="6" t="s">
        <v>6038</v>
      </c>
      <c r="H1324" s="10">
        <v>46097</v>
      </c>
      <c r="I1324" s="6" t="s">
        <v>6039</v>
      </c>
      <c r="J1324" s="6" t="s">
        <v>707</v>
      </c>
      <c r="K1324" s="6" t="s">
        <v>35</v>
      </c>
      <c r="L1324" s="6" t="s">
        <v>707</v>
      </c>
      <c r="M1324" s="6" t="s">
        <v>6040</v>
      </c>
    </row>
    <row r="1325" spans="1:13" ht="13" x14ac:dyDescent="0.15">
      <c r="A1325" s="5" t="str">
        <f>HYPERLINK("https://onemount.atlassian.net/browse/DBA-4055","DBA-4055")</f>
        <v>DBA-4055</v>
      </c>
      <c r="B1325" s="6" t="s">
        <v>21</v>
      </c>
      <c r="C1325" s="6" t="s">
        <v>6041</v>
      </c>
      <c r="D1325" s="8" t="s">
        <v>17</v>
      </c>
      <c r="E1325" s="6" t="s">
        <v>23</v>
      </c>
      <c r="F1325" s="6" t="s">
        <v>52</v>
      </c>
      <c r="G1325" s="6" t="s">
        <v>6042</v>
      </c>
      <c r="H1325" s="10">
        <v>46098</v>
      </c>
      <c r="I1325" s="6" t="s">
        <v>6043</v>
      </c>
      <c r="J1325" s="6" t="s">
        <v>463</v>
      </c>
      <c r="K1325" s="6" t="s">
        <v>55</v>
      </c>
      <c r="L1325" s="6" t="s">
        <v>254</v>
      </c>
      <c r="M1325" s="6" t="s">
        <v>6044</v>
      </c>
    </row>
    <row r="1326" spans="1:13" ht="13" x14ac:dyDescent="0.15">
      <c r="A1326" s="5" t="str">
        <f>HYPERLINK("https://onemount.atlassian.net/browse/DBA-4054","DBA-4054")</f>
        <v>DBA-4054</v>
      </c>
      <c r="B1326" s="6" t="s">
        <v>21</v>
      </c>
      <c r="C1326" s="6" t="s">
        <v>6045</v>
      </c>
      <c r="D1326" s="8" t="s">
        <v>17</v>
      </c>
      <c r="E1326" s="6" t="s">
        <v>23</v>
      </c>
      <c r="F1326" s="6" t="s">
        <v>31</v>
      </c>
      <c r="G1326" s="6" t="s">
        <v>6046</v>
      </c>
      <c r="H1326" s="10">
        <v>46098</v>
      </c>
      <c r="I1326" s="6" t="s">
        <v>6047</v>
      </c>
      <c r="J1326" s="6" t="s">
        <v>478</v>
      </c>
      <c r="K1326" s="6" t="s">
        <v>35</v>
      </c>
      <c r="L1326" s="6" t="s">
        <v>478</v>
      </c>
      <c r="M1326" s="6" t="s">
        <v>6048</v>
      </c>
    </row>
    <row r="1327" spans="1:13" ht="13" x14ac:dyDescent="0.15">
      <c r="A1327" s="5" t="str">
        <f>HYPERLINK("https://onemount.atlassian.net/browse/DBA-4051","DBA-4051")</f>
        <v>DBA-4051</v>
      </c>
      <c r="B1327" s="6" t="s">
        <v>21</v>
      </c>
      <c r="C1327" s="6" t="s">
        <v>6049</v>
      </c>
      <c r="D1327" s="8" t="s">
        <v>17</v>
      </c>
      <c r="E1327" s="6" t="s">
        <v>23</v>
      </c>
      <c r="F1327" s="6" t="s">
        <v>31</v>
      </c>
      <c r="G1327" s="6" t="s">
        <v>6050</v>
      </c>
      <c r="H1327" s="10">
        <v>46096</v>
      </c>
      <c r="I1327" s="6" t="s">
        <v>6051</v>
      </c>
      <c r="J1327" s="6" t="s">
        <v>1182</v>
      </c>
      <c r="K1327" s="6" t="s">
        <v>35</v>
      </c>
      <c r="L1327" s="6" t="s">
        <v>1182</v>
      </c>
      <c r="M1327" s="6" t="s">
        <v>6052</v>
      </c>
    </row>
    <row r="1328" spans="1:13" ht="13" x14ac:dyDescent="0.15">
      <c r="A1328" s="5" t="str">
        <f>HYPERLINK("https://onemount.atlassian.net/browse/DBA-4050","DBA-4050")</f>
        <v>DBA-4050</v>
      </c>
      <c r="B1328" s="6" t="s">
        <v>21</v>
      </c>
      <c r="C1328" s="6" t="s">
        <v>4862</v>
      </c>
      <c r="D1328" s="8" t="s">
        <v>17</v>
      </c>
      <c r="E1328" s="6" t="s">
        <v>23</v>
      </c>
      <c r="F1328" s="6" t="s">
        <v>52</v>
      </c>
      <c r="G1328" s="6" t="s">
        <v>6053</v>
      </c>
      <c r="H1328" s="10">
        <v>46102</v>
      </c>
      <c r="I1328" s="6" t="s">
        <v>6054</v>
      </c>
      <c r="J1328" s="6" t="s">
        <v>270</v>
      </c>
      <c r="K1328" s="6" t="s">
        <v>55</v>
      </c>
      <c r="L1328" s="6" t="s">
        <v>270</v>
      </c>
      <c r="M1328" s="6" t="s">
        <v>6055</v>
      </c>
    </row>
    <row r="1329" spans="1:13" ht="13" x14ac:dyDescent="0.15">
      <c r="A1329" s="5" t="str">
        <f>HYPERLINK("https://onemount.atlassian.net/browse/DBA-4049","DBA-4049")</f>
        <v>DBA-4049</v>
      </c>
      <c r="B1329" s="6" t="s">
        <v>21</v>
      </c>
      <c r="C1329" s="6" t="s">
        <v>3967</v>
      </c>
      <c r="D1329" s="8" t="s">
        <v>17</v>
      </c>
      <c r="E1329" s="6" t="s">
        <v>23</v>
      </c>
      <c r="F1329" s="6" t="s">
        <v>41</v>
      </c>
      <c r="G1329" s="6" t="s">
        <v>6056</v>
      </c>
      <c r="H1329" s="10">
        <v>46098</v>
      </c>
      <c r="I1329" s="6" t="s">
        <v>6057</v>
      </c>
      <c r="J1329" s="6" t="s">
        <v>2427</v>
      </c>
      <c r="K1329" s="6" t="s">
        <v>28</v>
      </c>
      <c r="L1329" s="6" t="s">
        <v>1000</v>
      </c>
      <c r="M1329" s="6" t="s">
        <v>6058</v>
      </c>
    </row>
    <row r="1330" spans="1:13" ht="13" x14ac:dyDescent="0.15">
      <c r="A1330" s="5" t="str">
        <f>HYPERLINK("https://onemount.atlassian.net/browse/DBA-4048","DBA-4048")</f>
        <v>DBA-4048</v>
      </c>
      <c r="B1330" s="6" t="s">
        <v>21</v>
      </c>
      <c r="C1330" s="6" t="s">
        <v>6059</v>
      </c>
      <c r="D1330" s="8" t="s">
        <v>17</v>
      </c>
      <c r="E1330" s="6" t="s">
        <v>23</v>
      </c>
      <c r="F1330" s="6" t="s">
        <v>31</v>
      </c>
      <c r="G1330" s="6" t="s">
        <v>6060</v>
      </c>
      <c r="H1330" s="10">
        <v>46096</v>
      </c>
      <c r="I1330" s="6" t="s">
        <v>6061</v>
      </c>
      <c r="J1330" s="6" t="s">
        <v>707</v>
      </c>
      <c r="K1330" s="6" t="s">
        <v>35</v>
      </c>
      <c r="L1330" s="6" t="s">
        <v>707</v>
      </c>
      <c r="M1330" s="6" t="s">
        <v>6062</v>
      </c>
    </row>
    <row r="1331" spans="1:13" ht="13" x14ac:dyDescent="0.15">
      <c r="A1331" s="21" t="str">
        <f>HYPERLINK("https://onemount.atlassian.net/browse/DBA-4047","DBA-4047")</f>
        <v>DBA-4047</v>
      </c>
      <c r="B1331" s="6" t="s">
        <v>21</v>
      </c>
      <c r="C1331" s="6" t="s">
        <v>6022</v>
      </c>
      <c r="D1331" s="8" t="s">
        <v>17</v>
      </c>
      <c r="E1331" s="6" t="s">
        <v>23</v>
      </c>
      <c r="F1331" s="6" t="s">
        <v>41</v>
      </c>
      <c r="G1331" s="6" t="s">
        <v>6063</v>
      </c>
      <c r="H1331" s="10">
        <v>46098</v>
      </c>
      <c r="I1331" s="6" t="s">
        <v>6064</v>
      </c>
      <c r="J1331" s="6" t="s">
        <v>6025</v>
      </c>
      <c r="K1331" s="6" t="s">
        <v>59</v>
      </c>
      <c r="L1331" s="6" t="s">
        <v>72</v>
      </c>
      <c r="M1331" s="6" t="s">
        <v>6026</v>
      </c>
    </row>
    <row r="1332" spans="1:13" ht="13" x14ac:dyDescent="0.15">
      <c r="A1332" s="5" t="str">
        <f>HYPERLINK("https://onemount.atlassian.net/browse/DBA-4046","DBA-4046")</f>
        <v>DBA-4046</v>
      </c>
      <c r="B1332" s="6" t="s">
        <v>21</v>
      </c>
      <c r="C1332" s="6" t="s">
        <v>6065</v>
      </c>
      <c r="D1332" s="8" t="s">
        <v>17</v>
      </c>
      <c r="E1332" s="6" t="s">
        <v>23</v>
      </c>
      <c r="F1332" s="6" t="s">
        <v>24</v>
      </c>
      <c r="G1332" s="6" t="s">
        <v>6066</v>
      </c>
      <c r="H1332" s="10">
        <v>46098</v>
      </c>
      <c r="I1332" s="6" t="s">
        <v>6067</v>
      </c>
      <c r="J1332" s="6" t="s">
        <v>88</v>
      </c>
      <c r="K1332" s="6" t="s">
        <v>59</v>
      </c>
      <c r="L1332" s="6" t="s">
        <v>88</v>
      </c>
      <c r="M1332" s="6" t="s">
        <v>6068</v>
      </c>
    </row>
    <row r="1333" spans="1:13" ht="13" x14ac:dyDescent="0.15">
      <c r="A1333" s="5" t="str">
        <f>HYPERLINK("https://onemount.atlassian.net/browse/DBA-4041","DBA-4041")</f>
        <v>DBA-4041</v>
      </c>
      <c r="B1333" s="6" t="s">
        <v>21</v>
      </c>
      <c r="C1333" s="6" t="s">
        <v>2330</v>
      </c>
      <c r="D1333" s="8" t="s">
        <v>17</v>
      </c>
      <c r="E1333" s="6" t="s">
        <v>23</v>
      </c>
      <c r="F1333" s="6" t="s">
        <v>52</v>
      </c>
      <c r="G1333" s="6" t="s">
        <v>6069</v>
      </c>
      <c r="H1333" s="10">
        <v>46093</v>
      </c>
      <c r="I1333" s="6" t="s">
        <v>6070</v>
      </c>
      <c r="J1333" s="6" t="s">
        <v>55</v>
      </c>
      <c r="K1333" s="6" t="s">
        <v>55</v>
      </c>
      <c r="L1333" s="6" t="s">
        <v>984</v>
      </c>
      <c r="M1333" s="6" t="s">
        <v>6071</v>
      </c>
    </row>
    <row r="1334" spans="1:13" ht="13" x14ac:dyDescent="0.15">
      <c r="A1334" s="21" t="str">
        <f>HYPERLINK("https://onemount.atlassian.net/browse/DBA-4040","DBA-4040")</f>
        <v>DBA-4040</v>
      </c>
      <c r="B1334" s="6" t="s">
        <v>21</v>
      </c>
      <c r="C1334" s="6" t="s">
        <v>6072</v>
      </c>
      <c r="D1334" s="8" t="s">
        <v>17</v>
      </c>
      <c r="E1334" s="6" t="s">
        <v>23</v>
      </c>
      <c r="F1334" s="6" t="s">
        <v>24</v>
      </c>
      <c r="G1334" s="6" t="s">
        <v>6073</v>
      </c>
      <c r="H1334" s="10">
        <v>46093</v>
      </c>
      <c r="I1334" s="6" t="s">
        <v>6074</v>
      </c>
      <c r="J1334" s="6" t="s">
        <v>88</v>
      </c>
      <c r="K1334" s="6" t="s">
        <v>59</v>
      </c>
      <c r="L1334" s="6" t="s">
        <v>88</v>
      </c>
      <c r="M1334" s="6" t="s">
        <v>6075</v>
      </c>
    </row>
    <row r="1335" spans="1:13" ht="13" x14ac:dyDescent="0.15">
      <c r="A1335" s="5" t="str">
        <f>HYPERLINK("https://onemount.atlassian.net/browse/DBA-4039","DBA-4039")</f>
        <v>DBA-4039</v>
      </c>
      <c r="B1335" s="6" t="s">
        <v>21</v>
      </c>
      <c r="C1335" s="6" t="s">
        <v>6076</v>
      </c>
      <c r="D1335" s="8" t="s">
        <v>17</v>
      </c>
      <c r="E1335" s="6" t="s">
        <v>23</v>
      </c>
      <c r="F1335" s="6" t="s">
        <v>31</v>
      </c>
      <c r="G1335" s="6" t="s">
        <v>6077</v>
      </c>
      <c r="H1335" s="10">
        <v>46093</v>
      </c>
      <c r="I1335" s="6" t="s">
        <v>6078</v>
      </c>
      <c r="J1335" s="6" t="s">
        <v>5746</v>
      </c>
      <c r="K1335" s="6" t="s">
        <v>35</v>
      </c>
      <c r="L1335" s="6" t="s">
        <v>962</v>
      </c>
      <c r="M1335" s="6" t="s">
        <v>6079</v>
      </c>
    </row>
    <row r="1336" spans="1:13" ht="13" x14ac:dyDescent="0.15">
      <c r="A1336" s="5" t="str">
        <f>HYPERLINK("https://onemount.atlassian.net/browse/DBA-4038","DBA-4038")</f>
        <v>DBA-4038</v>
      </c>
      <c r="B1336" s="6" t="s">
        <v>21</v>
      </c>
      <c r="C1336" s="6" t="s">
        <v>6080</v>
      </c>
      <c r="D1336" s="8" t="s">
        <v>17</v>
      </c>
      <c r="E1336" s="6" t="s">
        <v>23</v>
      </c>
      <c r="F1336" s="6" t="s">
        <v>87</v>
      </c>
      <c r="G1336" s="6" t="s">
        <v>6081</v>
      </c>
      <c r="H1336" s="10">
        <v>46094</v>
      </c>
      <c r="I1336" s="6" t="s">
        <v>6082</v>
      </c>
      <c r="J1336" s="6" t="s">
        <v>1898</v>
      </c>
      <c r="K1336" s="6" t="s">
        <v>165</v>
      </c>
      <c r="L1336" s="6" t="s">
        <v>1097</v>
      </c>
      <c r="M1336" s="6" t="s">
        <v>6083</v>
      </c>
    </row>
    <row r="1337" spans="1:13" ht="13" x14ac:dyDescent="0.15">
      <c r="A1337" s="5" t="str">
        <f>HYPERLINK("https://onemount.atlassian.net/browse/DBA-4037","DBA-4037")</f>
        <v>DBA-4037</v>
      </c>
      <c r="B1337" s="6" t="s">
        <v>21</v>
      </c>
      <c r="C1337" s="6" t="s">
        <v>1466</v>
      </c>
      <c r="D1337" s="8" t="s">
        <v>17</v>
      </c>
      <c r="E1337" s="6" t="s">
        <v>23</v>
      </c>
      <c r="F1337" s="6" t="s">
        <v>52</v>
      </c>
      <c r="G1337" s="6" t="s">
        <v>6084</v>
      </c>
      <c r="H1337" s="10">
        <v>46093</v>
      </c>
      <c r="I1337" s="6" t="s">
        <v>6085</v>
      </c>
      <c r="J1337" s="6" t="s">
        <v>852</v>
      </c>
      <c r="K1337" s="6" t="s">
        <v>55</v>
      </c>
      <c r="L1337" s="6" t="s">
        <v>855</v>
      </c>
      <c r="M1337" s="6" t="s">
        <v>6086</v>
      </c>
    </row>
    <row r="1338" spans="1:13" ht="13" x14ac:dyDescent="0.15">
      <c r="A1338" s="5" t="str">
        <f>HYPERLINK("https://onemount.atlassian.net/browse/DBA-4036","DBA-4036")</f>
        <v>DBA-4036</v>
      </c>
      <c r="B1338" s="6" t="s">
        <v>21</v>
      </c>
      <c r="C1338" s="6" t="s">
        <v>6087</v>
      </c>
      <c r="D1338" s="8" t="s">
        <v>17</v>
      </c>
      <c r="E1338" s="6" t="s">
        <v>23</v>
      </c>
      <c r="F1338" s="6" t="s">
        <v>24</v>
      </c>
      <c r="G1338" s="6" t="s">
        <v>6088</v>
      </c>
      <c r="H1338" s="10">
        <v>46093</v>
      </c>
      <c r="I1338" s="6" t="s">
        <v>6089</v>
      </c>
      <c r="J1338" s="6" t="s">
        <v>6090</v>
      </c>
      <c r="K1338" s="6" t="s">
        <v>165</v>
      </c>
      <c r="L1338" s="6" t="s">
        <v>1088</v>
      </c>
      <c r="M1338" s="6" t="s">
        <v>6091</v>
      </c>
    </row>
    <row r="1339" spans="1:13" ht="13" x14ac:dyDescent="0.15">
      <c r="A1339" s="5" t="str">
        <f>HYPERLINK("https://onemount.atlassian.net/browse/DBA-4035","DBA-4035")</f>
        <v>DBA-4035</v>
      </c>
      <c r="B1339" s="6" t="s">
        <v>21</v>
      </c>
      <c r="C1339" s="6" t="s">
        <v>3967</v>
      </c>
      <c r="D1339" s="8" t="s">
        <v>17</v>
      </c>
      <c r="E1339" s="6" t="s">
        <v>23</v>
      </c>
      <c r="F1339" s="6" t="s">
        <v>41</v>
      </c>
      <c r="G1339" s="6" t="s">
        <v>6092</v>
      </c>
      <c r="H1339" s="10">
        <v>46093</v>
      </c>
      <c r="I1339" s="6" t="s">
        <v>6093</v>
      </c>
      <c r="J1339" s="6" t="s">
        <v>1000</v>
      </c>
      <c r="K1339" s="6" t="s">
        <v>28</v>
      </c>
      <c r="L1339" s="6" t="s">
        <v>1000</v>
      </c>
      <c r="M1339" s="6" t="s">
        <v>6094</v>
      </c>
    </row>
    <row r="1340" spans="1:13" ht="13" x14ac:dyDescent="0.15">
      <c r="A1340" s="5" t="str">
        <f>HYPERLINK("https://onemount.atlassian.net/browse/DBA-4034","DBA-4034")</f>
        <v>DBA-4034</v>
      </c>
      <c r="B1340" s="6" t="s">
        <v>21</v>
      </c>
      <c r="C1340" s="6" t="s">
        <v>6095</v>
      </c>
      <c r="D1340" s="8" t="s">
        <v>17</v>
      </c>
      <c r="E1340" s="6" t="s">
        <v>23</v>
      </c>
      <c r="F1340" s="6" t="s">
        <v>52</v>
      </c>
      <c r="G1340" s="6" t="s">
        <v>6096</v>
      </c>
      <c r="H1340" s="10">
        <v>46101</v>
      </c>
      <c r="I1340" s="6" t="s">
        <v>6097</v>
      </c>
      <c r="J1340" s="6" t="s">
        <v>56</v>
      </c>
      <c r="K1340" s="6" t="s">
        <v>55</v>
      </c>
      <c r="L1340" s="6" t="s">
        <v>56</v>
      </c>
      <c r="M1340" s="6" t="s">
        <v>6098</v>
      </c>
    </row>
    <row r="1341" spans="1:13" ht="13" x14ac:dyDescent="0.15">
      <c r="A1341" s="5" t="str">
        <f>HYPERLINK("https://onemount.atlassian.net/browse/DBA-4033","DBA-4033")</f>
        <v>DBA-4033</v>
      </c>
      <c r="B1341" s="6" t="s">
        <v>21</v>
      </c>
      <c r="C1341" s="6" t="s">
        <v>6099</v>
      </c>
      <c r="D1341" s="8" t="s">
        <v>17</v>
      </c>
      <c r="E1341" s="6" t="s">
        <v>23</v>
      </c>
      <c r="F1341" s="6" t="s">
        <v>52</v>
      </c>
      <c r="G1341" s="6" t="s">
        <v>6100</v>
      </c>
      <c r="H1341" s="10">
        <v>46094</v>
      </c>
      <c r="I1341" s="6" t="s">
        <v>6101</v>
      </c>
      <c r="J1341" s="6" t="s">
        <v>6102</v>
      </c>
      <c r="K1341" s="6" t="s">
        <v>55</v>
      </c>
      <c r="L1341" s="6" t="s">
        <v>85</v>
      </c>
      <c r="M1341" s="6" t="s">
        <v>6103</v>
      </c>
    </row>
    <row r="1342" spans="1:13" ht="13" x14ac:dyDescent="0.15">
      <c r="A1342" s="5" t="str">
        <f>HYPERLINK("https://onemount.atlassian.net/browse/DBA-4032","DBA-4032")</f>
        <v>DBA-4032</v>
      </c>
      <c r="B1342" s="6" t="s">
        <v>21</v>
      </c>
      <c r="C1342" s="6" t="s">
        <v>6104</v>
      </c>
      <c r="D1342" s="8" t="s">
        <v>17</v>
      </c>
      <c r="E1342" s="6" t="s">
        <v>23</v>
      </c>
      <c r="F1342" s="6" t="s">
        <v>52</v>
      </c>
      <c r="G1342" s="6" t="s">
        <v>6105</v>
      </c>
      <c r="H1342" s="10">
        <v>46094</v>
      </c>
      <c r="I1342" s="6" t="s">
        <v>6106</v>
      </c>
      <c r="J1342" s="6" t="s">
        <v>353</v>
      </c>
      <c r="K1342" s="6" t="s">
        <v>55</v>
      </c>
      <c r="L1342" s="6" t="s">
        <v>85</v>
      </c>
      <c r="M1342" s="6" t="s">
        <v>6107</v>
      </c>
    </row>
    <row r="1343" spans="1:13" ht="13" x14ac:dyDescent="0.15">
      <c r="A1343" s="5" t="str">
        <f>HYPERLINK("https://onemount.atlassian.net/browse/DBA-4031","DBA-4031")</f>
        <v>DBA-4031</v>
      </c>
      <c r="B1343" s="6" t="s">
        <v>21</v>
      </c>
      <c r="C1343" s="6" t="s">
        <v>6108</v>
      </c>
      <c r="D1343" s="8" t="s">
        <v>17</v>
      </c>
      <c r="E1343" s="6" t="s">
        <v>23</v>
      </c>
      <c r="F1343" s="6" t="s">
        <v>87</v>
      </c>
      <c r="G1343" s="6" t="s">
        <v>6109</v>
      </c>
      <c r="H1343" s="10">
        <v>46093</v>
      </c>
      <c r="I1343" s="6" t="s">
        <v>6110</v>
      </c>
      <c r="J1343" s="6" t="s">
        <v>2453</v>
      </c>
      <c r="K1343" s="6" t="s">
        <v>165</v>
      </c>
      <c r="L1343" s="6" t="s">
        <v>119</v>
      </c>
      <c r="M1343" s="6" t="s">
        <v>6111</v>
      </c>
    </row>
    <row r="1344" spans="1:13" ht="13" x14ac:dyDescent="0.15">
      <c r="A1344" s="21" t="str">
        <f>HYPERLINK("https://onemount.atlassian.net/browse/DBA-4029","DBA-4029")</f>
        <v>DBA-4029</v>
      </c>
      <c r="B1344" s="6" t="s">
        <v>21</v>
      </c>
      <c r="C1344" s="6" t="s">
        <v>6112</v>
      </c>
      <c r="D1344" s="8" t="s">
        <v>17</v>
      </c>
      <c r="E1344" s="6" t="s">
        <v>23</v>
      </c>
      <c r="F1344" s="6" t="s">
        <v>31</v>
      </c>
      <c r="G1344" s="6" t="s">
        <v>6113</v>
      </c>
      <c r="H1344" s="10">
        <v>46092</v>
      </c>
      <c r="I1344" s="6" t="s">
        <v>6114</v>
      </c>
      <c r="J1344" s="6" t="s">
        <v>489</v>
      </c>
      <c r="K1344" s="6" t="s">
        <v>35</v>
      </c>
      <c r="L1344" s="6" t="s">
        <v>489</v>
      </c>
      <c r="M1344" s="6" t="s">
        <v>6115</v>
      </c>
    </row>
    <row r="1345" spans="1:13" ht="13" x14ac:dyDescent="0.15">
      <c r="A1345" s="5" t="str">
        <f>HYPERLINK("https://onemount.atlassian.net/browse/DBA-4027","DBA-4027")</f>
        <v>DBA-4027</v>
      </c>
      <c r="B1345" s="6" t="s">
        <v>21</v>
      </c>
      <c r="C1345" s="6" t="s">
        <v>6116</v>
      </c>
      <c r="D1345" s="8" t="s">
        <v>17</v>
      </c>
      <c r="E1345" s="6" t="s">
        <v>23</v>
      </c>
      <c r="F1345" s="6" t="s">
        <v>52</v>
      </c>
      <c r="G1345" s="6" t="s">
        <v>6117</v>
      </c>
      <c r="H1345" s="10">
        <v>46093</v>
      </c>
      <c r="I1345" s="6" t="s">
        <v>6118</v>
      </c>
      <c r="J1345" s="6" t="s">
        <v>6119</v>
      </c>
      <c r="K1345" s="6" t="s">
        <v>55</v>
      </c>
      <c r="L1345" s="6" t="s">
        <v>254</v>
      </c>
      <c r="M1345" s="6" t="s">
        <v>6120</v>
      </c>
    </row>
    <row r="1346" spans="1:13" ht="13" x14ac:dyDescent="0.15">
      <c r="A1346" s="5" t="str">
        <f>HYPERLINK("https://onemount.atlassian.net/browse/DBA-4026","DBA-4026")</f>
        <v>DBA-4026</v>
      </c>
      <c r="B1346" s="6" t="s">
        <v>21</v>
      </c>
      <c r="C1346" s="6" t="s">
        <v>6121</v>
      </c>
      <c r="D1346" s="8" t="s">
        <v>17</v>
      </c>
      <c r="E1346" s="6" t="s">
        <v>23</v>
      </c>
      <c r="F1346" s="6" t="s">
        <v>24</v>
      </c>
      <c r="G1346" s="6" t="s">
        <v>6122</v>
      </c>
      <c r="H1346" s="10">
        <v>46093</v>
      </c>
      <c r="I1346" s="6" t="s">
        <v>6123</v>
      </c>
      <c r="J1346" s="6" t="s">
        <v>3075</v>
      </c>
      <c r="K1346" s="6" t="s">
        <v>59</v>
      </c>
      <c r="L1346" s="6" t="s">
        <v>88</v>
      </c>
      <c r="M1346" s="6" t="s">
        <v>6124</v>
      </c>
    </row>
    <row r="1347" spans="1:13" ht="13" x14ac:dyDescent="0.15">
      <c r="A1347" s="5" t="str">
        <f>HYPERLINK("https://onemount.atlassian.net/browse/DBA-4025","DBA-4025")</f>
        <v>DBA-4025</v>
      </c>
      <c r="B1347" s="6" t="s">
        <v>21</v>
      </c>
      <c r="C1347" s="6" t="s">
        <v>6125</v>
      </c>
      <c r="D1347" s="8" t="s">
        <v>17</v>
      </c>
      <c r="E1347" s="6" t="s">
        <v>23</v>
      </c>
      <c r="F1347" s="6" t="s">
        <v>31</v>
      </c>
      <c r="G1347" s="6" t="s">
        <v>6126</v>
      </c>
      <c r="H1347" s="10">
        <v>46093</v>
      </c>
      <c r="I1347" s="6" t="s">
        <v>6127</v>
      </c>
      <c r="J1347" s="6" t="s">
        <v>478</v>
      </c>
      <c r="K1347" s="6" t="s">
        <v>35</v>
      </c>
      <c r="L1347" s="6" t="s">
        <v>478</v>
      </c>
      <c r="M1347" s="6" t="s">
        <v>6128</v>
      </c>
    </row>
    <row r="1348" spans="1:13" ht="13" x14ac:dyDescent="0.15">
      <c r="A1348" s="5" t="str">
        <f>HYPERLINK("https://onemount.atlassian.net/browse/DBA-4024","DBA-4024")</f>
        <v>DBA-4024</v>
      </c>
      <c r="B1348" s="23" t="str">
        <f>HYPERLINK("https://onemount.atlassian.net/browse/DBA-4008","DBA-4008")</f>
        <v>DBA-4008</v>
      </c>
      <c r="C1348" s="6" t="s">
        <v>6129</v>
      </c>
      <c r="D1348" s="8" t="s">
        <v>17</v>
      </c>
      <c r="E1348" s="6" t="s">
        <v>428</v>
      </c>
      <c r="F1348" s="6" t="s">
        <v>24</v>
      </c>
      <c r="G1348" s="6" t="s">
        <v>6130</v>
      </c>
      <c r="H1348" s="10">
        <v>46108</v>
      </c>
      <c r="I1348" s="6" t="s">
        <v>6131</v>
      </c>
      <c r="J1348" s="6" t="s">
        <v>2796</v>
      </c>
      <c r="K1348" s="6" t="s">
        <v>55</v>
      </c>
      <c r="L1348" s="6" t="s">
        <v>835</v>
      </c>
      <c r="M1348" s="6" t="s">
        <v>6132</v>
      </c>
    </row>
    <row r="1349" spans="1:13" ht="13" x14ac:dyDescent="0.15">
      <c r="A1349" s="5" t="str">
        <f>HYPERLINK("https://onemount.atlassian.net/browse/DBA-4023","DBA-4023")</f>
        <v>DBA-4023</v>
      </c>
      <c r="B1349" s="6" t="s">
        <v>21</v>
      </c>
      <c r="C1349" s="6" t="s">
        <v>6133</v>
      </c>
      <c r="D1349" s="8" t="s">
        <v>17</v>
      </c>
      <c r="E1349" s="6" t="s">
        <v>23</v>
      </c>
      <c r="F1349" s="6" t="s">
        <v>87</v>
      </c>
      <c r="G1349" s="6" t="s">
        <v>6134</v>
      </c>
      <c r="H1349" s="10">
        <v>46092</v>
      </c>
      <c r="I1349" s="6" t="s">
        <v>6135</v>
      </c>
      <c r="J1349" s="6" t="s">
        <v>2453</v>
      </c>
      <c r="K1349" s="6" t="s">
        <v>165</v>
      </c>
      <c r="L1349" s="6" t="s">
        <v>119</v>
      </c>
      <c r="M1349" s="6" t="s">
        <v>6136</v>
      </c>
    </row>
    <row r="1350" spans="1:13" ht="13" x14ac:dyDescent="0.15">
      <c r="A1350" s="5" t="str">
        <f>HYPERLINK("https://onemount.atlassian.net/browse/DBA-4022","DBA-4022")</f>
        <v>DBA-4022</v>
      </c>
      <c r="B1350" s="6" t="s">
        <v>21</v>
      </c>
      <c r="C1350" s="6" t="s">
        <v>6137</v>
      </c>
      <c r="D1350" s="8" t="s">
        <v>17</v>
      </c>
      <c r="E1350" s="6" t="s">
        <v>23</v>
      </c>
      <c r="F1350" s="6" t="s">
        <v>52</v>
      </c>
      <c r="G1350" s="6" t="s">
        <v>6138</v>
      </c>
      <c r="H1350" s="10">
        <v>46092</v>
      </c>
      <c r="I1350" s="6" t="s">
        <v>6139</v>
      </c>
      <c r="J1350" s="6" t="s">
        <v>5998</v>
      </c>
      <c r="K1350" s="6" t="s">
        <v>46</v>
      </c>
      <c r="L1350" s="6" t="s">
        <v>562</v>
      </c>
      <c r="M1350" s="6" t="s">
        <v>6140</v>
      </c>
    </row>
    <row r="1351" spans="1:13" ht="13" x14ac:dyDescent="0.15">
      <c r="A1351" s="5" t="str">
        <f>HYPERLINK("https://onemount.atlassian.net/browse/DBA-4021","DBA-4021")</f>
        <v>DBA-4021</v>
      </c>
      <c r="B1351" s="6" t="s">
        <v>21</v>
      </c>
      <c r="C1351" s="6" t="s">
        <v>6141</v>
      </c>
      <c r="D1351" s="8" t="s">
        <v>17</v>
      </c>
      <c r="E1351" s="6" t="s">
        <v>23</v>
      </c>
      <c r="F1351" s="6" t="s">
        <v>52</v>
      </c>
      <c r="G1351" s="6" t="s">
        <v>6142</v>
      </c>
      <c r="H1351" s="10">
        <v>46092</v>
      </c>
      <c r="I1351" s="6" t="s">
        <v>6143</v>
      </c>
      <c r="J1351" s="6" t="s">
        <v>3668</v>
      </c>
      <c r="K1351" s="6" t="s">
        <v>46</v>
      </c>
      <c r="L1351" s="6" t="s">
        <v>283</v>
      </c>
      <c r="M1351" s="6" t="s">
        <v>6144</v>
      </c>
    </row>
    <row r="1352" spans="1:13" ht="13" x14ac:dyDescent="0.15">
      <c r="A1352" s="5" t="str">
        <f>HYPERLINK("https://onemount.atlassian.net/browse/DBA-4020","DBA-4020")</f>
        <v>DBA-4020</v>
      </c>
      <c r="B1352" s="6" t="s">
        <v>21</v>
      </c>
      <c r="C1352" s="6" t="s">
        <v>6145</v>
      </c>
      <c r="D1352" s="8" t="s">
        <v>17</v>
      </c>
      <c r="E1352" s="6" t="s">
        <v>23</v>
      </c>
      <c r="F1352" s="6" t="s">
        <v>52</v>
      </c>
      <c r="G1352" s="6" t="s">
        <v>6146</v>
      </c>
      <c r="H1352" s="10">
        <v>46091</v>
      </c>
      <c r="I1352" s="6" t="s">
        <v>6147</v>
      </c>
      <c r="J1352" s="6" t="s">
        <v>55</v>
      </c>
      <c r="K1352" s="6" t="s">
        <v>55</v>
      </c>
      <c r="L1352" s="6" t="s">
        <v>93</v>
      </c>
      <c r="M1352" s="6" t="s">
        <v>6148</v>
      </c>
    </row>
    <row r="1353" spans="1:13" ht="13" x14ac:dyDescent="0.15">
      <c r="A1353" s="5" t="str">
        <f>HYPERLINK("https://onemount.atlassian.net/browse/DBA-4019","DBA-4019")</f>
        <v>DBA-4019</v>
      </c>
      <c r="B1353" s="6" t="s">
        <v>21</v>
      </c>
      <c r="C1353" s="6" t="s">
        <v>6149</v>
      </c>
      <c r="D1353" s="8" t="s">
        <v>17</v>
      </c>
      <c r="E1353" s="6" t="s">
        <v>23</v>
      </c>
      <c r="F1353" s="6" t="s">
        <v>31</v>
      </c>
      <c r="G1353" s="6" t="s">
        <v>6150</v>
      </c>
      <c r="H1353" s="10">
        <v>46091</v>
      </c>
      <c r="I1353" s="6" t="s">
        <v>6151</v>
      </c>
      <c r="J1353" s="6" t="s">
        <v>478</v>
      </c>
      <c r="K1353" s="6" t="s">
        <v>35</v>
      </c>
      <c r="L1353" s="6" t="s">
        <v>129</v>
      </c>
      <c r="M1353" s="6" t="s">
        <v>6152</v>
      </c>
    </row>
    <row r="1354" spans="1:13" ht="13" x14ac:dyDescent="0.15">
      <c r="A1354" s="5" t="str">
        <f>HYPERLINK("https://onemount.atlassian.net/browse/DBA-4018","DBA-4018")</f>
        <v>DBA-4018</v>
      </c>
      <c r="B1354" s="6" t="s">
        <v>21</v>
      </c>
      <c r="C1354" s="6" t="s">
        <v>6153</v>
      </c>
      <c r="D1354" s="8" t="s">
        <v>17</v>
      </c>
      <c r="E1354" s="6" t="s">
        <v>23</v>
      </c>
      <c r="F1354" s="6" t="s">
        <v>52</v>
      </c>
      <c r="G1354" s="6" t="s">
        <v>6154</v>
      </c>
      <c r="H1354" s="10">
        <v>46091</v>
      </c>
      <c r="I1354" s="6" t="s">
        <v>6155</v>
      </c>
      <c r="J1354" s="6" t="s">
        <v>6156</v>
      </c>
      <c r="K1354" s="6" t="s">
        <v>55</v>
      </c>
      <c r="L1354" s="6" t="s">
        <v>85</v>
      </c>
      <c r="M1354" s="6" t="s">
        <v>6157</v>
      </c>
    </row>
    <row r="1355" spans="1:13" ht="13" x14ac:dyDescent="0.15">
      <c r="A1355" s="5" t="str">
        <f>HYPERLINK("https://onemount.atlassian.net/browse/DBA-4017","DBA-4017")</f>
        <v>DBA-4017</v>
      </c>
      <c r="B1355" s="6" t="s">
        <v>21</v>
      </c>
      <c r="C1355" s="6" t="s">
        <v>6158</v>
      </c>
      <c r="D1355" s="8" t="s">
        <v>17</v>
      </c>
      <c r="E1355" s="6" t="s">
        <v>23</v>
      </c>
      <c r="F1355" s="6" t="s">
        <v>87</v>
      </c>
      <c r="G1355" s="6" t="s">
        <v>6159</v>
      </c>
      <c r="H1355" s="10">
        <v>46090</v>
      </c>
      <c r="I1355" s="6" t="s">
        <v>6160</v>
      </c>
      <c r="J1355" s="6" t="s">
        <v>1898</v>
      </c>
      <c r="K1355" s="6" t="s">
        <v>165</v>
      </c>
      <c r="L1355" s="6" t="s">
        <v>1095</v>
      </c>
      <c r="M1355" s="6" t="s">
        <v>6161</v>
      </c>
    </row>
    <row r="1356" spans="1:13" ht="13" x14ac:dyDescent="0.15">
      <c r="A1356" s="5" t="str">
        <f>HYPERLINK("https://onemount.atlassian.net/browse/DBA-4016","DBA-4016")</f>
        <v>DBA-4016</v>
      </c>
      <c r="B1356" s="6" t="s">
        <v>21</v>
      </c>
      <c r="C1356" s="6" t="s">
        <v>6162</v>
      </c>
      <c r="D1356" s="8" t="s">
        <v>17</v>
      </c>
      <c r="E1356" s="6" t="s">
        <v>23</v>
      </c>
      <c r="F1356" s="6" t="s">
        <v>52</v>
      </c>
      <c r="G1356" s="6" t="s">
        <v>6163</v>
      </c>
      <c r="H1356" s="10">
        <v>46090</v>
      </c>
      <c r="I1356" s="6" t="s">
        <v>6164</v>
      </c>
      <c r="J1356" s="6" t="s">
        <v>1187</v>
      </c>
      <c r="K1356" s="6" t="s">
        <v>35</v>
      </c>
      <c r="L1356" s="6" t="s">
        <v>1187</v>
      </c>
      <c r="M1356" s="6" t="s">
        <v>6165</v>
      </c>
    </row>
    <row r="1357" spans="1:13" ht="13" x14ac:dyDescent="0.15">
      <c r="A1357" s="5" t="str">
        <f>HYPERLINK("https://onemount.atlassian.net/browse/DBA-4015","DBA-4015")</f>
        <v>DBA-4015</v>
      </c>
      <c r="B1357" s="6" t="s">
        <v>21</v>
      </c>
      <c r="C1357" s="6" t="s">
        <v>6166</v>
      </c>
      <c r="D1357" s="8" t="s">
        <v>17</v>
      </c>
      <c r="E1357" s="6" t="s">
        <v>23</v>
      </c>
      <c r="F1357" s="6" t="s">
        <v>52</v>
      </c>
      <c r="G1357" s="6" t="s">
        <v>6167</v>
      </c>
      <c r="H1357" s="10">
        <v>46091</v>
      </c>
      <c r="I1357" s="6" t="s">
        <v>6168</v>
      </c>
      <c r="J1357" s="6" t="s">
        <v>6169</v>
      </c>
      <c r="K1357" s="6" t="s">
        <v>55</v>
      </c>
      <c r="L1357" s="6" t="s">
        <v>85</v>
      </c>
      <c r="M1357" s="6" t="s">
        <v>6170</v>
      </c>
    </row>
    <row r="1358" spans="1:13" ht="13" x14ac:dyDescent="0.15">
      <c r="A1358" s="5" t="str">
        <f>HYPERLINK("https://onemount.atlassian.net/browse/DBA-4014","DBA-4014")</f>
        <v>DBA-4014</v>
      </c>
      <c r="B1358" s="6" t="s">
        <v>21</v>
      </c>
      <c r="C1358" s="6" t="s">
        <v>6171</v>
      </c>
      <c r="D1358" s="8" t="s">
        <v>17</v>
      </c>
      <c r="E1358" s="6" t="s">
        <v>23</v>
      </c>
      <c r="F1358" s="6" t="s">
        <v>52</v>
      </c>
      <c r="G1358" s="6" t="s">
        <v>6172</v>
      </c>
      <c r="H1358" s="10">
        <v>46091</v>
      </c>
      <c r="I1358" s="6" t="s">
        <v>6173</v>
      </c>
      <c r="J1358" s="6" t="s">
        <v>85</v>
      </c>
      <c r="K1358" s="6" t="s">
        <v>55</v>
      </c>
      <c r="L1358" s="6" t="s">
        <v>85</v>
      </c>
      <c r="M1358" s="6" t="s">
        <v>6174</v>
      </c>
    </row>
    <row r="1359" spans="1:13" ht="13" x14ac:dyDescent="0.15">
      <c r="A1359" s="5" t="str">
        <f>HYPERLINK("https://onemount.atlassian.net/browse/DBA-4013","DBA-4013")</f>
        <v>DBA-4013</v>
      </c>
      <c r="B1359" s="6" t="s">
        <v>21</v>
      </c>
      <c r="C1359" s="6" t="s">
        <v>6175</v>
      </c>
      <c r="D1359" s="8" t="s">
        <v>17</v>
      </c>
      <c r="E1359" s="6" t="s">
        <v>23</v>
      </c>
      <c r="F1359" s="6" t="s">
        <v>31</v>
      </c>
      <c r="G1359" s="6" t="s">
        <v>6176</v>
      </c>
      <c r="H1359" s="10">
        <v>46091</v>
      </c>
      <c r="I1359" s="6" t="s">
        <v>6177</v>
      </c>
      <c r="J1359" s="6" t="s">
        <v>5746</v>
      </c>
      <c r="K1359" s="6" t="s">
        <v>35</v>
      </c>
      <c r="L1359" s="6" t="s">
        <v>962</v>
      </c>
      <c r="M1359" s="6" t="s">
        <v>6178</v>
      </c>
    </row>
    <row r="1360" spans="1:13" ht="13" x14ac:dyDescent="0.15">
      <c r="A1360" s="5" t="str">
        <f>HYPERLINK("https://onemount.atlassian.net/browse/DBA-4012","DBA-4012")</f>
        <v>DBA-4012</v>
      </c>
      <c r="B1360" s="6" t="s">
        <v>21</v>
      </c>
      <c r="C1360" s="6" t="s">
        <v>6179</v>
      </c>
      <c r="D1360" s="8" t="s">
        <v>17</v>
      </c>
      <c r="E1360" s="6" t="s">
        <v>23</v>
      </c>
      <c r="F1360" s="6" t="s">
        <v>52</v>
      </c>
      <c r="G1360" s="6" t="s">
        <v>6180</v>
      </c>
      <c r="H1360" s="10">
        <v>46088</v>
      </c>
      <c r="I1360" s="6" t="s">
        <v>6181</v>
      </c>
      <c r="J1360" s="6" t="s">
        <v>85</v>
      </c>
      <c r="K1360" s="6" t="s">
        <v>55</v>
      </c>
      <c r="L1360" s="6" t="s">
        <v>85</v>
      </c>
      <c r="M1360" s="6" t="s">
        <v>6182</v>
      </c>
    </row>
    <row r="1361" spans="1:13" ht="13" x14ac:dyDescent="0.15">
      <c r="A1361" s="5" t="str">
        <f>HYPERLINK("https://onemount.atlassian.net/browse/DBA-4011","DBA-4011")</f>
        <v>DBA-4011</v>
      </c>
      <c r="B1361" s="23" t="str">
        <f t="shared" ref="B1361:B1363" si="17">HYPERLINK("https://onemount.atlassian.net/browse/DBA-4008","DBA-4008")</f>
        <v>DBA-4008</v>
      </c>
      <c r="C1361" s="6" t="s">
        <v>6183</v>
      </c>
      <c r="D1361" s="8" t="s">
        <v>17</v>
      </c>
      <c r="E1361" s="6" t="s">
        <v>428</v>
      </c>
      <c r="F1361" s="6" t="s">
        <v>24</v>
      </c>
      <c r="G1361" s="6" t="s">
        <v>6184</v>
      </c>
      <c r="H1361" s="10">
        <v>46094</v>
      </c>
      <c r="I1361" s="6" t="s">
        <v>6185</v>
      </c>
      <c r="J1361" s="6" t="s">
        <v>2796</v>
      </c>
      <c r="K1361" s="6" t="s">
        <v>55</v>
      </c>
      <c r="L1361" s="6" t="s">
        <v>425</v>
      </c>
      <c r="M1361" s="6" t="s">
        <v>6186</v>
      </c>
    </row>
    <row r="1362" spans="1:13" ht="13" x14ac:dyDescent="0.15">
      <c r="A1362" s="5" t="str">
        <f>HYPERLINK("https://onemount.atlassian.net/browse/DBA-4010","DBA-4010")</f>
        <v>DBA-4010</v>
      </c>
      <c r="B1362" s="23" t="str">
        <f t="shared" si="17"/>
        <v>DBA-4008</v>
      </c>
      <c r="C1362" s="6" t="s">
        <v>6187</v>
      </c>
      <c r="D1362" s="8" t="s">
        <v>17</v>
      </c>
      <c r="E1362" s="6" t="s">
        <v>428</v>
      </c>
      <c r="F1362" s="6" t="s">
        <v>24</v>
      </c>
      <c r="G1362" s="6" t="s">
        <v>6188</v>
      </c>
      <c r="H1362" s="10">
        <v>46094</v>
      </c>
      <c r="I1362" s="6" t="s">
        <v>6189</v>
      </c>
      <c r="J1362" s="6" t="s">
        <v>2796</v>
      </c>
      <c r="K1362" s="6" t="s">
        <v>55</v>
      </c>
      <c r="L1362" s="6" t="s">
        <v>425</v>
      </c>
      <c r="M1362" s="6" t="s">
        <v>6190</v>
      </c>
    </row>
    <row r="1363" spans="1:13" ht="13" x14ac:dyDescent="0.15">
      <c r="A1363" s="21" t="str">
        <f>HYPERLINK("https://onemount.atlassian.net/browse/DBA-4009","DBA-4009")</f>
        <v>DBA-4009</v>
      </c>
      <c r="B1363" s="23" t="str">
        <f t="shared" si="17"/>
        <v>DBA-4008</v>
      </c>
      <c r="C1363" s="6" t="s">
        <v>6191</v>
      </c>
      <c r="D1363" s="8" t="s">
        <v>17</v>
      </c>
      <c r="E1363" s="6" t="s">
        <v>428</v>
      </c>
      <c r="F1363" s="6" t="s">
        <v>24</v>
      </c>
      <c r="G1363" s="6" t="s">
        <v>6192</v>
      </c>
      <c r="H1363" s="10">
        <v>46094</v>
      </c>
      <c r="I1363" s="6" t="s">
        <v>6193</v>
      </c>
      <c r="J1363" s="6" t="s">
        <v>2796</v>
      </c>
      <c r="K1363" s="6" t="s">
        <v>55</v>
      </c>
      <c r="L1363" s="6" t="s">
        <v>425</v>
      </c>
      <c r="M1363" s="6" t="s">
        <v>6194</v>
      </c>
    </row>
    <row r="1364" spans="1:13" ht="13" x14ac:dyDescent="0.15">
      <c r="A1364" s="5" t="str">
        <f>HYPERLINK("https://onemount.atlassian.net/browse/DBA-4008","DBA-4008")</f>
        <v>DBA-4008</v>
      </c>
      <c r="B1364" s="23" t="str">
        <f>HYPERLINK("https://onemount.atlassian.net/browse/DBA-3006","DBA-3006")</f>
        <v>DBA-3006</v>
      </c>
      <c r="C1364" s="6" t="s">
        <v>6195</v>
      </c>
      <c r="D1364" s="8" t="s">
        <v>17</v>
      </c>
      <c r="E1364" s="6" t="s">
        <v>23</v>
      </c>
      <c r="F1364" s="6" t="s">
        <v>24</v>
      </c>
      <c r="G1364" s="6" t="s">
        <v>6196</v>
      </c>
      <c r="H1364" s="10">
        <v>46112</v>
      </c>
      <c r="I1364" s="6" t="s">
        <v>6197</v>
      </c>
      <c r="J1364" s="6" t="s">
        <v>2796</v>
      </c>
      <c r="K1364" s="6" t="s">
        <v>55</v>
      </c>
      <c r="L1364" s="6" t="s">
        <v>835</v>
      </c>
      <c r="M1364" s="6" t="s">
        <v>6198</v>
      </c>
    </row>
    <row r="1365" spans="1:13" ht="13" x14ac:dyDescent="0.15">
      <c r="A1365" s="5" t="str">
        <f>HYPERLINK("https://onemount.atlassian.net/browse/DBA-4007","DBA-4007")</f>
        <v>DBA-4007</v>
      </c>
      <c r="B1365" s="6" t="s">
        <v>21</v>
      </c>
      <c r="C1365" s="6" t="s">
        <v>6199</v>
      </c>
      <c r="D1365" s="8" t="s">
        <v>17</v>
      </c>
      <c r="E1365" s="6" t="s">
        <v>23</v>
      </c>
      <c r="F1365" s="6" t="s">
        <v>24</v>
      </c>
      <c r="G1365" s="6" t="s">
        <v>6200</v>
      </c>
      <c r="H1365" s="10">
        <v>46090</v>
      </c>
      <c r="I1365" s="6" t="s">
        <v>6201</v>
      </c>
      <c r="J1365" s="6" t="s">
        <v>6090</v>
      </c>
      <c r="K1365" s="6" t="s">
        <v>165</v>
      </c>
      <c r="L1365" s="6" t="s">
        <v>1088</v>
      </c>
      <c r="M1365" s="6" t="s">
        <v>6202</v>
      </c>
    </row>
    <row r="1366" spans="1:13" ht="13" x14ac:dyDescent="0.15">
      <c r="A1366" s="5" t="str">
        <f>HYPERLINK("https://onemount.atlassian.net/browse/DBA-4005","DBA-4005")</f>
        <v>DBA-4005</v>
      </c>
      <c r="B1366" s="6" t="s">
        <v>21</v>
      </c>
      <c r="C1366" s="6" t="s">
        <v>6203</v>
      </c>
      <c r="D1366" s="8" t="s">
        <v>17</v>
      </c>
      <c r="E1366" s="6" t="s">
        <v>23</v>
      </c>
      <c r="F1366" s="6" t="s">
        <v>24</v>
      </c>
      <c r="G1366" s="6" t="s">
        <v>6204</v>
      </c>
      <c r="H1366" s="10">
        <v>46088</v>
      </c>
      <c r="I1366" s="6" t="s">
        <v>6205</v>
      </c>
      <c r="J1366" s="6" t="s">
        <v>270</v>
      </c>
      <c r="K1366" s="6" t="s">
        <v>55</v>
      </c>
      <c r="L1366" s="6" t="s">
        <v>270</v>
      </c>
      <c r="M1366" s="6" t="s">
        <v>6206</v>
      </c>
    </row>
    <row r="1367" spans="1:13" ht="13" x14ac:dyDescent="0.15">
      <c r="A1367" s="5" t="str">
        <f>HYPERLINK("https://onemount.atlassian.net/browse/DBA-4003","DBA-4003")</f>
        <v>DBA-4003</v>
      </c>
      <c r="B1367" s="6" t="s">
        <v>21</v>
      </c>
      <c r="C1367" s="6" t="s">
        <v>6207</v>
      </c>
      <c r="D1367" s="8" t="s">
        <v>17</v>
      </c>
      <c r="E1367" s="6" t="s">
        <v>23</v>
      </c>
      <c r="F1367" s="6" t="s">
        <v>52</v>
      </c>
      <c r="G1367" s="6" t="s">
        <v>6208</v>
      </c>
      <c r="H1367" s="10">
        <v>46091</v>
      </c>
      <c r="I1367" s="6" t="s">
        <v>6209</v>
      </c>
      <c r="J1367" s="6" t="s">
        <v>5998</v>
      </c>
      <c r="K1367" s="6" t="s">
        <v>46</v>
      </c>
      <c r="L1367" s="6" t="s">
        <v>562</v>
      </c>
      <c r="M1367" s="6" t="s">
        <v>6210</v>
      </c>
    </row>
    <row r="1368" spans="1:13" ht="13" x14ac:dyDescent="0.15">
      <c r="A1368" s="5" t="str">
        <f>HYPERLINK("https://onemount.atlassian.net/browse/DBA-4002","DBA-4002")</f>
        <v>DBA-4002</v>
      </c>
      <c r="B1368" s="6" t="s">
        <v>21</v>
      </c>
      <c r="C1368" s="6" t="s">
        <v>6211</v>
      </c>
      <c r="D1368" s="8" t="s">
        <v>17</v>
      </c>
      <c r="E1368" s="6" t="s">
        <v>23</v>
      </c>
      <c r="F1368" s="6" t="s">
        <v>87</v>
      </c>
      <c r="G1368" s="6" t="s">
        <v>6212</v>
      </c>
      <c r="H1368" s="10">
        <v>46088</v>
      </c>
      <c r="I1368" s="6" t="s">
        <v>6213</v>
      </c>
      <c r="J1368" s="6" t="s">
        <v>1898</v>
      </c>
      <c r="K1368" s="6" t="s">
        <v>165</v>
      </c>
      <c r="L1368" s="6" t="s">
        <v>1097</v>
      </c>
      <c r="M1368" s="6" t="s">
        <v>6214</v>
      </c>
    </row>
    <row r="1369" spans="1:13" ht="13" x14ac:dyDescent="0.15">
      <c r="A1369" s="5" t="str">
        <f>HYPERLINK("https://onemount.atlassian.net/browse/DBA-4001","DBA-4001")</f>
        <v>DBA-4001</v>
      </c>
      <c r="B1369" s="6" t="s">
        <v>21</v>
      </c>
      <c r="C1369" s="6" t="s">
        <v>6215</v>
      </c>
      <c r="D1369" s="8" t="s">
        <v>17</v>
      </c>
      <c r="E1369" s="6" t="s">
        <v>23</v>
      </c>
      <c r="F1369" s="6" t="s">
        <v>24</v>
      </c>
      <c r="G1369" s="6" t="s">
        <v>6216</v>
      </c>
      <c r="H1369" s="10">
        <v>46090</v>
      </c>
      <c r="I1369" s="6" t="s">
        <v>6217</v>
      </c>
      <c r="J1369" s="6" t="s">
        <v>6218</v>
      </c>
      <c r="K1369" s="6" t="s">
        <v>55</v>
      </c>
      <c r="L1369" s="6" t="s">
        <v>270</v>
      </c>
      <c r="M1369" s="6" t="s">
        <v>6219</v>
      </c>
    </row>
    <row r="1370" spans="1:13" ht="13" x14ac:dyDescent="0.15">
      <c r="A1370" s="5" t="str">
        <f>HYPERLINK("https://onemount.atlassian.net/browse/DBA-4000","DBA-4000")</f>
        <v>DBA-4000</v>
      </c>
      <c r="B1370" s="6" t="s">
        <v>21</v>
      </c>
      <c r="C1370" s="6" t="s">
        <v>6220</v>
      </c>
      <c r="D1370" s="8" t="s">
        <v>17</v>
      </c>
      <c r="E1370" s="6" t="s">
        <v>23</v>
      </c>
      <c r="F1370" s="6" t="s">
        <v>24</v>
      </c>
      <c r="G1370" s="6" t="s">
        <v>6221</v>
      </c>
      <c r="H1370" s="10">
        <v>46091</v>
      </c>
      <c r="I1370" s="6" t="s">
        <v>6222</v>
      </c>
      <c r="J1370" s="6" t="s">
        <v>77</v>
      </c>
      <c r="K1370" s="6" t="s">
        <v>165</v>
      </c>
      <c r="L1370" s="6" t="s">
        <v>77</v>
      </c>
      <c r="M1370" s="6" t="s">
        <v>6223</v>
      </c>
    </row>
    <row r="1371" spans="1:13" ht="13" x14ac:dyDescent="0.15">
      <c r="A1371" s="5" t="str">
        <f>HYPERLINK("https://onemount.atlassian.net/browse/DBA-3999","DBA-3999")</f>
        <v>DBA-3999</v>
      </c>
      <c r="B1371" s="6" t="s">
        <v>21</v>
      </c>
      <c r="C1371" s="6" t="s">
        <v>6224</v>
      </c>
      <c r="D1371" s="8" t="s">
        <v>17</v>
      </c>
      <c r="E1371" s="6" t="s">
        <v>23</v>
      </c>
      <c r="F1371" s="6" t="s">
        <v>24</v>
      </c>
      <c r="G1371" s="6" t="s">
        <v>6225</v>
      </c>
      <c r="H1371" s="10">
        <v>46089</v>
      </c>
      <c r="I1371" s="6" t="s">
        <v>6226</v>
      </c>
      <c r="J1371" s="6" t="s">
        <v>55</v>
      </c>
      <c r="K1371" s="6" t="s">
        <v>55</v>
      </c>
      <c r="L1371" s="6" t="s">
        <v>55</v>
      </c>
      <c r="M1371" s="6" t="s">
        <v>6227</v>
      </c>
    </row>
    <row r="1372" spans="1:13" ht="13" x14ac:dyDescent="0.15">
      <c r="A1372" s="5" t="str">
        <f>HYPERLINK("https://onemount.atlassian.net/browse/DBA-3998","DBA-3998")</f>
        <v>DBA-3998</v>
      </c>
      <c r="B1372" s="6" t="s">
        <v>21</v>
      </c>
      <c r="C1372" s="6" t="s">
        <v>5825</v>
      </c>
      <c r="D1372" s="8" t="s">
        <v>17</v>
      </c>
      <c r="E1372" s="6" t="s">
        <v>23</v>
      </c>
      <c r="F1372" s="6" t="s">
        <v>52</v>
      </c>
      <c r="G1372" s="6" t="s">
        <v>6228</v>
      </c>
      <c r="H1372" s="10">
        <v>46087</v>
      </c>
      <c r="I1372" s="6" t="s">
        <v>6229</v>
      </c>
      <c r="J1372" s="6" t="s">
        <v>85</v>
      </c>
      <c r="K1372" s="6" t="s">
        <v>55</v>
      </c>
      <c r="L1372" s="6" t="s">
        <v>85</v>
      </c>
      <c r="M1372" s="6" t="s">
        <v>6230</v>
      </c>
    </row>
    <row r="1373" spans="1:13" ht="13" x14ac:dyDescent="0.15">
      <c r="A1373" s="5" t="str">
        <f>HYPERLINK("https://onemount.atlassian.net/browse/DBA-3996","DBA-3996")</f>
        <v>DBA-3996</v>
      </c>
      <c r="B1373" s="6" t="s">
        <v>21</v>
      </c>
      <c r="C1373" s="6" t="s">
        <v>6231</v>
      </c>
      <c r="D1373" s="8" t="s">
        <v>17</v>
      </c>
      <c r="E1373" s="6" t="s">
        <v>23</v>
      </c>
      <c r="F1373" s="6" t="s">
        <v>52</v>
      </c>
      <c r="G1373" s="6" t="s">
        <v>6232</v>
      </c>
      <c r="H1373" s="10">
        <v>46087</v>
      </c>
      <c r="I1373" s="6" t="s">
        <v>6233</v>
      </c>
      <c r="J1373" s="6" t="s">
        <v>6234</v>
      </c>
      <c r="K1373" s="6" t="s">
        <v>55</v>
      </c>
      <c r="L1373" s="6" t="s">
        <v>55</v>
      </c>
      <c r="M1373" s="6" t="s">
        <v>6235</v>
      </c>
    </row>
    <row r="1374" spans="1:13" ht="13" x14ac:dyDescent="0.15">
      <c r="A1374" s="5" t="str">
        <f>HYPERLINK("https://onemount.atlassian.net/browse/DBA-3995","DBA-3995")</f>
        <v>DBA-3995</v>
      </c>
      <c r="B1374" s="6" t="s">
        <v>21</v>
      </c>
      <c r="C1374" s="6" t="s">
        <v>6236</v>
      </c>
      <c r="D1374" s="8" t="s">
        <v>17</v>
      </c>
      <c r="E1374" s="6" t="s">
        <v>23</v>
      </c>
      <c r="F1374" s="6" t="s">
        <v>31</v>
      </c>
      <c r="G1374" s="6" t="s">
        <v>6237</v>
      </c>
      <c r="H1374" s="10">
        <v>46088</v>
      </c>
      <c r="I1374" s="6" t="s">
        <v>6238</v>
      </c>
      <c r="J1374" s="6" t="s">
        <v>478</v>
      </c>
      <c r="K1374" s="6" t="s">
        <v>35</v>
      </c>
      <c r="L1374" s="6" t="s">
        <v>129</v>
      </c>
      <c r="M1374" s="6" t="s">
        <v>6239</v>
      </c>
    </row>
    <row r="1375" spans="1:13" ht="13" x14ac:dyDescent="0.15">
      <c r="A1375" s="5" t="str">
        <f>HYPERLINK("https://onemount.atlassian.net/browse/DBA-3994","DBA-3994")</f>
        <v>DBA-3994</v>
      </c>
      <c r="B1375" s="6" t="s">
        <v>21</v>
      </c>
      <c r="C1375" s="6" t="s">
        <v>6240</v>
      </c>
      <c r="D1375" s="8" t="s">
        <v>17</v>
      </c>
      <c r="E1375" s="6" t="s">
        <v>23</v>
      </c>
      <c r="F1375" s="6" t="s">
        <v>52</v>
      </c>
      <c r="G1375" s="6" t="s">
        <v>6241</v>
      </c>
      <c r="H1375" s="10">
        <v>46088</v>
      </c>
      <c r="I1375" s="6" t="s">
        <v>6242</v>
      </c>
      <c r="J1375" s="6" t="s">
        <v>55</v>
      </c>
      <c r="K1375" s="6" t="s">
        <v>55</v>
      </c>
      <c r="L1375" s="6" t="s">
        <v>93</v>
      </c>
      <c r="M1375" s="6" t="s">
        <v>6243</v>
      </c>
    </row>
    <row r="1376" spans="1:13" ht="13" x14ac:dyDescent="0.15">
      <c r="A1376" s="5" t="str">
        <f>HYPERLINK("https://onemount.atlassian.net/browse/DBA-3993","DBA-3993")</f>
        <v>DBA-3993</v>
      </c>
      <c r="B1376" s="6" t="s">
        <v>21</v>
      </c>
      <c r="C1376" s="6" t="s">
        <v>6244</v>
      </c>
      <c r="D1376" s="8" t="s">
        <v>17</v>
      </c>
      <c r="E1376" s="6" t="s">
        <v>23</v>
      </c>
      <c r="F1376" s="6" t="s">
        <v>24</v>
      </c>
      <c r="G1376" s="6" t="s">
        <v>6245</v>
      </c>
      <c r="H1376" s="10">
        <v>46088</v>
      </c>
      <c r="I1376" s="6" t="s">
        <v>6246</v>
      </c>
      <c r="J1376" s="6" t="s">
        <v>6247</v>
      </c>
      <c r="K1376" s="6" t="s">
        <v>165</v>
      </c>
      <c r="L1376" s="6" t="s">
        <v>1088</v>
      </c>
      <c r="M1376" s="6" t="s">
        <v>6248</v>
      </c>
    </row>
    <row r="1377" spans="1:13" ht="13" x14ac:dyDescent="0.15">
      <c r="A1377" s="5" t="str">
        <f>HYPERLINK("https://onemount.atlassian.net/browse/DBA-3992","DBA-3992")</f>
        <v>DBA-3992</v>
      </c>
      <c r="B1377" s="6" t="s">
        <v>21</v>
      </c>
      <c r="C1377" s="6" t="s">
        <v>6249</v>
      </c>
      <c r="D1377" s="8" t="s">
        <v>17</v>
      </c>
      <c r="E1377" s="6" t="s">
        <v>23</v>
      </c>
      <c r="F1377" s="6" t="s">
        <v>52</v>
      </c>
      <c r="G1377" s="6" t="s">
        <v>6250</v>
      </c>
      <c r="H1377" s="10">
        <v>46086</v>
      </c>
      <c r="I1377" s="6" t="s">
        <v>6251</v>
      </c>
      <c r="J1377" s="6" t="s">
        <v>85</v>
      </c>
      <c r="K1377" s="6" t="s">
        <v>55</v>
      </c>
      <c r="L1377" s="6" t="s">
        <v>85</v>
      </c>
      <c r="M1377" s="6" t="s">
        <v>6252</v>
      </c>
    </row>
    <row r="1378" spans="1:13" ht="13" x14ac:dyDescent="0.15">
      <c r="A1378" s="5" t="str">
        <f>HYPERLINK("https://onemount.atlassian.net/browse/DBA-3991","DBA-3991")</f>
        <v>DBA-3991</v>
      </c>
      <c r="B1378" s="6" t="s">
        <v>21</v>
      </c>
      <c r="C1378" s="6" t="s">
        <v>6253</v>
      </c>
      <c r="D1378" s="8" t="s">
        <v>17</v>
      </c>
      <c r="E1378" s="6" t="s">
        <v>23</v>
      </c>
      <c r="F1378" s="6" t="s">
        <v>52</v>
      </c>
      <c r="G1378" s="6" t="s">
        <v>6254</v>
      </c>
      <c r="H1378" s="10">
        <v>46086</v>
      </c>
      <c r="I1378" s="6" t="s">
        <v>6255</v>
      </c>
      <c r="J1378" s="6" t="s">
        <v>270</v>
      </c>
      <c r="K1378" s="6" t="s">
        <v>55</v>
      </c>
      <c r="L1378" s="6" t="s">
        <v>270</v>
      </c>
      <c r="M1378" s="6" t="s">
        <v>6256</v>
      </c>
    </row>
    <row r="1379" spans="1:13" ht="13" x14ac:dyDescent="0.15">
      <c r="A1379" s="5" t="str">
        <f>HYPERLINK("https://onemount.atlassian.net/browse/DBA-3990","DBA-3990")</f>
        <v>DBA-3990</v>
      </c>
      <c r="B1379" s="6" t="s">
        <v>21</v>
      </c>
      <c r="C1379" s="6" t="s">
        <v>6257</v>
      </c>
      <c r="D1379" s="8" t="s">
        <v>17</v>
      </c>
      <c r="E1379" s="6" t="s">
        <v>23</v>
      </c>
      <c r="F1379" s="6" t="s">
        <v>24</v>
      </c>
      <c r="G1379" s="6" t="s">
        <v>6258</v>
      </c>
      <c r="H1379" s="10">
        <v>46091</v>
      </c>
      <c r="I1379" s="6" t="s">
        <v>6259</v>
      </c>
      <c r="J1379" s="6" t="s">
        <v>6260</v>
      </c>
      <c r="K1379" s="6" t="s">
        <v>165</v>
      </c>
      <c r="L1379" s="6" t="s">
        <v>1088</v>
      </c>
      <c r="M1379" s="6" t="s">
        <v>6261</v>
      </c>
    </row>
    <row r="1380" spans="1:13" ht="13" x14ac:dyDescent="0.15">
      <c r="A1380" s="5" t="str">
        <f>HYPERLINK("https://onemount.atlassian.net/browse/DBA-3989","DBA-3989")</f>
        <v>DBA-3989</v>
      </c>
      <c r="B1380" s="6" t="s">
        <v>21</v>
      </c>
      <c r="C1380" s="6" t="s">
        <v>6262</v>
      </c>
      <c r="D1380" s="8" t="s">
        <v>17</v>
      </c>
      <c r="E1380" s="6" t="s">
        <v>23</v>
      </c>
      <c r="F1380" s="6" t="s">
        <v>31</v>
      </c>
      <c r="G1380" s="6" t="s">
        <v>6263</v>
      </c>
      <c r="H1380" s="10">
        <v>46087</v>
      </c>
      <c r="I1380" s="6" t="s">
        <v>6264</v>
      </c>
      <c r="J1380" s="6" t="s">
        <v>478</v>
      </c>
      <c r="K1380" s="6" t="s">
        <v>35</v>
      </c>
      <c r="L1380" s="6" t="s">
        <v>129</v>
      </c>
      <c r="M1380" s="6" t="s">
        <v>6265</v>
      </c>
    </row>
    <row r="1381" spans="1:13" ht="13" x14ac:dyDescent="0.15">
      <c r="A1381" s="5" t="str">
        <f>HYPERLINK("https://onemount.atlassian.net/browse/DBA-3987","DBA-3987")</f>
        <v>DBA-3987</v>
      </c>
      <c r="B1381" s="6" t="s">
        <v>21</v>
      </c>
      <c r="C1381" s="6" t="s">
        <v>6266</v>
      </c>
      <c r="D1381" s="8" t="s">
        <v>17</v>
      </c>
      <c r="E1381" s="6" t="s">
        <v>23</v>
      </c>
      <c r="F1381" s="6" t="s">
        <v>41</v>
      </c>
      <c r="G1381" s="6" t="s">
        <v>6267</v>
      </c>
      <c r="H1381" s="10">
        <v>46086</v>
      </c>
      <c r="I1381" s="6" t="s">
        <v>6268</v>
      </c>
      <c r="J1381" s="6" t="s">
        <v>6269</v>
      </c>
      <c r="K1381" s="6" t="s">
        <v>28</v>
      </c>
      <c r="L1381" s="6" t="s">
        <v>1140</v>
      </c>
      <c r="M1381" s="6" t="s">
        <v>6270</v>
      </c>
    </row>
    <row r="1382" spans="1:13" ht="13" x14ac:dyDescent="0.15">
      <c r="A1382" s="5" t="str">
        <f>HYPERLINK("https://onemount.atlassian.net/browse/DBA-3986","DBA-3986")</f>
        <v>DBA-3986</v>
      </c>
      <c r="B1382" s="6" t="s">
        <v>21</v>
      </c>
      <c r="C1382" s="6" t="s">
        <v>1466</v>
      </c>
      <c r="D1382" s="8" t="s">
        <v>17</v>
      </c>
      <c r="E1382" s="6" t="s">
        <v>23</v>
      </c>
      <c r="F1382" s="6" t="s">
        <v>52</v>
      </c>
      <c r="G1382" s="6" t="s">
        <v>6271</v>
      </c>
      <c r="H1382" s="10">
        <v>46087</v>
      </c>
      <c r="I1382" s="6" t="s">
        <v>6272</v>
      </c>
      <c r="J1382" s="6" t="s">
        <v>852</v>
      </c>
      <c r="K1382" s="6" t="s">
        <v>55</v>
      </c>
      <c r="L1382" s="6" t="s">
        <v>855</v>
      </c>
      <c r="M1382" s="6" t="s">
        <v>6273</v>
      </c>
    </row>
    <row r="1383" spans="1:13" ht="13" x14ac:dyDescent="0.15">
      <c r="A1383" s="5" t="str">
        <f>HYPERLINK("https://onemount.atlassian.net/browse/DBA-3983","DBA-3983")</f>
        <v>DBA-3983</v>
      </c>
      <c r="B1383" s="6" t="s">
        <v>21</v>
      </c>
      <c r="C1383" s="6" t="s">
        <v>6274</v>
      </c>
      <c r="D1383" s="8" t="s">
        <v>17</v>
      </c>
      <c r="E1383" s="6" t="s">
        <v>23</v>
      </c>
      <c r="F1383" s="6" t="s">
        <v>52</v>
      </c>
      <c r="G1383" s="6" t="s">
        <v>6275</v>
      </c>
      <c r="H1383" s="10">
        <v>46085</v>
      </c>
      <c r="I1383" s="6" t="s">
        <v>6276</v>
      </c>
      <c r="J1383" s="6" t="s">
        <v>5625</v>
      </c>
      <c r="K1383" s="6" t="s">
        <v>55</v>
      </c>
      <c r="L1383" s="6" t="s">
        <v>254</v>
      </c>
      <c r="M1383" s="6" t="s">
        <v>6277</v>
      </c>
    </row>
    <row r="1384" spans="1:13" ht="13" x14ac:dyDescent="0.15">
      <c r="A1384" s="5" t="str">
        <f>HYPERLINK("https://onemount.atlassian.net/browse/DBA-3982","DBA-3982")</f>
        <v>DBA-3982</v>
      </c>
      <c r="B1384" s="6" t="s">
        <v>21</v>
      </c>
      <c r="C1384" s="6" t="s">
        <v>6278</v>
      </c>
      <c r="D1384" s="8" t="s">
        <v>17</v>
      </c>
      <c r="E1384" s="6" t="s">
        <v>23</v>
      </c>
      <c r="F1384" s="6" t="s">
        <v>31</v>
      </c>
      <c r="G1384" s="6" t="s">
        <v>6279</v>
      </c>
      <c r="H1384" s="10">
        <v>46086</v>
      </c>
      <c r="I1384" s="6" t="s">
        <v>6280</v>
      </c>
      <c r="J1384" s="6" t="s">
        <v>743</v>
      </c>
      <c r="K1384" s="6" t="s">
        <v>55</v>
      </c>
      <c r="L1384" s="6" t="s">
        <v>743</v>
      </c>
      <c r="M1384" s="6" t="s">
        <v>6281</v>
      </c>
    </row>
    <row r="1385" spans="1:13" ht="13" x14ac:dyDescent="0.15">
      <c r="A1385" s="5" t="str">
        <f>HYPERLINK("https://onemount.atlassian.net/browse/DBA-3981","DBA-3981")</f>
        <v>DBA-3981</v>
      </c>
      <c r="B1385" s="6" t="s">
        <v>21</v>
      </c>
      <c r="C1385" s="6" t="s">
        <v>6282</v>
      </c>
      <c r="D1385" s="8" t="s">
        <v>17</v>
      </c>
      <c r="E1385" s="6" t="s">
        <v>23</v>
      </c>
      <c r="F1385" s="6" t="s">
        <v>87</v>
      </c>
      <c r="G1385" s="6" t="s">
        <v>6283</v>
      </c>
      <c r="H1385" s="10">
        <v>46086</v>
      </c>
      <c r="I1385" s="6" t="s">
        <v>6284</v>
      </c>
      <c r="J1385" s="6" t="s">
        <v>1898</v>
      </c>
      <c r="K1385" s="6" t="s">
        <v>165</v>
      </c>
      <c r="L1385" s="6" t="s">
        <v>1097</v>
      </c>
      <c r="M1385" s="6" t="s">
        <v>6285</v>
      </c>
    </row>
    <row r="1386" spans="1:13" ht="13" x14ac:dyDescent="0.15">
      <c r="A1386" s="5" t="str">
        <f>HYPERLINK("https://onemount.atlassian.net/browse/DBA-3979","DBA-3979")</f>
        <v>DBA-3979</v>
      </c>
      <c r="B1386" s="6" t="s">
        <v>21</v>
      </c>
      <c r="C1386" s="6" t="s">
        <v>6286</v>
      </c>
      <c r="D1386" s="8" t="s">
        <v>17</v>
      </c>
      <c r="E1386" s="6" t="s">
        <v>23</v>
      </c>
      <c r="F1386" s="6" t="s">
        <v>52</v>
      </c>
      <c r="G1386" s="6" t="s">
        <v>6287</v>
      </c>
      <c r="H1386" s="10">
        <v>46086</v>
      </c>
      <c r="I1386" s="6" t="s">
        <v>6288</v>
      </c>
      <c r="J1386" s="6" t="s">
        <v>55</v>
      </c>
      <c r="K1386" s="6" t="s">
        <v>55</v>
      </c>
      <c r="L1386" s="6" t="s">
        <v>93</v>
      </c>
      <c r="M1386" s="6" t="s">
        <v>6289</v>
      </c>
    </row>
    <row r="1387" spans="1:13" ht="13" x14ac:dyDescent="0.15">
      <c r="A1387" s="5" t="str">
        <f>HYPERLINK("https://onemount.atlassian.net/browse/DBA-3978","DBA-3978")</f>
        <v>DBA-3978</v>
      </c>
      <c r="B1387" s="6" t="s">
        <v>21</v>
      </c>
      <c r="C1387" s="6" t="s">
        <v>6290</v>
      </c>
      <c r="D1387" s="8" t="s">
        <v>17</v>
      </c>
      <c r="E1387" s="6" t="s">
        <v>23</v>
      </c>
      <c r="F1387" s="6" t="s">
        <v>52</v>
      </c>
      <c r="G1387" s="6" t="s">
        <v>6291</v>
      </c>
      <c r="H1387" s="10">
        <v>46084</v>
      </c>
      <c r="I1387" s="6" t="s">
        <v>6292</v>
      </c>
      <c r="J1387" s="6" t="s">
        <v>5625</v>
      </c>
      <c r="K1387" s="6" t="s">
        <v>55</v>
      </c>
      <c r="L1387" s="6" t="s">
        <v>254</v>
      </c>
      <c r="M1387" s="6" t="s">
        <v>6293</v>
      </c>
    </row>
    <row r="1388" spans="1:13" ht="13" x14ac:dyDescent="0.15">
      <c r="A1388" s="5" t="str">
        <f>HYPERLINK("https://onemount.atlassian.net/browse/DBA-3977","DBA-3977")</f>
        <v>DBA-3977</v>
      </c>
      <c r="B1388" s="6" t="s">
        <v>21</v>
      </c>
      <c r="C1388" s="6" t="s">
        <v>6294</v>
      </c>
      <c r="D1388" s="8" t="s">
        <v>17</v>
      </c>
      <c r="E1388" s="6" t="s">
        <v>23</v>
      </c>
      <c r="F1388" s="6" t="s">
        <v>87</v>
      </c>
      <c r="G1388" s="6" t="s">
        <v>6295</v>
      </c>
      <c r="H1388" s="10">
        <v>46085</v>
      </c>
      <c r="I1388" s="6" t="s">
        <v>6296</v>
      </c>
      <c r="J1388" s="6" t="s">
        <v>1898</v>
      </c>
      <c r="K1388" s="6" t="s">
        <v>165</v>
      </c>
      <c r="L1388" s="6" t="s">
        <v>1097</v>
      </c>
      <c r="M1388" s="6" t="s">
        <v>6297</v>
      </c>
    </row>
    <row r="1389" spans="1:13" ht="13" x14ac:dyDescent="0.15">
      <c r="A1389" s="5" t="str">
        <f>HYPERLINK("https://onemount.atlassian.net/browse/DBA-3976","DBA-3976")</f>
        <v>DBA-3976</v>
      </c>
      <c r="B1389" s="6" t="s">
        <v>21</v>
      </c>
      <c r="C1389" s="6" t="s">
        <v>6298</v>
      </c>
      <c r="D1389" s="8" t="s">
        <v>17</v>
      </c>
      <c r="E1389" s="6" t="s">
        <v>23</v>
      </c>
      <c r="F1389" s="6" t="s">
        <v>52</v>
      </c>
      <c r="G1389" s="6" t="s">
        <v>6299</v>
      </c>
      <c r="H1389" s="10">
        <v>46084</v>
      </c>
      <c r="I1389" s="6" t="s">
        <v>6300</v>
      </c>
      <c r="J1389" s="6" t="s">
        <v>55</v>
      </c>
      <c r="K1389" s="6" t="s">
        <v>55</v>
      </c>
      <c r="L1389" s="6" t="s">
        <v>93</v>
      </c>
      <c r="M1389" s="6" t="s">
        <v>6301</v>
      </c>
    </row>
    <row r="1390" spans="1:13" ht="13" x14ac:dyDescent="0.15">
      <c r="A1390" s="5" t="str">
        <f>HYPERLINK("https://onemount.atlassian.net/browse/DBA-3974","DBA-3974")</f>
        <v>DBA-3974</v>
      </c>
      <c r="B1390" s="6" t="s">
        <v>21</v>
      </c>
      <c r="C1390" s="6" t="s">
        <v>6302</v>
      </c>
      <c r="D1390" s="8" t="s">
        <v>17</v>
      </c>
      <c r="E1390" s="6" t="s">
        <v>23</v>
      </c>
      <c r="F1390" s="6" t="s">
        <v>31</v>
      </c>
      <c r="G1390" s="6" t="s">
        <v>6303</v>
      </c>
      <c r="H1390" s="10">
        <v>46084</v>
      </c>
      <c r="I1390" s="6" t="s">
        <v>6304</v>
      </c>
      <c r="J1390" s="6" t="s">
        <v>288</v>
      </c>
      <c r="K1390" s="6" t="s">
        <v>165</v>
      </c>
      <c r="L1390" s="6" t="s">
        <v>288</v>
      </c>
      <c r="M1390" s="6" t="s">
        <v>6305</v>
      </c>
    </row>
    <row r="1391" spans="1:13" ht="13" x14ac:dyDescent="0.15">
      <c r="A1391" s="5" t="str">
        <f>HYPERLINK("https://onemount.atlassian.net/browse/DBA-3973","DBA-3973")</f>
        <v>DBA-3973</v>
      </c>
      <c r="B1391" s="6" t="s">
        <v>21</v>
      </c>
      <c r="C1391" s="6" t="s">
        <v>6306</v>
      </c>
      <c r="D1391" s="8" t="s">
        <v>17</v>
      </c>
      <c r="E1391" s="6" t="s">
        <v>23</v>
      </c>
      <c r="F1391" s="6" t="s">
        <v>87</v>
      </c>
      <c r="G1391" s="6" t="s">
        <v>6307</v>
      </c>
      <c r="H1391" s="10">
        <v>46089</v>
      </c>
      <c r="I1391" s="6" t="s">
        <v>6308</v>
      </c>
      <c r="J1391" s="6" t="s">
        <v>1091</v>
      </c>
      <c r="K1391" s="6" t="s">
        <v>165</v>
      </c>
      <c r="L1391" s="6" t="s">
        <v>1091</v>
      </c>
      <c r="M1391" s="6" t="s">
        <v>6309</v>
      </c>
    </row>
    <row r="1392" spans="1:13" ht="13" x14ac:dyDescent="0.15">
      <c r="A1392" s="5" t="str">
        <f>HYPERLINK("https://onemount.atlassian.net/browse/DBA-3972","DBA-3972")</f>
        <v>DBA-3972</v>
      </c>
      <c r="B1392" s="6" t="s">
        <v>21</v>
      </c>
      <c r="C1392" s="6" t="s">
        <v>6310</v>
      </c>
      <c r="D1392" s="8" t="s">
        <v>17</v>
      </c>
      <c r="E1392" s="6" t="s">
        <v>23</v>
      </c>
      <c r="F1392" s="6" t="s">
        <v>31</v>
      </c>
      <c r="G1392" s="6" t="s">
        <v>6311</v>
      </c>
      <c r="H1392" s="10">
        <v>46084</v>
      </c>
      <c r="I1392" s="6" t="s">
        <v>6312</v>
      </c>
      <c r="J1392" s="6" t="s">
        <v>478</v>
      </c>
      <c r="K1392" s="6" t="s">
        <v>35</v>
      </c>
      <c r="L1392" s="6" t="s">
        <v>478</v>
      </c>
      <c r="M1392" s="6" t="s">
        <v>6313</v>
      </c>
    </row>
    <row r="1393" spans="1:13" ht="13" x14ac:dyDescent="0.15">
      <c r="A1393" s="5" t="str">
        <f>HYPERLINK("https://onemount.atlassian.net/browse/DBA-3971","DBA-3971")</f>
        <v>DBA-3971</v>
      </c>
      <c r="B1393" s="6" t="s">
        <v>21</v>
      </c>
      <c r="C1393" s="6" t="s">
        <v>6314</v>
      </c>
      <c r="D1393" s="8" t="s">
        <v>17</v>
      </c>
      <c r="E1393" s="6" t="s">
        <v>23</v>
      </c>
      <c r="F1393" s="6" t="s">
        <v>41</v>
      </c>
      <c r="G1393" s="6" t="s">
        <v>6315</v>
      </c>
      <c r="H1393" s="10">
        <v>46085</v>
      </c>
      <c r="I1393" s="6" t="s">
        <v>6316</v>
      </c>
      <c r="J1393" s="6" t="s">
        <v>27</v>
      </c>
      <c r="K1393" s="6" t="s">
        <v>28</v>
      </c>
      <c r="L1393" s="6" t="s">
        <v>27</v>
      </c>
      <c r="M1393" s="6" t="s">
        <v>6317</v>
      </c>
    </row>
    <row r="1394" spans="1:13" ht="13" x14ac:dyDescent="0.15">
      <c r="A1394" s="5" t="str">
        <f>HYPERLINK("https://onemount.atlassian.net/browse/DBA-3970","DBA-3970")</f>
        <v>DBA-3970</v>
      </c>
      <c r="B1394" s="6" t="s">
        <v>21</v>
      </c>
      <c r="C1394" s="6" t="s">
        <v>6318</v>
      </c>
      <c r="D1394" s="8" t="s">
        <v>17</v>
      </c>
      <c r="E1394" s="6" t="s">
        <v>23</v>
      </c>
      <c r="F1394" s="6" t="s">
        <v>52</v>
      </c>
      <c r="G1394" s="6" t="s">
        <v>6319</v>
      </c>
      <c r="H1394" s="10">
        <v>46084</v>
      </c>
      <c r="I1394" s="6" t="s">
        <v>6320</v>
      </c>
      <c r="J1394" s="6" t="s">
        <v>56</v>
      </c>
      <c r="K1394" s="6" t="s">
        <v>55</v>
      </c>
      <c r="L1394" s="6" t="s">
        <v>56</v>
      </c>
      <c r="M1394" s="6" t="s">
        <v>6321</v>
      </c>
    </row>
    <row r="1395" spans="1:13" ht="13" x14ac:dyDescent="0.15">
      <c r="A1395" s="5" t="str">
        <f>HYPERLINK("https://onemount.atlassian.net/browse/DBA-3969","DBA-3969")</f>
        <v>DBA-3969</v>
      </c>
      <c r="B1395" s="6" t="s">
        <v>21</v>
      </c>
      <c r="C1395" s="6" t="s">
        <v>6322</v>
      </c>
      <c r="D1395" s="8" t="s">
        <v>17</v>
      </c>
      <c r="E1395" s="6" t="s">
        <v>23</v>
      </c>
      <c r="F1395" s="6" t="s">
        <v>24</v>
      </c>
      <c r="G1395" s="6" t="s">
        <v>6323</v>
      </c>
      <c r="H1395" s="10">
        <v>46084</v>
      </c>
      <c r="I1395" s="6" t="s">
        <v>6324</v>
      </c>
      <c r="J1395" s="6" t="s">
        <v>6325</v>
      </c>
      <c r="K1395" s="6" t="s">
        <v>165</v>
      </c>
      <c r="L1395" s="6" t="s">
        <v>1088</v>
      </c>
      <c r="M1395" s="6" t="s">
        <v>6326</v>
      </c>
    </row>
    <row r="1396" spans="1:13" ht="13" x14ac:dyDescent="0.15">
      <c r="A1396" s="5" t="str">
        <f>HYPERLINK("https://onemount.atlassian.net/browse/DBA-3968","DBA-3968")</f>
        <v>DBA-3968</v>
      </c>
      <c r="B1396" s="6" t="s">
        <v>21</v>
      </c>
      <c r="C1396" s="6" t="s">
        <v>6327</v>
      </c>
      <c r="D1396" s="8" t="s">
        <v>17</v>
      </c>
      <c r="E1396" s="6" t="s">
        <v>23</v>
      </c>
      <c r="F1396" s="6" t="s">
        <v>24</v>
      </c>
      <c r="G1396" s="6" t="s">
        <v>6328</v>
      </c>
      <c r="H1396" s="10">
        <v>46084</v>
      </c>
      <c r="I1396" s="6" t="s">
        <v>6329</v>
      </c>
      <c r="J1396" s="6" t="s">
        <v>6325</v>
      </c>
      <c r="K1396" s="6" t="s">
        <v>165</v>
      </c>
      <c r="L1396" s="6" t="s">
        <v>1088</v>
      </c>
      <c r="M1396" s="6" t="s">
        <v>6330</v>
      </c>
    </row>
    <row r="1397" spans="1:13" ht="13" x14ac:dyDescent="0.15">
      <c r="A1397" s="5" t="str">
        <f>HYPERLINK("https://onemount.atlassian.net/browse/DBA-3965","DBA-3965")</f>
        <v>DBA-3965</v>
      </c>
      <c r="B1397" s="6" t="s">
        <v>21</v>
      </c>
      <c r="C1397" s="6" t="s">
        <v>6331</v>
      </c>
      <c r="D1397" s="8" t="s">
        <v>17</v>
      </c>
      <c r="E1397" s="6" t="s">
        <v>23</v>
      </c>
      <c r="F1397" s="6" t="s">
        <v>31</v>
      </c>
      <c r="G1397" s="6" t="s">
        <v>6332</v>
      </c>
      <c r="H1397" s="10">
        <v>46080</v>
      </c>
      <c r="I1397" s="6" t="s">
        <v>6333</v>
      </c>
      <c r="J1397" s="6" t="s">
        <v>489</v>
      </c>
      <c r="K1397" s="6" t="s">
        <v>35</v>
      </c>
      <c r="L1397" s="6" t="s">
        <v>489</v>
      </c>
      <c r="M1397" s="6" t="s">
        <v>6334</v>
      </c>
    </row>
    <row r="1398" spans="1:13" ht="13" x14ac:dyDescent="0.15">
      <c r="A1398" s="5" t="str">
        <f>HYPERLINK("https://onemount.atlassian.net/browse/DBA-3964","DBA-3964")</f>
        <v>DBA-3964</v>
      </c>
      <c r="B1398" s="6" t="s">
        <v>21</v>
      </c>
      <c r="C1398" s="6" t="s">
        <v>6335</v>
      </c>
      <c r="D1398" s="8" t="s">
        <v>17</v>
      </c>
      <c r="E1398" s="6" t="s">
        <v>23</v>
      </c>
      <c r="F1398" s="6" t="s">
        <v>24</v>
      </c>
      <c r="G1398" s="6" t="s">
        <v>6336</v>
      </c>
      <c r="H1398" s="10">
        <v>46080</v>
      </c>
      <c r="I1398" s="6" t="s">
        <v>6337</v>
      </c>
      <c r="J1398" s="6" t="s">
        <v>6338</v>
      </c>
      <c r="K1398" s="6" t="s">
        <v>59</v>
      </c>
      <c r="L1398" s="6" t="s">
        <v>88</v>
      </c>
      <c r="M1398" s="6" t="s">
        <v>6339</v>
      </c>
    </row>
    <row r="1399" spans="1:13" ht="13" x14ac:dyDescent="0.15">
      <c r="A1399" s="5" t="str">
        <f>HYPERLINK("https://onemount.atlassian.net/browse/DBA-3963","DBA-3963")</f>
        <v>DBA-3963</v>
      </c>
      <c r="B1399" s="6" t="s">
        <v>21</v>
      </c>
      <c r="C1399" s="6" t="s">
        <v>6340</v>
      </c>
      <c r="D1399" s="8" t="s">
        <v>17</v>
      </c>
      <c r="E1399" s="6" t="s">
        <v>23</v>
      </c>
      <c r="F1399" s="6" t="s">
        <v>41</v>
      </c>
      <c r="G1399" s="6" t="s">
        <v>6341</v>
      </c>
      <c r="H1399" s="10">
        <v>46080</v>
      </c>
      <c r="I1399" s="6" t="s">
        <v>6342</v>
      </c>
      <c r="J1399" s="6" t="s">
        <v>27</v>
      </c>
      <c r="K1399" s="6" t="s">
        <v>28</v>
      </c>
      <c r="L1399" s="6" t="s">
        <v>27</v>
      </c>
      <c r="M1399" s="6" t="s">
        <v>6343</v>
      </c>
    </row>
    <row r="1400" spans="1:13" ht="13" x14ac:dyDescent="0.15">
      <c r="A1400" s="5" t="str">
        <f>HYPERLINK("https://onemount.atlassian.net/browse/DBA-3962","DBA-3962")</f>
        <v>DBA-3962</v>
      </c>
      <c r="B1400" s="6" t="s">
        <v>21</v>
      </c>
      <c r="C1400" s="6" t="s">
        <v>6344</v>
      </c>
      <c r="D1400" s="8" t="s">
        <v>17</v>
      </c>
      <c r="E1400" s="6" t="s">
        <v>23</v>
      </c>
      <c r="F1400" s="6" t="s">
        <v>52</v>
      </c>
      <c r="G1400" s="6" t="s">
        <v>6345</v>
      </c>
      <c r="H1400" s="10">
        <v>46081</v>
      </c>
      <c r="I1400" s="6" t="s">
        <v>6346</v>
      </c>
      <c r="J1400" s="6" t="s">
        <v>4792</v>
      </c>
      <c r="K1400" s="6" t="s">
        <v>55</v>
      </c>
      <c r="L1400" s="6" t="s">
        <v>270</v>
      </c>
      <c r="M1400" s="6" t="s">
        <v>6347</v>
      </c>
    </row>
    <row r="1401" spans="1:13" ht="13" x14ac:dyDescent="0.15">
      <c r="A1401" s="5" t="str">
        <f>HYPERLINK("https://onemount.atlassian.net/browse/DBA-3961","DBA-3961")</f>
        <v>DBA-3961</v>
      </c>
      <c r="B1401" s="6" t="s">
        <v>21</v>
      </c>
      <c r="C1401" s="6" t="s">
        <v>6348</v>
      </c>
      <c r="D1401" s="8" t="s">
        <v>17</v>
      </c>
      <c r="E1401" s="6" t="s">
        <v>23</v>
      </c>
      <c r="F1401" s="6" t="s">
        <v>24</v>
      </c>
      <c r="G1401" s="6" t="s">
        <v>6349</v>
      </c>
      <c r="H1401" s="10">
        <v>46080</v>
      </c>
      <c r="I1401" s="6" t="s">
        <v>6350</v>
      </c>
      <c r="J1401" s="6" t="s">
        <v>5746</v>
      </c>
      <c r="K1401" s="6" t="s">
        <v>35</v>
      </c>
      <c r="L1401" s="6" t="s">
        <v>962</v>
      </c>
      <c r="M1401" s="6" t="s">
        <v>6351</v>
      </c>
    </row>
    <row r="1402" spans="1:13" ht="13" x14ac:dyDescent="0.15">
      <c r="A1402" s="5" t="str">
        <f>HYPERLINK("https://onemount.atlassian.net/browse/DBA-3960","DBA-3960")</f>
        <v>DBA-3960</v>
      </c>
      <c r="B1402" s="6" t="s">
        <v>21</v>
      </c>
      <c r="C1402" s="6" t="s">
        <v>6352</v>
      </c>
      <c r="D1402" s="8" t="s">
        <v>17</v>
      </c>
      <c r="E1402" s="6" t="s">
        <v>23</v>
      </c>
      <c r="F1402" s="6" t="s">
        <v>41</v>
      </c>
      <c r="G1402" s="6" t="s">
        <v>6353</v>
      </c>
      <c r="H1402" s="10">
        <v>46084</v>
      </c>
      <c r="I1402" s="6" t="s">
        <v>6354</v>
      </c>
      <c r="J1402" s="6" t="s">
        <v>99</v>
      </c>
      <c r="K1402" s="6" t="s">
        <v>59</v>
      </c>
      <c r="L1402" s="6" t="s">
        <v>99</v>
      </c>
      <c r="M1402" s="6" t="s">
        <v>6355</v>
      </c>
    </row>
    <row r="1403" spans="1:13" ht="13" x14ac:dyDescent="0.15">
      <c r="A1403" s="5" t="str">
        <f>HYPERLINK("https://onemount.atlassian.net/browse/DBA-3959","DBA-3959")</f>
        <v>DBA-3959</v>
      </c>
      <c r="B1403" s="6" t="s">
        <v>21</v>
      </c>
      <c r="C1403" s="6" t="s">
        <v>6356</v>
      </c>
      <c r="D1403" s="8" t="s">
        <v>17</v>
      </c>
      <c r="E1403" s="6" t="s">
        <v>23</v>
      </c>
      <c r="F1403" s="6" t="s">
        <v>52</v>
      </c>
      <c r="G1403" s="6" t="s">
        <v>6357</v>
      </c>
      <c r="H1403" s="10">
        <v>46081</v>
      </c>
      <c r="I1403" s="6" t="s">
        <v>6358</v>
      </c>
      <c r="J1403" s="6" t="s">
        <v>2967</v>
      </c>
      <c r="K1403" s="6" t="s">
        <v>55</v>
      </c>
      <c r="L1403" s="6" t="s">
        <v>270</v>
      </c>
      <c r="M1403" s="6" t="s">
        <v>6359</v>
      </c>
    </row>
    <row r="1404" spans="1:13" ht="13" x14ac:dyDescent="0.15">
      <c r="A1404" s="5" t="str">
        <f>HYPERLINK("https://onemount.atlassian.net/browse/DBA-3958","DBA-3958")</f>
        <v>DBA-3958</v>
      </c>
      <c r="B1404" s="6" t="s">
        <v>21</v>
      </c>
      <c r="C1404" s="6" t="s">
        <v>6360</v>
      </c>
      <c r="D1404" s="8" t="s">
        <v>17</v>
      </c>
      <c r="E1404" s="6" t="s">
        <v>23</v>
      </c>
      <c r="F1404" s="6" t="s">
        <v>52</v>
      </c>
      <c r="G1404" s="6" t="s">
        <v>6361</v>
      </c>
      <c r="H1404" s="10">
        <v>46080</v>
      </c>
      <c r="I1404" s="6" t="s">
        <v>6362</v>
      </c>
      <c r="J1404" s="6" t="s">
        <v>85</v>
      </c>
      <c r="K1404" s="6" t="s">
        <v>55</v>
      </c>
      <c r="L1404" s="6" t="s">
        <v>85</v>
      </c>
      <c r="M1404" s="6" t="s">
        <v>6363</v>
      </c>
    </row>
    <row r="1405" spans="1:13" ht="13" x14ac:dyDescent="0.15">
      <c r="A1405" s="5" t="str">
        <f>HYPERLINK("https://onemount.atlassian.net/browse/DBA-3957","DBA-3957")</f>
        <v>DBA-3957</v>
      </c>
      <c r="B1405" s="6" t="s">
        <v>21</v>
      </c>
      <c r="C1405" s="6" t="s">
        <v>6364</v>
      </c>
      <c r="D1405" s="8" t="s">
        <v>17</v>
      </c>
      <c r="E1405" s="6" t="s">
        <v>23</v>
      </c>
      <c r="F1405" s="6" t="s">
        <v>31</v>
      </c>
      <c r="G1405" s="6" t="s">
        <v>6365</v>
      </c>
      <c r="H1405" s="10">
        <v>46080</v>
      </c>
      <c r="I1405" s="6" t="s">
        <v>6366</v>
      </c>
      <c r="J1405" s="6" t="s">
        <v>478</v>
      </c>
      <c r="K1405" s="6" t="s">
        <v>35</v>
      </c>
      <c r="L1405" s="6" t="s">
        <v>129</v>
      </c>
      <c r="M1405" s="6" t="s">
        <v>6367</v>
      </c>
    </row>
    <row r="1406" spans="1:13" ht="13" x14ac:dyDescent="0.15">
      <c r="A1406" s="5" t="str">
        <f>HYPERLINK("https://onemount.atlassian.net/browse/DBA-3956","DBA-3956")</f>
        <v>DBA-3956</v>
      </c>
      <c r="B1406" s="6" t="s">
        <v>21</v>
      </c>
      <c r="C1406" s="6" t="s">
        <v>6368</v>
      </c>
      <c r="D1406" s="8" t="s">
        <v>17</v>
      </c>
      <c r="E1406" s="6" t="s">
        <v>23</v>
      </c>
      <c r="F1406" s="6" t="s">
        <v>31</v>
      </c>
      <c r="G1406" s="6" t="s">
        <v>6369</v>
      </c>
      <c r="H1406" s="10">
        <v>46079</v>
      </c>
      <c r="I1406" s="6" t="s">
        <v>6370</v>
      </c>
      <c r="J1406" s="6" t="s">
        <v>55</v>
      </c>
      <c r="K1406" s="6" t="s">
        <v>55</v>
      </c>
      <c r="L1406" s="6" t="s">
        <v>93</v>
      </c>
      <c r="M1406" s="6" t="s">
        <v>6371</v>
      </c>
    </row>
    <row r="1407" spans="1:13" ht="13" x14ac:dyDescent="0.15">
      <c r="A1407" s="5" t="str">
        <f>HYPERLINK("https://onemount.atlassian.net/browse/DBA-3955","DBA-3955")</f>
        <v>DBA-3955</v>
      </c>
      <c r="B1407" s="6" t="s">
        <v>21</v>
      </c>
      <c r="C1407" s="6" t="s">
        <v>6372</v>
      </c>
      <c r="D1407" s="8" t="s">
        <v>17</v>
      </c>
      <c r="E1407" s="6" t="s">
        <v>23</v>
      </c>
      <c r="F1407" s="6" t="s">
        <v>31</v>
      </c>
      <c r="G1407" s="6" t="s">
        <v>6373</v>
      </c>
      <c r="H1407" s="10">
        <v>46079</v>
      </c>
      <c r="I1407" s="6" t="s">
        <v>6374</v>
      </c>
      <c r="J1407" s="6" t="s">
        <v>5042</v>
      </c>
      <c r="K1407" s="6" t="s">
        <v>35</v>
      </c>
      <c r="L1407" s="6" t="s">
        <v>1200</v>
      </c>
      <c r="M1407" s="6" t="s">
        <v>6375</v>
      </c>
    </row>
    <row r="1408" spans="1:13" ht="13" x14ac:dyDescent="0.15">
      <c r="A1408" s="5" t="str">
        <f>HYPERLINK("https://onemount.atlassian.net/browse/DBA-3954","DBA-3954")</f>
        <v>DBA-3954</v>
      </c>
      <c r="B1408" s="6" t="s">
        <v>21</v>
      </c>
      <c r="C1408" s="6" t="s">
        <v>6376</v>
      </c>
      <c r="D1408" s="8" t="s">
        <v>17</v>
      </c>
      <c r="E1408" s="6" t="s">
        <v>23</v>
      </c>
      <c r="F1408" s="6" t="s">
        <v>24</v>
      </c>
      <c r="G1408" s="6" t="s">
        <v>6377</v>
      </c>
      <c r="H1408" s="10">
        <v>46079</v>
      </c>
      <c r="I1408" s="6" t="s">
        <v>6378</v>
      </c>
      <c r="J1408" s="6" t="s">
        <v>88</v>
      </c>
      <c r="K1408" s="6" t="s">
        <v>59</v>
      </c>
      <c r="L1408" s="6" t="s">
        <v>88</v>
      </c>
      <c r="M1408" s="6" t="s">
        <v>6379</v>
      </c>
    </row>
    <row r="1409" spans="1:13" ht="13" x14ac:dyDescent="0.15">
      <c r="A1409" s="5" t="str">
        <f>HYPERLINK("https://onemount.atlassian.net/browse/DBA-3953","DBA-3953")</f>
        <v>DBA-3953</v>
      </c>
      <c r="B1409" s="6" t="s">
        <v>21</v>
      </c>
      <c r="C1409" s="6" t="s">
        <v>6380</v>
      </c>
      <c r="D1409" s="8" t="s">
        <v>17</v>
      </c>
      <c r="E1409" s="6" t="s">
        <v>23</v>
      </c>
      <c r="F1409" s="6" t="s">
        <v>52</v>
      </c>
      <c r="G1409" s="6" t="s">
        <v>6381</v>
      </c>
      <c r="H1409" s="10">
        <v>46080</v>
      </c>
      <c r="I1409" s="6" t="s">
        <v>6382</v>
      </c>
      <c r="J1409" s="6" t="s">
        <v>72</v>
      </c>
      <c r="K1409" s="6" t="s">
        <v>72</v>
      </c>
      <c r="L1409" s="6" t="s">
        <v>72</v>
      </c>
      <c r="M1409" s="6" t="s">
        <v>6383</v>
      </c>
    </row>
    <row r="1410" spans="1:13" ht="13" x14ac:dyDescent="0.15">
      <c r="A1410" s="5" t="str">
        <f>HYPERLINK("https://onemount.atlassian.net/browse/DBA-3952","DBA-3952")</f>
        <v>DBA-3952</v>
      </c>
      <c r="B1410" s="6" t="s">
        <v>21</v>
      </c>
      <c r="C1410" s="6" t="s">
        <v>6384</v>
      </c>
      <c r="D1410" s="8" t="s">
        <v>17</v>
      </c>
      <c r="E1410" s="6" t="s">
        <v>23</v>
      </c>
      <c r="F1410" s="6" t="s">
        <v>41</v>
      </c>
      <c r="G1410" s="6" t="s">
        <v>6385</v>
      </c>
      <c r="H1410" s="10">
        <v>46079</v>
      </c>
      <c r="I1410" s="6" t="s">
        <v>6386</v>
      </c>
      <c r="J1410" s="6" t="s">
        <v>6387</v>
      </c>
      <c r="K1410" s="6" t="s">
        <v>28</v>
      </c>
      <c r="L1410" s="6" t="s">
        <v>27</v>
      </c>
      <c r="M1410" s="6" t="s">
        <v>6388</v>
      </c>
    </row>
    <row r="1411" spans="1:13" ht="13" x14ac:dyDescent="0.15">
      <c r="A1411" s="5" t="str">
        <f>HYPERLINK("https://onemount.atlassian.net/browse/DBA-3951","DBA-3951")</f>
        <v>DBA-3951</v>
      </c>
      <c r="B1411" s="6" t="s">
        <v>21</v>
      </c>
      <c r="C1411" s="6" t="s">
        <v>6389</v>
      </c>
      <c r="D1411" s="8" t="s">
        <v>17</v>
      </c>
      <c r="E1411" s="6" t="s">
        <v>23</v>
      </c>
      <c r="F1411" s="6" t="s">
        <v>87</v>
      </c>
      <c r="G1411" s="6" t="s">
        <v>6390</v>
      </c>
      <c r="H1411" s="10">
        <v>46079</v>
      </c>
      <c r="I1411" s="6" t="s">
        <v>6391</v>
      </c>
      <c r="J1411" s="6" t="s">
        <v>1898</v>
      </c>
      <c r="K1411" s="6" t="s">
        <v>165</v>
      </c>
      <c r="L1411" s="6" t="s">
        <v>1097</v>
      </c>
      <c r="M1411" s="6" t="s">
        <v>6392</v>
      </c>
    </row>
    <row r="1412" spans="1:13" ht="13" x14ac:dyDescent="0.15">
      <c r="A1412" s="5" t="str">
        <f>HYPERLINK("https://onemount.atlassian.net/browse/DBA-3950","DBA-3950")</f>
        <v>DBA-3950</v>
      </c>
      <c r="B1412" s="6" t="s">
        <v>21</v>
      </c>
      <c r="C1412" s="6" t="s">
        <v>5887</v>
      </c>
      <c r="D1412" s="8" t="s">
        <v>17</v>
      </c>
      <c r="E1412" s="6" t="s">
        <v>23</v>
      </c>
      <c r="F1412" s="6" t="s">
        <v>52</v>
      </c>
      <c r="G1412" s="6" t="s">
        <v>6393</v>
      </c>
      <c r="H1412" s="10">
        <v>46078</v>
      </c>
      <c r="I1412" s="6" t="s">
        <v>6394</v>
      </c>
      <c r="J1412" s="6" t="s">
        <v>85</v>
      </c>
      <c r="K1412" s="6" t="s">
        <v>55</v>
      </c>
      <c r="L1412" s="6" t="s">
        <v>85</v>
      </c>
      <c r="M1412" s="6" t="s">
        <v>6395</v>
      </c>
    </row>
    <row r="1413" spans="1:13" ht="13" x14ac:dyDescent="0.15">
      <c r="A1413" s="5" t="str">
        <f>HYPERLINK("https://onemount.atlassian.net/browse/DBA-3949","DBA-3949")</f>
        <v>DBA-3949</v>
      </c>
      <c r="B1413" s="6" t="s">
        <v>21</v>
      </c>
      <c r="C1413" s="6" t="s">
        <v>6396</v>
      </c>
      <c r="D1413" s="8" t="s">
        <v>17</v>
      </c>
      <c r="E1413" s="6" t="s">
        <v>23</v>
      </c>
      <c r="F1413" s="6" t="s">
        <v>87</v>
      </c>
      <c r="G1413" s="6" t="s">
        <v>6397</v>
      </c>
      <c r="H1413" s="10">
        <v>46078</v>
      </c>
      <c r="I1413" s="6" t="s">
        <v>6398</v>
      </c>
      <c r="J1413" s="6" t="s">
        <v>1898</v>
      </c>
      <c r="K1413" s="6" t="s">
        <v>165</v>
      </c>
      <c r="L1413" s="6" t="s">
        <v>1097</v>
      </c>
      <c r="M1413" s="6" t="s">
        <v>6399</v>
      </c>
    </row>
    <row r="1414" spans="1:13" ht="13" x14ac:dyDescent="0.15">
      <c r="A1414" s="5" t="str">
        <f>HYPERLINK("https://onemount.atlassian.net/browse/DBA-3948","DBA-3948")</f>
        <v>DBA-3948</v>
      </c>
      <c r="B1414" s="6" t="s">
        <v>21</v>
      </c>
      <c r="C1414" s="6" t="s">
        <v>6400</v>
      </c>
      <c r="D1414" s="8" t="s">
        <v>17</v>
      </c>
      <c r="E1414" s="6" t="s">
        <v>23</v>
      </c>
      <c r="F1414" s="6" t="s">
        <v>87</v>
      </c>
      <c r="G1414" s="6" t="s">
        <v>6401</v>
      </c>
      <c r="H1414" s="10">
        <v>46078</v>
      </c>
      <c r="I1414" s="6" t="s">
        <v>6402</v>
      </c>
      <c r="J1414" s="6" t="s">
        <v>1898</v>
      </c>
      <c r="K1414" s="6" t="s">
        <v>165</v>
      </c>
      <c r="L1414" s="6" t="s">
        <v>1097</v>
      </c>
      <c r="M1414" s="6" t="s">
        <v>6403</v>
      </c>
    </row>
    <row r="1415" spans="1:13" ht="13" x14ac:dyDescent="0.15">
      <c r="A1415" s="5" t="str">
        <f>HYPERLINK("https://onemount.atlassian.net/browse/DBA-3946","DBA-3946")</f>
        <v>DBA-3946</v>
      </c>
      <c r="B1415" s="6" t="s">
        <v>21</v>
      </c>
      <c r="C1415" s="6" t="s">
        <v>6404</v>
      </c>
      <c r="D1415" s="8" t="s">
        <v>17</v>
      </c>
      <c r="E1415" s="6" t="s">
        <v>23</v>
      </c>
      <c r="F1415" s="6" t="s">
        <v>24</v>
      </c>
      <c r="G1415" s="6" t="s">
        <v>6405</v>
      </c>
      <c r="H1415" s="10">
        <v>46079</v>
      </c>
      <c r="I1415" s="6" t="s">
        <v>6406</v>
      </c>
      <c r="J1415" s="6" t="s">
        <v>3940</v>
      </c>
      <c r="K1415" s="6" t="s">
        <v>46</v>
      </c>
      <c r="L1415" s="6" t="s">
        <v>160</v>
      </c>
      <c r="M1415" s="6" t="s">
        <v>6407</v>
      </c>
    </row>
    <row r="1416" spans="1:13" ht="13" x14ac:dyDescent="0.15">
      <c r="A1416" s="5" t="str">
        <f>HYPERLINK("https://onemount.atlassian.net/browse/DBA-3945","DBA-3945")</f>
        <v>DBA-3945</v>
      </c>
      <c r="B1416" s="6" t="s">
        <v>21</v>
      </c>
      <c r="C1416" s="6" t="s">
        <v>6348</v>
      </c>
      <c r="D1416" s="8" t="s">
        <v>17</v>
      </c>
      <c r="E1416" s="6" t="s">
        <v>23</v>
      </c>
      <c r="F1416" s="6" t="s">
        <v>31</v>
      </c>
      <c r="G1416" s="6" t="s">
        <v>6408</v>
      </c>
      <c r="H1416" s="10">
        <v>46078</v>
      </c>
      <c r="I1416" s="6" t="s">
        <v>6409</v>
      </c>
      <c r="J1416" s="6" t="s">
        <v>5746</v>
      </c>
      <c r="K1416" s="6" t="s">
        <v>35</v>
      </c>
      <c r="L1416" s="6" t="s">
        <v>962</v>
      </c>
      <c r="M1416" s="6" t="s">
        <v>6410</v>
      </c>
    </row>
    <row r="1417" spans="1:13" ht="13" x14ac:dyDescent="0.15">
      <c r="A1417" s="21" t="str">
        <f>HYPERLINK("https://onemount.atlassian.net/browse/DBA-3944","DBA-3944")</f>
        <v>DBA-3944</v>
      </c>
      <c r="B1417" s="6" t="s">
        <v>21</v>
      </c>
      <c r="C1417" s="6" t="s">
        <v>6411</v>
      </c>
      <c r="D1417" s="8" t="s">
        <v>17</v>
      </c>
      <c r="E1417" s="6" t="s">
        <v>23</v>
      </c>
      <c r="F1417" s="6" t="s">
        <v>24</v>
      </c>
      <c r="G1417" s="6" t="s">
        <v>6412</v>
      </c>
      <c r="H1417" s="10">
        <v>46079</v>
      </c>
      <c r="I1417" s="6" t="s">
        <v>6413</v>
      </c>
      <c r="J1417" s="6" t="s">
        <v>88</v>
      </c>
      <c r="K1417" s="6" t="s">
        <v>59</v>
      </c>
      <c r="L1417" s="6" t="s">
        <v>88</v>
      </c>
      <c r="M1417" s="6" t="s">
        <v>6414</v>
      </c>
    </row>
    <row r="1418" spans="1:13" ht="13" x14ac:dyDescent="0.15">
      <c r="A1418" s="5" t="str">
        <f>HYPERLINK("https://onemount.atlassian.net/browse/DBA-3943","DBA-3943")</f>
        <v>DBA-3943</v>
      </c>
      <c r="B1418" s="6" t="s">
        <v>21</v>
      </c>
      <c r="C1418" s="6" t="s">
        <v>6415</v>
      </c>
      <c r="D1418" s="8" t="s">
        <v>17</v>
      </c>
      <c r="E1418" s="6" t="s">
        <v>23</v>
      </c>
      <c r="F1418" s="6" t="s">
        <v>24</v>
      </c>
      <c r="G1418" s="6" t="s">
        <v>6416</v>
      </c>
      <c r="H1418" s="10">
        <v>46077</v>
      </c>
      <c r="I1418" s="6" t="s">
        <v>6417</v>
      </c>
      <c r="J1418" s="6" t="s">
        <v>6418</v>
      </c>
      <c r="K1418" s="6" t="s">
        <v>46</v>
      </c>
      <c r="L1418" s="6" t="s">
        <v>119</v>
      </c>
      <c r="M1418" s="6" t="s">
        <v>6419</v>
      </c>
    </row>
    <row r="1419" spans="1:13" ht="13" x14ac:dyDescent="0.15">
      <c r="A1419" s="5" t="str">
        <f>HYPERLINK("https://onemount.atlassian.net/browse/DBA-3942","DBA-3942")</f>
        <v>DBA-3942</v>
      </c>
      <c r="B1419" s="6" t="s">
        <v>21</v>
      </c>
      <c r="C1419" s="6" t="s">
        <v>4976</v>
      </c>
      <c r="D1419" s="8" t="s">
        <v>17</v>
      </c>
      <c r="E1419" s="6" t="s">
        <v>23</v>
      </c>
      <c r="F1419" s="6" t="s">
        <v>31</v>
      </c>
      <c r="G1419" s="6" t="s">
        <v>6420</v>
      </c>
      <c r="H1419" s="10">
        <v>46077</v>
      </c>
      <c r="I1419" s="6" t="s">
        <v>6421</v>
      </c>
      <c r="J1419" s="6" t="s">
        <v>6418</v>
      </c>
      <c r="K1419" s="6" t="s">
        <v>46</v>
      </c>
      <c r="L1419" s="6" t="s">
        <v>638</v>
      </c>
      <c r="M1419" s="6" t="s">
        <v>6422</v>
      </c>
    </row>
    <row r="1420" spans="1:13" ht="13" x14ac:dyDescent="0.15">
      <c r="A1420" s="5" t="str">
        <f>HYPERLINK("https://onemount.atlassian.net/browse/DBA-3941","DBA-3941")</f>
        <v>DBA-3941</v>
      </c>
      <c r="B1420" s="6" t="s">
        <v>21</v>
      </c>
      <c r="C1420" s="6" t="s">
        <v>2322</v>
      </c>
      <c r="D1420" s="8" t="s">
        <v>17</v>
      </c>
      <c r="E1420" s="6" t="s">
        <v>23</v>
      </c>
      <c r="F1420" s="6" t="s">
        <v>41</v>
      </c>
      <c r="G1420" s="6" t="s">
        <v>6423</v>
      </c>
      <c r="H1420" s="10">
        <v>46077</v>
      </c>
      <c r="I1420" s="6" t="s">
        <v>6424</v>
      </c>
      <c r="J1420" s="6" t="s">
        <v>88</v>
      </c>
      <c r="K1420" s="6" t="s">
        <v>59</v>
      </c>
      <c r="L1420" s="6" t="s">
        <v>88</v>
      </c>
      <c r="M1420" s="6" t="s">
        <v>6425</v>
      </c>
    </row>
    <row r="1421" spans="1:13" ht="13" x14ac:dyDescent="0.15">
      <c r="A1421" s="5" t="str">
        <f>HYPERLINK("https://onemount.atlassian.net/browse/DBA-3940","DBA-3940")</f>
        <v>DBA-3940</v>
      </c>
      <c r="B1421" s="6" t="s">
        <v>21</v>
      </c>
      <c r="C1421" s="6" t="s">
        <v>6426</v>
      </c>
      <c r="D1421" s="8" t="s">
        <v>17</v>
      </c>
      <c r="E1421" s="6" t="s">
        <v>23</v>
      </c>
      <c r="F1421" s="6" t="s">
        <v>52</v>
      </c>
      <c r="G1421" s="6" t="s">
        <v>6427</v>
      </c>
      <c r="H1421" s="10">
        <v>46077</v>
      </c>
      <c r="I1421" s="6" t="s">
        <v>6428</v>
      </c>
      <c r="J1421" s="6" t="s">
        <v>2967</v>
      </c>
      <c r="K1421" s="6" t="s">
        <v>55</v>
      </c>
      <c r="L1421" s="6" t="s">
        <v>270</v>
      </c>
      <c r="M1421" s="6" t="s">
        <v>6429</v>
      </c>
    </row>
    <row r="1422" spans="1:13" ht="13" x14ac:dyDescent="0.15">
      <c r="A1422" s="5" t="str">
        <f>HYPERLINK("https://onemount.atlassian.net/browse/DBA-3939","DBA-3939")</f>
        <v>DBA-3939</v>
      </c>
      <c r="B1422" s="6" t="s">
        <v>21</v>
      </c>
      <c r="C1422" s="6" t="s">
        <v>6430</v>
      </c>
      <c r="D1422" s="8" t="s">
        <v>17</v>
      </c>
      <c r="E1422" s="6" t="s">
        <v>23</v>
      </c>
      <c r="F1422" s="6" t="s">
        <v>41</v>
      </c>
      <c r="G1422" s="6" t="s">
        <v>6431</v>
      </c>
      <c r="H1422" s="10">
        <v>46079</v>
      </c>
      <c r="I1422" s="6" t="s">
        <v>6432</v>
      </c>
      <c r="J1422" s="6" t="s">
        <v>6433</v>
      </c>
      <c r="K1422" s="6" t="s">
        <v>55</v>
      </c>
      <c r="L1422" s="6" t="s">
        <v>56</v>
      </c>
      <c r="M1422" s="6" t="s">
        <v>6434</v>
      </c>
    </row>
    <row r="1423" spans="1:13" ht="13" x14ac:dyDescent="0.15">
      <c r="A1423" s="5" t="str">
        <f>HYPERLINK("https://onemount.atlassian.net/browse/DBA-3938","DBA-3938")</f>
        <v>DBA-3938</v>
      </c>
      <c r="B1423" s="6" t="s">
        <v>21</v>
      </c>
      <c r="C1423" s="6" t="s">
        <v>6435</v>
      </c>
      <c r="D1423" s="8" t="s">
        <v>17</v>
      </c>
      <c r="E1423" s="6" t="s">
        <v>23</v>
      </c>
      <c r="F1423" s="6" t="s">
        <v>87</v>
      </c>
      <c r="G1423" s="6" t="s">
        <v>6436</v>
      </c>
      <c r="H1423" s="10">
        <v>46077</v>
      </c>
      <c r="I1423" s="6" t="s">
        <v>6437</v>
      </c>
      <c r="J1423" s="6" t="s">
        <v>1898</v>
      </c>
      <c r="K1423" s="6" t="s">
        <v>165</v>
      </c>
      <c r="L1423" s="6" t="s">
        <v>1097</v>
      </c>
      <c r="M1423" s="6" t="s">
        <v>6438</v>
      </c>
    </row>
    <row r="1424" spans="1:13" ht="13" x14ac:dyDescent="0.15">
      <c r="A1424" s="5" t="str">
        <f>HYPERLINK("https://onemount.atlassian.net/browse/DBA-3936","DBA-3936")</f>
        <v>DBA-3936</v>
      </c>
      <c r="B1424" s="6" t="s">
        <v>21</v>
      </c>
      <c r="C1424" s="6" t="s">
        <v>6439</v>
      </c>
      <c r="D1424" s="8" t="s">
        <v>17</v>
      </c>
      <c r="E1424" s="6" t="s">
        <v>23</v>
      </c>
      <c r="F1424" s="6" t="s">
        <v>31</v>
      </c>
      <c r="G1424" s="6" t="s">
        <v>6440</v>
      </c>
      <c r="H1424" s="10">
        <v>46077</v>
      </c>
      <c r="I1424" s="6" t="s">
        <v>6441</v>
      </c>
      <c r="J1424" s="6" t="s">
        <v>5042</v>
      </c>
      <c r="K1424" s="6" t="s">
        <v>35</v>
      </c>
      <c r="L1424" s="6" t="s">
        <v>1200</v>
      </c>
      <c r="M1424" s="6" t="s">
        <v>6442</v>
      </c>
    </row>
    <row r="1425" spans="1:13" ht="13" x14ac:dyDescent="0.15">
      <c r="A1425" s="5" t="str">
        <f>HYPERLINK("https://onemount.atlassian.net/browse/DBA-3935","DBA-3935")</f>
        <v>DBA-3935</v>
      </c>
      <c r="B1425" s="6" t="s">
        <v>21</v>
      </c>
      <c r="C1425" s="6" t="s">
        <v>5039</v>
      </c>
      <c r="D1425" s="8" t="s">
        <v>17</v>
      </c>
      <c r="E1425" s="6" t="s">
        <v>23</v>
      </c>
      <c r="F1425" s="6" t="s">
        <v>31</v>
      </c>
      <c r="G1425" s="6" t="s">
        <v>6443</v>
      </c>
      <c r="H1425" s="10">
        <v>46077</v>
      </c>
      <c r="I1425" s="6" t="s">
        <v>6444</v>
      </c>
      <c r="J1425" s="6" t="s">
        <v>5042</v>
      </c>
      <c r="K1425" s="6" t="s">
        <v>35</v>
      </c>
      <c r="L1425" s="6" t="s">
        <v>1200</v>
      </c>
      <c r="M1425" s="6" t="s">
        <v>6445</v>
      </c>
    </row>
    <row r="1426" spans="1:13" ht="13" x14ac:dyDescent="0.15">
      <c r="A1426" s="5" t="str">
        <f>HYPERLINK("https://onemount.atlassian.net/browse/DBA-3933","DBA-3933")</f>
        <v>DBA-3933</v>
      </c>
      <c r="B1426" s="6" t="s">
        <v>21</v>
      </c>
      <c r="C1426" s="6" t="s">
        <v>6446</v>
      </c>
      <c r="D1426" s="8" t="s">
        <v>17</v>
      </c>
      <c r="E1426" s="6" t="s">
        <v>23</v>
      </c>
      <c r="F1426" s="6" t="s">
        <v>31</v>
      </c>
      <c r="G1426" s="6" t="s">
        <v>6447</v>
      </c>
      <c r="H1426" s="10">
        <v>46078</v>
      </c>
      <c r="I1426" s="6" t="s">
        <v>6448</v>
      </c>
      <c r="J1426" s="6" t="s">
        <v>293</v>
      </c>
      <c r="K1426" s="6" t="s">
        <v>55</v>
      </c>
      <c r="L1426" s="6" t="s">
        <v>293</v>
      </c>
      <c r="M1426" s="6" t="s">
        <v>6449</v>
      </c>
    </row>
    <row r="1427" spans="1:13" ht="13" x14ac:dyDescent="0.15">
      <c r="A1427" s="5" t="str">
        <f>HYPERLINK("https://onemount.atlassian.net/browse/DBA-3916","DBA-3916")</f>
        <v>DBA-3916</v>
      </c>
      <c r="B1427" s="6" t="s">
        <v>21</v>
      </c>
      <c r="C1427" s="6" t="s">
        <v>6450</v>
      </c>
      <c r="D1427" s="8" t="s">
        <v>17</v>
      </c>
      <c r="E1427" s="6" t="s">
        <v>23</v>
      </c>
      <c r="F1427" s="6" t="s">
        <v>52</v>
      </c>
      <c r="G1427" s="6" t="s">
        <v>6451</v>
      </c>
      <c r="H1427" s="10">
        <v>46068</v>
      </c>
      <c r="I1427" s="6" t="s">
        <v>6452</v>
      </c>
      <c r="J1427" s="6" t="s">
        <v>2153</v>
      </c>
      <c r="K1427" s="6" t="s">
        <v>55</v>
      </c>
      <c r="L1427" s="6" t="s">
        <v>254</v>
      </c>
      <c r="M1427" s="6" t="s">
        <v>6453</v>
      </c>
    </row>
    <row r="1428" spans="1:13" ht="13" x14ac:dyDescent="0.15">
      <c r="A1428" s="5" t="str">
        <f>HYPERLINK("https://onemount.atlassian.net/browse/DBA-3915","DBA-3915")</f>
        <v>DBA-3915</v>
      </c>
      <c r="B1428" s="6" t="s">
        <v>21</v>
      </c>
      <c r="C1428" s="6" t="s">
        <v>6454</v>
      </c>
      <c r="D1428" s="8" t="s">
        <v>17</v>
      </c>
      <c r="E1428" s="6" t="s">
        <v>23</v>
      </c>
      <c r="F1428" s="6" t="s">
        <v>24</v>
      </c>
      <c r="G1428" s="6" t="s">
        <v>6455</v>
      </c>
      <c r="H1428" s="10">
        <v>46080</v>
      </c>
      <c r="I1428" s="6" t="s">
        <v>6456</v>
      </c>
      <c r="J1428" s="6" t="s">
        <v>2504</v>
      </c>
      <c r="K1428" s="6" t="s">
        <v>165</v>
      </c>
      <c r="L1428" s="6" t="s">
        <v>160</v>
      </c>
      <c r="M1428" s="6" t="s">
        <v>6457</v>
      </c>
    </row>
    <row r="1429" spans="1:13" ht="13" x14ac:dyDescent="0.15">
      <c r="A1429" s="5" t="str">
        <f>HYPERLINK("https://onemount.atlassian.net/browse/DBA-3914","DBA-3914")</f>
        <v>DBA-3914</v>
      </c>
      <c r="B1429" s="6" t="s">
        <v>21</v>
      </c>
      <c r="C1429" s="6" t="s">
        <v>5887</v>
      </c>
      <c r="D1429" s="8" t="s">
        <v>17</v>
      </c>
      <c r="E1429" s="6" t="s">
        <v>23</v>
      </c>
      <c r="F1429" s="6" t="s">
        <v>52</v>
      </c>
      <c r="G1429" s="6" t="s">
        <v>6458</v>
      </c>
      <c r="H1429" s="10">
        <v>46067</v>
      </c>
      <c r="I1429" s="6" t="s">
        <v>6459</v>
      </c>
      <c r="J1429" s="6" t="s">
        <v>85</v>
      </c>
      <c r="K1429" s="6" t="s">
        <v>55</v>
      </c>
      <c r="L1429" s="6" t="s">
        <v>85</v>
      </c>
      <c r="M1429" s="6" t="s">
        <v>6460</v>
      </c>
    </row>
    <row r="1430" spans="1:13" ht="13" x14ac:dyDescent="0.15">
      <c r="A1430" s="5" t="str">
        <f>HYPERLINK("https://onemount.atlassian.net/browse/DBA-3905","DBA-3905")</f>
        <v>DBA-3905</v>
      </c>
      <c r="B1430" s="6" t="s">
        <v>21</v>
      </c>
      <c r="C1430" s="6" t="s">
        <v>2481</v>
      </c>
      <c r="D1430" s="8" t="s">
        <v>17</v>
      </c>
      <c r="E1430" s="6" t="s">
        <v>23</v>
      </c>
      <c r="F1430" s="6" t="s">
        <v>52</v>
      </c>
      <c r="G1430" s="6" t="s">
        <v>6461</v>
      </c>
      <c r="H1430" s="10">
        <v>46065</v>
      </c>
      <c r="I1430" s="6" t="s">
        <v>6462</v>
      </c>
      <c r="J1430" s="6" t="s">
        <v>85</v>
      </c>
      <c r="K1430" s="6" t="s">
        <v>55</v>
      </c>
      <c r="L1430" s="6" t="s">
        <v>85</v>
      </c>
      <c r="M1430" s="6" t="s">
        <v>6463</v>
      </c>
    </row>
    <row r="1431" spans="1:13" ht="13" x14ac:dyDescent="0.15">
      <c r="A1431" s="5" t="str">
        <f>HYPERLINK("https://onemount.atlassian.net/browse/DBA-3904","DBA-3904")</f>
        <v>DBA-3904</v>
      </c>
      <c r="B1431" s="6" t="s">
        <v>21</v>
      </c>
      <c r="C1431" s="6" t="s">
        <v>6464</v>
      </c>
      <c r="D1431" s="8" t="s">
        <v>17</v>
      </c>
      <c r="E1431" s="6" t="s">
        <v>23</v>
      </c>
      <c r="F1431" s="6" t="s">
        <v>31</v>
      </c>
      <c r="G1431" s="6" t="s">
        <v>6465</v>
      </c>
      <c r="H1431" s="10">
        <v>46066</v>
      </c>
      <c r="I1431" s="6" t="s">
        <v>6466</v>
      </c>
      <c r="J1431" s="6" t="s">
        <v>1217</v>
      </c>
      <c r="K1431" s="6" t="s">
        <v>35</v>
      </c>
      <c r="L1431" s="6" t="s">
        <v>1217</v>
      </c>
      <c r="M1431" s="6" t="s">
        <v>6467</v>
      </c>
    </row>
    <row r="1432" spans="1:13" ht="13" x14ac:dyDescent="0.15">
      <c r="A1432" s="21" t="str">
        <f>HYPERLINK("https://onemount.atlassian.net/browse/DBA-3902","DBA-3902")</f>
        <v>DBA-3902</v>
      </c>
      <c r="B1432" s="6" t="s">
        <v>21</v>
      </c>
      <c r="C1432" s="6" t="s">
        <v>6468</v>
      </c>
      <c r="D1432" s="8" t="s">
        <v>17</v>
      </c>
      <c r="E1432" s="6" t="s">
        <v>23</v>
      </c>
      <c r="F1432" s="6" t="s">
        <v>41</v>
      </c>
      <c r="G1432" s="6" t="s">
        <v>6469</v>
      </c>
      <c r="H1432" s="10">
        <v>46066</v>
      </c>
      <c r="I1432" s="6" t="s">
        <v>6470</v>
      </c>
      <c r="J1432" s="6" t="s">
        <v>85</v>
      </c>
      <c r="K1432" s="6" t="s">
        <v>55</v>
      </c>
      <c r="L1432" s="6" t="s">
        <v>270</v>
      </c>
      <c r="M1432" s="6" t="s">
        <v>6471</v>
      </c>
    </row>
    <row r="1433" spans="1:13" ht="13" x14ac:dyDescent="0.15">
      <c r="A1433" s="21" t="str">
        <f>HYPERLINK("https://onemount.atlassian.net/browse/DBA-3901","DBA-3901")</f>
        <v>DBA-3901</v>
      </c>
      <c r="B1433" s="6" t="s">
        <v>21</v>
      </c>
      <c r="C1433" s="6" t="s">
        <v>6468</v>
      </c>
      <c r="D1433" s="8" t="s">
        <v>17</v>
      </c>
      <c r="E1433" s="6" t="s">
        <v>23</v>
      </c>
      <c r="F1433" s="6" t="s">
        <v>41</v>
      </c>
      <c r="G1433" s="6" t="s">
        <v>6472</v>
      </c>
      <c r="H1433" s="10">
        <v>46066</v>
      </c>
      <c r="I1433" s="6" t="s">
        <v>6473</v>
      </c>
      <c r="J1433" s="6" t="s">
        <v>85</v>
      </c>
      <c r="K1433" s="6" t="s">
        <v>55</v>
      </c>
      <c r="L1433" s="6" t="s">
        <v>270</v>
      </c>
      <c r="M1433" s="6" t="s">
        <v>6471</v>
      </c>
    </row>
    <row r="1434" spans="1:13" ht="13" x14ac:dyDescent="0.15">
      <c r="A1434" s="5" t="str">
        <f>HYPERLINK("https://onemount.atlassian.net/browse/DBA-3900","DBA-3900")</f>
        <v>DBA-3900</v>
      </c>
      <c r="B1434" s="6" t="s">
        <v>21</v>
      </c>
      <c r="C1434" s="6" t="s">
        <v>6474</v>
      </c>
      <c r="D1434" s="8" t="s">
        <v>17</v>
      </c>
      <c r="E1434" s="6" t="s">
        <v>23</v>
      </c>
      <c r="F1434" s="6" t="s">
        <v>31</v>
      </c>
      <c r="G1434" s="6" t="s">
        <v>6475</v>
      </c>
      <c r="H1434" s="10">
        <v>46064</v>
      </c>
      <c r="I1434" s="6" t="s">
        <v>6476</v>
      </c>
      <c r="J1434" s="6" t="s">
        <v>478</v>
      </c>
      <c r="K1434" s="6" t="s">
        <v>35</v>
      </c>
      <c r="L1434" s="6" t="s">
        <v>478</v>
      </c>
      <c r="M1434" s="6" t="s">
        <v>6477</v>
      </c>
    </row>
    <row r="1435" spans="1:13" ht="13" x14ac:dyDescent="0.15">
      <c r="A1435" s="5" t="str">
        <f>HYPERLINK("https://onemount.atlassian.net/browse/DBA-3898","DBA-3898")</f>
        <v>DBA-3898</v>
      </c>
      <c r="B1435" s="6" t="s">
        <v>21</v>
      </c>
      <c r="C1435" s="6" t="s">
        <v>6478</v>
      </c>
      <c r="D1435" s="8" t="s">
        <v>17</v>
      </c>
      <c r="E1435" s="6" t="s">
        <v>23</v>
      </c>
      <c r="F1435" s="6" t="s">
        <v>31</v>
      </c>
      <c r="G1435" s="6" t="s">
        <v>6479</v>
      </c>
      <c r="H1435" s="10">
        <v>46064</v>
      </c>
      <c r="I1435" s="6" t="s">
        <v>6480</v>
      </c>
      <c r="J1435" s="6" t="s">
        <v>5746</v>
      </c>
      <c r="K1435" s="6" t="s">
        <v>35</v>
      </c>
      <c r="L1435" s="6" t="s">
        <v>962</v>
      </c>
      <c r="M1435" s="6" t="s">
        <v>6481</v>
      </c>
    </row>
    <row r="1436" spans="1:13" ht="13" x14ac:dyDescent="0.15">
      <c r="A1436" s="5" t="str">
        <f>HYPERLINK("https://onemount.atlassian.net/browse/DBA-3897","DBA-3897")</f>
        <v>DBA-3897</v>
      </c>
      <c r="B1436" s="6" t="s">
        <v>21</v>
      </c>
      <c r="C1436" s="6" t="s">
        <v>6482</v>
      </c>
      <c r="D1436" s="8" t="s">
        <v>17</v>
      </c>
      <c r="E1436" s="6" t="s">
        <v>23</v>
      </c>
      <c r="F1436" s="6" t="s">
        <v>41</v>
      </c>
      <c r="G1436" s="6" t="s">
        <v>6483</v>
      </c>
      <c r="H1436" s="10">
        <v>46065</v>
      </c>
      <c r="I1436" s="6" t="s">
        <v>6484</v>
      </c>
      <c r="J1436" s="6" t="s">
        <v>56</v>
      </c>
      <c r="K1436" s="6" t="s">
        <v>55</v>
      </c>
      <c r="L1436" s="6" t="s">
        <v>56</v>
      </c>
      <c r="M1436" s="6" t="s">
        <v>6485</v>
      </c>
    </row>
    <row r="1437" spans="1:13" ht="13" x14ac:dyDescent="0.15">
      <c r="A1437" s="5" t="str">
        <f>HYPERLINK("https://onemount.atlassian.net/browse/DBA-3896","DBA-3896")</f>
        <v>DBA-3896</v>
      </c>
      <c r="B1437" s="6" t="s">
        <v>21</v>
      </c>
      <c r="C1437" s="6" t="s">
        <v>6486</v>
      </c>
      <c r="D1437" s="8" t="s">
        <v>17</v>
      </c>
      <c r="E1437" s="6" t="s">
        <v>23</v>
      </c>
      <c r="F1437" s="6" t="s">
        <v>31</v>
      </c>
      <c r="G1437" s="6" t="s">
        <v>6487</v>
      </c>
      <c r="H1437" s="10">
        <v>46060</v>
      </c>
      <c r="I1437" s="6" t="s">
        <v>6488</v>
      </c>
      <c r="J1437" s="6" t="s">
        <v>128</v>
      </c>
      <c r="K1437" s="6" t="s">
        <v>35</v>
      </c>
      <c r="L1437" s="6" t="s">
        <v>129</v>
      </c>
      <c r="M1437" s="6" t="s">
        <v>6489</v>
      </c>
    </row>
    <row r="1438" spans="1:13" ht="13" x14ac:dyDescent="0.15">
      <c r="A1438" s="5" t="str">
        <f>HYPERLINK("https://onemount.atlassian.net/browse/DBA-3893","DBA-3893")</f>
        <v>DBA-3893</v>
      </c>
      <c r="B1438" s="6" t="s">
        <v>21</v>
      </c>
      <c r="C1438" s="6" t="s">
        <v>6490</v>
      </c>
      <c r="D1438" s="8" t="s">
        <v>17</v>
      </c>
      <c r="E1438" s="6" t="s">
        <v>23</v>
      </c>
      <c r="F1438" s="6" t="s">
        <v>52</v>
      </c>
      <c r="G1438" s="6" t="s">
        <v>6491</v>
      </c>
      <c r="H1438" s="10">
        <v>46063</v>
      </c>
      <c r="I1438" s="6" t="s">
        <v>6492</v>
      </c>
      <c r="J1438" s="6" t="s">
        <v>85</v>
      </c>
      <c r="K1438" s="6" t="s">
        <v>46</v>
      </c>
      <c r="L1438" s="6" t="s">
        <v>85</v>
      </c>
      <c r="M1438" s="6" t="s">
        <v>6493</v>
      </c>
    </row>
    <row r="1439" spans="1:13" ht="13" x14ac:dyDescent="0.15">
      <c r="A1439" s="5" t="str">
        <f>HYPERLINK("https://onemount.atlassian.net/browse/DBA-3892","DBA-3892")</f>
        <v>DBA-3892</v>
      </c>
      <c r="B1439" s="6" t="s">
        <v>21</v>
      </c>
      <c r="C1439" s="6" t="s">
        <v>6494</v>
      </c>
      <c r="D1439" s="8" t="s">
        <v>17</v>
      </c>
      <c r="E1439" s="6" t="s">
        <v>23</v>
      </c>
      <c r="F1439" s="6" t="s">
        <v>31</v>
      </c>
      <c r="G1439" s="6" t="s">
        <v>6495</v>
      </c>
      <c r="H1439" s="10">
        <v>46059</v>
      </c>
      <c r="I1439" s="6" t="s">
        <v>6496</v>
      </c>
      <c r="J1439" s="6" t="s">
        <v>374</v>
      </c>
      <c r="K1439" s="6" t="s">
        <v>35</v>
      </c>
      <c r="L1439" s="6" t="s">
        <v>374</v>
      </c>
      <c r="M1439" s="6" t="s">
        <v>6497</v>
      </c>
    </row>
    <row r="1440" spans="1:13" ht="13" x14ac:dyDescent="0.15">
      <c r="A1440" s="5" t="str">
        <f>HYPERLINK("https://onemount.atlassian.net/browse/DBA-3891","DBA-3891")</f>
        <v>DBA-3891</v>
      </c>
      <c r="B1440" s="6" t="s">
        <v>21</v>
      </c>
      <c r="C1440" s="6" t="s">
        <v>6348</v>
      </c>
      <c r="D1440" s="8" t="s">
        <v>17</v>
      </c>
      <c r="E1440" s="6" t="s">
        <v>23</v>
      </c>
      <c r="F1440" s="6" t="s">
        <v>31</v>
      </c>
      <c r="G1440" s="6" t="s">
        <v>6498</v>
      </c>
      <c r="H1440" s="10">
        <v>46065</v>
      </c>
      <c r="I1440" s="6" t="s">
        <v>6499</v>
      </c>
      <c r="J1440" s="6" t="s">
        <v>49</v>
      </c>
      <c r="K1440" s="6" t="s">
        <v>35</v>
      </c>
      <c r="L1440" s="6" t="s">
        <v>49</v>
      </c>
      <c r="M1440" s="6" t="s">
        <v>6500</v>
      </c>
    </row>
    <row r="1441" spans="1:13" ht="13" x14ac:dyDescent="0.15">
      <c r="A1441" s="5" t="str">
        <f>HYPERLINK("https://onemount.atlassian.net/browse/DBA-3890","DBA-3890")</f>
        <v>DBA-3890</v>
      </c>
      <c r="B1441" s="6" t="s">
        <v>21</v>
      </c>
      <c r="C1441" s="6" t="s">
        <v>6501</v>
      </c>
      <c r="D1441" s="8" t="s">
        <v>17</v>
      </c>
      <c r="E1441" s="6" t="s">
        <v>23</v>
      </c>
      <c r="F1441" s="6" t="s">
        <v>52</v>
      </c>
      <c r="G1441" s="6" t="s">
        <v>6502</v>
      </c>
      <c r="H1441" s="10">
        <v>46064</v>
      </c>
      <c r="I1441" s="6" t="s">
        <v>6503</v>
      </c>
      <c r="J1441" s="6" t="s">
        <v>5625</v>
      </c>
      <c r="K1441" s="6" t="s">
        <v>55</v>
      </c>
      <c r="L1441" s="6" t="s">
        <v>254</v>
      </c>
      <c r="M1441" s="6" t="s">
        <v>6504</v>
      </c>
    </row>
    <row r="1442" spans="1:13" ht="13" x14ac:dyDescent="0.15">
      <c r="A1442" s="5" t="str">
        <f>HYPERLINK("https://onemount.atlassian.net/browse/DBA-3888","DBA-3888")</f>
        <v>DBA-3888</v>
      </c>
      <c r="B1442" s="6" t="s">
        <v>21</v>
      </c>
      <c r="C1442" s="6" t="s">
        <v>6505</v>
      </c>
      <c r="D1442" s="8" t="s">
        <v>17</v>
      </c>
      <c r="E1442" s="6" t="s">
        <v>23</v>
      </c>
      <c r="F1442" s="6" t="s">
        <v>24</v>
      </c>
      <c r="G1442" s="6" t="s">
        <v>6506</v>
      </c>
      <c r="H1442" s="10">
        <v>46063</v>
      </c>
      <c r="I1442" s="6" t="s">
        <v>6507</v>
      </c>
      <c r="J1442" s="6" t="s">
        <v>4792</v>
      </c>
      <c r="K1442" s="6" t="s">
        <v>55</v>
      </c>
      <c r="L1442" s="6" t="s">
        <v>270</v>
      </c>
      <c r="M1442" s="6" t="s">
        <v>6508</v>
      </c>
    </row>
    <row r="1443" spans="1:13" ht="13" x14ac:dyDescent="0.15">
      <c r="A1443" s="5" t="str">
        <f>HYPERLINK("https://onemount.atlassian.net/browse/DBA-3887","DBA-3887")</f>
        <v>DBA-3887</v>
      </c>
      <c r="B1443" s="6" t="s">
        <v>21</v>
      </c>
      <c r="C1443" s="6" t="s">
        <v>6509</v>
      </c>
      <c r="D1443" s="8" t="s">
        <v>17</v>
      </c>
      <c r="E1443" s="6" t="s">
        <v>23</v>
      </c>
      <c r="F1443" s="6" t="s">
        <v>24</v>
      </c>
      <c r="G1443" s="6" t="s">
        <v>6510</v>
      </c>
      <c r="H1443" s="10">
        <v>46064</v>
      </c>
      <c r="I1443" s="6" t="s">
        <v>6511</v>
      </c>
      <c r="J1443" s="6" t="s">
        <v>2504</v>
      </c>
      <c r="K1443" s="6" t="s">
        <v>165</v>
      </c>
      <c r="L1443" s="6" t="s">
        <v>160</v>
      </c>
      <c r="M1443" s="6" t="s">
        <v>6512</v>
      </c>
    </row>
    <row r="1444" spans="1:13" ht="13" x14ac:dyDescent="0.15">
      <c r="A1444" s="21" t="str">
        <f>HYPERLINK("https://onemount.atlassian.net/browse/DBA-3886","DBA-3886")</f>
        <v>DBA-3886</v>
      </c>
      <c r="B1444" s="6" t="s">
        <v>21</v>
      </c>
      <c r="C1444" s="6" t="s">
        <v>2684</v>
      </c>
      <c r="D1444" s="8" t="s">
        <v>17</v>
      </c>
      <c r="E1444" s="6" t="s">
        <v>23</v>
      </c>
      <c r="F1444" s="6" t="s">
        <v>52</v>
      </c>
      <c r="G1444" s="6" t="s">
        <v>6513</v>
      </c>
      <c r="H1444" s="10">
        <v>46062</v>
      </c>
      <c r="I1444" s="6" t="s">
        <v>6514</v>
      </c>
      <c r="J1444" s="6" t="s">
        <v>2687</v>
      </c>
      <c r="K1444" s="6" t="s">
        <v>46</v>
      </c>
      <c r="L1444" s="6" t="s">
        <v>404</v>
      </c>
      <c r="M1444" s="6" t="s">
        <v>6515</v>
      </c>
    </row>
    <row r="1445" spans="1:13" ht="13" x14ac:dyDescent="0.15">
      <c r="A1445" s="5" t="str">
        <f>HYPERLINK("https://onemount.atlassian.net/browse/DBA-3885","DBA-3885")</f>
        <v>DBA-3885</v>
      </c>
      <c r="B1445" s="6" t="s">
        <v>21</v>
      </c>
      <c r="C1445" s="6" t="s">
        <v>6516</v>
      </c>
      <c r="D1445" s="8" t="s">
        <v>17</v>
      </c>
      <c r="E1445" s="6" t="s">
        <v>23</v>
      </c>
      <c r="F1445" s="6" t="s">
        <v>24</v>
      </c>
      <c r="G1445" s="6" t="s">
        <v>6517</v>
      </c>
      <c r="H1445" s="10">
        <v>46062</v>
      </c>
      <c r="I1445" s="6" t="s">
        <v>6518</v>
      </c>
      <c r="J1445" s="6" t="s">
        <v>39</v>
      </c>
      <c r="K1445" s="6" t="s">
        <v>46</v>
      </c>
      <c r="L1445" s="6" t="s">
        <v>39</v>
      </c>
      <c r="M1445" s="6" t="s">
        <v>6519</v>
      </c>
    </row>
    <row r="1446" spans="1:13" ht="13" x14ac:dyDescent="0.15">
      <c r="A1446" s="5" t="str">
        <f>HYPERLINK("https://onemount.atlassian.net/browse/DBA-3884","DBA-3884")</f>
        <v>DBA-3884</v>
      </c>
      <c r="B1446" s="6" t="s">
        <v>21</v>
      </c>
      <c r="C1446" s="6" t="s">
        <v>6520</v>
      </c>
      <c r="D1446" s="8" t="s">
        <v>17</v>
      </c>
      <c r="E1446" s="6" t="s">
        <v>23</v>
      </c>
      <c r="F1446" s="6" t="s">
        <v>24</v>
      </c>
      <c r="G1446" s="6" t="s">
        <v>6521</v>
      </c>
      <c r="H1446" s="10">
        <v>46065</v>
      </c>
      <c r="I1446" s="6" t="s">
        <v>6522</v>
      </c>
      <c r="J1446" s="6" t="s">
        <v>6523</v>
      </c>
      <c r="K1446" s="6" t="s">
        <v>59</v>
      </c>
      <c r="L1446" s="6" t="s">
        <v>88</v>
      </c>
      <c r="M1446" s="6" t="s">
        <v>6524</v>
      </c>
    </row>
    <row r="1447" spans="1:13" ht="13" x14ac:dyDescent="0.15">
      <c r="A1447" s="5" t="str">
        <f>HYPERLINK("https://onemount.atlassian.net/browse/DBA-3881","DBA-3881")</f>
        <v>DBA-3881</v>
      </c>
      <c r="B1447" s="6" t="s">
        <v>21</v>
      </c>
      <c r="C1447" s="6" t="s">
        <v>6318</v>
      </c>
      <c r="D1447" s="8" t="s">
        <v>17</v>
      </c>
      <c r="E1447" s="6" t="s">
        <v>23</v>
      </c>
      <c r="F1447" s="6" t="s">
        <v>41</v>
      </c>
      <c r="G1447" s="6" t="s">
        <v>6525</v>
      </c>
      <c r="H1447" s="10">
        <v>46063</v>
      </c>
      <c r="I1447" s="6" t="s">
        <v>6526</v>
      </c>
      <c r="J1447" s="6" t="s">
        <v>56</v>
      </c>
      <c r="K1447" s="6" t="s">
        <v>55</v>
      </c>
      <c r="L1447" s="6" t="s">
        <v>56</v>
      </c>
      <c r="M1447" s="6" t="s">
        <v>6527</v>
      </c>
    </row>
    <row r="1448" spans="1:13" ht="13" x14ac:dyDescent="0.15">
      <c r="A1448" s="5" t="str">
        <f>HYPERLINK("https://onemount.atlassian.net/browse/DBA-3880","DBA-3880")</f>
        <v>DBA-3880</v>
      </c>
      <c r="B1448" s="6" t="s">
        <v>21</v>
      </c>
      <c r="C1448" s="6" t="s">
        <v>6528</v>
      </c>
      <c r="D1448" s="8" t="s">
        <v>17</v>
      </c>
      <c r="E1448" s="6" t="s">
        <v>23</v>
      </c>
      <c r="F1448" s="6" t="s">
        <v>24</v>
      </c>
      <c r="G1448" s="6" t="s">
        <v>6529</v>
      </c>
      <c r="H1448" s="10">
        <v>46060</v>
      </c>
      <c r="I1448" s="6" t="s">
        <v>6530</v>
      </c>
      <c r="J1448" s="6" t="s">
        <v>4792</v>
      </c>
      <c r="K1448" s="6" t="s">
        <v>55</v>
      </c>
      <c r="L1448" s="6" t="s">
        <v>270</v>
      </c>
      <c r="M1448" s="6" t="s">
        <v>6531</v>
      </c>
    </row>
    <row r="1449" spans="1:13" ht="13" x14ac:dyDescent="0.15">
      <c r="A1449" s="5" t="str">
        <f>HYPERLINK("https://onemount.atlassian.net/browse/DBA-3879","DBA-3879")</f>
        <v>DBA-3879</v>
      </c>
      <c r="B1449" s="6" t="s">
        <v>21</v>
      </c>
      <c r="C1449" s="6" t="s">
        <v>6532</v>
      </c>
      <c r="D1449" s="8" t="s">
        <v>17</v>
      </c>
      <c r="E1449" s="6" t="s">
        <v>23</v>
      </c>
      <c r="F1449" s="6" t="s">
        <v>87</v>
      </c>
      <c r="G1449" s="6" t="s">
        <v>6533</v>
      </c>
      <c r="H1449" s="10">
        <v>46059</v>
      </c>
      <c r="I1449" s="6" t="s">
        <v>6534</v>
      </c>
      <c r="J1449" s="6" t="s">
        <v>1898</v>
      </c>
      <c r="K1449" s="6" t="s">
        <v>165</v>
      </c>
      <c r="L1449" s="6" t="s">
        <v>1097</v>
      </c>
      <c r="M1449" s="6" t="s">
        <v>6535</v>
      </c>
    </row>
    <row r="1450" spans="1:13" ht="13" x14ac:dyDescent="0.15">
      <c r="A1450" s="5" t="str">
        <f>HYPERLINK("https://onemount.atlassian.net/browse/DBA-3878","DBA-3878")</f>
        <v>DBA-3878</v>
      </c>
      <c r="B1450" s="6" t="s">
        <v>21</v>
      </c>
      <c r="C1450" s="6" t="s">
        <v>6536</v>
      </c>
      <c r="D1450" s="8" t="s">
        <v>17</v>
      </c>
      <c r="E1450" s="6" t="s">
        <v>23</v>
      </c>
      <c r="F1450" s="6" t="s">
        <v>52</v>
      </c>
      <c r="G1450" s="6" t="s">
        <v>6537</v>
      </c>
      <c r="H1450" s="10">
        <v>46142</v>
      </c>
      <c r="I1450" s="6" t="s">
        <v>6538</v>
      </c>
      <c r="J1450" s="6" t="s">
        <v>85</v>
      </c>
      <c r="K1450" s="6" t="s">
        <v>55</v>
      </c>
      <c r="L1450" s="6" t="s">
        <v>85</v>
      </c>
      <c r="M1450" s="6" t="s">
        <v>6539</v>
      </c>
    </row>
    <row r="1451" spans="1:13" ht="13" x14ac:dyDescent="0.15">
      <c r="A1451" s="5" t="str">
        <f>HYPERLINK("https://onemount.atlassian.net/browse/DBA-3877","DBA-3877")</f>
        <v>DBA-3877</v>
      </c>
      <c r="B1451" s="6" t="s">
        <v>21</v>
      </c>
      <c r="C1451" s="6" t="s">
        <v>6540</v>
      </c>
      <c r="D1451" s="8" t="s">
        <v>17</v>
      </c>
      <c r="E1451" s="6" t="s">
        <v>23</v>
      </c>
      <c r="F1451" s="6" t="s">
        <v>52</v>
      </c>
      <c r="G1451" s="6" t="s">
        <v>6541</v>
      </c>
      <c r="H1451" s="10">
        <v>46059</v>
      </c>
      <c r="I1451" s="6" t="s">
        <v>6542</v>
      </c>
      <c r="J1451" s="6" t="s">
        <v>6543</v>
      </c>
      <c r="K1451" s="6" t="s">
        <v>55</v>
      </c>
      <c r="L1451" s="6" t="s">
        <v>855</v>
      </c>
      <c r="M1451" s="6" t="s">
        <v>6544</v>
      </c>
    </row>
    <row r="1452" spans="1:13" ht="13" x14ac:dyDescent="0.15">
      <c r="A1452" s="5" t="str">
        <f>HYPERLINK("https://onemount.atlassian.net/browse/DBA-3876","DBA-3876")</f>
        <v>DBA-3876</v>
      </c>
      <c r="B1452" s="6" t="s">
        <v>21</v>
      </c>
      <c r="C1452" s="6" t="s">
        <v>6545</v>
      </c>
      <c r="D1452" s="8" t="s">
        <v>17</v>
      </c>
      <c r="E1452" s="6" t="s">
        <v>23</v>
      </c>
      <c r="F1452" s="6" t="s">
        <v>52</v>
      </c>
      <c r="G1452" s="6" t="s">
        <v>6546</v>
      </c>
      <c r="H1452" s="10">
        <v>46059</v>
      </c>
      <c r="I1452" s="6" t="s">
        <v>6547</v>
      </c>
      <c r="J1452" s="6" t="s">
        <v>6548</v>
      </c>
      <c r="K1452" s="6" t="s">
        <v>55</v>
      </c>
      <c r="L1452" s="6" t="s">
        <v>85</v>
      </c>
      <c r="M1452" s="6" t="s">
        <v>6549</v>
      </c>
    </row>
    <row r="1453" spans="1:13" ht="13" x14ac:dyDescent="0.15">
      <c r="A1453" s="5" t="str">
        <f>HYPERLINK("https://onemount.atlassian.net/browse/DBA-3875","DBA-3875")</f>
        <v>DBA-3875</v>
      </c>
      <c r="B1453" s="6" t="s">
        <v>21</v>
      </c>
      <c r="C1453" s="6" t="s">
        <v>6550</v>
      </c>
      <c r="D1453" s="8" t="s">
        <v>17</v>
      </c>
      <c r="E1453" s="6" t="s">
        <v>23</v>
      </c>
      <c r="F1453" s="6" t="s">
        <v>52</v>
      </c>
      <c r="G1453" s="6" t="s">
        <v>6551</v>
      </c>
      <c r="H1453" s="10">
        <v>46060</v>
      </c>
      <c r="I1453" s="6" t="s">
        <v>6552</v>
      </c>
      <c r="J1453" s="6" t="s">
        <v>85</v>
      </c>
      <c r="K1453" s="6" t="s">
        <v>55</v>
      </c>
      <c r="L1453" s="6" t="s">
        <v>85</v>
      </c>
      <c r="M1453" s="6" t="s">
        <v>6553</v>
      </c>
    </row>
    <row r="1454" spans="1:13" ht="13" x14ac:dyDescent="0.15">
      <c r="A1454" s="5" t="str">
        <f>HYPERLINK("https://onemount.atlassian.net/browse/DBA-3873","DBA-3873")</f>
        <v>DBA-3873</v>
      </c>
      <c r="B1454" s="6" t="s">
        <v>21</v>
      </c>
      <c r="C1454" s="6" t="s">
        <v>6554</v>
      </c>
      <c r="D1454" s="8" t="s">
        <v>17</v>
      </c>
      <c r="E1454" s="6" t="s">
        <v>23</v>
      </c>
      <c r="F1454" s="6" t="s">
        <v>87</v>
      </c>
      <c r="G1454" s="6" t="s">
        <v>6555</v>
      </c>
      <c r="H1454" s="10">
        <v>46057</v>
      </c>
      <c r="I1454" s="6" t="s">
        <v>6556</v>
      </c>
      <c r="J1454" s="6" t="s">
        <v>1898</v>
      </c>
      <c r="K1454" s="6" t="s">
        <v>165</v>
      </c>
      <c r="L1454" s="6" t="s">
        <v>1097</v>
      </c>
      <c r="M1454" s="6" t="s">
        <v>6557</v>
      </c>
    </row>
    <row r="1455" spans="1:13" ht="13" x14ac:dyDescent="0.15">
      <c r="A1455" s="5" t="str">
        <f>HYPERLINK("https://onemount.atlassian.net/browse/DBA-3872","DBA-3872")</f>
        <v>DBA-3872</v>
      </c>
      <c r="B1455" s="6" t="s">
        <v>21</v>
      </c>
      <c r="C1455" s="6" t="s">
        <v>6558</v>
      </c>
      <c r="D1455" s="8" t="s">
        <v>17</v>
      </c>
      <c r="E1455" s="6" t="s">
        <v>23</v>
      </c>
      <c r="F1455" s="6" t="s">
        <v>24</v>
      </c>
      <c r="G1455" s="6" t="s">
        <v>6559</v>
      </c>
      <c r="H1455" s="10">
        <v>46059</v>
      </c>
      <c r="I1455" s="6" t="s">
        <v>6560</v>
      </c>
      <c r="J1455" s="6" t="s">
        <v>27</v>
      </c>
      <c r="K1455" s="6" t="s">
        <v>28</v>
      </c>
      <c r="L1455" s="6" t="s">
        <v>27</v>
      </c>
      <c r="M1455" s="6" t="s">
        <v>6561</v>
      </c>
    </row>
    <row r="1456" spans="1:13" ht="13" x14ac:dyDescent="0.15">
      <c r="A1456" s="5" t="str">
        <f>HYPERLINK("https://onemount.atlassian.net/browse/DBA-3871","DBA-3871")</f>
        <v>DBA-3871</v>
      </c>
      <c r="B1456" s="6" t="s">
        <v>21</v>
      </c>
      <c r="C1456" s="6" t="s">
        <v>6562</v>
      </c>
      <c r="D1456" s="8" t="s">
        <v>17</v>
      </c>
      <c r="E1456" s="6" t="s">
        <v>23</v>
      </c>
      <c r="F1456" s="6" t="s">
        <v>24</v>
      </c>
      <c r="G1456" s="6" t="s">
        <v>6563</v>
      </c>
      <c r="H1456" s="10">
        <v>46058</v>
      </c>
      <c r="I1456" s="6" t="s">
        <v>6564</v>
      </c>
      <c r="J1456" s="6" t="s">
        <v>4792</v>
      </c>
      <c r="K1456" s="6" t="s">
        <v>55</v>
      </c>
      <c r="L1456" s="6" t="s">
        <v>270</v>
      </c>
      <c r="M1456" s="6" t="s">
        <v>6565</v>
      </c>
    </row>
    <row r="1457" spans="1:13" ht="13" x14ac:dyDescent="0.15">
      <c r="A1457" s="21" t="str">
        <f>HYPERLINK("https://onemount.atlassian.net/browse/DBA-3870","DBA-3870")</f>
        <v>DBA-3870</v>
      </c>
      <c r="B1457" s="6" t="s">
        <v>21</v>
      </c>
      <c r="C1457" s="6" t="s">
        <v>5297</v>
      </c>
      <c r="D1457" s="8" t="s">
        <v>17</v>
      </c>
      <c r="E1457" s="6" t="s">
        <v>23</v>
      </c>
      <c r="F1457" s="6" t="s">
        <v>41</v>
      </c>
      <c r="G1457" s="6" t="s">
        <v>6566</v>
      </c>
      <c r="H1457" s="10">
        <v>46058</v>
      </c>
      <c r="I1457" s="6" t="s">
        <v>6567</v>
      </c>
      <c r="J1457" s="6" t="s">
        <v>5300</v>
      </c>
      <c r="K1457" s="6" t="s">
        <v>59</v>
      </c>
      <c r="L1457" s="6" t="s">
        <v>103</v>
      </c>
      <c r="M1457" s="6" t="s">
        <v>5301</v>
      </c>
    </row>
    <row r="1458" spans="1:13" ht="13" x14ac:dyDescent="0.15">
      <c r="A1458" s="21" t="str">
        <f>HYPERLINK("https://onemount.atlassian.net/browse/DBA-3869","DBA-3869")</f>
        <v>DBA-3869</v>
      </c>
      <c r="B1458" s="6" t="s">
        <v>21</v>
      </c>
      <c r="C1458" s="6" t="s">
        <v>6568</v>
      </c>
      <c r="D1458" s="8" t="s">
        <v>17</v>
      </c>
      <c r="E1458" s="6" t="s">
        <v>23</v>
      </c>
      <c r="F1458" s="6" t="s">
        <v>41</v>
      </c>
      <c r="G1458" s="6" t="s">
        <v>6569</v>
      </c>
      <c r="H1458" s="10">
        <v>46056</v>
      </c>
      <c r="I1458" s="6" t="s">
        <v>6570</v>
      </c>
      <c r="J1458" s="6" t="s">
        <v>85</v>
      </c>
      <c r="K1458" s="6" t="s">
        <v>55</v>
      </c>
      <c r="L1458" s="6" t="s">
        <v>85</v>
      </c>
      <c r="M1458" s="6" t="s">
        <v>6571</v>
      </c>
    </row>
    <row r="1459" spans="1:13" ht="13" x14ac:dyDescent="0.15">
      <c r="A1459" s="5" t="str">
        <f>HYPERLINK("https://onemount.atlassian.net/browse/DBA-3865","DBA-3865")</f>
        <v>DBA-3865</v>
      </c>
      <c r="B1459" s="6" t="s">
        <v>21</v>
      </c>
      <c r="C1459" s="6" t="s">
        <v>6572</v>
      </c>
      <c r="D1459" s="8" t="s">
        <v>17</v>
      </c>
      <c r="E1459" s="6" t="s">
        <v>23</v>
      </c>
      <c r="F1459" s="6" t="s">
        <v>31</v>
      </c>
      <c r="G1459" s="6" t="s">
        <v>6573</v>
      </c>
      <c r="H1459" s="10">
        <v>46057</v>
      </c>
      <c r="I1459" s="6" t="s">
        <v>6574</v>
      </c>
      <c r="J1459" s="6" t="s">
        <v>6575</v>
      </c>
      <c r="K1459" s="6" t="s">
        <v>35</v>
      </c>
      <c r="L1459" s="6" t="s">
        <v>962</v>
      </c>
      <c r="M1459" s="6" t="s">
        <v>6576</v>
      </c>
    </row>
    <row r="1460" spans="1:13" ht="13" x14ac:dyDescent="0.15">
      <c r="A1460" s="5" t="str">
        <f>HYPERLINK("https://onemount.atlassian.net/browse/DBA-3862","DBA-3862")</f>
        <v>DBA-3862</v>
      </c>
      <c r="B1460" s="6" t="s">
        <v>21</v>
      </c>
      <c r="C1460" s="6" t="s">
        <v>6577</v>
      </c>
      <c r="D1460" s="8" t="s">
        <v>17</v>
      </c>
      <c r="E1460" s="6" t="s">
        <v>23</v>
      </c>
      <c r="F1460" s="6" t="s">
        <v>87</v>
      </c>
      <c r="G1460" s="6" t="s">
        <v>6578</v>
      </c>
      <c r="H1460" s="10">
        <v>46057</v>
      </c>
      <c r="I1460" s="6" t="s">
        <v>6579</v>
      </c>
      <c r="J1460" s="6" t="s">
        <v>1898</v>
      </c>
      <c r="K1460" s="6" t="s">
        <v>165</v>
      </c>
      <c r="L1460" s="6" t="s">
        <v>1097</v>
      </c>
      <c r="M1460" s="6" t="s">
        <v>6580</v>
      </c>
    </row>
    <row r="1461" spans="1:13" ht="13" x14ac:dyDescent="0.15">
      <c r="A1461" s="5" t="str">
        <f>HYPERLINK("https://onemount.atlassian.net/browse/DBA-3861","DBA-3861")</f>
        <v>DBA-3861</v>
      </c>
      <c r="B1461" s="6" t="s">
        <v>21</v>
      </c>
      <c r="C1461" s="6" t="s">
        <v>6581</v>
      </c>
      <c r="D1461" s="8" t="s">
        <v>17</v>
      </c>
      <c r="E1461" s="6" t="s">
        <v>23</v>
      </c>
      <c r="F1461" s="6" t="s">
        <v>41</v>
      </c>
      <c r="G1461" s="6" t="s">
        <v>6582</v>
      </c>
      <c r="H1461" s="10">
        <v>46057</v>
      </c>
      <c r="I1461" s="6" t="s">
        <v>6583</v>
      </c>
      <c r="J1461" s="6" t="s">
        <v>85</v>
      </c>
      <c r="K1461" s="6" t="s">
        <v>55</v>
      </c>
      <c r="L1461" s="6" t="s">
        <v>270</v>
      </c>
      <c r="M1461" s="6" t="s">
        <v>6584</v>
      </c>
    </row>
    <row r="1462" spans="1:13" ht="13" x14ac:dyDescent="0.15">
      <c r="A1462" s="5" t="str">
        <f>HYPERLINK("https://onemount.atlassian.net/browse/DBA-3860","DBA-3860")</f>
        <v>DBA-3860</v>
      </c>
      <c r="B1462" s="6" t="s">
        <v>21</v>
      </c>
      <c r="C1462" s="6" t="s">
        <v>6585</v>
      </c>
      <c r="D1462" s="8" t="s">
        <v>17</v>
      </c>
      <c r="E1462" s="6" t="s">
        <v>23</v>
      </c>
      <c r="F1462" s="6" t="s">
        <v>52</v>
      </c>
      <c r="G1462" s="6" t="s">
        <v>6586</v>
      </c>
      <c r="H1462" s="10">
        <v>46064</v>
      </c>
      <c r="I1462" s="6" t="s">
        <v>6587</v>
      </c>
      <c r="J1462" s="6" t="s">
        <v>6588</v>
      </c>
      <c r="K1462" s="6" t="s">
        <v>72</v>
      </c>
      <c r="L1462" s="6" t="s">
        <v>233</v>
      </c>
      <c r="M1462" s="6" t="s">
        <v>6589</v>
      </c>
    </row>
    <row r="1463" spans="1:13" ht="13" x14ac:dyDescent="0.15">
      <c r="A1463" s="5" t="str">
        <f>HYPERLINK("https://onemount.atlassian.net/browse/DBA-3859","DBA-3859")</f>
        <v>DBA-3859</v>
      </c>
      <c r="B1463" s="6" t="s">
        <v>21</v>
      </c>
      <c r="C1463" s="6" t="s">
        <v>6590</v>
      </c>
      <c r="D1463" s="8" t="s">
        <v>17</v>
      </c>
      <c r="E1463" s="6" t="s">
        <v>23</v>
      </c>
      <c r="F1463" s="6" t="s">
        <v>24</v>
      </c>
      <c r="G1463" s="6" t="s">
        <v>6591</v>
      </c>
      <c r="H1463" s="10">
        <v>46058</v>
      </c>
      <c r="I1463" s="6" t="s">
        <v>6592</v>
      </c>
      <c r="J1463" s="6" t="s">
        <v>165</v>
      </c>
      <c r="K1463" s="6" t="s">
        <v>165</v>
      </c>
      <c r="L1463" s="6" t="s">
        <v>165</v>
      </c>
      <c r="M1463" s="6" t="s">
        <v>6593</v>
      </c>
    </row>
    <row r="1464" spans="1:13" ht="13" x14ac:dyDescent="0.15">
      <c r="A1464" s="5" t="str">
        <f>HYPERLINK("https://onemount.atlassian.net/browse/DBA-3858","DBA-3858")</f>
        <v>DBA-3858</v>
      </c>
      <c r="B1464" s="6" t="s">
        <v>21</v>
      </c>
      <c r="C1464" s="6" t="s">
        <v>5906</v>
      </c>
      <c r="D1464" s="8" t="s">
        <v>17</v>
      </c>
      <c r="E1464" s="6" t="s">
        <v>23</v>
      </c>
      <c r="F1464" s="6" t="s">
        <v>52</v>
      </c>
      <c r="G1464" s="6" t="s">
        <v>6594</v>
      </c>
      <c r="H1464" s="10">
        <v>46058</v>
      </c>
      <c r="I1464" s="6" t="s">
        <v>6595</v>
      </c>
      <c r="J1464" s="6" t="s">
        <v>132</v>
      </c>
      <c r="K1464" s="6" t="s">
        <v>124</v>
      </c>
      <c r="L1464" s="6" t="s">
        <v>132</v>
      </c>
      <c r="M1464" s="6" t="s">
        <v>6596</v>
      </c>
    </row>
    <row r="1465" spans="1:13" ht="13" x14ac:dyDescent="0.15">
      <c r="A1465" s="5" t="str">
        <f>HYPERLINK("https://onemount.atlassian.net/browse/DBA-3855","DBA-3855")</f>
        <v>DBA-3855</v>
      </c>
      <c r="B1465" s="6" t="s">
        <v>21</v>
      </c>
      <c r="C1465" s="6" t="s">
        <v>6577</v>
      </c>
      <c r="D1465" s="8" t="s">
        <v>17</v>
      </c>
      <c r="E1465" s="6" t="s">
        <v>23</v>
      </c>
      <c r="F1465" s="6" t="s">
        <v>87</v>
      </c>
      <c r="G1465" s="6" t="s">
        <v>6597</v>
      </c>
      <c r="H1465" s="10">
        <v>46057</v>
      </c>
      <c r="I1465" s="6" t="s">
        <v>6598</v>
      </c>
      <c r="J1465" s="6" t="s">
        <v>1898</v>
      </c>
      <c r="K1465" s="6" t="s">
        <v>165</v>
      </c>
      <c r="L1465" s="6" t="s">
        <v>1097</v>
      </c>
      <c r="M1465" s="6" t="s">
        <v>6599</v>
      </c>
    </row>
    <row r="1466" spans="1:13" ht="13" x14ac:dyDescent="0.15">
      <c r="A1466" s="5" t="str">
        <f>HYPERLINK("https://onemount.atlassian.net/browse/DBA-3854","DBA-3854")</f>
        <v>DBA-3854</v>
      </c>
      <c r="B1466" s="6" t="s">
        <v>21</v>
      </c>
      <c r="C1466" s="6" t="s">
        <v>6600</v>
      </c>
      <c r="D1466" s="8" t="s">
        <v>17</v>
      </c>
      <c r="E1466" s="6" t="s">
        <v>23</v>
      </c>
      <c r="F1466" s="6" t="s">
        <v>52</v>
      </c>
      <c r="G1466" s="6" t="s">
        <v>6601</v>
      </c>
      <c r="H1466" s="10">
        <v>46058</v>
      </c>
      <c r="I1466" s="6" t="s">
        <v>6602</v>
      </c>
      <c r="J1466" s="6" t="s">
        <v>85</v>
      </c>
      <c r="K1466" s="6" t="s">
        <v>55</v>
      </c>
      <c r="L1466" s="6" t="s">
        <v>85</v>
      </c>
      <c r="M1466" s="6" t="s">
        <v>6603</v>
      </c>
    </row>
    <row r="1467" spans="1:13" ht="13" x14ac:dyDescent="0.15">
      <c r="A1467" s="5" t="str">
        <f>HYPERLINK("https://onemount.atlassian.net/browse/DBA-3853","DBA-3853")</f>
        <v>DBA-3853</v>
      </c>
      <c r="B1467" s="6" t="s">
        <v>21</v>
      </c>
      <c r="C1467" s="6" t="s">
        <v>6604</v>
      </c>
      <c r="D1467" s="8" t="s">
        <v>17</v>
      </c>
      <c r="E1467" s="6" t="s">
        <v>23</v>
      </c>
      <c r="F1467" s="6" t="s">
        <v>31</v>
      </c>
      <c r="G1467" s="6" t="s">
        <v>6605</v>
      </c>
      <c r="H1467" s="10">
        <v>46057</v>
      </c>
      <c r="I1467" s="6" t="s">
        <v>6606</v>
      </c>
      <c r="J1467" s="6" t="s">
        <v>374</v>
      </c>
      <c r="K1467" s="6" t="s">
        <v>35</v>
      </c>
      <c r="L1467" s="6" t="s">
        <v>374</v>
      </c>
      <c r="M1467" s="6" t="s">
        <v>6607</v>
      </c>
    </row>
    <row r="1468" spans="1:13" ht="13" x14ac:dyDescent="0.15">
      <c r="A1468" s="5" t="str">
        <f>HYPERLINK("https://onemount.atlassian.net/browse/DBA-3849","DBA-3849")</f>
        <v>DBA-3849</v>
      </c>
      <c r="B1468" s="6" t="s">
        <v>21</v>
      </c>
      <c r="C1468" s="6" t="s">
        <v>1570</v>
      </c>
      <c r="D1468" s="8" t="s">
        <v>17</v>
      </c>
      <c r="E1468" s="6" t="s">
        <v>23</v>
      </c>
      <c r="F1468" s="6" t="s">
        <v>52</v>
      </c>
      <c r="G1468" s="6" t="s">
        <v>6608</v>
      </c>
      <c r="H1468" s="10">
        <v>46057</v>
      </c>
      <c r="I1468" s="6" t="s">
        <v>6609</v>
      </c>
      <c r="J1468" s="6" t="s">
        <v>1464</v>
      </c>
      <c r="K1468" s="6" t="s">
        <v>55</v>
      </c>
      <c r="L1468" s="6" t="s">
        <v>254</v>
      </c>
      <c r="M1468" s="6" t="s">
        <v>6610</v>
      </c>
    </row>
    <row r="1469" spans="1:13" ht="13" x14ac:dyDescent="0.15">
      <c r="A1469" s="5" t="str">
        <f>HYPERLINK("https://onemount.atlassian.net/browse/DBA-3848","DBA-3848")</f>
        <v>DBA-3848</v>
      </c>
      <c r="B1469" s="6" t="s">
        <v>21</v>
      </c>
      <c r="C1469" s="6" t="s">
        <v>6611</v>
      </c>
      <c r="D1469" s="8" t="s">
        <v>17</v>
      </c>
      <c r="E1469" s="6" t="s">
        <v>23</v>
      </c>
      <c r="F1469" s="6" t="s">
        <v>52</v>
      </c>
      <c r="G1469" s="6" t="s">
        <v>6612</v>
      </c>
      <c r="H1469" s="10">
        <v>46057</v>
      </c>
      <c r="I1469" s="6" t="s">
        <v>6613</v>
      </c>
      <c r="J1469" s="6" t="s">
        <v>85</v>
      </c>
      <c r="K1469" s="6" t="s">
        <v>55</v>
      </c>
      <c r="L1469" s="6" t="s">
        <v>85</v>
      </c>
      <c r="M1469" s="6" t="s">
        <v>6614</v>
      </c>
    </row>
    <row r="1470" spans="1:13" ht="13" x14ac:dyDescent="0.15">
      <c r="A1470" s="5" t="str">
        <f>HYPERLINK("https://onemount.atlassian.net/browse/DBA-3847","DBA-3847")</f>
        <v>DBA-3847</v>
      </c>
      <c r="B1470" s="6" t="s">
        <v>21</v>
      </c>
      <c r="C1470" s="6" t="s">
        <v>6615</v>
      </c>
      <c r="D1470" s="8" t="s">
        <v>17</v>
      </c>
      <c r="E1470" s="6" t="s">
        <v>23</v>
      </c>
      <c r="F1470" s="6" t="s">
        <v>52</v>
      </c>
      <c r="G1470" s="6" t="s">
        <v>6616</v>
      </c>
      <c r="H1470" s="10">
        <v>46057</v>
      </c>
      <c r="I1470" s="6" t="s">
        <v>6617</v>
      </c>
      <c r="J1470" s="6" t="s">
        <v>1464</v>
      </c>
      <c r="K1470" s="6" t="s">
        <v>55</v>
      </c>
      <c r="L1470" s="6" t="s">
        <v>254</v>
      </c>
      <c r="M1470" s="6" t="s">
        <v>6618</v>
      </c>
    </row>
    <row r="1471" spans="1:13" ht="13" x14ac:dyDescent="0.15">
      <c r="A1471" s="5" t="str">
        <f>HYPERLINK("https://onemount.atlassian.net/browse/DBA-3846","DBA-3846")</f>
        <v>DBA-3846</v>
      </c>
      <c r="B1471" s="6" t="s">
        <v>21</v>
      </c>
      <c r="C1471" s="6" t="s">
        <v>6619</v>
      </c>
      <c r="D1471" s="8" t="s">
        <v>17</v>
      </c>
      <c r="E1471" s="6" t="s">
        <v>23</v>
      </c>
      <c r="F1471" s="6" t="s">
        <v>87</v>
      </c>
      <c r="G1471" s="6" t="s">
        <v>6620</v>
      </c>
      <c r="H1471" s="10">
        <v>46056</v>
      </c>
      <c r="I1471" s="6" t="s">
        <v>6621</v>
      </c>
      <c r="J1471" s="6" t="s">
        <v>1084</v>
      </c>
      <c r="K1471" s="6" t="s">
        <v>165</v>
      </c>
      <c r="L1471" s="6" t="s">
        <v>1084</v>
      </c>
      <c r="M1471" s="6" t="s">
        <v>6622</v>
      </c>
    </row>
    <row r="1472" spans="1:13" ht="13" x14ac:dyDescent="0.15">
      <c r="A1472" s="5" t="str">
        <f>HYPERLINK("https://onemount.atlassian.net/browse/DBA-3845","DBA-3845")</f>
        <v>DBA-3845</v>
      </c>
      <c r="B1472" s="6" t="s">
        <v>21</v>
      </c>
      <c r="C1472" s="6" t="s">
        <v>6623</v>
      </c>
      <c r="D1472" s="8" t="s">
        <v>17</v>
      </c>
      <c r="E1472" s="6" t="s">
        <v>23</v>
      </c>
      <c r="F1472" s="6" t="s">
        <v>24</v>
      </c>
      <c r="G1472" s="6" t="s">
        <v>6624</v>
      </c>
      <c r="H1472" s="10">
        <v>46059</v>
      </c>
      <c r="I1472" s="6" t="s">
        <v>6625</v>
      </c>
      <c r="J1472" s="6" t="s">
        <v>55</v>
      </c>
      <c r="K1472" s="6" t="s">
        <v>55</v>
      </c>
      <c r="L1472" s="6" t="s">
        <v>55</v>
      </c>
      <c r="M1472" s="6" t="s">
        <v>6626</v>
      </c>
    </row>
    <row r="1473" spans="1:13" ht="13" x14ac:dyDescent="0.15">
      <c r="A1473" s="5" t="str">
        <f>HYPERLINK("https://onemount.atlassian.net/browse/DBA-3844","DBA-3844")</f>
        <v>DBA-3844</v>
      </c>
      <c r="B1473" s="6" t="s">
        <v>21</v>
      </c>
      <c r="C1473" s="6" t="s">
        <v>6627</v>
      </c>
      <c r="D1473" s="8" t="s">
        <v>17</v>
      </c>
      <c r="E1473" s="6" t="s">
        <v>23</v>
      </c>
      <c r="F1473" s="6" t="s">
        <v>87</v>
      </c>
      <c r="G1473" s="6" t="s">
        <v>6628</v>
      </c>
      <c r="H1473" s="10">
        <v>46057</v>
      </c>
      <c r="I1473" s="6" t="s">
        <v>6629</v>
      </c>
      <c r="J1473" s="6" t="s">
        <v>1898</v>
      </c>
      <c r="K1473" s="6" t="s">
        <v>165</v>
      </c>
      <c r="L1473" s="6" t="s">
        <v>1097</v>
      </c>
      <c r="M1473" s="6" t="s">
        <v>6630</v>
      </c>
    </row>
    <row r="1474" spans="1:13" ht="13" x14ac:dyDescent="0.15">
      <c r="A1474" s="21" t="str">
        <f>HYPERLINK("https://onemount.atlassian.net/browse/DBA-3843","DBA-3843")</f>
        <v>DBA-3843</v>
      </c>
      <c r="B1474" s="6" t="s">
        <v>21</v>
      </c>
      <c r="C1474" s="6" t="s">
        <v>6568</v>
      </c>
      <c r="D1474" s="8" t="s">
        <v>17</v>
      </c>
      <c r="E1474" s="6" t="s">
        <v>23</v>
      </c>
      <c r="F1474" s="6" t="s">
        <v>41</v>
      </c>
      <c r="G1474" s="6" t="s">
        <v>6631</v>
      </c>
      <c r="H1474" s="10">
        <v>46056</v>
      </c>
      <c r="I1474" s="6" t="s">
        <v>6632</v>
      </c>
      <c r="J1474" s="6" t="s">
        <v>85</v>
      </c>
      <c r="K1474" s="6" t="s">
        <v>55</v>
      </c>
      <c r="L1474" s="6" t="s">
        <v>85</v>
      </c>
      <c r="M1474" s="6" t="s">
        <v>6571</v>
      </c>
    </row>
    <row r="1475" spans="1:13" ht="13" x14ac:dyDescent="0.15">
      <c r="A1475" s="5" t="str">
        <f>HYPERLINK("https://onemount.atlassian.net/browse/DBA-3842","DBA-3842")</f>
        <v>DBA-3842</v>
      </c>
      <c r="B1475" s="6" t="s">
        <v>21</v>
      </c>
      <c r="C1475" s="6" t="s">
        <v>6633</v>
      </c>
      <c r="D1475" s="8" t="s">
        <v>17</v>
      </c>
      <c r="E1475" s="6" t="s">
        <v>23</v>
      </c>
      <c r="F1475" s="6" t="s">
        <v>31</v>
      </c>
      <c r="G1475" s="6" t="s">
        <v>6634</v>
      </c>
      <c r="H1475" s="10">
        <v>46055</v>
      </c>
      <c r="I1475" s="6" t="s">
        <v>6635</v>
      </c>
      <c r="J1475" s="6" t="s">
        <v>636</v>
      </c>
      <c r="K1475" s="6" t="s">
        <v>35</v>
      </c>
      <c r="L1475" s="6" t="s">
        <v>692</v>
      </c>
      <c r="M1475" s="6" t="s">
        <v>6636</v>
      </c>
    </row>
    <row r="1476" spans="1:13" ht="13" x14ac:dyDescent="0.15">
      <c r="A1476" s="5" t="str">
        <f>HYPERLINK("https://onemount.atlassian.net/browse/DBA-3841","DBA-3841")</f>
        <v>DBA-3841</v>
      </c>
      <c r="B1476" s="6" t="s">
        <v>21</v>
      </c>
      <c r="C1476" s="6" t="s">
        <v>6637</v>
      </c>
      <c r="D1476" s="8" t="s">
        <v>17</v>
      </c>
      <c r="E1476" s="6" t="s">
        <v>23</v>
      </c>
      <c r="F1476" s="6" t="s">
        <v>31</v>
      </c>
      <c r="G1476" s="6" t="s">
        <v>6638</v>
      </c>
      <c r="H1476" s="10">
        <v>46051</v>
      </c>
      <c r="I1476" s="6" t="s">
        <v>6639</v>
      </c>
      <c r="J1476" s="6" t="s">
        <v>707</v>
      </c>
      <c r="K1476" s="6" t="s">
        <v>35</v>
      </c>
      <c r="L1476" s="6" t="s">
        <v>707</v>
      </c>
      <c r="M1476" s="6" t="s">
        <v>6640</v>
      </c>
    </row>
    <row r="1477" spans="1:13" ht="13" x14ac:dyDescent="0.15">
      <c r="A1477" s="5" t="str">
        <f>HYPERLINK("https://onemount.atlassian.net/browse/DBA-3840","DBA-3840")</f>
        <v>DBA-3840</v>
      </c>
      <c r="B1477" s="6" t="s">
        <v>21</v>
      </c>
      <c r="C1477" s="6" t="s">
        <v>6641</v>
      </c>
      <c r="D1477" s="8" t="s">
        <v>17</v>
      </c>
      <c r="E1477" s="6" t="s">
        <v>23</v>
      </c>
      <c r="F1477" s="6" t="s">
        <v>31</v>
      </c>
      <c r="G1477" s="6" t="s">
        <v>6642</v>
      </c>
      <c r="H1477" s="10">
        <v>46057</v>
      </c>
      <c r="I1477" s="6" t="s">
        <v>6643</v>
      </c>
      <c r="J1477" s="6" t="s">
        <v>1464</v>
      </c>
      <c r="K1477" s="6" t="s">
        <v>55</v>
      </c>
      <c r="L1477" s="6" t="s">
        <v>254</v>
      </c>
      <c r="M1477" s="6" t="s">
        <v>6644</v>
      </c>
    </row>
    <row r="1478" spans="1:13" ht="13" x14ac:dyDescent="0.15">
      <c r="A1478" s="5" t="str">
        <f>HYPERLINK("https://onemount.atlassian.net/browse/DBA-3839","DBA-3839")</f>
        <v>DBA-3839</v>
      </c>
      <c r="B1478" s="6" t="s">
        <v>21</v>
      </c>
      <c r="C1478" s="6" t="s">
        <v>6645</v>
      </c>
      <c r="D1478" s="8" t="s">
        <v>17</v>
      </c>
      <c r="E1478" s="6" t="s">
        <v>23</v>
      </c>
      <c r="F1478" s="6" t="s">
        <v>24</v>
      </c>
      <c r="G1478" s="6" t="s">
        <v>6646</v>
      </c>
      <c r="H1478" s="10">
        <v>46057</v>
      </c>
      <c r="I1478" s="6" t="s">
        <v>6647</v>
      </c>
      <c r="J1478" s="6" t="s">
        <v>1069</v>
      </c>
      <c r="K1478" s="6" t="s">
        <v>165</v>
      </c>
      <c r="L1478" s="6" t="s">
        <v>1069</v>
      </c>
      <c r="M1478" s="6" t="s">
        <v>6648</v>
      </c>
    </row>
    <row r="1479" spans="1:13" ht="13" x14ac:dyDescent="0.15">
      <c r="A1479" s="5" t="str">
        <f>HYPERLINK("https://onemount.atlassian.net/browse/DBA-3838","DBA-3838")</f>
        <v>DBA-3838</v>
      </c>
      <c r="B1479" s="6" t="s">
        <v>21</v>
      </c>
      <c r="C1479" s="6" t="s">
        <v>6649</v>
      </c>
      <c r="D1479" s="8" t="s">
        <v>17</v>
      </c>
      <c r="E1479" s="6" t="s">
        <v>23</v>
      </c>
      <c r="F1479" s="6" t="s">
        <v>31</v>
      </c>
      <c r="G1479" s="6" t="s">
        <v>6650</v>
      </c>
      <c r="H1479" s="10">
        <v>46055</v>
      </c>
      <c r="I1479" s="6" t="s">
        <v>6651</v>
      </c>
      <c r="J1479" s="6" t="s">
        <v>707</v>
      </c>
      <c r="K1479" s="6" t="s">
        <v>35</v>
      </c>
      <c r="L1479" s="6" t="s">
        <v>707</v>
      </c>
      <c r="M1479" s="6" t="s">
        <v>6652</v>
      </c>
    </row>
    <row r="1480" spans="1:13" ht="13" x14ac:dyDescent="0.15">
      <c r="A1480" s="5" t="str">
        <f>HYPERLINK("https://onemount.atlassian.net/browse/DBA-3837","DBA-3837")</f>
        <v>DBA-3837</v>
      </c>
      <c r="B1480" s="6" t="s">
        <v>21</v>
      </c>
      <c r="C1480" s="6" t="s">
        <v>6653</v>
      </c>
      <c r="D1480" s="8" t="s">
        <v>17</v>
      </c>
      <c r="E1480" s="6" t="s">
        <v>23</v>
      </c>
      <c r="F1480" s="6" t="s">
        <v>24</v>
      </c>
      <c r="G1480" s="6" t="s">
        <v>6654</v>
      </c>
      <c r="H1480" s="10">
        <v>46056</v>
      </c>
      <c r="I1480" s="6" t="s">
        <v>6655</v>
      </c>
      <c r="J1480" s="6" t="s">
        <v>2504</v>
      </c>
      <c r="K1480" s="6" t="s">
        <v>72</v>
      </c>
      <c r="L1480" s="6" t="s">
        <v>160</v>
      </c>
      <c r="M1480" s="6" t="s">
        <v>6656</v>
      </c>
    </row>
    <row r="1481" spans="1:13" ht="13" x14ac:dyDescent="0.15">
      <c r="A1481" s="5" t="str">
        <f>HYPERLINK("https://onemount.atlassian.net/browse/DBA-3836","DBA-3836")</f>
        <v>DBA-3836</v>
      </c>
      <c r="B1481" s="6" t="s">
        <v>21</v>
      </c>
      <c r="C1481" s="6" t="s">
        <v>6657</v>
      </c>
      <c r="D1481" s="8" t="s">
        <v>17</v>
      </c>
      <c r="E1481" s="6" t="s">
        <v>23</v>
      </c>
      <c r="F1481" s="6" t="s">
        <v>41</v>
      </c>
      <c r="G1481" s="6" t="s">
        <v>6658</v>
      </c>
      <c r="H1481" s="10">
        <v>46096</v>
      </c>
      <c r="I1481" s="6" t="s">
        <v>6659</v>
      </c>
      <c r="J1481" s="6" t="s">
        <v>5300</v>
      </c>
      <c r="K1481" s="6" t="s">
        <v>59</v>
      </c>
      <c r="L1481" s="6" t="s">
        <v>103</v>
      </c>
      <c r="M1481" s="6" t="s">
        <v>6660</v>
      </c>
    </row>
    <row r="1482" spans="1:13" ht="13" x14ac:dyDescent="0.15">
      <c r="A1482" s="5" t="str">
        <f>HYPERLINK("https://onemount.atlassian.net/browse/DBA-3829","DBA-3829")</f>
        <v>DBA-3829</v>
      </c>
      <c r="B1482" s="6" t="s">
        <v>21</v>
      </c>
      <c r="C1482" s="6" t="s">
        <v>6661</v>
      </c>
      <c r="D1482" s="8" t="s">
        <v>17</v>
      </c>
      <c r="E1482" s="6" t="s">
        <v>23</v>
      </c>
      <c r="F1482" s="6" t="s">
        <v>31</v>
      </c>
      <c r="G1482" s="6" t="s">
        <v>6662</v>
      </c>
      <c r="H1482" s="10">
        <v>46054</v>
      </c>
      <c r="I1482" s="6" t="s">
        <v>6663</v>
      </c>
      <c r="J1482" s="6" t="s">
        <v>6664</v>
      </c>
      <c r="K1482" s="6" t="s">
        <v>35</v>
      </c>
      <c r="L1482" s="6" t="s">
        <v>1193</v>
      </c>
      <c r="M1482" s="6" t="s">
        <v>6665</v>
      </c>
    </row>
    <row r="1483" spans="1:13" ht="13" x14ac:dyDescent="0.15">
      <c r="A1483" s="5" t="str">
        <f>HYPERLINK("https://onemount.atlassian.net/browse/DBA-3824","DBA-3824")</f>
        <v>DBA-3824</v>
      </c>
      <c r="B1483" s="6" t="s">
        <v>21</v>
      </c>
      <c r="C1483" s="6" t="s">
        <v>6666</v>
      </c>
      <c r="D1483" s="8" t="s">
        <v>17</v>
      </c>
      <c r="E1483" s="6" t="s">
        <v>23</v>
      </c>
      <c r="F1483" s="6" t="s">
        <v>41</v>
      </c>
      <c r="G1483" s="6" t="s">
        <v>6667</v>
      </c>
      <c r="H1483" s="10">
        <v>46055</v>
      </c>
      <c r="I1483" s="6" t="s">
        <v>6668</v>
      </c>
      <c r="J1483" s="6" t="s">
        <v>85</v>
      </c>
      <c r="K1483" s="6" t="s">
        <v>55</v>
      </c>
      <c r="L1483" s="6" t="s">
        <v>85</v>
      </c>
      <c r="M1483" s="6" t="s">
        <v>6669</v>
      </c>
    </row>
    <row r="1484" spans="1:13" ht="13" x14ac:dyDescent="0.15">
      <c r="A1484" s="5" t="str">
        <f>HYPERLINK("https://onemount.atlassian.net/browse/DBA-3823","DBA-3823")</f>
        <v>DBA-3823</v>
      </c>
      <c r="B1484" s="6" t="s">
        <v>21</v>
      </c>
      <c r="C1484" s="6" t="s">
        <v>6670</v>
      </c>
      <c r="D1484" s="8" t="s">
        <v>17</v>
      </c>
      <c r="E1484" s="6" t="s">
        <v>23</v>
      </c>
      <c r="F1484" s="6" t="s">
        <v>87</v>
      </c>
      <c r="G1484" s="6" t="s">
        <v>6671</v>
      </c>
      <c r="H1484" s="10">
        <v>46056</v>
      </c>
      <c r="I1484" s="6" t="s">
        <v>6672</v>
      </c>
      <c r="J1484" s="6" t="s">
        <v>1898</v>
      </c>
      <c r="K1484" s="6" t="s">
        <v>165</v>
      </c>
      <c r="L1484" s="6" t="s">
        <v>1097</v>
      </c>
      <c r="M1484" s="6" t="s">
        <v>6673</v>
      </c>
    </row>
    <row r="1485" spans="1:13" ht="13" x14ac:dyDescent="0.15">
      <c r="A1485" s="5" t="str">
        <f>HYPERLINK("https://onemount.atlassian.net/browse/DBA-3822","DBA-3822")</f>
        <v>DBA-3822</v>
      </c>
      <c r="B1485" s="6" t="s">
        <v>21</v>
      </c>
      <c r="C1485" s="6" t="s">
        <v>6674</v>
      </c>
      <c r="D1485" s="8" t="s">
        <v>17</v>
      </c>
      <c r="E1485" s="6" t="s">
        <v>23</v>
      </c>
      <c r="F1485" s="6" t="s">
        <v>87</v>
      </c>
      <c r="G1485" s="6" t="s">
        <v>6675</v>
      </c>
      <c r="H1485" s="10">
        <v>46056</v>
      </c>
      <c r="I1485" s="6" t="s">
        <v>6676</v>
      </c>
      <c r="J1485" s="6" t="s">
        <v>1898</v>
      </c>
      <c r="K1485" s="6" t="s">
        <v>165</v>
      </c>
      <c r="L1485" s="6" t="s">
        <v>1097</v>
      </c>
      <c r="M1485" s="6" t="s">
        <v>6677</v>
      </c>
    </row>
    <row r="1486" spans="1:13" ht="13" x14ac:dyDescent="0.15">
      <c r="A1486" s="5" t="str">
        <f>HYPERLINK("https://onemount.atlassian.net/browse/DBA-3812","DBA-3812")</f>
        <v>DBA-3812</v>
      </c>
      <c r="B1486" s="6" t="s">
        <v>21</v>
      </c>
      <c r="C1486" s="6" t="s">
        <v>6678</v>
      </c>
      <c r="D1486" s="8" t="s">
        <v>17</v>
      </c>
      <c r="E1486" s="6" t="s">
        <v>23</v>
      </c>
      <c r="F1486" s="6" t="s">
        <v>31</v>
      </c>
      <c r="G1486" s="6" t="s">
        <v>6679</v>
      </c>
      <c r="H1486" s="10">
        <v>46051</v>
      </c>
      <c r="I1486" s="6" t="s">
        <v>6680</v>
      </c>
      <c r="J1486" s="6" t="s">
        <v>1187</v>
      </c>
      <c r="K1486" s="6" t="s">
        <v>35</v>
      </c>
      <c r="L1486" s="6" t="s">
        <v>1187</v>
      </c>
      <c r="M1486" s="6" t="s">
        <v>6681</v>
      </c>
    </row>
    <row r="1487" spans="1:13" ht="13" x14ac:dyDescent="0.15">
      <c r="A1487" s="5" t="str">
        <f>HYPERLINK("https://onemount.atlassian.net/browse/DBA-3811","DBA-3811")</f>
        <v>DBA-3811</v>
      </c>
      <c r="B1487" s="6" t="s">
        <v>21</v>
      </c>
      <c r="C1487" s="6" t="s">
        <v>6682</v>
      </c>
      <c r="D1487" s="8" t="s">
        <v>17</v>
      </c>
      <c r="E1487" s="6" t="s">
        <v>23</v>
      </c>
      <c r="F1487" s="6" t="s">
        <v>52</v>
      </c>
      <c r="G1487" s="6" t="s">
        <v>6683</v>
      </c>
      <c r="H1487" s="10">
        <v>46051</v>
      </c>
      <c r="I1487" s="6" t="s">
        <v>6684</v>
      </c>
      <c r="J1487" s="6" t="s">
        <v>270</v>
      </c>
      <c r="K1487" s="6" t="s">
        <v>55</v>
      </c>
      <c r="L1487" s="6" t="s">
        <v>270</v>
      </c>
      <c r="M1487" s="6" t="s">
        <v>6685</v>
      </c>
    </row>
    <row r="1488" spans="1:13" ht="13" x14ac:dyDescent="0.15">
      <c r="A1488" s="5" t="str">
        <f>HYPERLINK("https://onemount.atlassian.net/browse/DBA-3810","DBA-3810")</f>
        <v>DBA-3810</v>
      </c>
      <c r="B1488" s="6" t="s">
        <v>21</v>
      </c>
      <c r="C1488" s="6" t="s">
        <v>6686</v>
      </c>
      <c r="D1488" s="8" t="s">
        <v>17</v>
      </c>
      <c r="E1488" s="6" t="s">
        <v>23</v>
      </c>
      <c r="F1488" s="6" t="s">
        <v>31</v>
      </c>
      <c r="G1488" s="6" t="s">
        <v>6687</v>
      </c>
      <c r="H1488" s="10">
        <v>46051</v>
      </c>
      <c r="I1488" s="6" t="s">
        <v>6688</v>
      </c>
      <c r="J1488" s="6" t="s">
        <v>6689</v>
      </c>
      <c r="K1488" s="6" t="s">
        <v>35</v>
      </c>
      <c r="L1488" s="6" t="s">
        <v>1197</v>
      </c>
      <c r="M1488" s="6" t="s">
        <v>6690</v>
      </c>
    </row>
    <row r="1489" spans="1:13" ht="13" x14ac:dyDescent="0.15">
      <c r="A1489" s="5" t="str">
        <f>HYPERLINK("https://onemount.atlassian.net/browse/DBA-3808","DBA-3808")</f>
        <v>DBA-3808</v>
      </c>
      <c r="B1489" s="6" t="s">
        <v>21</v>
      </c>
      <c r="C1489" s="6" t="s">
        <v>6691</v>
      </c>
      <c r="D1489" s="8" t="s">
        <v>17</v>
      </c>
      <c r="E1489" s="6" t="s">
        <v>23</v>
      </c>
      <c r="F1489" s="6" t="s">
        <v>52</v>
      </c>
      <c r="G1489" s="6" t="s">
        <v>6692</v>
      </c>
      <c r="H1489" s="10">
        <v>46051</v>
      </c>
      <c r="I1489" s="6" t="s">
        <v>6693</v>
      </c>
      <c r="J1489" s="6" t="s">
        <v>6543</v>
      </c>
      <c r="K1489" s="6" t="s">
        <v>55</v>
      </c>
      <c r="L1489" s="6" t="s">
        <v>855</v>
      </c>
      <c r="M1489" s="6" t="s">
        <v>6694</v>
      </c>
    </row>
    <row r="1490" spans="1:13" ht="13" x14ac:dyDescent="0.15">
      <c r="A1490" s="5" t="str">
        <f>HYPERLINK("https://onemount.atlassian.net/browse/DBA-3802","DBA-3802")</f>
        <v>DBA-3802</v>
      </c>
      <c r="B1490" s="6" t="s">
        <v>21</v>
      </c>
      <c r="C1490" s="6" t="s">
        <v>2263</v>
      </c>
      <c r="D1490" s="8" t="s">
        <v>17</v>
      </c>
      <c r="E1490" s="6" t="s">
        <v>23</v>
      </c>
      <c r="F1490" s="6" t="s">
        <v>31</v>
      </c>
      <c r="G1490" s="6" t="s">
        <v>6695</v>
      </c>
      <c r="H1490" s="10">
        <v>46052</v>
      </c>
      <c r="I1490" s="6" t="s">
        <v>6696</v>
      </c>
      <c r="J1490" s="6" t="s">
        <v>55</v>
      </c>
      <c r="K1490" s="6" t="s">
        <v>55</v>
      </c>
      <c r="L1490" s="6" t="s">
        <v>55</v>
      </c>
      <c r="M1490" s="6" t="s">
        <v>6697</v>
      </c>
    </row>
    <row r="1491" spans="1:13" ht="13" x14ac:dyDescent="0.15">
      <c r="A1491" s="5" t="str">
        <f>HYPERLINK("https://onemount.atlassian.net/browse/DBA-3801","DBA-3801")</f>
        <v>DBA-3801</v>
      </c>
      <c r="B1491" s="6" t="s">
        <v>21</v>
      </c>
      <c r="C1491" s="6" t="s">
        <v>6698</v>
      </c>
      <c r="D1491" s="8" t="s">
        <v>17</v>
      </c>
      <c r="E1491" s="6" t="s">
        <v>23</v>
      </c>
      <c r="F1491" s="6" t="s">
        <v>87</v>
      </c>
      <c r="G1491" s="6" t="s">
        <v>6699</v>
      </c>
      <c r="H1491" s="10">
        <v>46051</v>
      </c>
      <c r="I1491" s="6" t="s">
        <v>6700</v>
      </c>
      <c r="J1491" s="6" t="s">
        <v>1898</v>
      </c>
      <c r="K1491" s="6" t="s">
        <v>165</v>
      </c>
      <c r="L1491" s="6" t="s">
        <v>1097</v>
      </c>
      <c r="M1491" s="6" t="s">
        <v>6701</v>
      </c>
    </row>
    <row r="1492" spans="1:13" ht="13" x14ac:dyDescent="0.15">
      <c r="A1492" s="5" t="str">
        <f>HYPERLINK("https://onemount.atlassian.net/browse/DBA-3800","DBA-3800")</f>
        <v>DBA-3800</v>
      </c>
      <c r="B1492" s="6" t="s">
        <v>21</v>
      </c>
      <c r="C1492" s="6" t="s">
        <v>6702</v>
      </c>
      <c r="D1492" s="8" t="s">
        <v>17</v>
      </c>
      <c r="E1492" s="6" t="s">
        <v>23</v>
      </c>
      <c r="F1492" s="6" t="s">
        <v>31</v>
      </c>
      <c r="G1492" s="6" t="s">
        <v>6703</v>
      </c>
      <c r="H1492" s="10">
        <v>46050</v>
      </c>
      <c r="I1492" s="6" t="s">
        <v>6704</v>
      </c>
      <c r="J1492" s="6" t="s">
        <v>5746</v>
      </c>
      <c r="K1492" s="6" t="s">
        <v>35</v>
      </c>
      <c r="L1492" s="6" t="s">
        <v>962</v>
      </c>
      <c r="M1492" s="6" t="s">
        <v>6705</v>
      </c>
    </row>
    <row r="1493" spans="1:13" ht="13" x14ac:dyDescent="0.15">
      <c r="A1493" s="5" t="str">
        <f>HYPERLINK("https://onemount.atlassian.net/browse/DBA-3799","DBA-3799")</f>
        <v>DBA-3799</v>
      </c>
      <c r="B1493" s="6" t="s">
        <v>21</v>
      </c>
      <c r="C1493" s="6" t="s">
        <v>6706</v>
      </c>
      <c r="D1493" s="8" t="s">
        <v>17</v>
      </c>
      <c r="E1493" s="6" t="s">
        <v>23</v>
      </c>
      <c r="F1493" s="6" t="s">
        <v>41</v>
      </c>
      <c r="G1493" s="6" t="s">
        <v>6707</v>
      </c>
      <c r="H1493" s="10">
        <v>46050</v>
      </c>
      <c r="I1493" s="6" t="s">
        <v>6708</v>
      </c>
      <c r="J1493" s="6" t="s">
        <v>1143</v>
      </c>
      <c r="K1493" s="6" t="s">
        <v>28</v>
      </c>
      <c r="L1493" s="6" t="s">
        <v>1143</v>
      </c>
      <c r="M1493" s="6" t="s">
        <v>6709</v>
      </c>
    </row>
    <row r="1494" spans="1:13" ht="13" x14ac:dyDescent="0.15">
      <c r="A1494" s="5" t="str">
        <f>HYPERLINK("https://onemount.atlassian.net/browse/DBA-3798","DBA-3798")</f>
        <v>DBA-3798</v>
      </c>
      <c r="B1494" s="6" t="s">
        <v>21</v>
      </c>
      <c r="C1494" s="6" t="s">
        <v>6710</v>
      </c>
      <c r="D1494" s="8" t="s">
        <v>17</v>
      </c>
      <c r="E1494" s="6" t="s">
        <v>23</v>
      </c>
      <c r="F1494" s="6" t="s">
        <v>87</v>
      </c>
      <c r="G1494" s="6" t="s">
        <v>6711</v>
      </c>
      <c r="H1494" s="10">
        <v>46062</v>
      </c>
      <c r="I1494" s="6" t="s">
        <v>6712</v>
      </c>
      <c r="J1494" s="6" t="s">
        <v>1091</v>
      </c>
      <c r="K1494" s="6" t="s">
        <v>165</v>
      </c>
      <c r="L1494" s="6" t="s">
        <v>1091</v>
      </c>
      <c r="M1494" s="6" t="s">
        <v>6713</v>
      </c>
    </row>
    <row r="1495" spans="1:13" ht="13" x14ac:dyDescent="0.15">
      <c r="A1495" s="5" t="str">
        <f>HYPERLINK("https://onemount.atlassian.net/browse/DBA-3797","DBA-3797")</f>
        <v>DBA-3797</v>
      </c>
      <c r="B1495" s="6" t="s">
        <v>21</v>
      </c>
      <c r="C1495" s="6" t="s">
        <v>6714</v>
      </c>
      <c r="D1495" s="8" t="s">
        <v>17</v>
      </c>
      <c r="E1495" s="6" t="s">
        <v>23</v>
      </c>
      <c r="F1495" s="6" t="s">
        <v>87</v>
      </c>
      <c r="G1495" s="6" t="s">
        <v>6715</v>
      </c>
      <c r="H1495" s="10">
        <v>46051</v>
      </c>
      <c r="I1495" s="6" t="s">
        <v>6716</v>
      </c>
      <c r="J1495" s="6" t="s">
        <v>1898</v>
      </c>
      <c r="K1495" s="6" t="s">
        <v>165</v>
      </c>
      <c r="L1495" s="6" t="s">
        <v>1097</v>
      </c>
      <c r="M1495" s="6" t="s">
        <v>6717</v>
      </c>
    </row>
    <row r="1496" spans="1:13" ht="13" x14ac:dyDescent="0.15">
      <c r="A1496" s="5" t="str">
        <f>HYPERLINK("https://onemount.atlassian.net/browse/DBA-3796","DBA-3796")</f>
        <v>DBA-3796</v>
      </c>
      <c r="B1496" s="6" t="s">
        <v>21</v>
      </c>
      <c r="C1496" s="6" t="s">
        <v>6718</v>
      </c>
      <c r="D1496" s="8" t="s">
        <v>17</v>
      </c>
      <c r="E1496" s="6" t="s">
        <v>23</v>
      </c>
      <c r="F1496" s="6" t="s">
        <v>52</v>
      </c>
      <c r="G1496" s="6" t="s">
        <v>6719</v>
      </c>
      <c r="H1496" s="10">
        <v>46050</v>
      </c>
      <c r="I1496" s="6" t="s">
        <v>6720</v>
      </c>
      <c r="J1496" s="6" t="s">
        <v>85</v>
      </c>
      <c r="K1496" s="6" t="s">
        <v>55</v>
      </c>
      <c r="L1496" s="6" t="s">
        <v>85</v>
      </c>
      <c r="M1496" s="6" t="s">
        <v>6721</v>
      </c>
    </row>
    <row r="1497" spans="1:13" ht="13" x14ac:dyDescent="0.15">
      <c r="A1497" s="5" t="str">
        <f>HYPERLINK("https://onemount.atlassian.net/browse/DBA-3795","DBA-3795")</f>
        <v>DBA-3795</v>
      </c>
      <c r="B1497" s="6" t="s">
        <v>21</v>
      </c>
      <c r="C1497" s="6" t="s">
        <v>6722</v>
      </c>
      <c r="D1497" s="8" t="s">
        <v>17</v>
      </c>
      <c r="E1497" s="6" t="s">
        <v>23</v>
      </c>
      <c r="F1497" s="6" t="s">
        <v>87</v>
      </c>
      <c r="G1497" s="6" t="s">
        <v>6723</v>
      </c>
      <c r="H1497" s="10">
        <v>46050</v>
      </c>
      <c r="I1497" s="6" t="s">
        <v>6724</v>
      </c>
      <c r="J1497" s="6" t="s">
        <v>2453</v>
      </c>
      <c r="K1497" s="6" t="s">
        <v>165</v>
      </c>
      <c r="L1497" s="6" t="s">
        <v>119</v>
      </c>
      <c r="M1497" s="6" t="s">
        <v>6725</v>
      </c>
    </row>
    <row r="1498" spans="1:13" ht="13" x14ac:dyDescent="0.15">
      <c r="A1498" s="5" t="str">
        <f>HYPERLINK("https://onemount.atlassian.net/browse/DBA-3792","DBA-3792")</f>
        <v>DBA-3792</v>
      </c>
      <c r="B1498" s="6" t="s">
        <v>21</v>
      </c>
      <c r="C1498" s="6" t="s">
        <v>6726</v>
      </c>
      <c r="D1498" s="8" t="s">
        <v>17</v>
      </c>
      <c r="E1498" s="6" t="s">
        <v>23</v>
      </c>
      <c r="F1498" s="6" t="s">
        <v>24</v>
      </c>
      <c r="G1498" s="6" t="s">
        <v>6727</v>
      </c>
      <c r="H1498" s="10">
        <v>46051</v>
      </c>
      <c r="I1498" s="6" t="s">
        <v>6728</v>
      </c>
      <c r="J1498" s="6" t="s">
        <v>636</v>
      </c>
      <c r="K1498" s="6" t="s">
        <v>35</v>
      </c>
      <c r="L1498" s="6" t="s">
        <v>692</v>
      </c>
      <c r="M1498" s="6" t="s">
        <v>6729</v>
      </c>
    </row>
    <row r="1499" spans="1:13" ht="13" x14ac:dyDescent="0.15">
      <c r="A1499" s="5" t="str">
        <f>HYPERLINK("https://onemount.atlassian.net/browse/DBA-3790","DBA-3790")</f>
        <v>DBA-3790</v>
      </c>
      <c r="B1499" s="6" t="s">
        <v>21</v>
      </c>
      <c r="C1499" s="6" t="s">
        <v>6730</v>
      </c>
      <c r="D1499" s="8" t="s">
        <v>17</v>
      </c>
      <c r="E1499" s="6" t="s">
        <v>23</v>
      </c>
      <c r="F1499" s="6" t="s">
        <v>87</v>
      </c>
      <c r="G1499" s="6" t="s">
        <v>6731</v>
      </c>
      <c r="H1499" s="10">
        <v>46049</v>
      </c>
      <c r="I1499" s="6" t="s">
        <v>6732</v>
      </c>
      <c r="J1499" s="6" t="s">
        <v>1898</v>
      </c>
      <c r="K1499" s="6" t="s">
        <v>165</v>
      </c>
      <c r="L1499" s="6" t="s">
        <v>1097</v>
      </c>
      <c r="M1499" s="6" t="s">
        <v>6733</v>
      </c>
    </row>
    <row r="1500" spans="1:13" ht="13" x14ac:dyDescent="0.15">
      <c r="A1500" s="5" t="str">
        <f>HYPERLINK("https://onemount.atlassian.net/browse/DBA-3789","DBA-3789")</f>
        <v>DBA-3789</v>
      </c>
      <c r="B1500" s="6" t="s">
        <v>21</v>
      </c>
      <c r="C1500" s="6" t="s">
        <v>6734</v>
      </c>
      <c r="D1500" s="8" t="s">
        <v>17</v>
      </c>
      <c r="E1500" s="6" t="s">
        <v>23</v>
      </c>
      <c r="F1500" s="6" t="s">
        <v>52</v>
      </c>
      <c r="G1500" s="6" t="s">
        <v>6735</v>
      </c>
      <c r="H1500" s="10">
        <v>46050</v>
      </c>
      <c r="I1500" s="6" t="s">
        <v>6736</v>
      </c>
      <c r="J1500" s="6" t="s">
        <v>85</v>
      </c>
      <c r="K1500" s="6" t="s">
        <v>55</v>
      </c>
      <c r="L1500" s="6" t="s">
        <v>85</v>
      </c>
      <c r="M1500" s="6" t="s">
        <v>6737</v>
      </c>
    </row>
    <row r="1501" spans="1:13" ht="13" x14ac:dyDescent="0.15">
      <c r="A1501" s="5" t="str">
        <f>HYPERLINK("https://onemount.atlassian.net/browse/DBA-3787","DBA-3787")</f>
        <v>DBA-3787</v>
      </c>
      <c r="B1501" s="6" t="s">
        <v>21</v>
      </c>
      <c r="C1501" s="6" t="s">
        <v>6738</v>
      </c>
      <c r="D1501" s="8" t="s">
        <v>17</v>
      </c>
      <c r="E1501" s="6" t="s">
        <v>23</v>
      </c>
      <c r="F1501" s="6" t="s">
        <v>31</v>
      </c>
      <c r="G1501" s="6" t="s">
        <v>6739</v>
      </c>
      <c r="H1501" s="10">
        <v>46051</v>
      </c>
      <c r="I1501" s="6" t="s">
        <v>6740</v>
      </c>
      <c r="J1501" s="6" t="s">
        <v>478</v>
      </c>
      <c r="K1501" s="6" t="s">
        <v>35</v>
      </c>
      <c r="L1501" s="6" t="s">
        <v>129</v>
      </c>
      <c r="M1501" s="6" t="s">
        <v>6741</v>
      </c>
    </row>
    <row r="1502" spans="1:13" ht="13" x14ac:dyDescent="0.15">
      <c r="A1502" s="5" t="str">
        <f>HYPERLINK("https://onemount.atlassian.net/browse/DBA-3786","DBA-3786")</f>
        <v>DBA-3786</v>
      </c>
      <c r="B1502" s="6" t="s">
        <v>21</v>
      </c>
      <c r="C1502" s="6" t="s">
        <v>6742</v>
      </c>
      <c r="D1502" s="8" t="s">
        <v>17</v>
      </c>
      <c r="E1502" s="6" t="s">
        <v>23</v>
      </c>
      <c r="F1502" s="6" t="s">
        <v>87</v>
      </c>
      <c r="G1502" s="6" t="s">
        <v>6743</v>
      </c>
      <c r="H1502" s="10">
        <v>46051</v>
      </c>
      <c r="I1502" s="6" t="s">
        <v>6744</v>
      </c>
      <c r="J1502" s="6" t="s">
        <v>1898</v>
      </c>
      <c r="K1502" s="6" t="s">
        <v>165</v>
      </c>
      <c r="L1502" s="6" t="s">
        <v>1097</v>
      </c>
      <c r="M1502" s="6" t="s">
        <v>6745</v>
      </c>
    </row>
    <row r="1503" spans="1:13" ht="13" x14ac:dyDescent="0.15">
      <c r="A1503" s="5" t="str">
        <f>HYPERLINK("https://onemount.atlassian.net/browse/DBA-3785","DBA-3785")</f>
        <v>DBA-3785</v>
      </c>
      <c r="B1503" s="6" t="s">
        <v>21</v>
      </c>
      <c r="C1503" s="6" t="s">
        <v>6746</v>
      </c>
      <c r="D1503" s="8" t="s">
        <v>17</v>
      </c>
      <c r="E1503" s="6" t="s">
        <v>23</v>
      </c>
      <c r="F1503" s="6" t="s">
        <v>52</v>
      </c>
      <c r="G1503" s="6" t="s">
        <v>6747</v>
      </c>
      <c r="H1503" s="10">
        <v>46049</v>
      </c>
      <c r="I1503" s="6" t="s">
        <v>6748</v>
      </c>
      <c r="J1503" s="6" t="s">
        <v>55</v>
      </c>
      <c r="K1503" s="6" t="s">
        <v>55</v>
      </c>
      <c r="L1503" s="6" t="s">
        <v>93</v>
      </c>
      <c r="M1503" s="6" t="s">
        <v>6749</v>
      </c>
    </row>
    <row r="1504" spans="1:13" ht="13" x14ac:dyDescent="0.15">
      <c r="A1504" s="5" t="str">
        <f>HYPERLINK("https://onemount.atlassian.net/browse/DBA-3783","DBA-3783")</f>
        <v>DBA-3783</v>
      </c>
      <c r="B1504" s="6" t="s">
        <v>21</v>
      </c>
      <c r="C1504" s="6" t="s">
        <v>6750</v>
      </c>
      <c r="D1504" s="8" t="s">
        <v>17</v>
      </c>
      <c r="E1504" s="6" t="s">
        <v>23</v>
      </c>
      <c r="F1504" s="6" t="s">
        <v>87</v>
      </c>
      <c r="G1504" s="6" t="s">
        <v>6751</v>
      </c>
      <c r="H1504" s="10">
        <v>46050</v>
      </c>
      <c r="I1504" s="6" t="s">
        <v>6752</v>
      </c>
      <c r="J1504" s="6" t="s">
        <v>1000</v>
      </c>
      <c r="K1504" s="6" t="s">
        <v>165</v>
      </c>
      <c r="L1504" s="6" t="s">
        <v>1000</v>
      </c>
      <c r="M1504" s="6" t="s">
        <v>6753</v>
      </c>
    </row>
    <row r="1505" spans="1:13" ht="13" x14ac:dyDescent="0.15">
      <c r="A1505" s="5" t="str">
        <f>HYPERLINK("https://onemount.atlassian.net/browse/DBA-3775","DBA-3775")</f>
        <v>DBA-3775</v>
      </c>
      <c r="B1505" s="6" t="s">
        <v>21</v>
      </c>
      <c r="C1505" s="6" t="s">
        <v>6754</v>
      </c>
      <c r="D1505" s="8" t="s">
        <v>17</v>
      </c>
      <c r="E1505" s="6" t="s">
        <v>23</v>
      </c>
      <c r="F1505" s="6" t="s">
        <v>31</v>
      </c>
      <c r="G1505" s="6" t="s">
        <v>6755</v>
      </c>
      <c r="H1505" s="10">
        <v>46048</v>
      </c>
      <c r="I1505" s="6" t="s">
        <v>6756</v>
      </c>
      <c r="J1505" s="6" t="s">
        <v>707</v>
      </c>
      <c r="K1505" s="6" t="s">
        <v>35</v>
      </c>
      <c r="L1505" s="6" t="s">
        <v>707</v>
      </c>
      <c r="M1505" s="6" t="s">
        <v>6757</v>
      </c>
    </row>
    <row r="1506" spans="1:13" ht="13" x14ac:dyDescent="0.15">
      <c r="A1506" s="5" t="str">
        <f>HYPERLINK("https://onemount.atlassian.net/browse/DBA-3773","DBA-3773")</f>
        <v>DBA-3773</v>
      </c>
      <c r="B1506" s="6" t="s">
        <v>21</v>
      </c>
      <c r="C1506" s="6" t="s">
        <v>6758</v>
      </c>
      <c r="D1506" s="8" t="s">
        <v>17</v>
      </c>
      <c r="E1506" s="6" t="s">
        <v>23</v>
      </c>
      <c r="F1506" s="6" t="s">
        <v>31</v>
      </c>
      <c r="G1506" s="6" t="s">
        <v>6759</v>
      </c>
      <c r="H1506" s="10">
        <v>46048</v>
      </c>
      <c r="I1506" s="6" t="s">
        <v>6760</v>
      </c>
      <c r="J1506" s="6" t="s">
        <v>2914</v>
      </c>
      <c r="K1506" s="6" t="s">
        <v>35</v>
      </c>
      <c r="L1506" s="6" t="s">
        <v>93</v>
      </c>
      <c r="M1506" s="6" t="s">
        <v>6761</v>
      </c>
    </row>
    <row r="1507" spans="1:13" ht="13" x14ac:dyDescent="0.15">
      <c r="A1507" s="5" t="str">
        <f>HYPERLINK("https://onemount.atlassian.net/browse/DBA-3772","DBA-3772")</f>
        <v>DBA-3772</v>
      </c>
      <c r="B1507" s="23" t="str">
        <f>HYPERLINK("https://onemount.atlassian.net/browse/DBA-3549","DBA-3549")</f>
        <v>DBA-3549</v>
      </c>
      <c r="C1507" s="6" t="s">
        <v>6762</v>
      </c>
      <c r="D1507" s="8" t="s">
        <v>17</v>
      </c>
      <c r="E1507" s="6" t="s">
        <v>428</v>
      </c>
      <c r="F1507" s="6" t="s">
        <v>24</v>
      </c>
      <c r="G1507" s="6" t="s">
        <v>6763</v>
      </c>
      <c r="H1507" s="10">
        <v>46067</v>
      </c>
      <c r="I1507" s="6" t="s">
        <v>6764</v>
      </c>
      <c r="J1507" s="6" t="s">
        <v>655</v>
      </c>
      <c r="K1507" s="6" t="s">
        <v>55</v>
      </c>
      <c r="L1507" s="6" t="s">
        <v>55</v>
      </c>
      <c r="M1507" s="6" t="s">
        <v>6765</v>
      </c>
    </row>
    <row r="1508" spans="1:13" ht="13" x14ac:dyDescent="0.15">
      <c r="A1508" s="5" t="str">
        <f>HYPERLINK("https://onemount.atlassian.net/browse/DBA-3771","DBA-3771")</f>
        <v>DBA-3771</v>
      </c>
      <c r="B1508" s="6" t="s">
        <v>21</v>
      </c>
      <c r="C1508" s="6" t="s">
        <v>6750</v>
      </c>
      <c r="D1508" s="8" t="s">
        <v>17</v>
      </c>
      <c r="E1508" s="6" t="s">
        <v>23</v>
      </c>
      <c r="F1508" s="6" t="s">
        <v>87</v>
      </c>
      <c r="G1508" s="6" t="s">
        <v>6766</v>
      </c>
      <c r="H1508" s="10">
        <v>46049</v>
      </c>
      <c r="I1508" s="6" t="s">
        <v>6767</v>
      </c>
      <c r="J1508" s="6" t="s">
        <v>1000</v>
      </c>
      <c r="K1508" s="6" t="s">
        <v>165</v>
      </c>
      <c r="L1508" s="6" t="s">
        <v>1000</v>
      </c>
      <c r="M1508" s="6" t="s">
        <v>6768</v>
      </c>
    </row>
    <row r="1509" spans="1:13" ht="13" x14ac:dyDescent="0.15">
      <c r="A1509" s="5" t="str">
        <f>HYPERLINK("https://onemount.atlassian.net/browse/DBA-3768","DBA-3768")</f>
        <v>DBA-3768</v>
      </c>
      <c r="B1509" s="6" t="s">
        <v>21</v>
      </c>
      <c r="C1509" s="6" t="s">
        <v>6769</v>
      </c>
      <c r="D1509" s="8" t="s">
        <v>17</v>
      </c>
      <c r="E1509" s="6" t="s">
        <v>23</v>
      </c>
      <c r="F1509" s="6" t="s">
        <v>24</v>
      </c>
      <c r="G1509" s="6" t="s">
        <v>6770</v>
      </c>
      <c r="H1509" s="10">
        <v>46049</v>
      </c>
      <c r="I1509" s="6" t="s">
        <v>6771</v>
      </c>
      <c r="J1509" s="6" t="s">
        <v>165</v>
      </c>
      <c r="K1509" s="6" t="s">
        <v>165</v>
      </c>
      <c r="L1509" s="6" t="s">
        <v>165</v>
      </c>
      <c r="M1509" s="6" t="s">
        <v>6772</v>
      </c>
    </row>
    <row r="1510" spans="1:13" ht="13" x14ac:dyDescent="0.15">
      <c r="A1510" s="5" t="str">
        <f>HYPERLINK("https://onemount.atlassian.net/browse/DBA-3766","DBA-3766")</f>
        <v>DBA-3766</v>
      </c>
      <c r="B1510" s="6" t="s">
        <v>21</v>
      </c>
      <c r="C1510" s="6" t="s">
        <v>6773</v>
      </c>
      <c r="D1510" s="8" t="s">
        <v>17</v>
      </c>
      <c r="E1510" s="6" t="s">
        <v>23</v>
      </c>
      <c r="F1510" s="6" t="s">
        <v>24</v>
      </c>
      <c r="G1510" s="6" t="s">
        <v>6774</v>
      </c>
      <c r="H1510" s="10">
        <v>46048</v>
      </c>
      <c r="I1510" s="6" t="s">
        <v>6775</v>
      </c>
      <c r="J1510" s="6" t="s">
        <v>4792</v>
      </c>
      <c r="K1510" s="6" t="s">
        <v>55</v>
      </c>
      <c r="L1510" s="6" t="s">
        <v>270</v>
      </c>
      <c r="M1510" s="6" t="s">
        <v>6776</v>
      </c>
    </row>
    <row r="1511" spans="1:13" ht="13" x14ac:dyDescent="0.15">
      <c r="A1511" s="5" t="str">
        <f>HYPERLINK("https://onemount.atlassian.net/browse/DBA-3765","DBA-3765")</f>
        <v>DBA-3765</v>
      </c>
      <c r="B1511" s="6" t="s">
        <v>21</v>
      </c>
      <c r="C1511" s="6" t="s">
        <v>6777</v>
      </c>
      <c r="D1511" s="8" t="s">
        <v>17</v>
      </c>
      <c r="E1511" s="6" t="s">
        <v>23</v>
      </c>
      <c r="F1511" s="6" t="s">
        <v>41</v>
      </c>
      <c r="G1511" s="6" t="s">
        <v>6778</v>
      </c>
      <c r="H1511" s="10">
        <v>46045</v>
      </c>
      <c r="I1511" s="6" t="s">
        <v>6779</v>
      </c>
      <c r="J1511" s="6" t="s">
        <v>85</v>
      </c>
      <c r="K1511" s="6" t="s">
        <v>55</v>
      </c>
      <c r="L1511" s="6" t="s">
        <v>270</v>
      </c>
      <c r="M1511" s="6" t="s">
        <v>6780</v>
      </c>
    </row>
    <row r="1512" spans="1:13" ht="13" x14ac:dyDescent="0.15">
      <c r="A1512" s="5" t="str">
        <f>HYPERLINK("https://onemount.atlassian.net/browse/DBA-3764","DBA-3764")</f>
        <v>DBA-3764</v>
      </c>
      <c r="B1512" s="6" t="s">
        <v>21</v>
      </c>
      <c r="C1512" s="6" t="s">
        <v>6781</v>
      </c>
      <c r="D1512" s="8" t="s">
        <v>17</v>
      </c>
      <c r="E1512" s="6" t="s">
        <v>23</v>
      </c>
      <c r="F1512" s="6" t="s">
        <v>41</v>
      </c>
      <c r="G1512" s="6" t="s">
        <v>6782</v>
      </c>
      <c r="H1512" s="10">
        <v>46046</v>
      </c>
      <c r="I1512" s="6" t="s">
        <v>6783</v>
      </c>
      <c r="J1512" s="6" t="s">
        <v>72</v>
      </c>
      <c r="K1512" s="6" t="s">
        <v>72</v>
      </c>
      <c r="L1512" s="6" t="s">
        <v>72</v>
      </c>
      <c r="M1512" s="6" t="s">
        <v>6784</v>
      </c>
    </row>
    <row r="1513" spans="1:13" ht="13" x14ac:dyDescent="0.15">
      <c r="A1513" s="5" t="str">
        <f>HYPERLINK("https://onemount.atlassian.net/browse/DBA-3763","DBA-3763")</f>
        <v>DBA-3763</v>
      </c>
      <c r="B1513" s="6" t="s">
        <v>21</v>
      </c>
      <c r="C1513" s="6" t="s">
        <v>6785</v>
      </c>
      <c r="D1513" s="8" t="s">
        <v>17</v>
      </c>
      <c r="E1513" s="6" t="s">
        <v>23</v>
      </c>
      <c r="F1513" s="6" t="s">
        <v>41</v>
      </c>
      <c r="G1513" s="6" t="s">
        <v>6786</v>
      </c>
      <c r="H1513" s="10">
        <v>46051</v>
      </c>
      <c r="I1513" s="6" t="s">
        <v>6787</v>
      </c>
      <c r="J1513" s="6" t="s">
        <v>56</v>
      </c>
      <c r="K1513" s="6" t="s">
        <v>55</v>
      </c>
      <c r="L1513" s="6" t="s">
        <v>56</v>
      </c>
      <c r="M1513" s="6" t="s">
        <v>6788</v>
      </c>
    </row>
    <row r="1514" spans="1:13" ht="13" x14ac:dyDescent="0.15">
      <c r="A1514" s="5" t="str">
        <f>HYPERLINK("https://onemount.atlassian.net/browse/DBA-3762","DBA-3762")</f>
        <v>DBA-3762</v>
      </c>
      <c r="B1514" s="6" t="s">
        <v>21</v>
      </c>
      <c r="C1514" s="6" t="s">
        <v>6789</v>
      </c>
      <c r="D1514" s="8" t="s">
        <v>17</v>
      </c>
      <c r="E1514" s="6" t="s">
        <v>23</v>
      </c>
      <c r="F1514" s="6" t="s">
        <v>24</v>
      </c>
      <c r="G1514" s="6" t="s">
        <v>6790</v>
      </c>
      <c r="H1514" s="10">
        <v>46046</v>
      </c>
      <c r="I1514" s="6" t="s">
        <v>6791</v>
      </c>
      <c r="J1514" s="6" t="s">
        <v>4792</v>
      </c>
      <c r="K1514" s="6" t="s">
        <v>55</v>
      </c>
      <c r="L1514" s="6" t="s">
        <v>270</v>
      </c>
      <c r="M1514" s="6" t="s">
        <v>6792</v>
      </c>
    </row>
    <row r="1515" spans="1:13" ht="13" x14ac:dyDescent="0.15">
      <c r="A1515" s="5" t="str">
        <f>HYPERLINK("https://onemount.atlassian.net/browse/DBA-3758","DBA-3758")</f>
        <v>DBA-3758</v>
      </c>
      <c r="B1515" s="6" t="s">
        <v>21</v>
      </c>
      <c r="C1515" s="6" t="s">
        <v>6793</v>
      </c>
      <c r="D1515" s="8" t="s">
        <v>17</v>
      </c>
      <c r="E1515" s="6" t="s">
        <v>23</v>
      </c>
      <c r="F1515" s="6" t="s">
        <v>87</v>
      </c>
      <c r="G1515" s="6" t="s">
        <v>6794</v>
      </c>
      <c r="H1515" s="10">
        <v>46046</v>
      </c>
      <c r="I1515" s="6" t="s">
        <v>6795</v>
      </c>
      <c r="J1515" s="6" t="s">
        <v>1898</v>
      </c>
      <c r="K1515" s="6" t="s">
        <v>165</v>
      </c>
      <c r="L1515" s="6" t="s">
        <v>1097</v>
      </c>
      <c r="M1515" s="6" t="s">
        <v>6796</v>
      </c>
    </row>
    <row r="1516" spans="1:13" ht="13" x14ac:dyDescent="0.15">
      <c r="A1516" s="5" t="str">
        <f>HYPERLINK("https://onemount.atlassian.net/browse/DBA-3756","DBA-3756")</f>
        <v>DBA-3756</v>
      </c>
      <c r="B1516" s="6" t="s">
        <v>21</v>
      </c>
      <c r="C1516" s="6" t="s">
        <v>6797</v>
      </c>
      <c r="D1516" s="8" t="s">
        <v>17</v>
      </c>
      <c r="E1516" s="6" t="s">
        <v>23</v>
      </c>
      <c r="F1516" s="6" t="s">
        <v>31</v>
      </c>
      <c r="G1516" s="6" t="s">
        <v>6798</v>
      </c>
      <c r="H1516" s="10">
        <v>46046</v>
      </c>
      <c r="I1516" s="6" t="s">
        <v>6799</v>
      </c>
      <c r="J1516" s="6" t="s">
        <v>478</v>
      </c>
      <c r="K1516" s="6" t="s">
        <v>35</v>
      </c>
      <c r="L1516" s="6" t="s">
        <v>129</v>
      </c>
      <c r="M1516" s="6" t="s">
        <v>6800</v>
      </c>
    </row>
    <row r="1517" spans="1:13" ht="13" x14ac:dyDescent="0.15">
      <c r="A1517" s="5" t="str">
        <f>HYPERLINK("https://onemount.atlassian.net/browse/DBA-3755","DBA-3755")</f>
        <v>DBA-3755</v>
      </c>
      <c r="B1517" s="6" t="s">
        <v>21</v>
      </c>
      <c r="C1517" s="6" t="s">
        <v>6801</v>
      </c>
      <c r="D1517" s="8" t="s">
        <v>17</v>
      </c>
      <c r="E1517" s="6" t="s">
        <v>23</v>
      </c>
      <c r="F1517" s="6" t="s">
        <v>31</v>
      </c>
      <c r="G1517" s="6" t="s">
        <v>6802</v>
      </c>
      <c r="H1517" s="10">
        <v>46056</v>
      </c>
      <c r="I1517" s="6" t="s">
        <v>6803</v>
      </c>
      <c r="J1517" s="6" t="s">
        <v>6804</v>
      </c>
      <c r="K1517" s="6" t="s">
        <v>55</v>
      </c>
      <c r="L1517" s="6" t="s">
        <v>743</v>
      </c>
      <c r="M1517" s="6" t="s">
        <v>6805</v>
      </c>
    </row>
    <row r="1518" spans="1:13" ht="13" x14ac:dyDescent="0.15">
      <c r="A1518" s="5" t="str">
        <f>HYPERLINK("https://onemount.atlassian.net/browse/DBA-3754","DBA-3754")</f>
        <v>DBA-3754</v>
      </c>
      <c r="B1518" s="6" t="s">
        <v>21</v>
      </c>
      <c r="C1518" s="6" t="s">
        <v>6806</v>
      </c>
      <c r="D1518" s="8" t="s">
        <v>17</v>
      </c>
      <c r="E1518" s="6" t="s">
        <v>23</v>
      </c>
      <c r="F1518" s="6" t="s">
        <v>52</v>
      </c>
      <c r="G1518" s="6" t="s">
        <v>6807</v>
      </c>
      <c r="H1518" s="10">
        <v>46045</v>
      </c>
      <c r="I1518" s="6" t="s">
        <v>6808</v>
      </c>
      <c r="J1518" s="6" t="s">
        <v>55</v>
      </c>
      <c r="K1518" s="6" t="s">
        <v>55</v>
      </c>
      <c r="L1518" s="6" t="s">
        <v>93</v>
      </c>
      <c r="M1518" s="6" t="s">
        <v>6809</v>
      </c>
    </row>
    <row r="1519" spans="1:13" ht="13" x14ac:dyDescent="0.15">
      <c r="A1519" s="5" t="str">
        <f>HYPERLINK("https://onemount.atlassian.net/browse/DBA-3753","DBA-3753")</f>
        <v>DBA-3753</v>
      </c>
      <c r="B1519" s="6" t="s">
        <v>21</v>
      </c>
      <c r="C1519" s="6" t="s">
        <v>6810</v>
      </c>
      <c r="D1519" s="8" t="s">
        <v>17</v>
      </c>
      <c r="E1519" s="6" t="s">
        <v>23</v>
      </c>
      <c r="F1519" s="6" t="s">
        <v>52</v>
      </c>
      <c r="G1519" s="6" t="s">
        <v>6811</v>
      </c>
      <c r="H1519" s="10">
        <v>46044</v>
      </c>
      <c r="I1519" s="6" t="s">
        <v>6812</v>
      </c>
      <c r="J1519" s="6" t="s">
        <v>6813</v>
      </c>
      <c r="K1519" s="6" t="s">
        <v>55</v>
      </c>
      <c r="L1519" s="6" t="s">
        <v>855</v>
      </c>
      <c r="M1519" s="6" t="s">
        <v>6814</v>
      </c>
    </row>
    <row r="1520" spans="1:13" ht="13" x14ac:dyDescent="0.15">
      <c r="A1520" s="5" t="str">
        <f>HYPERLINK("https://onemount.atlassian.net/browse/DBA-3752","DBA-3752")</f>
        <v>DBA-3752</v>
      </c>
      <c r="B1520" s="6" t="s">
        <v>21</v>
      </c>
      <c r="C1520" s="6" t="s">
        <v>6815</v>
      </c>
      <c r="D1520" s="8" t="s">
        <v>17</v>
      </c>
      <c r="E1520" s="6" t="s">
        <v>23</v>
      </c>
      <c r="F1520" s="6" t="s">
        <v>87</v>
      </c>
      <c r="G1520" s="6" t="s">
        <v>6816</v>
      </c>
      <c r="H1520" s="10">
        <v>46045</v>
      </c>
      <c r="I1520" s="6" t="s">
        <v>6817</v>
      </c>
      <c r="J1520" s="6" t="s">
        <v>628</v>
      </c>
      <c r="K1520" s="6" t="s">
        <v>165</v>
      </c>
      <c r="L1520" s="6" t="s">
        <v>119</v>
      </c>
      <c r="M1520" s="6" t="s">
        <v>6818</v>
      </c>
    </row>
    <row r="1521" spans="1:13" ht="13" x14ac:dyDescent="0.15">
      <c r="A1521" s="5" t="str">
        <f>HYPERLINK("https://onemount.atlassian.net/browse/DBA-3751","DBA-3751")</f>
        <v>DBA-3751</v>
      </c>
      <c r="B1521" s="6" t="s">
        <v>21</v>
      </c>
      <c r="C1521" s="6" t="s">
        <v>6819</v>
      </c>
      <c r="D1521" s="8" t="s">
        <v>17</v>
      </c>
      <c r="E1521" s="6" t="s">
        <v>23</v>
      </c>
      <c r="F1521" s="6" t="s">
        <v>52</v>
      </c>
      <c r="G1521" s="6" t="s">
        <v>6820</v>
      </c>
      <c r="H1521" s="10">
        <v>46044</v>
      </c>
      <c r="I1521" s="6" t="s">
        <v>6821</v>
      </c>
      <c r="J1521" s="6" t="s">
        <v>55</v>
      </c>
      <c r="K1521" s="6" t="s">
        <v>55</v>
      </c>
      <c r="L1521" s="6" t="s">
        <v>93</v>
      </c>
      <c r="M1521" s="6" t="s">
        <v>6822</v>
      </c>
    </row>
    <row r="1522" spans="1:13" ht="13" x14ac:dyDescent="0.15">
      <c r="A1522" s="5" t="str">
        <f>HYPERLINK("https://onemount.atlassian.net/browse/DBA-3750","DBA-3750")</f>
        <v>DBA-3750</v>
      </c>
      <c r="B1522" s="6" t="s">
        <v>21</v>
      </c>
      <c r="C1522" s="6" t="s">
        <v>6823</v>
      </c>
      <c r="D1522" s="8" t="s">
        <v>17</v>
      </c>
      <c r="E1522" s="6" t="s">
        <v>23</v>
      </c>
      <c r="F1522" s="6" t="s">
        <v>31</v>
      </c>
      <c r="G1522" s="6" t="s">
        <v>6824</v>
      </c>
      <c r="H1522" s="10">
        <v>46044</v>
      </c>
      <c r="I1522" s="6" t="s">
        <v>6825</v>
      </c>
      <c r="J1522" s="6" t="s">
        <v>478</v>
      </c>
      <c r="K1522" s="6" t="s">
        <v>35</v>
      </c>
      <c r="L1522" s="6" t="s">
        <v>129</v>
      </c>
      <c r="M1522" s="6" t="s">
        <v>6826</v>
      </c>
    </row>
    <row r="1523" spans="1:13" ht="13" x14ac:dyDescent="0.15">
      <c r="A1523" s="5" t="str">
        <f>HYPERLINK("https://onemount.atlassian.net/browse/DBA-3749","DBA-3749")</f>
        <v>DBA-3749</v>
      </c>
      <c r="B1523" s="6" t="s">
        <v>21</v>
      </c>
      <c r="C1523" s="6" t="s">
        <v>6827</v>
      </c>
      <c r="D1523" s="8" t="s">
        <v>17</v>
      </c>
      <c r="E1523" s="6" t="s">
        <v>23</v>
      </c>
      <c r="F1523" s="6" t="s">
        <v>87</v>
      </c>
      <c r="G1523" s="6" t="s">
        <v>6828</v>
      </c>
      <c r="H1523" s="10">
        <v>46045</v>
      </c>
      <c r="I1523" s="6" t="s">
        <v>6829</v>
      </c>
      <c r="J1523" s="6" t="s">
        <v>6830</v>
      </c>
      <c r="K1523" s="6" t="s">
        <v>165</v>
      </c>
      <c r="L1523" s="6" t="s">
        <v>1016</v>
      </c>
      <c r="M1523" s="6" t="s">
        <v>6831</v>
      </c>
    </row>
    <row r="1524" spans="1:13" ht="13" x14ac:dyDescent="0.15">
      <c r="A1524" s="5" t="str">
        <f>HYPERLINK("https://onemount.atlassian.net/browse/DBA-3748","DBA-3748")</f>
        <v>DBA-3748</v>
      </c>
      <c r="B1524" s="6" t="s">
        <v>21</v>
      </c>
      <c r="C1524" s="6" t="s">
        <v>6832</v>
      </c>
      <c r="D1524" s="8" t="s">
        <v>17</v>
      </c>
      <c r="E1524" s="6" t="s">
        <v>23</v>
      </c>
      <c r="F1524" s="6" t="s">
        <v>87</v>
      </c>
      <c r="G1524" s="6" t="s">
        <v>6833</v>
      </c>
      <c r="H1524" s="10">
        <v>46044</v>
      </c>
      <c r="I1524" s="6" t="s">
        <v>6834</v>
      </c>
      <c r="J1524" s="6" t="s">
        <v>1898</v>
      </c>
      <c r="K1524" s="6" t="s">
        <v>165</v>
      </c>
      <c r="L1524" s="6" t="s">
        <v>1095</v>
      </c>
      <c r="M1524" s="6" t="s">
        <v>6835</v>
      </c>
    </row>
    <row r="1525" spans="1:13" ht="13" x14ac:dyDescent="0.15">
      <c r="A1525" s="5" t="str">
        <f>HYPERLINK("https://onemount.atlassian.net/browse/DBA-3746","DBA-3746")</f>
        <v>DBA-3746</v>
      </c>
      <c r="B1525" s="6" t="s">
        <v>21</v>
      </c>
      <c r="C1525" s="6" t="s">
        <v>6836</v>
      </c>
      <c r="D1525" s="8" t="s">
        <v>17</v>
      </c>
      <c r="E1525" s="6" t="s">
        <v>23</v>
      </c>
      <c r="F1525" s="6" t="s">
        <v>87</v>
      </c>
      <c r="G1525" s="6" t="s">
        <v>6837</v>
      </c>
      <c r="H1525" s="10">
        <v>46043</v>
      </c>
      <c r="I1525" s="6" t="s">
        <v>6838</v>
      </c>
      <c r="J1525" s="6" t="s">
        <v>1898</v>
      </c>
      <c r="K1525" s="6" t="s">
        <v>165</v>
      </c>
      <c r="L1525" s="6" t="s">
        <v>1097</v>
      </c>
      <c r="M1525" s="6" t="s">
        <v>6839</v>
      </c>
    </row>
    <row r="1526" spans="1:13" ht="13" x14ac:dyDescent="0.15">
      <c r="A1526" s="5" t="str">
        <f>HYPERLINK("https://onemount.atlassian.net/browse/DBA-3745","DBA-3745")</f>
        <v>DBA-3745</v>
      </c>
      <c r="B1526" s="6" t="s">
        <v>21</v>
      </c>
      <c r="C1526" s="6" t="s">
        <v>6286</v>
      </c>
      <c r="D1526" s="8" t="s">
        <v>17</v>
      </c>
      <c r="E1526" s="6" t="s">
        <v>23</v>
      </c>
      <c r="F1526" s="6" t="s">
        <v>52</v>
      </c>
      <c r="G1526" s="6" t="s">
        <v>6840</v>
      </c>
      <c r="H1526" s="10">
        <v>46044</v>
      </c>
      <c r="I1526" s="6" t="s">
        <v>6841</v>
      </c>
      <c r="J1526" s="6" t="s">
        <v>55</v>
      </c>
      <c r="K1526" s="6" t="s">
        <v>55</v>
      </c>
      <c r="L1526" s="6" t="s">
        <v>93</v>
      </c>
      <c r="M1526" s="6" t="s">
        <v>6842</v>
      </c>
    </row>
    <row r="1527" spans="1:13" ht="13" x14ac:dyDescent="0.15">
      <c r="A1527" s="5" t="str">
        <f>HYPERLINK("https://onemount.atlassian.net/browse/DBA-3744","DBA-3744")</f>
        <v>DBA-3744</v>
      </c>
      <c r="B1527" s="6" t="s">
        <v>21</v>
      </c>
      <c r="C1527" s="6" t="s">
        <v>6827</v>
      </c>
      <c r="D1527" s="8" t="s">
        <v>17</v>
      </c>
      <c r="E1527" s="6" t="s">
        <v>23</v>
      </c>
      <c r="F1527" s="6" t="s">
        <v>87</v>
      </c>
      <c r="G1527" s="6" t="s">
        <v>6843</v>
      </c>
      <c r="H1527" s="10">
        <v>46044</v>
      </c>
      <c r="I1527" s="6" t="s">
        <v>6844</v>
      </c>
      <c r="J1527" s="6" t="s">
        <v>6830</v>
      </c>
      <c r="K1527" s="6" t="s">
        <v>165</v>
      </c>
      <c r="L1527" s="6" t="s">
        <v>1016</v>
      </c>
      <c r="M1527" s="6" t="s">
        <v>6845</v>
      </c>
    </row>
    <row r="1528" spans="1:13" ht="13" x14ac:dyDescent="0.15">
      <c r="A1528" s="5" t="str">
        <f>HYPERLINK("https://onemount.atlassian.net/browse/DBA-3743","DBA-3743")</f>
        <v>DBA-3743</v>
      </c>
      <c r="B1528" s="6" t="s">
        <v>21</v>
      </c>
      <c r="C1528" s="6" t="s">
        <v>6846</v>
      </c>
      <c r="D1528" s="8" t="s">
        <v>17</v>
      </c>
      <c r="E1528" s="6" t="s">
        <v>23</v>
      </c>
      <c r="F1528" s="6" t="s">
        <v>87</v>
      </c>
      <c r="G1528" s="6" t="s">
        <v>6847</v>
      </c>
      <c r="H1528" s="10">
        <v>46044</v>
      </c>
      <c r="I1528" s="6" t="s">
        <v>6848</v>
      </c>
      <c r="J1528" s="6" t="s">
        <v>1898</v>
      </c>
      <c r="K1528" s="6" t="s">
        <v>165</v>
      </c>
      <c r="L1528" s="6" t="s">
        <v>1097</v>
      </c>
      <c r="M1528" s="6" t="s">
        <v>6849</v>
      </c>
    </row>
    <row r="1529" spans="1:13" ht="13" x14ac:dyDescent="0.15">
      <c r="A1529" s="5" t="str">
        <f>HYPERLINK("https://onemount.atlassian.net/browse/DBA-3742","DBA-3742")</f>
        <v>DBA-3742</v>
      </c>
      <c r="B1529" s="6" t="s">
        <v>21</v>
      </c>
      <c r="C1529" s="6" t="s">
        <v>6348</v>
      </c>
      <c r="D1529" s="8" t="s">
        <v>17</v>
      </c>
      <c r="E1529" s="6" t="s">
        <v>23</v>
      </c>
      <c r="F1529" s="6" t="s">
        <v>31</v>
      </c>
      <c r="G1529" s="6" t="s">
        <v>6850</v>
      </c>
      <c r="H1529" s="10">
        <v>46043</v>
      </c>
      <c r="I1529" s="6" t="s">
        <v>6851</v>
      </c>
      <c r="J1529" s="6" t="s">
        <v>49</v>
      </c>
      <c r="K1529" s="6" t="s">
        <v>35</v>
      </c>
      <c r="L1529" s="6" t="s">
        <v>49</v>
      </c>
      <c r="M1529" s="6" t="s">
        <v>6852</v>
      </c>
    </row>
    <row r="1530" spans="1:13" ht="13" x14ac:dyDescent="0.15">
      <c r="A1530" s="5" t="str">
        <f>HYPERLINK("https://onemount.atlassian.net/browse/DBA-3724","DBA-3724")</f>
        <v>DBA-3724</v>
      </c>
      <c r="B1530" s="6" t="s">
        <v>21</v>
      </c>
      <c r="C1530" s="6" t="s">
        <v>6853</v>
      </c>
      <c r="D1530" s="8" t="s">
        <v>17</v>
      </c>
      <c r="E1530" s="6" t="s">
        <v>23</v>
      </c>
      <c r="F1530" s="6" t="s">
        <v>31</v>
      </c>
      <c r="G1530" s="6" t="s">
        <v>6854</v>
      </c>
      <c r="H1530" s="10">
        <v>46042</v>
      </c>
      <c r="I1530" s="6" t="s">
        <v>6855</v>
      </c>
      <c r="J1530" s="6" t="s">
        <v>6856</v>
      </c>
      <c r="K1530" s="6" t="s">
        <v>55</v>
      </c>
      <c r="L1530" s="6" t="s">
        <v>254</v>
      </c>
      <c r="M1530" s="6" t="s">
        <v>6857</v>
      </c>
    </row>
    <row r="1531" spans="1:13" ht="13" x14ac:dyDescent="0.15">
      <c r="A1531" s="5" t="str">
        <f>HYPERLINK("https://onemount.atlassian.net/browse/DBA-3723","DBA-3723")</f>
        <v>DBA-3723</v>
      </c>
      <c r="B1531" s="6" t="s">
        <v>21</v>
      </c>
      <c r="C1531" s="6" t="s">
        <v>6858</v>
      </c>
      <c r="D1531" s="8" t="s">
        <v>17</v>
      </c>
      <c r="E1531" s="6" t="s">
        <v>23</v>
      </c>
      <c r="F1531" s="6" t="s">
        <v>24</v>
      </c>
      <c r="G1531" s="6" t="s">
        <v>6859</v>
      </c>
      <c r="H1531" s="10">
        <v>46042</v>
      </c>
      <c r="I1531" s="6" t="s">
        <v>6860</v>
      </c>
      <c r="J1531" s="6" t="s">
        <v>55</v>
      </c>
      <c r="K1531" s="6" t="s">
        <v>55</v>
      </c>
      <c r="L1531" s="6" t="s">
        <v>979</v>
      </c>
      <c r="M1531" s="6" t="s">
        <v>6861</v>
      </c>
    </row>
    <row r="1532" spans="1:13" ht="13" x14ac:dyDescent="0.15">
      <c r="A1532" s="5" t="str">
        <f>HYPERLINK("https://onemount.atlassian.net/browse/DBA-3722","DBA-3722")</f>
        <v>DBA-3722</v>
      </c>
      <c r="B1532" s="6" t="s">
        <v>21</v>
      </c>
      <c r="C1532" s="6" t="s">
        <v>6862</v>
      </c>
      <c r="D1532" s="8" t="s">
        <v>17</v>
      </c>
      <c r="E1532" s="6" t="s">
        <v>23</v>
      </c>
      <c r="F1532" s="6" t="s">
        <v>52</v>
      </c>
      <c r="G1532" s="6" t="s">
        <v>6863</v>
      </c>
      <c r="H1532" s="10">
        <v>46042</v>
      </c>
      <c r="I1532" s="6" t="s">
        <v>6864</v>
      </c>
      <c r="J1532" s="6" t="s">
        <v>55</v>
      </c>
      <c r="K1532" s="6" t="s">
        <v>55</v>
      </c>
      <c r="L1532" s="6" t="s">
        <v>697</v>
      </c>
      <c r="M1532" s="6" t="s">
        <v>6865</v>
      </c>
    </row>
    <row r="1533" spans="1:13" ht="13" x14ac:dyDescent="0.15">
      <c r="A1533" s="5" t="str">
        <f>HYPERLINK("https://onemount.atlassian.net/browse/DBA-3721","DBA-3721")</f>
        <v>DBA-3721</v>
      </c>
      <c r="B1533" s="6" t="s">
        <v>21</v>
      </c>
      <c r="C1533" s="6" t="s">
        <v>2263</v>
      </c>
      <c r="D1533" s="8" t="s">
        <v>17</v>
      </c>
      <c r="E1533" s="6" t="s">
        <v>23</v>
      </c>
      <c r="F1533" s="6" t="s">
        <v>31</v>
      </c>
      <c r="G1533" s="6" t="s">
        <v>6866</v>
      </c>
      <c r="H1533" s="10">
        <v>46042</v>
      </c>
      <c r="I1533" s="6" t="s">
        <v>6867</v>
      </c>
      <c r="J1533" s="6" t="s">
        <v>55</v>
      </c>
      <c r="K1533" s="6" t="s">
        <v>55</v>
      </c>
      <c r="L1533" s="6" t="s">
        <v>55</v>
      </c>
      <c r="M1533" s="6" t="s">
        <v>6868</v>
      </c>
    </row>
    <row r="1534" spans="1:13" ht="13" x14ac:dyDescent="0.15">
      <c r="A1534" s="5" t="str">
        <f>HYPERLINK("https://onemount.atlassian.net/browse/DBA-3719","DBA-3719")</f>
        <v>DBA-3719</v>
      </c>
      <c r="B1534" s="6" t="s">
        <v>21</v>
      </c>
      <c r="C1534" s="6" t="s">
        <v>6869</v>
      </c>
      <c r="D1534" s="8" t="s">
        <v>17</v>
      </c>
      <c r="E1534" s="6" t="s">
        <v>23</v>
      </c>
      <c r="F1534" s="6" t="s">
        <v>52</v>
      </c>
      <c r="G1534" s="6" t="s">
        <v>6870</v>
      </c>
      <c r="H1534" s="10">
        <v>46042</v>
      </c>
      <c r="I1534" s="6" t="s">
        <v>6871</v>
      </c>
      <c r="J1534" s="6" t="s">
        <v>55</v>
      </c>
      <c r="K1534" s="6" t="s">
        <v>55</v>
      </c>
      <c r="L1534" s="6" t="s">
        <v>697</v>
      </c>
      <c r="M1534" s="6" t="s">
        <v>6872</v>
      </c>
    </row>
    <row r="1535" spans="1:13" ht="13" x14ac:dyDescent="0.15">
      <c r="A1535" s="5" t="str">
        <f>HYPERLINK("https://onemount.atlassian.net/browse/DBA-3713","DBA-3713")</f>
        <v>DBA-3713</v>
      </c>
      <c r="B1535" s="6" t="s">
        <v>21</v>
      </c>
      <c r="C1535" s="6" t="s">
        <v>6873</v>
      </c>
      <c r="D1535" s="8" t="s">
        <v>17</v>
      </c>
      <c r="E1535" s="6" t="s">
        <v>23</v>
      </c>
      <c r="F1535" s="6" t="s">
        <v>87</v>
      </c>
      <c r="G1535" s="6" t="s">
        <v>6874</v>
      </c>
      <c r="H1535" s="10">
        <v>46042</v>
      </c>
      <c r="I1535" s="6" t="s">
        <v>6875</v>
      </c>
      <c r="J1535" s="6" t="s">
        <v>6876</v>
      </c>
      <c r="K1535" s="6" t="s">
        <v>46</v>
      </c>
      <c r="L1535" s="6" t="s">
        <v>591</v>
      </c>
      <c r="M1535" s="6" t="s">
        <v>6877</v>
      </c>
    </row>
    <row r="1536" spans="1:13" ht="13" x14ac:dyDescent="0.15">
      <c r="A1536" s="5" t="str">
        <f>HYPERLINK("https://onemount.atlassian.net/browse/DBA-3712","DBA-3712")</f>
        <v>DBA-3712</v>
      </c>
      <c r="B1536" s="6" t="s">
        <v>21</v>
      </c>
      <c r="C1536" s="6" t="s">
        <v>6878</v>
      </c>
      <c r="D1536" s="8" t="s">
        <v>17</v>
      </c>
      <c r="E1536" s="6" t="s">
        <v>23</v>
      </c>
      <c r="F1536" s="6" t="s">
        <v>31</v>
      </c>
      <c r="G1536" s="6" t="s">
        <v>6879</v>
      </c>
      <c r="H1536" s="10">
        <v>46041</v>
      </c>
      <c r="I1536" s="6" t="s">
        <v>6880</v>
      </c>
      <c r="J1536" s="6" t="s">
        <v>1187</v>
      </c>
      <c r="K1536" s="6" t="s">
        <v>35</v>
      </c>
      <c r="L1536" s="6" t="s">
        <v>1187</v>
      </c>
      <c r="M1536" s="6" t="s">
        <v>6881</v>
      </c>
    </row>
    <row r="1537" spans="1:13" ht="13" x14ac:dyDescent="0.15">
      <c r="A1537" s="5" t="str">
        <f>HYPERLINK("https://onemount.atlassian.net/browse/DBA-3711","DBA-3711")</f>
        <v>DBA-3711</v>
      </c>
      <c r="B1537" s="6" t="s">
        <v>21</v>
      </c>
      <c r="C1537" s="6" t="s">
        <v>6882</v>
      </c>
      <c r="D1537" s="8" t="s">
        <v>17</v>
      </c>
      <c r="E1537" s="6" t="s">
        <v>23</v>
      </c>
      <c r="F1537" s="6" t="s">
        <v>24</v>
      </c>
      <c r="G1537" s="6" t="s">
        <v>6883</v>
      </c>
      <c r="H1537" s="10">
        <v>46041</v>
      </c>
      <c r="I1537" s="6" t="s">
        <v>6884</v>
      </c>
      <c r="J1537" s="6" t="s">
        <v>3075</v>
      </c>
      <c r="K1537" s="6" t="s">
        <v>59</v>
      </c>
      <c r="L1537" s="6" t="s">
        <v>88</v>
      </c>
      <c r="M1537" s="6" t="s">
        <v>6885</v>
      </c>
    </row>
    <row r="1538" spans="1:13" ht="13" x14ac:dyDescent="0.15">
      <c r="A1538" s="5" t="str">
        <f>HYPERLINK("https://onemount.atlassian.net/browse/DBA-3710","DBA-3710")</f>
        <v>DBA-3710</v>
      </c>
      <c r="B1538" s="6" t="s">
        <v>21</v>
      </c>
      <c r="C1538" s="6" t="s">
        <v>6886</v>
      </c>
      <c r="D1538" s="8" t="s">
        <v>17</v>
      </c>
      <c r="E1538" s="6" t="s">
        <v>23</v>
      </c>
      <c r="F1538" s="6" t="s">
        <v>31</v>
      </c>
      <c r="G1538" s="6" t="s">
        <v>6887</v>
      </c>
      <c r="H1538" s="10">
        <v>46042</v>
      </c>
      <c r="I1538" s="6" t="s">
        <v>6888</v>
      </c>
      <c r="J1538" s="6" t="s">
        <v>1464</v>
      </c>
      <c r="K1538" s="6" t="s">
        <v>55</v>
      </c>
      <c r="L1538" s="6" t="s">
        <v>254</v>
      </c>
      <c r="M1538" s="6" t="s">
        <v>6889</v>
      </c>
    </row>
    <row r="1539" spans="1:13" ht="13" x14ac:dyDescent="0.15">
      <c r="A1539" s="5" t="str">
        <f>HYPERLINK("https://onemount.atlassian.net/browse/DBA-3709","DBA-3709")</f>
        <v>DBA-3709</v>
      </c>
      <c r="B1539" s="6" t="s">
        <v>21</v>
      </c>
      <c r="C1539" s="6" t="s">
        <v>6890</v>
      </c>
      <c r="D1539" s="8" t="s">
        <v>17</v>
      </c>
      <c r="E1539" s="6" t="s">
        <v>23</v>
      </c>
      <c r="F1539" s="6" t="s">
        <v>41</v>
      </c>
      <c r="G1539" s="6" t="s">
        <v>6891</v>
      </c>
      <c r="H1539" s="10">
        <v>46042</v>
      </c>
      <c r="I1539" s="6" t="s">
        <v>6892</v>
      </c>
      <c r="J1539" s="6" t="s">
        <v>1148</v>
      </c>
      <c r="K1539" s="6" t="s">
        <v>28</v>
      </c>
      <c r="L1539" s="6" t="s">
        <v>1148</v>
      </c>
      <c r="M1539" s="6" t="s">
        <v>6893</v>
      </c>
    </row>
    <row r="1540" spans="1:13" ht="13" x14ac:dyDescent="0.15">
      <c r="A1540" s="5" t="str">
        <f>HYPERLINK("https://onemount.atlassian.net/browse/DBA-3708","DBA-3708")</f>
        <v>DBA-3708</v>
      </c>
      <c r="B1540" s="6" t="s">
        <v>21</v>
      </c>
      <c r="C1540" s="6" t="s">
        <v>6894</v>
      </c>
      <c r="D1540" s="8" t="s">
        <v>17</v>
      </c>
      <c r="E1540" s="6" t="s">
        <v>23</v>
      </c>
      <c r="F1540" s="6" t="s">
        <v>31</v>
      </c>
      <c r="G1540" s="6" t="s">
        <v>6895</v>
      </c>
      <c r="H1540" s="10">
        <v>46042</v>
      </c>
      <c r="I1540" s="6" t="s">
        <v>6896</v>
      </c>
      <c r="J1540" s="6" t="s">
        <v>55</v>
      </c>
      <c r="K1540" s="6" t="s">
        <v>55</v>
      </c>
      <c r="L1540" s="6" t="s">
        <v>55</v>
      </c>
      <c r="M1540" s="6" t="s">
        <v>6897</v>
      </c>
    </row>
    <row r="1541" spans="1:13" ht="13" x14ac:dyDescent="0.15">
      <c r="A1541" s="5" t="str">
        <f>HYPERLINK("https://onemount.atlassian.net/browse/DBA-3707","DBA-3707")</f>
        <v>DBA-3707</v>
      </c>
      <c r="B1541" s="6" t="s">
        <v>21</v>
      </c>
      <c r="C1541" s="6" t="s">
        <v>6898</v>
      </c>
      <c r="D1541" s="8" t="s">
        <v>17</v>
      </c>
      <c r="E1541" s="6" t="s">
        <v>23</v>
      </c>
      <c r="F1541" s="6" t="s">
        <v>52</v>
      </c>
      <c r="G1541" s="6" t="s">
        <v>6899</v>
      </c>
      <c r="H1541" s="10">
        <v>46039</v>
      </c>
      <c r="I1541" s="6" t="s">
        <v>6900</v>
      </c>
      <c r="J1541" s="6" t="s">
        <v>1464</v>
      </c>
      <c r="K1541" s="6" t="s">
        <v>55</v>
      </c>
      <c r="L1541" s="6" t="s">
        <v>887</v>
      </c>
      <c r="M1541" s="6" t="s">
        <v>6901</v>
      </c>
    </row>
    <row r="1542" spans="1:13" ht="13" x14ac:dyDescent="0.15">
      <c r="A1542" s="5" t="str">
        <f>HYPERLINK("https://onemount.atlassian.net/browse/DBA-3706","DBA-3706")</f>
        <v>DBA-3706</v>
      </c>
      <c r="B1542" s="6" t="s">
        <v>21</v>
      </c>
      <c r="C1542" s="6" t="s">
        <v>6902</v>
      </c>
      <c r="D1542" s="8" t="s">
        <v>17</v>
      </c>
      <c r="E1542" s="6" t="s">
        <v>23</v>
      </c>
      <c r="F1542" s="6" t="s">
        <v>31</v>
      </c>
      <c r="G1542" s="6" t="s">
        <v>6903</v>
      </c>
      <c r="H1542" s="10">
        <v>46040</v>
      </c>
      <c r="I1542" s="6" t="s">
        <v>6904</v>
      </c>
      <c r="J1542" s="6" t="s">
        <v>1187</v>
      </c>
      <c r="K1542" s="6" t="s">
        <v>35</v>
      </c>
      <c r="L1542" s="6" t="s">
        <v>1187</v>
      </c>
      <c r="M1542" s="6" t="s">
        <v>6905</v>
      </c>
    </row>
    <row r="1543" spans="1:13" ht="13" x14ac:dyDescent="0.15">
      <c r="A1543" s="5" t="str">
        <f>HYPERLINK("https://onemount.atlassian.net/browse/DBA-3705","DBA-3705")</f>
        <v>DBA-3705</v>
      </c>
      <c r="B1543" s="6" t="s">
        <v>21</v>
      </c>
      <c r="C1543" s="6" t="s">
        <v>6906</v>
      </c>
      <c r="D1543" s="8" t="s">
        <v>17</v>
      </c>
      <c r="E1543" s="6" t="s">
        <v>23</v>
      </c>
      <c r="F1543" s="6" t="s">
        <v>31</v>
      </c>
      <c r="G1543" s="6" t="s">
        <v>6907</v>
      </c>
      <c r="H1543" s="10">
        <v>46040</v>
      </c>
      <c r="I1543" s="6" t="s">
        <v>6908</v>
      </c>
      <c r="J1543" s="6" t="s">
        <v>1464</v>
      </c>
      <c r="K1543" s="6" t="s">
        <v>55</v>
      </c>
      <c r="L1543" s="6" t="s">
        <v>254</v>
      </c>
      <c r="M1543" s="6" t="s">
        <v>6909</v>
      </c>
    </row>
    <row r="1544" spans="1:13" ht="13" x14ac:dyDescent="0.15">
      <c r="A1544" s="5" t="str">
        <f>HYPERLINK("https://onemount.atlassian.net/browse/DBA-3702","DBA-3702")</f>
        <v>DBA-3702</v>
      </c>
      <c r="B1544" s="6" t="s">
        <v>21</v>
      </c>
      <c r="C1544" s="6" t="s">
        <v>6910</v>
      </c>
      <c r="D1544" s="8" t="s">
        <v>17</v>
      </c>
      <c r="E1544" s="6" t="s">
        <v>23</v>
      </c>
      <c r="F1544" s="6" t="s">
        <v>52</v>
      </c>
      <c r="G1544" s="6" t="s">
        <v>6911</v>
      </c>
      <c r="H1544" s="10">
        <v>46040</v>
      </c>
      <c r="I1544" s="6" t="s">
        <v>6912</v>
      </c>
      <c r="J1544" s="6" t="s">
        <v>431</v>
      </c>
      <c r="K1544" s="6" t="s">
        <v>137</v>
      </c>
      <c r="L1544" s="6" t="s">
        <v>431</v>
      </c>
      <c r="M1544" s="6" t="s">
        <v>6913</v>
      </c>
    </row>
    <row r="1545" spans="1:13" ht="13" x14ac:dyDescent="0.15">
      <c r="A1545" s="5" t="str">
        <f>HYPERLINK("https://onemount.atlassian.net/browse/DBA-3701","DBA-3701")</f>
        <v>DBA-3701</v>
      </c>
      <c r="B1545" s="6" t="s">
        <v>21</v>
      </c>
      <c r="C1545" s="6" t="s">
        <v>6914</v>
      </c>
      <c r="D1545" s="8" t="s">
        <v>17</v>
      </c>
      <c r="E1545" s="6" t="s">
        <v>23</v>
      </c>
      <c r="F1545" s="6" t="s">
        <v>52</v>
      </c>
      <c r="G1545" s="6" t="s">
        <v>6915</v>
      </c>
      <c r="H1545" s="10">
        <v>46044</v>
      </c>
      <c r="I1545" s="6" t="s">
        <v>6916</v>
      </c>
      <c r="J1545" s="6" t="s">
        <v>905</v>
      </c>
      <c r="K1545" s="6" t="s">
        <v>137</v>
      </c>
      <c r="L1545" s="6" t="s">
        <v>905</v>
      </c>
      <c r="M1545" s="6" t="s">
        <v>6917</v>
      </c>
    </row>
    <row r="1546" spans="1:13" ht="13" x14ac:dyDescent="0.15">
      <c r="A1546" s="5" t="str">
        <f>HYPERLINK("https://onemount.atlassian.net/browse/DBA-3700","DBA-3700")</f>
        <v>DBA-3700</v>
      </c>
      <c r="B1546" s="6" t="s">
        <v>21</v>
      </c>
      <c r="C1546" s="6" t="s">
        <v>6918</v>
      </c>
      <c r="D1546" s="8" t="s">
        <v>17</v>
      </c>
      <c r="E1546" s="6" t="s">
        <v>23</v>
      </c>
      <c r="F1546" s="6" t="s">
        <v>41</v>
      </c>
      <c r="G1546" s="6" t="s">
        <v>6919</v>
      </c>
      <c r="H1546" s="10">
        <v>46039</v>
      </c>
      <c r="I1546" s="6" t="s">
        <v>6920</v>
      </c>
      <c r="J1546" s="6" t="s">
        <v>85</v>
      </c>
      <c r="K1546" s="6" t="s">
        <v>55</v>
      </c>
      <c r="L1546" s="6" t="s">
        <v>85</v>
      </c>
      <c r="M1546" s="6" t="s">
        <v>6921</v>
      </c>
    </row>
    <row r="1547" spans="1:13" ht="13" x14ac:dyDescent="0.15">
      <c r="A1547" s="5" t="str">
        <f>HYPERLINK("https://onemount.atlassian.net/browse/DBA-3698","DBA-3698")</f>
        <v>DBA-3698</v>
      </c>
      <c r="B1547" s="6" t="s">
        <v>21</v>
      </c>
      <c r="C1547" s="6" t="s">
        <v>6922</v>
      </c>
      <c r="D1547" s="8" t="s">
        <v>17</v>
      </c>
      <c r="E1547" s="6" t="s">
        <v>23</v>
      </c>
      <c r="F1547" s="6" t="s">
        <v>31</v>
      </c>
      <c r="G1547" s="6" t="s">
        <v>6923</v>
      </c>
      <c r="H1547" s="10">
        <v>46038</v>
      </c>
      <c r="I1547" s="6" t="s">
        <v>6924</v>
      </c>
      <c r="J1547" s="6" t="s">
        <v>71</v>
      </c>
      <c r="K1547" s="6" t="s">
        <v>35</v>
      </c>
      <c r="L1547" s="6" t="s">
        <v>71</v>
      </c>
      <c r="M1547" s="6" t="s">
        <v>6925</v>
      </c>
    </row>
    <row r="1548" spans="1:13" ht="13" x14ac:dyDescent="0.15">
      <c r="A1548" s="5" t="str">
        <f>HYPERLINK("https://onemount.atlassian.net/browse/DBA-3697","DBA-3697")</f>
        <v>DBA-3697</v>
      </c>
      <c r="B1548" s="6" t="s">
        <v>21</v>
      </c>
      <c r="C1548" s="6" t="s">
        <v>6926</v>
      </c>
      <c r="D1548" s="8" t="s">
        <v>17</v>
      </c>
      <c r="E1548" s="6" t="s">
        <v>23</v>
      </c>
      <c r="F1548" s="6" t="s">
        <v>31</v>
      </c>
      <c r="G1548" s="6" t="s">
        <v>6927</v>
      </c>
      <c r="H1548" s="10">
        <v>46039</v>
      </c>
      <c r="I1548" s="6" t="s">
        <v>6928</v>
      </c>
      <c r="J1548" s="6" t="s">
        <v>478</v>
      </c>
      <c r="K1548" s="6" t="s">
        <v>35</v>
      </c>
      <c r="L1548" s="6" t="s">
        <v>129</v>
      </c>
      <c r="M1548" s="6" t="s">
        <v>6929</v>
      </c>
    </row>
    <row r="1549" spans="1:13" ht="13" x14ac:dyDescent="0.15">
      <c r="A1549" s="5" t="str">
        <f>HYPERLINK("https://onemount.atlassian.net/browse/DBA-3695","DBA-3695")</f>
        <v>DBA-3695</v>
      </c>
      <c r="B1549" s="6" t="s">
        <v>21</v>
      </c>
      <c r="C1549" s="6" t="s">
        <v>6930</v>
      </c>
      <c r="D1549" s="8" t="s">
        <v>17</v>
      </c>
      <c r="E1549" s="6" t="s">
        <v>23</v>
      </c>
      <c r="F1549" s="6" t="s">
        <v>24</v>
      </c>
      <c r="G1549" s="6" t="s">
        <v>6931</v>
      </c>
      <c r="H1549" s="10">
        <v>46042</v>
      </c>
      <c r="I1549" s="6" t="s">
        <v>6932</v>
      </c>
      <c r="J1549" s="6" t="s">
        <v>478</v>
      </c>
      <c r="K1549" s="6" t="s">
        <v>35</v>
      </c>
      <c r="L1549" s="6" t="s">
        <v>129</v>
      </c>
      <c r="M1549" s="6" t="s">
        <v>6933</v>
      </c>
    </row>
    <row r="1550" spans="1:13" ht="13" x14ac:dyDescent="0.15">
      <c r="A1550" s="5" t="str">
        <f>HYPERLINK("https://onemount.atlassian.net/browse/DBA-3693","DBA-3693")</f>
        <v>DBA-3693</v>
      </c>
      <c r="B1550" s="6" t="s">
        <v>21</v>
      </c>
      <c r="C1550" s="6" t="s">
        <v>6934</v>
      </c>
      <c r="D1550" s="8" t="s">
        <v>17</v>
      </c>
      <c r="E1550" s="6" t="s">
        <v>23</v>
      </c>
      <c r="F1550" s="6" t="s">
        <v>24</v>
      </c>
      <c r="G1550" s="6" t="s">
        <v>6935</v>
      </c>
      <c r="H1550" s="10">
        <v>46038</v>
      </c>
      <c r="I1550" s="6" t="s">
        <v>6936</v>
      </c>
      <c r="J1550" s="6" t="s">
        <v>85</v>
      </c>
      <c r="K1550" s="6" t="s">
        <v>55</v>
      </c>
      <c r="L1550" s="6" t="s">
        <v>85</v>
      </c>
      <c r="M1550" s="6" t="s">
        <v>6937</v>
      </c>
    </row>
    <row r="1551" spans="1:13" ht="13" x14ac:dyDescent="0.15">
      <c r="A1551" s="21" t="str">
        <f>HYPERLINK("https://onemount.atlassian.net/browse/DBA-3692","DBA-3692")</f>
        <v>DBA-3692</v>
      </c>
      <c r="B1551" s="6" t="s">
        <v>21</v>
      </c>
      <c r="C1551" s="6" t="s">
        <v>2684</v>
      </c>
      <c r="D1551" s="8" t="s">
        <v>17</v>
      </c>
      <c r="E1551" s="6" t="s">
        <v>23</v>
      </c>
      <c r="F1551" s="6" t="s">
        <v>24</v>
      </c>
      <c r="G1551" s="6" t="s">
        <v>6938</v>
      </c>
      <c r="H1551" s="10">
        <v>46038</v>
      </c>
      <c r="I1551" s="6" t="s">
        <v>6939</v>
      </c>
      <c r="J1551" s="6" t="s">
        <v>2687</v>
      </c>
      <c r="K1551" s="6" t="s">
        <v>46</v>
      </c>
      <c r="L1551" s="6" t="s">
        <v>404</v>
      </c>
      <c r="M1551" s="6" t="s">
        <v>6940</v>
      </c>
    </row>
    <row r="1552" spans="1:13" ht="13" x14ac:dyDescent="0.15">
      <c r="A1552" s="5" t="str">
        <f>HYPERLINK("https://onemount.atlassian.net/browse/DBA-3691","DBA-3691")</f>
        <v>DBA-3691</v>
      </c>
      <c r="B1552" s="6" t="s">
        <v>21</v>
      </c>
      <c r="C1552" s="6" t="s">
        <v>5906</v>
      </c>
      <c r="D1552" s="8" t="s">
        <v>17</v>
      </c>
      <c r="E1552" s="6" t="s">
        <v>23</v>
      </c>
      <c r="F1552" s="6" t="s">
        <v>52</v>
      </c>
      <c r="G1552" s="6" t="s">
        <v>6941</v>
      </c>
      <c r="H1552" s="10">
        <v>46038</v>
      </c>
      <c r="I1552" s="6" t="s">
        <v>6942</v>
      </c>
      <c r="J1552" s="6" t="s">
        <v>132</v>
      </c>
      <c r="K1552" s="6" t="s">
        <v>124</v>
      </c>
      <c r="L1552" s="6" t="s">
        <v>132</v>
      </c>
      <c r="M1552" s="6" t="s">
        <v>6943</v>
      </c>
    </row>
    <row r="1553" spans="1:13" ht="13" x14ac:dyDescent="0.15">
      <c r="A1553" s="5" t="str">
        <f>HYPERLINK("https://onemount.atlassian.net/browse/DBA-3690","DBA-3690")</f>
        <v>DBA-3690</v>
      </c>
      <c r="B1553" s="6" t="s">
        <v>21</v>
      </c>
      <c r="C1553" s="6" t="s">
        <v>6819</v>
      </c>
      <c r="D1553" s="8" t="s">
        <v>17</v>
      </c>
      <c r="E1553" s="6" t="s">
        <v>23</v>
      </c>
      <c r="F1553" s="6" t="s">
        <v>52</v>
      </c>
      <c r="G1553" s="6" t="s">
        <v>6944</v>
      </c>
      <c r="H1553" s="10">
        <v>46038</v>
      </c>
      <c r="I1553" s="6" t="s">
        <v>6945</v>
      </c>
      <c r="J1553" s="6" t="s">
        <v>55</v>
      </c>
      <c r="K1553" s="6" t="s">
        <v>55</v>
      </c>
      <c r="L1553" s="6" t="s">
        <v>93</v>
      </c>
      <c r="M1553" s="6" t="s">
        <v>6946</v>
      </c>
    </row>
    <row r="1554" spans="1:13" ht="13" x14ac:dyDescent="0.15">
      <c r="A1554" s="5" t="str">
        <f>HYPERLINK("https://onemount.atlassian.net/browse/DBA-3688","DBA-3688")</f>
        <v>DBA-3688</v>
      </c>
      <c r="B1554" s="6" t="s">
        <v>21</v>
      </c>
      <c r="C1554" s="6" t="s">
        <v>6348</v>
      </c>
      <c r="D1554" s="8" t="s">
        <v>17</v>
      </c>
      <c r="E1554" s="6" t="s">
        <v>23</v>
      </c>
      <c r="F1554" s="6" t="s">
        <v>31</v>
      </c>
      <c r="G1554" s="6" t="s">
        <v>6947</v>
      </c>
      <c r="H1554" s="10">
        <v>46038</v>
      </c>
      <c r="I1554" s="6" t="s">
        <v>6948</v>
      </c>
      <c r="J1554" s="6" t="s">
        <v>6575</v>
      </c>
      <c r="K1554" s="6" t="s">
        <v>35</v>
      </c>
      <c r="L1554" s="6" t="s">
        <v>962</v>
      </c>
      <c r="M1554" s="6" t="s">
        <v>6949</v>
      </c>
    </row>
    <row r="1555" spans="1:13" ht="13" x14ac:dyDescent="0.15">
      <c r="A1555" s="5" t="str">
        <f>HYPERLINK("https://onemount.atlassian.net/browse/DBA-3687","DBA-3687")</f>
        <v>DBA-3687</v>
      </c>
      <c r="B1555" s="23" t="str">
        <f t="shared" ref="B1555:B1564" si="18">HYPERLINK("https://onemount.atlassian.net/browse/DBA-3523","DBA-3523")</f>
        <v>DBA-3523</v>
      </c>
      <c r="C1555" s="6" t="s">
        <v>6950</v>
      </c>
      <c r="D1555" s="8" t="s">
        <v>17</v>
      </c>
      <c r="E1555" s="6" t="s">
        <v>428</v>
      </c>
      <c r="F1555" s="6" t="s">
        <v>52</v>
      </c>
      <c r="G1555" s="6" t="s">
        <v>6951</v>
      </c>
      <c r="H1555" s="10">
        <v>46055</v>
      </c>
      <c r="I1555" s="6" t="s">
        <v>6952</v>
      </c>
      <c r="J1555" s="6" t="s">
        <v>72</v>
      </c>
      <c r="K1555" s="6" t="s">
        <v>72</v>
      </c>
      <c r="L1555" s="6" t="s">
        <v>72</v>
      </c>
      <c r="M1555" s="6" t="s">
        <v>6953</v>
      </c>
    </row>
    <row r="1556" spans="1:13" ht="13" x14ac:dyDescent="0.15">
      <c r="A1556" s="5" t="str">
        <f>HYPERLINK("https://onemount.atlassian.net/browse/DBA-3686","DBA-3686")</f>
        <v>DBA-3686</v>
      </c>
      <c r="B1556" s="23" t="str">
        <f t="shared" si="18"/>
        <v>DBA-3523</v>
      </c>
      <c r="C1556" s="6" t="s">
        <v>6954</v>
      </c>
      <c r="D1556" s="8" t="s">
        <v>17</v>
      </c>
      <c r="E1556" s="6" t="s">
        <v>428</v>
      </c>
      <c r="F1556" s="6" t="s">
        <v>52</v>
      </c>
      <c r="G1556" s="6" t="s">
        <v>6955</v>
      </c>
      <c r="H1556" s="10">
        <v>46055</v>
      </c>
      <c r="I1556" s="6" t="s">
        <v>6956</v>
      </c>
      <c r="J1556" s="6" t="s">
        <v>72</v>
      </c>
      <c r="K1556" s="6" t="s">
        <v>72</v>
      </c>
      <c r="L1556" s="6" t="s">
        <v>72</v>
      </c>
      <c r="M1556" s="6" t="s">
        <v>6957</v>
      </c>
    </row>
    <row r="1557" spans="1:13" ht="13" x14ac:dyDescent="0.15">
      <c r="A1557" s="5" t="str">
        <f>HYPERLINK("https://onemount.atlassian.net/browse/DBA-3685","DBA-3685")</f>
        <v>DBA-3685</v>
      </c>
      <c r="B1557" s="23" t="str">
        <f t="shared" si="18"/>
        <v>DBA-3523</v>
      </c>
      <c r="C1557" s="6" t="s">
        <v>6958</v>
      </c>
      <c r="D1557" s="8" t="s">
        <v>17</v>
      </c>
      <c r="E1557" s="6" t="s">
        <v>428</v>
      </c>
      <c r="F1557" s="6" t="s">
        <v>52</v>
      </c>
      <c r="G1557" s="6" t="s">
        <v>6959</v>
      </c>
      <c r="H1557" s="10">
        <v>46055</v>
      </c>
      <c r="I1557" s="6" t="s">
        <v>6960</v>
      </c>
      <c r="J1557" s="6" t="s">
        <v>72</v>
      </c>
      <c r="K1557" s="6" t="s">
        <v>72</v>
      </c>
      <c r="L1557" s="6" t="s">
        <v>72</v>
      </c>
      <c r="M1557" s="6" t="s">
        <v>6961</v>
      </c>
    </row>
    <row r="1558" spans="1:13" ht="13" x14ac:dyDescent="0.15">
      <c r="A1558" s="5" t="str">
        <f>HYPERLINK("https://onemount.atlassian.net/browse/DBA-3684","DBA-3684")</f>
        <v>DBA-3684</v>
      </c>
      <c r="B1558" s="23" t="str">
        <f t="shared" si="18"/>
        <v>DBA-3523</v>
      </c>
      <c r="C1558" s="6" t="s">
        <v>6962</v>
      </c>
      <c r="D1558" s="8" t="s">
        <v>17</v>
      </c>
      <c r="E1558" s="6" t="s">
        <v>428</v>
      </c>
      <c r="F1558" s="6" t="s">
        <v>52</v>
      </c>
      <c r="G1558" s="6" t="s">
        <v>6963</v>
      </c>
      <c r="H1558" s="10">
        <v>46055</v>
      </c>
      <c r="I1558" s="6" t="s">
        <v>6964</v>
      </c>
      <c r="J1558" s="6" t="s">
        <v>72</v>
      </c>
      <c r="K1558" s="6" t="s">
        <v>72</v>
      </c>
      <c r="L1558" s="6" t="s">
        <v>72</v>
      </c>
      <c r="M1558" s="6" t="s">
        <v>6965</v>
      </c>
    </row>
    <row r="1559" spans="1:13" ht="13" x14ac:dyDescent="0.15">
      <c r="A1559" s="5" t="str">
        <f>HYPERLINK("https://onemount.atlassian.net/browse/DBA-3683","DBA-3683")</f>
        <v>DBA-3683</v>
      </c>
      <c r="B1559" s="23" t="str">
        <f t="shared" si="18"/>
        <v>DBA-3523</v>
      </c>
      <c r="C1559" s="6" t="s">
        <v>6966</v>
      </c>
      <c r="D1559" s="8" t="s">
        <v>17</v>
      </c>
      <c r="E1559" s="6" t="s">
        <v>428</v>
      </c>
      <c r="F1559" s="6" t="s">
        <v>52</v>
      </c>
      <c r="G1559" s="6" t="s">
        <v>6967</v>
      </c>
      <c r="H1559" s="10">
        <v>46055</v>
      </c>
      <c r="I1559" s="6" t="s">
        <v>6968</v>
      </c>
      <c r="J1559" s="6" t="s">
        <v>72</v>
      </c>
      <c r="K1559" s="6" t="s">
        <v>72</v>
      </c>
      <c r="L1559" s="6" t="s">
        <v>72</v>
      </c>
      <c r="M1559" s="6" t="s">
        <v>6969</v>
      </c>
    </row>
    <row r="1560" spans="1:13" ht="13" x14ac:dyDescent="0.15">
      <c r="A1560" s="5" t="str">
        <f>HYPERLINK("https://onemount.atlassian.net/browse/DBA-3682","DBA-3682")</f>
        <v>DBA-3682</v>
      </c>
      <c r="B1560" s="23" t="str">
        <f t="shared" si="18"/>
        <v>DBA-3523</v>
      </c>
      <c r="C1560" s="6" t="s">
        <v>6970</v>
      </c>
      <c r="D1560" s="8" t="s">
        <v>17</v>
      </c>
      <c r="E1560" s="6" t="s">
        <v>428</v>
      </c>
      <c r="F1560" s="6" t="s">
        <v>52</v>
      </c>
      <c r="G1560" s="6" t="s">
        <v>6971</v>
      </c>
      <c r="H1560" s="10">
        <v>46055</v>
      </c>
      <c r="I1560" s="6" t="s">
        <v>6972</v>
      </c>
      <c r="J1560" s="6" t="s">
        <v>72</v>
      </c>
      <c r="K1560" s="6" t="s">
        <v>72</v>
      </c>
      <c r="L1560" s="6" t="s">
        <v>72</v>
      </c>
      <c r="M1560" s="6" t="s">
        <v>6973</v>
      </c>
    </row>
    <row r="1561" spans="1:13" ht="13" x14ac:dyDescent="0.15">
      <c r="A1561" s="5" t="str">
        <f>HYPERLINK("https://onemount.atlassian.net/browse/DBA-3681","DBA-3681")</f>
        <v>DBA-3681</v>
      </c>
      <c r="B1561" s="23" t="str">
        <f t="shared" si="18"/>
        <v>DBA-3523</v>
      </c>
      <c r="C1561" s="6" t="s">
        <v>6974</v>
      </c>
      <c r="D1561" s="8" t="s">
        <v>17</v>
      </c>
      <c r="E1561" s="6" t="s">
        <v>428</v>
      </c>
      <c r="F1561" s="6" t="s">
        <v>52</v>
      </c>
      <c r="G1561" s="6" t="s">
        <v>6975</v>
      </c>
      <c r="H1561" s="10">
        <v>46055</v>
      </c>
      <c r="I1561" s="6" t="s">
        <v>6976</v>
      </c>
      <c r="J1561" s="6" t="s">
        <v>72</v>
      </c>
      <c r="K1561" s="6" t="s">
        <v>72</v>
      </c>
      <c r="L1561" s="6" t="s">
        <v>72</v>
      </c>
      <c r="M1561" s="6" t="s">
        <v>6977</v>
      </c>
    </row>
    <row r="1562" spans="1:13" ht="13" x14ac:dyDescent="0.15">
      <c r="A1562" s="5" t="str">
        <f>HYPERLINK("https://onemount.atlassian.net/browse/DBA-3680","DBA-3680")</f>
        <v>DBA-3680</v>
      </c>
      <c r="B1562" s="23" t="str">
        <f t="shared" si="18"/>
        <v>DBA-3523</v>
      </c>
      <c r="C1562" s="6" t="s">
        <v>6978</v>
      </c>
      <c r="D1562" s="8" t="s">
        <v>17</v>
      </c>
      <c r="E1562" s="6" t="s">
        <v>428</v>
      </c>
      <c r="F1562" s="6" t="s">
        <v>52</v>
      </c>
      <c r="G1562" s="6" t="s">
        <v>6979</v>
      </c>
      <c r="H1562" s="10">
        <v>46055</v>
      </c>
      <c r="I1562" s="6" t="s">
        <v>6980</v>
      </c>
      <c r="J1562" s="6" t="s">
        <v>72</v>
      </c>
      <c r="K1562" s="6" t="s">
        <v>72</v>
      </c>
      <c r="L1562" s="6" t="s">
        <v>72</v>
      </c>
      <c r="M1562" s="6" t="s">
        <v>6981</v>
      </c>
    </row>
    <row r="1563" spans="1:13" ht="13" x14ac:dyDescent="0.15">
      <c r="A1563" s="5" t="str">
        <f>HYPERLINK("https://onemount.atlassian.net/browse/DBA-3679","DBA-3679")</f>
        <v>DBA-3679</v>
      </c>
      <c r="B1563" s="23" t="str">
        <f t="shared" si="18"/>
        <v>DBA-3523</v>
      </c>
      <c r="C1563" s="6" t="s">
        <v>6982</v>
      </c>
      <c r="D1563" s="8" t="s">
        <v>17</v>
      </c>
      <c r="E1563" s="6" t="s">
        <v>428</v>
      </c>
      <c r="F1563" s="6" t="s">
        <v>52</v>
      </c>
      <c r="G1563" s="6" t="s">
        <v>6983</v>
      </c>
      <c r="H1563" s="10">
        <v>46055</v>
      </c>
      <c r="I1563" s="6" t="s">
        <v>6984</v>
      </c>
      <c r="J1563" s="6" t="s">
        <v>72</v>
      </c>
      <c r="K1563" s="6" t="s">
        <v>72</v>
      </c>
      <c r="L1563" s="6" t="s">
        <v>72</v>
      </c>
      <c r="M1563" s="6" t="s">
        <v>6985</v>
      </c>
    </row>
    <row r="1564" spans="1:13" ht="13" x14ac:dyDescent="0.15">
      <c r="A1564" s="5" t="str">
        <f>HYPERLINK("https://onemount.atlassian.net/browse/DBA-3678","DBA-3678")</f>
        <v>DBA-3678</v>
      </c>
      <c r="B1564" s="23" t="str">
        <f t="shared" si="18"/>
        <v>DBA-3523</v>
      </c>
      <c r="C1564" s="6" t="s">
        <v>6986</v>
      </c>
      <c r="D1564" s="8" t="s">
        <v>17</v>
      </c>
      <c r="E1564" s="6" t="s">
        <v>428</v>
      </c>
      <c r="F1564" s="6" t="s">
        <v>52</v>
      </c>
      <c r="G1564" s="6" t="s">
        <v>6987</v>
      </c>
      <c r="H1564" s="10">
        <v>46055</v>
      </c>
      <c r="I1564" s="6" t="s">
        <v>6988</v>
      </c>
      <c r="J1564" s="6" t="s">
        <v>72</v>
      </c>
      <c r="K1564" s="6" t="s">
        <v>72</v>
      </c>
      <c r="L1564" s="6" t="s">
        <v>72</v>
      </c>
      <c r="M1564" s="6" t="s">
        <v>6989</v>
      </c>
    </row>
    <row r="1565" spans="1:13" ht="13" x14ac:dyDescent="0.15">
      <c r="A1565" s="5" t="str">
        <f>HYPERLINK("https://onemount.atlassian.net/browse/DBA-3676","DBA-3676")</f>
        <v>DBA-3676</v>
      </c>
      <c r="B1565" s="6" t="s">
        <v>21</v>
      </c>
      <c r="C1565" s="6" t="s">
        <v>6990</v>
      </c>
      <c r="D1565" s="8" t="s">
        <v>17</v>
      </c>
      <c r="E1565" s="6" t="s">
        <v>23</v>
      </c>
      <c r="F1565" s="6" t="s">
        <v>31</v>
      </c>
      <c r="G1565" s="6" t="s">
        <v>6991</v>
      </c>
      <c r="H1565" s="10">
        <v>46037</v>
      </c>
      <c r="I1565" s="6" t="s">
        <v>6992</v>
      </c>
      <c r="J1565" s="6" t="s">
        <v>85</v>
      </c>
      <c r="K1565" s="6" t="s">
        <v>55</v>
      </c>
      <c r="L1565" s="6" t="s">
        <v>85</v>
      </c>
      <c r="M1565" s="6" t="s">
        <v>6993</v>
      </c>
    </row>
    <row r="1566" spans="1:13" ht="13" x14ac:dyDescent="0.15">
      <c r="A1566" s="5" t="str">
        <f>HYPERLINK("https://onemount.atlassian.net/browse/DBA-3675","DBA-3675")</f>
        <v>DBA-3675</v>
      </c>
      <c r="B1566" s="6" t="s">
        <v>21</v>
      </c>
      <c r="C1566" s="6" t="s">
        <v>6994</v>
      </c>
      <c r="D1566" s="8" t="s">
        <v>17</v>
      </c>
      <c r="E1566" s="6" t="s">
        <v>23</v>
      </c>
      <c r="F1566" s="6" t="s">
        <v>31</v>
      </c>
      <c r="G1566" s="6" t="s">
        <v>6995</v>
      </c>
      <c r="H1566" s="10">
        <v>46038</v>
      </c>
      <c r="I1566" s="6" t="s">
        <v>6996</v>
      </c>
      <c r="J1566" s="6" t="s">
        <v>478</v>
      </c>
      <c r="K1566" s="6" t="s">
        <v>35</v>
      </c>
      <c r="L1566" s="6" t="s">
        <v>129</v>
      </c>
      <c r="M1566" s="6" t="s">
        <v>6997</v>
      </c>
    </row>
    <row r="1567" spans="1:13" ht="13" x14ac:dyDescent="0.15">
      <c r="A1567" s="5" t="str">
        <f>HYPERLINK("https://onemount.atlassian.net/browse/DBA-3674","DBA-3674")</f>
        <v>DBA-3674</v>
      </c>
      <c r="B1567" s="6" t="s">
        <v>21</v>
      </c>
      <c r="C1567" s="6" t="s">
        <v>6998</v>
      </c>
      <c r="D1567" s="8" t="s">
        <v>17</v>
      </c>
      <c r="E1567" s="6" t="s">
        <v>23</v>
      </c>
      <c r="F1567" s="6" t="s">
        <v>24</v>
      </c>
      <c r="G1567" s="6" t="s">
        <v>6999</v>
      </c>
      <c r="H1567" s="10">
        <v>46052</v>
      </c>
      <c r="I1567" s="6" t="s">
        <v>7000</v>
      </c>
      <c r="J1567" s="6" t="s">
        <v>46</v>
      </c>
      <c r="K1567" s="6" t="s">
        <v>46</v>
      </c>
      <c r="L1567" s="6" t="s">
        <v>164</v>
      </c>
      <c r="M1567" s="6" t="s">
        <v>7001</v>
      </c>
    </row>
    <row r="1568" spans="1:13" ht="13" x14ac:dyDescent="0.15">
      <c r="A1568" s="5" t="str">
        <f>HYPERLINK("https://onemount.atlassian.net/browse/DBA-3673","DBA-3673")</f>
        <v>DBA-3673</v>
      </c>
      <c r="B1568" s="6" t="s">
        <v>21</v>
      </c>
      <c r="C1568" s="6" t="s">
        <v>7002</v>
      </c>
      <c r="D1568" s="8" t="s">
        <v>17</v>
      </c>
      <c r="E1568" s="6" t="s">
        <v>23</v>
      </c>
      <c r="F1568" s="6" t="s">
        <v>24</v>
      </c>
      <c r="G1568" s="6" t="s">
        <v>7003</v>
      </c>
      <c r="H1568" s="10">
        <v>46037</v>
      </c>
      <c r="I1568" s="6" t="s">
        <v>7004</v>
      </c>
      <c r="J1568" s="6" t="s">
        <v>55</v>
      </c>
      <c r="K1568" s="6" t="s">
        <v>55</v>
      </c>
      <c r="L1568" s="6" t="s">
        <v>956</v>
      </c>
      <c r="M1568" s="6" t="s">
        <v>7005</v>
      </c>
    </row>
    <row r="1569" spans="1:13" ht="13" x14ac:dyDescent="0.15">
      <c r="A1569" s="5" t="str">
        <f>HYPERLINK("https://onemount.atlassian.net/browse/DBA-3672","DBA-3672")</f>
        <v>DBA-3672</v>
      </c>
      <c r="B1569" s="6" t="s">
        <v>21</v>
      </c>
      <c r="C1569" s="6" t="s">
        <v>2330</v>
      </c>
      <c r="D1569" s="8" t="s">
        <v>17</v>
      </c>
      <c r="E1569" s="6" t="s">
        <v>23</v>
      </c>
      <c r="F1569" s="6" t="s">
        <v>24</v>
      </c>
      <c r="G1569" s="6" t="s">
        <v>7006</v>
      </c>
      <c r="H1569" s="10">
        <v>46037</v>
      </c>
      <c r="I1569" s="6" t="s">
        <v>7007</v>
      </c>
      <c r="J1569" s="6" t="s">
        <v>55</v>
      </c>
      <c r="K1569" s="6" t="s">
        <v>55</v>
      </c>
      <c r="L1569" s="6" t="s">
        <v>986</v>
      </c>
      <c r="M1569" s="6" t="s">
        <v>7008</v>
      </c>
    </row>
    <row r="1570" spans="1:13" ht="13" x14ac:dyDescent="0.15">
      <c r="A1570" s="5" t="str">
        <f>HYPERLINK("https://onemount.atlassian.net/browse/DBA-3671","DBA-3671")</f>
        <v>DBA-3671</v>
      </c>
      <c r="B1570" s="6" t="s">
        <v>21</v>
      </c>
      <c r="C1570" s="6" t="s">
        <v>7009</v>
      </c>
      <c r="D1570" s="8" t="s">
        <v>17</v>
      </c>
      <c r="E1570" s="6" t="s">
        <v>23</v>
      </c>
      <c r="F1570" s="6" t="s">
        <v>31</v>
      </c>
      <c r="G1570" s="6" t="s">
        <v>7010</v>
      </c>
      <c r="H1570" s="10">
        <v>46037</v>
      </c>
      <c r="I1570" s="6" t="s">
        <v>7011</v>
      </c>
      <c r="J1570" s="6" t="s">
        <v>1187</v>
      </c>
      <c r="K1570" s="6" t="s">
        <v>35</v>
      </c>
      <c r="L1570" s="6" t="s">
        <v>1187</v>
      </c>
      <c r="M1570" s="6" t="s">
        <v>7012</v>
      </c>
    </row>
    <row r="1571" spans="1:13" ht="13" x14ac:dyDescent="0.15">
      <c r="A1571" s="5" t="str">
        <f>HYPERLINK("https://onemount.atlassian.net/browse/DBA-3670","DBA-3670")</f>
        <v>DBA-3670</v>
      </c>
      <c r="B1571" s="6" t="s">
        <v>21</v>
      </c>
      <c r="C1571" s="6" t="s">
        <v>7013</v>
      </c>
      <c r="D1571" s="8" t="s">
        <v>17</v>
      </c>
      <c r="E1571" s="6" t="s">
        <v>23</v>
      </c>
      <c r="F1571" s="6" t="s">
        <v>24</v>
      </c>
      <c r="G1571" s="6" t="s">
        <v>7014</v>
      </c>
      <c r="H1571" s="10">
        <v>46037</v>
      </c>
      <c r="I1571" s="6" t="s">
        <v>7015</v>
      </c>
      <c r="J1571" s="6" t="s">
        <v>1058</v>
      </c>
      <c r="K1571" s="6" t="s">
        <v>165</v>
      </c>
      <c r="L1571" s="6" t="s">
        <v>1058</v>
      </c>
      <c r="M1571" s="6" t="s">
        <v>7016</v>
      </c>
    </row>
    <row r="1572" spans="1:13" ht="13" x14ac:dyDescent="0.15">
      <c r="A1572" s="5" t="str">
        <f>HYPERLINK("https://onemount.atlassian.net/browse/DBA-3669","DBA-3669")</f>
        <v>DBA-3669</v>
      </c>
      <c r="B1572" s="6" t="s">
        <v>21</v>
      </c>
      <c r="C1572" s="6" t="s">
        <v>7017</v>
      </c>
      <c r="D1572" s="8" t="s">
        <v>17</v>
      </c>
      <c r="E1572" s="6" t="s">
        <v>23</v>
      </c>
      <c r="F1572" s="6" t="s">
        <v>31</v>
      </c>
      <c r="G1572" s="6" t="s">
        <v>7018</v>
      </c>
      <c r="H1572" s="10">
        <v>46037</v>
      </c>
      <c r="I1572" s="6" t="s">
        <v>7019</v>
      </c>
      <c r="J1572" s="6" t="s">
        <v>7020</v>
      </c>
      <c r="K1572" s="6" t="s">
        <v>46</v>
      </c>
      <c r="L1572" s="6" t="s">
        <v>254</v>
      </c>
      <c r="M1572" s="6" t="s">
        <v>7021</v>
      </c>
    </row>
    <row r="1573" spans="1:13" ht="13" x14ac:dyDescent="0.15">
      <c r="A1573" s="5" t="str">
        <f>HYPERLINK("https://onemount.atlassian.net/browse/DBA-3668","DBA-3668")</f>
        <v>DBA-3668</v>
      </c>
      <c r="B1573" s="6" t="s">
        <v>21</v>
      </c>
      <c r="C1573" s="6" t="s">
        <v>7022</v>
      </c>
      <c r="D1573" s="8" t="s">
        <v>17</v>
      </c>
      <c r="E1573" s="6" t="s">
        <v>23</v>
      </c>
      <c r="F1573" s="6" t="s">
        <v>31</v>
      </c>
      <c r="G1573" s="6" t="s">
        <v>7023</v>
      </c>
      <c r="H1573" s="10">
        <v>46037</v>
      </c>
      <c r="I1573" s="6" t="s">
        <v>7024</v>
      </c>
      <c r="J1573" s="6" t="s">
        <v>55</v>
      </c>
      <c r="K1573" s="6" t="s">
        <v>55</v>
      </c>
      <c r="L1573" s="6" t="s">
        <v>55</v>
      </c>
      <c r="M1573" s="6" t="s">
        <v>7025</v>
      </c>
    </row>
    <row r="1574" spans="1:13" ht="13" x14ac:dyDescent="0.15">
      <c r="A1574" s="5" t="str">
        <f>HYPERLINK("https://onemount.atlassian.net/browse/DBA-3667","DBA-3667")</f>
        <v>DBA-3667</v>
      </c>
      <c r="B1574" s="6" t="s">
        <v>21</v>
      </c>
      <c r="C1574" s="6" t="s">
        <v>7026</v>
      </c>
      <c r="D1574" s="8" t="s">
        <v>17</v>
      </c>
      <c r="E1574" s="6" t="s">
        <v>23</v>
      </c>
      <c r="F1574" s="6" t="s">
        <v>52</v>
      </c>
      <c r="G1574" s="6" t="s">
        <v>7027</v>
      </c>
      <c r="H1574" s="10">
        <v>46037</v>
      </c>
      <c r="I1574" s="6" t="s">
        <v>7028</v>
      </c>
      <c r="J1574" s="6" t="s">
        <v>7029</v>
      </c>
      <c r="K1574" s="6" t="s">
        <v>46</v>
      </c>
      <c r="L1574" s="6" t="s">
        <v>613</v>
      </c>
      <c r="M1574" s="6" t="s">
        <v>7030</v>
      </c>
    </row>
    <row r="1575" spans="1:13" ht="13" x14ac:dyDescent="0.15">
      <c r="A1575" s="5" t="str">
        <f>HYPERLINK("https://onemount.atlassian.net/browse/DBA-3666","DBA-3666")</f>
        <v>DBA-3666</v>
      </c>
      <c r="B1575" s="6" t="s">
        <v>21</v>
      </c>
      <c r="C1575" s="6" t="s">
        <v>7031</v>
      </c>
      <c r="D1575" s="8" t="s">
        <v>17</v>
      </c>
      <c r="E1575" s="6" t="s">
        <v>23</v>
      </c>
      <c r="F1575" s="6" t="s">
        <v>31</v>
      </c>
      <c r="G1575" s="6" t="s">
        <v>7032</v>
      </c>
      <c r="H1575" s="10">
        <v>46036</v>
      </c>
      <c r="I1575" s="6" t="s">
        <v>7033</v>
      </c>
      <c r="J1575" s="6" t="s">
        <v>165</v>
      </c>
      <c r="K1575" s="6" t="s">
        <v>165</v>
      </c>
      <c r="L1575" s="6" t="s">
        <v>715</v>
      </c>
      <c r="M1575" s="6" t="s">
        <v>7034</v>
      </c>
    </row>
    <row r="1576" spans="1:13" ht="13" x14ac:dyDescent="0.15">
      <c r="A1576" s="5" t="str">
        <f>HYPERLINK("https://onemount.atlassian.net/browse/DBA-3657","DBA-3657")</f>
        <v>DBA-3657</v>
      </c>
      <c r="B1576" s="6" t="s">
        <v>21</v>
      </c>
      <c r="C1576" s="6" t="s">
        <v>7035</v>
      </c>
      <c r="D1576" s="8" t="s">
        <v>17</v>
      </c>
      <c r="E1576" s="6" t="s">
        <v>23</v>
      </c>
      <c r="F1576" s="6" t="s">
        <v>87</v>
      </c>
      <c r="G1576" s="6" t="s">
        <v>7036</v>
      </c>
      <c r="H1576" s="10">
        <v>46035</v>
      </c>
      <c r="I1576" s="6" t="s">
        <v>7037</v>
      </c>
      <c r="J1576" s="6" t="s">
        <v>1898</v>
      </c>
      <c r="K1576" s="6" t="s">
        <v>165</v>
      </c>
      <c r="L1576" s="6" t="s">
        <v>1097</v>
      </c>
      <c r="M1576" s="6" t="s">
        <v>7038</v>
      </c>
    </row>
    <row r="1577" spans="1:13" ht="13" x14ac:dyDescent="0.15">
      <c r="A1577" s="5" t="str">
        <f>HYPERLINK("https://onemount.atlassian.net/browse/DBA-3655","DBA-3655")</f>
        <v>DBA-3655</v>
      </c>
      <c r="B1577" s="6" t="s">
        <v>21</v>
      </c>
      <c r="C1577" s="6" t="s">
        <v>7039</v>
      </c>
      <c r="D1577" s="8" t="s">
        <v>17</v>
      </c>
      <c r="E1577" s="6" t="s">
        <v>23</v>
      </c>
      <c r="F1577" s="6" t="s">
        <v>31</v>
      </c>
      <c r="G1577" s="6" t="s">
        <v>7040</v>
      </c>
      <c r="H1577" s="10">
        <v>46033</v>
      </c>
      <c r="I1577" s="6" t="s">
        <v>7041</v>
      </c>
      <c r="J1577" s="6" t="s">
        <v>7042</v>
      </c>
      <c r="K1577" s="6" t="s">
        <v>35</v>
      </c>
      <c r="L1577" s="6" t="s">
        <v>1238</v>
      </c>
      <c r="M1577" s="6" t="s">
        <v>7043</v>
      </c>
    </row>
    <row r="1578" spans="1:13" ht="13" x14ac:dyDescent="0.15">
      <c r="A1578" s="21" t="str">
        <f>HYPERLINK("https://onemount.atlassian.net/browse/DBA-3654","DBA-3654")</f>
        <v>DBA-3654</v>
      </c>
      <c r="B1578" s="6" t="s">
        <v>21</v>
      </c>
      <c r="C1578" s="6" t="s">
        <v>7044</v>
      </c>
      <c r="D1578" s="8" t="s">
        <v>17</v>
      </c>
      <c r="E1578" s="6" t="s">
        <v>23</v>
      </c>
      <c r="F1578" s="6" t="s">
        <v>41</v>
      </c>
      <c r="G1578" s="6" t="s">
        <v>7045</v>
      </c>
      <c r="H1578" s="10">
        <v>46035</v>
      </c>
      <c r="I1578" s="6" t="s">
        <v>7046</v>
      </c>
      <c r="J1578" s="6" t="s">
        <v>353</v>
      </c>
      <c r="K1578" s="6" t="s">
        <v>165</v>
      </c>
      <c r="L1578" s="6" t="s">
        <v>1014</v>
      </c>
      <c r="M1578" s="6" t="s">
        <v>7047</v>
      </c>
    </row>
    <row r="1579" spans="1:13" ht="13" x14ac:dyDescent="0.15">
      <c r="A1579" s="21" t="str">
        <f>HYPERLINK("https://onemount.atlassian.net/browse/DBA-3653","DBA-3653")</f>
        <v>DBA-3653</v>
      </c>
      <c r="B1579" s="6" t="s">
        <v>21</v>
      </c>
      <c r="C1579" s="6" t="s">
        <v>7044</v>
      </c>
      <c r="D1579" s="8" t="s">
        <v>17</v>
      </c>
      <c r="E1579" s="6" t="s">
        <v>23</v>
      </c>
      <c r="F1579" s="6" t="s">
        <v>41</v>
      </c>
      <c r="G1579" s="6" t="s">
        <v>7048</v>
      </c>
      <c r="H1579" s="10">
        <v>46045</v>
      </c>
      <c r="I1579" s="6" t="s">
        <v>7049</v>
      </c>
      <c r="J1579" s="6" t="s">
        <v>353</v>
      </c>
      <c r="K1579" s="6" t="s">
        <v>165</v>
      </c>
      <c r="L1579" s="6" t="s">
        <v>1014</v>
      </c>
      <c r="M1579" s="6" t="s">
        <v>7047</v>
      </c>
    </row>
    <row r="1580" spans="1:13" ht="13" x14ac:dyDescent="0.15">
      <c r="A1580" s="5" t="str">
        <f>HYPERLINK("https://onemount.atlassian.net/browse/DBA-3650","DBA-3650")</f>
        <v>DBA-3650</v>
      </c>
      <c r="B1580" s="6" t="s">
        <v>21</v>
      </c>
      <c r="C1580" s="6" t="s">
        <v>7050</v>
      </c>
      <c r="D1580" s="8" t="s">
        <v>17</v>
      </c>
      <c r="E1580" s="6" t="s">
        <v>23</v>
      </c>
      <c r="F1580" s="6" t="s">
        <v>87</v>
      </c>
      <c r="G1580" s="6" t="s">
        <v>7051</v>
      </c>
      <c r="H1580" s="10">
        <v>46033</v>
      </c>
      <c r="I1580" s="6" t="s">
        <v>7052</v>
      </c>
      <c r="J1580" s="6" t="s">
        <v>1898</v>
      </c>
      <c r="K1580" s="6" t="s">
        <v>165</v>
      </c>
      <c r="L1580" s="6" t="s">
        <v>1097</v>
      </c>
      <c r="M1580" s="6" t="s">
        <v>7053</v>
      </c>
    </row>
    <row r="1581" spans="1:13" ht="13" x14ac:dyDescent="0.15">
      <c r="A1581" s="5" t="str">
        <f>HYPERLINK("https://onemount.atlassian.net/browse/DBA-3648","DBA-3648")</f>
        <v>DBA-3648</v>
      </c>
      <c r="B1581" s="6" t="s">
        <v>21</v>
      </c>
      <c r="C1581" s="6" t="s">
        <v>7054</v>
      </c>
      <c r="D1581" s="8" t="s">
        <v>17</v>
      </c>
      <c r="E1581" s="6" t="s">
        <v>23</v>
      </c>
      <c r="F1581" s="6" t="s">
        <v>24</v>
      </c>
      <c r="G1581" s="6" t="s">
        <v>7055</v>
      </c>
      <c r="H1581" s="10">
        <v>46032</v>
      </c>
      <c r="I1581" s="6" t="s">
        <v>7056</v>
      </c>
      <c r="J1581" s="6" t="s">
        <v>85</v>
      </c>
      <c r="K1581" s="6" t="s">
        <v>55</v>
      </c>
      <c r="L1581" s="6" t="s">
        <v>85</v>
      </c>
      <c r="M1581" s="6" t="s">
        <v>7057</v>
      </c>
    </row>
    <row r="1582" spans="1:13" ht="13" x14ac:dyDescent="0.15">
      <c r="A1582" s="5" t="str">
        <f>HYPERLINK("https://onemount.atlassian.net/browse/DBA-3645","DBA-3645")</f>
        <v>DBA-3645</v>
      </c>
      <c r="B1582" s="6" t="s">
        <v>21</v>
      </c>
      <c r="C1582" s="6" t="s">
        <v>7058</v>
      </c>
      <c r="D1582" s="8" t="s">
        <v>17</v>
      </c>
      <c r="E1582" s="6" t="s">
        <v>23</v>
      </c>
      <c r="F1582" s="6" t="s">
        <v>31</v>
      </c>
      <c r="G1582" s="6" t="s">
        <v>7059</v>
      </c>
      <c r="H1582" s="10">
        <v>46033</v>
      </c>
      <c r="I1582" s="6" t="s">
        <v>7060</v>
      </c>
      <c r="J1582" s="6" t="s">
        <v>7061</v>
      </c>
      <c r="K1582" s="6" t="s">
        <v>55</v>
      </c>
      <c r="L1582" s="6" t="s">
        <v>328</v>
      </c>
      <c r="M1582" s="6" t="s">
        <v>7062</v>
      </c>
    </row>
    <row r="1583" spans="1:13" ht="13" x14ac:dyDescent="0.15">
      <c r="A1583" s="5" t="str">
        <f>HYPERLINK("https://onemount.atlassian.net/browse/DBA-3643","DBA-3643")</f>
        <v>DBA-3643</v>
      </c>
      <c r="B1583" s="6" t="s">
        <v>21</v>
      </c>
      <c r="C1583" s="6" t="s">
        <v>7063</v>
      </c>
      <c r="D1583" s="8" t="s">
        <v>17</v>
      </c>
      <c r="E1583" s="6" t="s">
        <v>23</v>
      </c>
      <c r="F1583" s="6" t="s">
        <v>31</v>
      </c>
      <c r="G1583" s="6" t="s">
        <v>7064</v>
      </c>
      <c r="H1583" s="10">
        <v>46031</v>
      </c>
      <c r="I1583" s="6" t="s">
        <v>7065</v>
      </c>
      <c r="J1583" s="6" t="s">
        <v>85</v>
      </c>
      <c r="K1583" s="6" t="s">
        <v>55</v>
      </c>
      <c r="L1583" s="6" t="s">
        <v>85</v>
      </c>
      <c r="M1583" s="6" t="s">
        <v>7066</v>
      </c>
    </row>
    <row r="1584" spans="1:13" ht="13" x14ac:dyDescent="0.15">
      <c r="A1584" s="5" t="str">
        <f>HYPERLINK("https://onemount.atlassian.net/browse/DBA-3642","DBA-3642")</f>
        <v>DBA-3642</v>
      </c>
      <c r="B1584" s="6" t="s">
        <v>21</v>
      </c>
      <c r="C1584" s="6" t="s">
        <v>7067</v>
      </c>
      <c r="D1584" s="8" t="s">
        <v>17</v>
      </c>
      <c r="E1584" s="6" t="s">
        <v>23</v>
      </c>
      <c r="F1584" s="6" t="s">
        <v>31</v>
      </c>
      <c r="G1584" s="6" t="s">
        <v>7068</v>
      </c>
      <c r="H1584" s="10">
        <v>46031</v>
      </c>
      <c r="I1584" s="6" t="s">
        <v>7069</v>
      </c>
      <c r="J1584" s="6" t="s">
        <v>246</v>
      </c>
      <c r="K1584" s="6" t="s">
        <v>35</v>
      </c>
      <c r="L1584" s="6" t="s">
        <v>36</v>
      </c>
      <c r="M1584" s="6" t="s">
        <v>7070</v>
      </c>
    </row>
    <row r="1585" spans="1:13" ht="13" x14ac:dyDescent="0.15">
      <c r="A1585" s="5" t="str">
        <f>HYPERLINK("https://onemount.atlassian.net/browse/DBA-3641","DBA-3641")</f>
        <v>DBA-3641</v>
      </c>
      <c r="B1585" s="6" t="s">
        <v>21</v>
      </c>
      <c r="C1585" s="6" t="s">
        <v>7071</v>
      </c>
      <c r="D1585" s="8" t="s">
        <v>17</v>
      </c>
      <c r="E1585" s="6" t="s">
        <v>23</v>
      </c>
      <c r="F1585" s="6" t="s">
        <v>24</v>
      </c>
      <c r="G1585" s="6" t="s">
        <v>7072</v>
      </c>
      <c r="H1585" s="10">
        <v>46035</v>
      </c>
      <c r="I1585" s="6" t="s">
        <v>7073</v>
      </c>
      <c r="J1585" s="6" t="s">
        <v>3553</v>
      </c>
      <c r="K1585" s="6" t="s">
        <v>165</v>
      </c>
      <c r="L1585" s="6" t="s">
        <v>39</v>
      </c>
      <c r="M1585" s="6" t="s">
        <v>7074</v>
      </c>
    </row>
    <row r="1586" spans="1:13" ht="13" x14ac:dyDescent="0.15">
      <c r="A1586" s="5" t="str">
        <f>HYPERLINK("https://onemount.atlassian.net/browse/DBA-3640","DBA-3640")</f>
        <v>DBA-3640</v>
      </c>
      <c r="B1586" s="6" t="s">
        <v>21</v>
      </c>
      <c r="C1586" s="6" t="s">
        <v>7075</v>
      </c>
      <c r="D1586" s="8" t="s">
        <v>17</v>
      </c>
      <c r="E1586" s="6" t="s">
        <v>23</v>
      </c>
      <c r="F1586" s="6" t="s">
        <v>31</v>
      </c>
      <c r="G1586" s="6" t="s">
        <v>7076</v>
      </c>
      <c r="H1586" s="10">
        <v>46033</v>
      </c>
      <c r="I1586" s="6" t="s">
        <v>7077</v>
      </c>
      <c r="J1586" s="6" t="s">
        <v>478</v>
      </c>
      <c r="K1586" s="6" t="s">
        <v>35</v>
      </c>
      <c r="L1586" s="6" t="s">
        <v>129</v>
      </c>
      <c r="M1586" s="6" t="s">
        <v>7078</v>
      </c>
    </row>
    <row r="1587" spans="1:13" ht="13" x14ac:dyDescent="0.15">
      <c r="A1587" s="5" t="str">
        <f>HYPERLINK("https://onemount.atlassian.net/browse/DBA-3639","DBA-3639")</f>
        <v>DBA-3639</v>
      </c>
      <c r="B1587" s="6" t="s">
        <v>21</v>
      </c>
      <c r="C1587" s="6" t="s">
        <v>7079</v>
      </c>
      <c r="D1587" s="8" t="s">
        <v>17</v>
      </c>
      <c r="E1587" s="6" t="s">
        <v>23</v>
      </c>
      <c r="F1587" s="6" t="s">
        <v>31</v>
      </c>
      <c r="G1587" s="6" t="s">
        <v>7080</v>
      </c>
      <c r="H1587" s="10">
        <v>46031</v>
      </c>
      <c r="I1587" s="6" t="s">
        <v>7081</v>
      </c>
      <c r="J1587" s="6" t="s">
        <v>46</v>
      </c>
      <c r="K1587" s="6" t="s">
        <v>46</v>
      </c>
      <c r="L1587" s="6" t="s">
        <v>46</v>
      </c>
      <c r="M1587" s="6" t="s">
        <v>7082</v>
      </c>
    </row>
    <row r="1588" spans="1:13" ht="13" x14ac:dyDescent="0.15">
      <c r="A1588" s="5" t="str">
        <f>HYPERLINK("https://onemount.atlassian.net/browse/DBA-3638","DBA-3638")</f>
        <v>DBA-3638</v>
      </c>
      <c r="B1588" s="6" t="s">
        <v>21</v>
      </c>
      <c r="C1588" s="6" t="s">
        <v>7083</v>
      </c>
      <c r="D1588" s="8" t="s">
        <v>17</v>
      </c>
      <c r="E1588" s="6" t="s">
        <v>23</v>
      </c>
      <c r="F1588" s="6" t="s">
        <v>24</v>
      </c>
      <c r="G1588" s="6" t="s">
        <v>7084</v>
      </c>
      <c r="H1588" s="10">
        <v>46034</v>
      </c>
      <c r="I1588" s="6" t="s">
        <v>7085</v>
      </c>
      <c r="J1588" s="6" t="s">
        <v>3553</v>
      </c>
      <c r="K1588" s="6" t="s">
        <v>165</v>
      </c>
      <c r="L1588" s="6" t="s">
        <v>39</v>
      </c>
      <c r="M1588" s="6" t="s">
        <v>7086</v>
      </c>
    </row>
    <row r="1589" spans="1:13" ht="13" x14ac:dyDescent="0.15">
      <c r="A1589" s="5" t="str">
        <f>HYPERLINK("https://onemount.atlassian.net/browse/DBA-3637","DBA-3637")</f>
        <v>DBA-3637</v>
      </c>
      <c r="B1589" s="6" t="s">
        <v>21</v>
      </c>
      <c r="C1589" s="6" t="s">
        <v>7087</v>
      </c>
      <c r="D1589" s="8" t="s">
        <v>17</v>
      </c>
      <c r="E1589" s="6" t="s">
        <v>23</v>
      </c>
      <c r="F1589" s="6" t="s">
        <v>24</v>
      </c>
      <c r="G1589" s="6" t="s">
        <v>7088</v>
      </c>
      <c r="H1589" s="10">
        <v>46031</v>
      </c>
      <c r="I1589" s="6" t="s">
        <v>7089</v>
      </c>
      <c r="J1589" s="6" t="s">
        <v>4792</v>
      </c>
      <c r="K1589" s="6" t="s">
        <v>55</v>
      </c>
      <c r="L1589" s="6" t="s">
        <v>270</v>
      </c>
      <c r="M1589" s="6" t="s">
        <v>7090</v>
      </c>
    </row>
    <row r="1590" spans="1:13" ht="13" x14ac:dyDescent="0.15">
      <c r="A1590" s="5" t="str">
        <f>HYPERLINK("https://onemount.atlassian.net/browse/DBA-3636","DBA-3636")</f>
        <v>DBA-3636</v>
      </c>
      <c r="B1590" s="6" t="s">
        <v>21</v>
      </c>
      <c r="C1590" s="6" t="s">
        <v>7091</v>
      </c>
      <c r="D1590" s="8" t="s">
        <v>17</v>
      </c>
      <c r="E1590" s="6" t="s">
        <v>23</v>
      </c>
      <c r="F1590" s="6" t="s">
        <v>87</v>
      </c>
      <c r="G1590" s="6" t="s">
        <v>7092</v>
      </c>
      <c r="H1590" s="10">
        <v>46032</v>
      </c>
      <c r="I1590" s="6" t="s">
        <v>7093</v>
      </c>
      <c r="J1590" s="6" t="s">
        <v>1898</v>
      </c>
      <c r="K1590" s="6" t="s">
        <v>165</v>
      </c>
      <c r="L1590" s="6" t="s">
        <v>1097</v>
      </c>
      <c r="M1590" s="6" t="s">
        <v>7094</v>
      </c>
    </row>
    <row r="1591" spans="1:13" ht="13" x14ac:dyDescent="0.15">
      <c r="A1591" s="5" t="str">
        <f>HYPERLINK("https://onemount.atlassian.net/browse/DBA-3635","DBA-3635")</f>
        <v>DBA-3635</v>
      </c>
      <c r="B1591" s="6" t="s">
        <v>21</v>
      </c>
      <c r="C1591" s="6" t="s">
        <v>7095</v>
      </c>
      <c r="D1591" s="8" t="s">
        <v>17</v>
      </c>
      <c r="E1591" s="6" t="s">
        <v>23</v>
      </c>
      <c r="F1591" s="6" t="s">
        <v>31</v>
      </c>
      <c r="G1591" s="6" t="s">
        <v>7096</v>
      </c>
      <c r="H1591" s="10">
        <v>46032</v>
      </c>
      <c r="I1591" s="6" t="s">
        <v>7097</v>
      </c>
      <c r="J1591" s="6" t="s">
        <v>7042</v>
      </c>
      <c r="K1591" s="6" t="s">
        <v>35</v>
      </c>
      <c r="L1591" s="6" t="s">
        <v>1238</v>
      </c>
      <c r="M1591" s="6" t="s">
        <v>7098</v>
      </c>
    </row>
    <row r="1592" spans="1:13" ht="13" x14ac:dyDescent="0.15">
      <c r="A1592" s="5" t="str">
        <f>HYPERLINK("https://onemount.atlassian.net/browse/DBA-3634","DBA-3634")</f>
        <v>DBA-3634</v>
      </c>
      <c r="B1592" s="6" t="s">
        <v>21</v>
      </c>
      <c r="C1592" s="6" t="s">
        <v>7099</v>
      </c>
      <c r="D1592" s="8" t="s">
        <v>17</v>
      </c>
      <c r="E1592" s="6" t="s">
        <v>23</v>
      </c>
      <c r="F1592" s="6" t="s">
        <v>24</v>
      </c>
      <c r="G1592" s="6" t="s">
        <v>7100</v>
      </c>
      <c r="H1592" s="10">
        <v>46031</v>
      </c>
      <c r="I1592" s="6" t="s">
        <v>7101</v>
      </c>
      <c r="J1592" s="6" t="s">
        <v>85</v>
      </c>
      <c r="K1592" s="6" t="s">
        <v>55</v>
      </c>
      <c r="L1592" s="6" t="s">
        <v>85</v>
      </c>
      <c r="M1592" s="6" t="s">
        <v>7102</v>
      </c>
    </row>
    <row r="1593" spans="1:13" ht="13" x14ac:dyDescent="0.15">
      <c r="A1593" s="5" t="str">
        <f>HYPERLINK("https://onemount.atlassian.net/browse/DBA-3633","DBA-3633")</f>
        <v>DBA-3633</v>
      </c>
      <c r="B1593" s="6" t="s">
        <v>21</v>
      </c>
      <c r="C1593" s="6" t="s">
        <v>7103</v>
      </c>
      <c r="D1593" s="8" t="s">
        <v>17</v>
      </c>
      <c r="E1593" s="6" t="s">
        <v>23</v>
      </c>
      <c r="F1593" s="6" t="s">
        <v>52</v>
      </c>
      <c r="G1593" s="6" t="s">
        <v>7104</v>
      </c>
      <c r="H1593" s="10">
        <v>46031</v>
      </c>
      <c r="I1593" s="6" t="s">
        <v>7105</v>
      </c>
      <c r="J1593" s="6" t="s">
        <v>7106</v>
      </c>
      <c r="K1593" s="6" t="s">
        <v>124</v>
      </c>
      <c r="L1593" s="6" t="s">
        <v>132</v>
      </c>
      <c r="M1593" s="6" t="s">
        <v>7107</v>
      </c>
    </row>
    <row r="1594" spans="1:13" ht="13" x14ac:dyDescent="0.15">
      <c r="A1594" s="5" t="str">
        <f>HYPERLINK("https://onemount.atlassian.net/browse/DBA-3632","DBA-3632")</f>
        <v>DBA-3632</v>
      </c>
      <c r="B1594" s="6" t="s">
        <v>21</v>
      </c>
      <c r="C1594" s="6" t="s">
        <v>7108</v>
      </c>
      <c r="D1594" s="8" t="s">
        <v>17</v>
      </c>
      <c r="E1594" s="6" t="s">
        <v>23</v>
      </c>
      <c r="F1594" s="6" t="s">
        <v>31</v>
      </c>
      <c r="G1594" s="6" t="s">
        <v>7109</v>
      </c>
      <c r="H1594" s="10">
        <v>46032</v>
      </c>
      <c r="I1594" s="6" t="s">
        <v>7110</v>
      </c>
      <c r="J1594" s="6" t="s">
        <v>715</v>
      </c>
      <c r="K1594" s="6" t="s">
        <v>55</v>
      </c>
      <c r="L1594" s="6" t="s">
        <v>715</v>
      </c>
      <c r="M1594" s="6" t="s">
        <v>7111</v>
      </c>
    </row>
    <row r="1595" spans="1:13" ht="13" x14ac:dyDescent="0.15">
      <c r="A1595" s="5" t="str">
        <f>HYPERLINK("https://onemount.atlassian.net/browse/DBA-3631","DBA-3631")</f>
        <v>DBA-3631</v>
      </c>
      <c r="B1595" s="6" t="s">
        <v>21</v>
      </c>
      <c r="C1595" s="6" t="s">
        <v>2263</v>
      </c>
      <c r="D1595" s="8" t="s">
        <v>17</v>
      </c>
      <c r="E1595" s="6" t="s">
        <v>23</v>
      </c>
      <c r="F1595" s="6" t="s">
        <v>24</v>
      </c>
      <c r="G1595" s="6" t="s">
        <v>7112</v>
      </c>
      <c r="H1595" s="10">
        <v>46031</v>
      </c>
      <c r="I1595" s="6" t="s">
        <v>7113</v>
      </c>
      <c r="J1595" s="6" t="s">
        <v>55</v>
      </c>
      <c r="K1595" s="6" t="s">
        <v>55</v>
      </c>
      <c r="L1595" s="6" t="s">
        <v>55</v>
      </c>
      <c r="M1595" s="6" t="s">
        <v>7114</v>
      </c>
    </row>
    <row r="1596" spans="1:13" ht="13" x14ac:dyDescent="0.15">
      <c r="A1596" s="5" t="str">
        <f>HYPERLINK("https://onemount.atlassian.net/browse/DBA-3630","DBA-3630")</f>
        <v>DBA-3630</v>
      </c>
      <c r="B1596" s="6" t="s">
        <v>21</v>
      </c>
      <c r="C1596" s="6" t="s">
        <v>7115</v>
      </c>
      <c r="D1596" s="8" t="s">
        <v>17</v>
      </c>
      <c r="E1596" s="6" t="s">
        <v>23</v>
      </c>
      <c r="F1596" s="6" t="s">
        <v>87</v>
      </c>
      <c r="G1596" s="6" t="s">
        <v>7116</v>
      </c>
      <c r="H1596" s="10">
        <v>46031</v>
      </c>
      <c r="I1596" s="6" t="s">
        <v>7117</v>
      </c>
      <c r="J1596" s="6" t="s">
        <v>2453</v>
      </c>
      <c r="K1596" s="6" t="s">
        <v>165</v>
      </c>
      <c r="L1596" s="6" t="s">
        <v>119</v>
      </c>
      <c r="M1596" s="6" t="s">
        <v>7118</v>
      </c>
    </row>
    <row r="1597" spans="1:13" ht="13" x14ac:dyDescent="0.15">
      <c r="A1597" s="5" t="str">
        <f>HYPERLINK("https://onemount.atlassian.net/browse/DBA-3629","DBA-3629")</f>
        <v>DBA-3629</v>
      </c>
      <c r="B1597" s="6" t="s">
        <v>21</v>
      </c>
      <c r="C1597" s="6" t="s">
        <v>7119</v>
      </c>
      <c r="D1597" s="8" t="s">
        <v>17</v>
      </c>
      <c r="E1597" s="6" t="s">
        <v>23</v>
      </c>
      <c r="F1597" s="6" t="s">
        <v>24</v>
      </c>
      <c r="G1597" s="6" t="s">
        <v>7120</v>
      </c>
      <c r="H1597" s="10">
        <v>46032</v>
      </c>
      <c r="I1597" s="6" t="s">
        <v>7121</v>
      </c>
      <c r="J1597" s="6" t="s">
        <v>28</v>
      </c>
      <c r="K1597" s="6" t="s">
        <v>28</v>
      </c>
      <c r="L1597" s="6" t="s">
        <v>27</v>
      </c>
      <c r="M1597" s="6" t="s">
        <v>7122</v>
      </c>
    </row>
    <row r="1598" spans="1:13" ht="13" x14ac:dyDescent="0.15">
      <c r="A1598" s="5" t="str">
        <f>HYPERLINK("https://onemount.atlassian.net/browse/DBA-3628","DBA-3628")</f>
        <v>DBA-3628</v>
      </c>
      <c r="B1598" s="6" t="s">
        <v>21</v>
      </c>
      <c r="C1598" s="6" t="s">
        <v>7123</v>
      </c>
      <c r="D1598" s="8" t="s">
        <v>17</v>
      </c>
      <c r="E1598" s="6" t="s">
        <v>23</v>
      </c>
      <c r="F1598" s="6" t="s">
        <v>24</v>
      </c>
      <c r="G1598" s="6" t="s">
        <v>7124</v>
      </c>
      <c r="H1598" s="10">
        <v>46030</v>
      </c>
      <c r="I1598" s="6" t="s">
        <v>7125</v>
      </c>
      <c r="J1598" s="6" t="s">
        <v>55</v>
      </c>
      <c r="K1598" s="6" t="s">
        <v>55</v>
      </c>
      <c r="L1598" s="6" t="s">
        <v>956</v>
      </c>
      <c r="M1598" s="6" t="s">
        <v>7126</v>
      </c>
    </row>
    <row r="1599" spans="1:13" ht="13" x14ac:dyDescent="0.15">
      <c r="A1599" s="5" t="str">
        <f>HYPERLINK("https://onemount.atlassian.net/browse/DBA-3627","DBA-3627")</f>
        <v>DBA-3627</v>
      </c>
      <c r="B1599" s="6" t="s">
        <v>21</v>
      </c>
      <c r="C1599" s="6" t="s">
        <v>7127</v>
      </c>
      <c r="D1599" s="8" t="s">
        <v>17</v>
      </c>
      <c r="E1599" s="6" t="s">
        <v>23</v>
      </c>
      <c r="F1599" s="6" t="s">
        <v>24</v>
      </c>
      <c r="G1599" s="6" t="s">
        <v>7128</v>
      </c>
      <c r="H1599" s="10">
        <v>46030</v>
      </c>
      <c r="I1599" s="6" t="s">
        <v>7129</v>
      </c>
      <c r="J1599" s="6" t="s">
        <v>85</v>
      </c>
      <c r="K1599" s="6" t="s">
        <v>55</v>
      </c>
      <c r="L1599" s="6" t="s">
        <v>85</v>
      </c>
      <c r="M1599" s="6" t="s">
        <v>7130</v>
      </c>
    </row>
    <row r="1600" spans="1:13" ht="13" x14ac:dyDescent="0.15">
      <c r="A1600" s="5" t="str">
        <f>HYPERLINK("https://onemount.atlassian.net/browse/DBA-3626","DBA-3626")</f>
        <v>DBA-3626</v>
      </c>
      <c r="B1600" s="6" t="s">
        <v>21</v>
      </c>
      <c r="C1600" s="6" t="s">
        <v>7131</v>
      </c>
      <c r="D1600" s="8" t="s">
        <v>17</v>
      </c>
      <c r="E1600" s="6" t="s">
        <v>23</v>
      </c>
      <c r="F1600" s="6" t="s">
        <v>24</v>
      </c>
      <c r="G1600" s="6" t="s">
        <v>7132</v>
      </c>
      <c r="H1600" s="10">
        <v>46031</v>
      </c>
      <c r="I1600" s="6" t="s">
        <v>7133</v>
      </c>
      <c r="J1600" s="6" t="s">
        <v>7134</v>
      </c>
      <c r="K1600" s="6" t="s">
        <v>55</v>
      </c>
      <c r="L1600" s="6" t="s">
        <v>906</v>
      </c>
      <c r="M1600" s="6" t="s">
        <v>7135</v>
      </c>
    </row>
    <row r="1601" spans="1:13" ht="13" x14ac:dyDescent="0.15">
      <c r="A1601" s="5" t="str">
        <f>HYPERLINK("https://onemount.atlassian.net/browse/DBA-3625","DBA-3625")</f>
        <v>DBA-3625</v>
      </c>
      <c r="B1601" s="6" t="s">
        <v>21</v>
      </c>
      <c r="C1601" s="6" t="s">
        <v>7136</v>
      </c>
      <c r="D1601" s="8" t="s">
        <v>17</v>
      </c>
      <c r="E1601" s="6" t="s">
        <v>23</v>
      </c>
      <c r="F1601" s="6" t="s">
        <v>87</v>
      </c>
      <c r="G1601" s="6" t="s">
        <v>7137</v>
      </c>
      <c r="H1601" s="10">
        <v>46031</v>
      </c>
      <c r="I1601" s="6" t="s">
        <v>7138</v>
      </c>
      <c r="J1601" s="6" t="s">
        <v>2453</v>
      </c>
      <c r="K1601" s="6" t="s">
        <v>165</v>
      </c>
      <c r="L1601" s="6" t="s">
        <v>119</v>
      </c>
      <c r="M1601" s="6" t="s">
        <v>7139</v>
      </c>
    </row>
    <row r="1602" spans="1:13" ht="13" x14ac:dyDescent="0.15">
      <c r="A1602" s="5" t="str">
        <f>HYPERLINK("https://onemount.atlassian.net/browse/DBA-3624","DBA-3624")</f>
        <v>DBA-3624</v>
      </c>
      <c r="B1602" s="23" t="str">
        <f t="shared" ref="B1602:B1610" si="19">HYPERLINK("https://onemount.atlassian.net/browse/DBA-3615","DBA-3615")</f>
        <v>DBA-3615</v>
      </c>
      <c r="C1602" s="6" t="s">
        <v>7140</v>
      </c>
      <c r="D1602" s="8" t="s">
        <v>17</v>
      </c>
      <c r="E1602" s="6" t="s">
        <v>428</v>
      </c>
      <c r="F1602" s="6" t="s">
        <v>52</v>
      </c>
      <c r="G1602" s="6" t="s">
        <v>7141</v>
      </c>
      <c r="H1602" s="10">
        <v>46031</v>
      </c>
      <c r="I1602" s="6" t="s">
        <v>7142</v>
      </c>
      <c r="J1602" s="6" t="s">
        <v>72</v>
      </c>
      <c r="K1602" s="6" t="s">
        <v>72</v>
      </c>
      <c r="L1602" s="6" t="s">
        <v>72</v>
      </c>
      <c r="M1602" s="6" t="s">
        <v>7143</v>
      </c>
    </row>
    <row r="1603" spans="1:13" ht="13" x14ac:dyDescent="0.15">
      <c r="A1603" s="5" t="str">
        <f>HYPERLINK("https://onemount.atlassian.net/browse/DBA-3623","DBA-3623")</f>
        <v>DBA-3623</v>
      </c>
      <c r="B1603" s="23" t="str">
        <f t="shared" si="19"/>
        <v>DBA-3615</v>
      </c>
      <c r="C1603" s="6" t="s">
        <v>7144</v>
      </c>
      <c r="D1603" s="8" t="s">
        <v>17</v>
      </c>
      <c r="E1603" s="6" t="s">
        <v>428</v>
      </c>
      <c r="F1603" s="6" t="s">
        <v>52</v>
      </c>
      <c r="G1603" s="6" t="s">
        <v>7145</v>
      </c>
      <c r="H1603" s="10">
        <v>46031</v>
      </c>
      <c r="I1603" s="6" t="s">
        <v>7146</v>
      </c>
      <c r="J1603" s="6" t="s">
        <v>72</v>
      </c>
      <c r="K1603" s="6" t="s">
        <v>72</v>
      </c>
      <c r="L1603" s="6" t="s">
        <v>72</v>
      </c>
      <c r="M1603" s="6" t="s">
        <v>7147</v>
      </c>
    </row>
    <row r="1604" spans="1:13" ht="13" x14ac:dyDescent="0.15">
      <c r="A1604" s="5" t="str">
        <f>HYPERLINK("https://onemount.atlassian.net/browse/DBA-3622","DBA-3622")</f>
        <v>DBA-3622</v>
      </c>
      <c r="B1604" s="23" t="str">
        <f t="shared" si="19"/>
        <v>DBA-3615</v>
      </c>
      <c r="C1604" s="6" t="s">
        <v>7148</v>
      </c>
      <c r="D1604" s="8" t="s">
        <v>17</v>
      </c>
      <c r="E1604" s="6" t="s">
        <v>428</v>
      </c>
      <c r="F1604" s="6" t="s">
        <v>52</v>
      </c>
      <c r="G1604" s="6" t="s">
        <v>7149</v>
      </c>
      <c r="H1604" s="10">
        <v>46031</v>
      </c>
      <c r="I1604" s="6" t="s">
        <v>7150</v>
      </c>
      <c r="J1604" s="6" t="s">
        <v>72</v>
      </c>
      <c r="K1604" s="6" t="s">
        <v>72</v>
      </c>
      <c r="L1604" s="6" t="s">
        <v>72</v>
      </c>
      <c r="M1604" s="6" t="s">
        <v>7151</v>
      </c>
    </row>
    <row r="1605" spans="1:13" ht="13" x14ac:dyDescent="0.15">
      <c r="A1605" s="5" t="str">
        <f>HYPERLINK("https://onemount.atlassian.net/browse/DBA-3621","DBA-3621")</f>
        <v>DBA-3621</v>
      </c>
      <c r="B1605" s="23" t="str">
        <f t="shared" si="19"/>
        <v>DBA-3615</v>
      </c>
      <c r="C1605" s="6" t="s">
        <v>7152</v>
      </c>
      <c r="D1605" s="8" t="s">
        <v>17</v>
      </c>
      <c r="E1605" s="6" t="s">
        <v>428</v>
      </c>
      <c r="F1605" s="6" t="s">
        <v>52</v>
      </c>
      <c r="G1605" s="6" t="s">
        <v>7153</v>
      </c>
      <c r="H1605" s="10">
        <v>46031</v>
      </c>
      <c r="I1605" s="6" t="s">
        <v>7154</v>
      </c>
      <c r="J1605" s="6" t="s">
        <v>72</v>
      </c>
      <c r="K1605" s="6" t="s">
        <v>72</v>
      </c>
      <c r="L1605" s="6" t="s">
        <v>72</v>
      </c>
      <c r="M1605" s="6" t="s">
        <v>7155</v>
      </c>
    </row>
    <row r="1606" spans="1:13" ht="13" x14ac:dyDescent="0.15">
      <c r="A1606" s="5" t="str">
        <f>HYPERLINK("https://onemount.atlassian.net/browse/DBA-3620","DBA-3620")</f>
        <v>DBA-3620</v>
      </c>
      <c r="B1606" s="23" t="str">
        <f t="shared" si="19"/>
        <v>DBA-3615</v>
      </c>
      <c r="C1606" s="6" t="s">
        <v>7156</v>
      </c>
      <c r="D1606" s="8" t="s">
        <v>17</v>
      </c>
      <c r="E1606" s="6" t="s">
        <v>428</v>
      </c>
      <c r="F1606" s="6" t="s">
        <v>52</v>
      </c>
      <c r="G1606" s="6" t="s">
        <v>7157</v>
      </c>
      <c r="H1606" s="10">
        <v>46031</v>
      </c>
      <c r="I1606" s="6" t="s">
        <v>7158</v>
      </c>
      <c r="J1606" s="6" t="s">
        <v>72</v>
      </c>
      <c r="K1606" s="6" t="s">
        <v>72</v>
      </c>
      <c r="L1606" s="6" t="s">
        <v>72</v>
      </c>
      <c r="M1606" s="6" t="s">
        <v>7159</v>
      </c>
    </row>
    <row r="1607" spans="1:13" ht="13" x14ac:dyDescent="0.15">
      <c r="A1607" s="5" t="str">
        <f>HYPERLINK("https://onemount.atlassian.net/browse/DBA-3619","DBA-3619")</f>
        <v>DBA-3619</v>
      </c>
      <c r="B1607" s="23" t="str">
        <f t="shared" si="19"/>
        <v>DBA-3615</v>
      </c>
      <c r="C1607" s="6" t="s">
        <v>7160</v>
      </c>
      <c r="D1607" s="8" t="s">
        <v>17</v>
      </c>
      <c r="E1607" s="6" t="s">
        <v>428</v>
      </c>
      <c r="F1607" s="6" t="s">
        <v>52</v>
      </c>
      <c r="G1607" s="6" t="s">
        <v>7161</v>
      </c>
      <c r="H1607" s="10">
        <v>46031</v>
      </c>
      <c r="I1607" s="6" t="s">
        <v>7162</v>
      </c>
      <c r="J1607" s="6" t="s">
        <v>72</v>
      </c>
      <c r="K1607" s="6" t="s">
        <v>72</v>
      </c>
      <c r="L1607" s="6" t="s">
        <v>72</v>
      </c>
      <c r="M1607" s="6" t="s">
        <v>7163</v>
      </c>
    </row>
    <row r="1608" spans="1:13" ht="13" x14ac:dyDescent="0.15">
      <c r="A1608" s="5" t="str">
        <f>HYPERLINK("https://onemount.atlassian.net/browse/DBA-3618","DBA-3618")</f>
        <v>DBA-3618</v>
      </c>
      <c r="B1608" s="23" t="str">
        <f t="shared" si="19"/>
        <v>DBA-3615</v>
      </c>
      <c r="C1608" s="6" t="s">
        <v>7164</v>
      </c>
      <c r="D1608" s="8" t="s">
        <v>17</v>
      </c>
      <c r="E1608" s="6" t="s">
        <v>428</v>
      </c>
      <c r="F1608" s="6" t="s">
        <v>52</v>
      </c>
      <c r="G1608" s="6" t="s">
        <v>7165</v>
      </c>
      <c r="H1608" s="10">
        <v>46031</v>
      </c>
      <c r="I1608" s="6" t="s">
        <v>7166</v>
      </c>
      <c r="J1608" s="6" t="s">
        <v>72</v>
      </c>
      <c r="K1608" s="6" t="s">
        <v>72</v>
      </c>
      <c r="L1608" s="6" t="s">
        <v>72</v>
      </c>
      <c r="M1608" s="6" t="s">
        <v>7167</v>
      </c>
    </row>
    <row r="1609" spans="1:13" ht="13" x14ac:dyDescent="0.15">
      <c r="A1609" s="5" t="str">
        <f>HYPERLINK("https://onemount.atlassian.net/browse/DBA-3617","DBA-3617")</f>
        <v>DBA-3617</v>
      </c>
      <c r="B1609" s="23" t="str">
        <f t="shared" si="19"/>
        <v>DBA-3615</v>
      </c>
      <c r="C1609" s="6" t="s">
        <v>7168</v>
      </c>
      <c r="D1609" s="8" t="s">
        <v>17</v>
      </c>
      <c r="E1609" s="6" t="s">
        <v>428</v>
      </c>
      <c r="F1609" s="6" t="s">
        <v>52</v>
      </c>
      <c r="G1609" s="6" t="s">
        <v>7169</v>
      </c>
      <c r="H1609" s="10">
        <v>46031</v>
      </c>
      <c r="I1609" s="6" t="s">
        <v>7170</v>
      </c>
      <c r="J1609" s="6" t="s">
        <v>72</v>
      </c>
      <c r="K1609" s="6" t="s">
        <v>72</v>
      </c>
      <c r="L1609" s="6" t="s">
        <v>72</v>
      </c>
      <c r="M1609" s="6" t="s">
        <v>7171</v>
      </c>
    </row>
    <row r="1610" spans="1:13" ht="13" x14ac:dyDescent="0.15">
      <c r="A1610" s="5" t="str">
        <f>HYPERLINK("https://onemount.atlassian.net/browse/DBA-3616","DBA-3616")</f>
        <v>DBA-3616</v>
      </c>
      <c r="B1610" s="23" t="str">
        <f t="shared" si="19"/>
        <v>DBA-3615</v>
      </c>
      <c r="C1610" s="6" t="s">
        <v>7172</v>
      </c>
      <c r="D1610" s="8" t="s">
        <v>17</v>
      </c>
      <c r="E1610" s="6" t="s">
        <v>428</v>
      </c>
      <c r="F1610" s="6" t="s">
        <v>52</v>
      </c>
      <c r="G1610" s="6" t="s">
        <v>7173</v>
      </c>
      <c r="H1610" s="10">
        <v>46031</v>
      </c>
      <c r="I1610" s="6" t="s">
        <v>7174</v>
      </c>
      <c r="J1610" s="6" t="s">
        <v>72</v>
      </c>
      <c r="K1610" s="6" t="s">
        <v>72</v>
      </c>
      <c r="L1610" s="6" t="s">
        <v>72</v>
      </c>
      <c r="M1610" s="6" t="s">
        <v>7175</v>
      </c>
    </row>
    <row r="1611" spans="1:13" ht="13" x14ac:dyDescent="0.15">
      <c r="A1611" s="5" t="str">
        <f>HYPERLINK("https://onemount.atlassian.net/browse/DBA-3615","DBA-3615")</f>
        <v>DBA-3615</v>
      </c>
      <c r="B1611" s="6" t="s">
        <v>21</v>
      </c>
      <c r="C1611" s="6" t="s">
        <v>7176</v>
      </c>
      <c r="D1611" s="8" t="s">
        <v>17</v>
      </c>
      <c r="E1611" s="6" t="s">
        <v>1810</v>
      </c>
      <c r="F1611" s="6" t="s">
        <v>52</v>
      </c>
      <c r="G1611" s="6" t="s">
        <v>7177</v>
      </c>
      <c r="H1611" s="10">
        <v>46037</v>
      </c>
      <c r="I1611" s="6" t="s">
        <v>7178</v>
      </c>
      <c r="J1611" s="6" t="s">
        <v>72</v>
      </c>
      <c r="K1611" s="6" t="s">
        <v>72</v>
      </c>
      <c r="L1611" s="6" t="s">
        <v>72</v>
      </c>
      <c r="M1611" s="6" t="s">
        <v>7179</v>
      </c>
    </row>
    <row r="1612" spans="1:13" ht="13" x14ac:dyDescent="0.15">
      <c r="A1612" s="5" t="str">
        <f>HYPERLINK("https://onemount.atlassian.net/browse/DBA-3611","DBA-3611")</f>
        <v>DBA-3611</v>
      </c>
      <c r="B1612" s="6" t="s">
        <v>21</v>
      </c>
      <c r="C1612" s="6" t="s">
        <v>7180</v>
      </c>
      <c r="D1612" s="8" t="s">
        <v>17</v>
      </c>
      <c r="E1612" s="6" t="s">
        <v>23</v>
      </c>
      <c r="F1612" s="6" t="s">
        <v>24</v>
      </c>
      <c r="G1612" s="6" t="s">
        <v>7181</v>
      </c>
      <c r="H1612" s="10">
        <v>46031</v>
      </c>
      <c r="I1612" s="6" t="s">
        <v>7182</v>
      </c>
      <c r="J1612" s="6" t="s">
        <v>55</v>
      </c>
      <c r="K1612" s="6" t="s">
        <v>55</v>
      </c>
      <c r="L1612" s="6" t="s">
        <v>93</v>
      </c>
      <c r="M1612" s="6" t="s">
        <v>7183</v>
      </c>
    </row>
    <row r="1613" spans="1:13" ht="13" x14ac:dyDescent="0.15">
      <c r="A1613" s="5" t="str">
        <f>HYPERLINK("https://onemount.atlassian.net/browse/DBA-3610","DBA-3610")</f>
        <v>DBA-3610</v>
      </c>
      <c r="B1613" s="6" t="s">
        <v>21</v>
      </c>
      <c r="C1613" s="6" t="s">
        <v>7184</v>
      </c>
      <c r="D1613" s="8" t="s">
        <v>17</v>
      </c>
      <c r="E1613" s="6" t="s">
        <v>23</v>
      </c>
      <c r="F1613" s="6" t="s">
        <v>31</v>
      </c>
      <c r="G1613" s="6" t="s">
        <v>7185</v>
      </c>
      <c r="H1613" s="10">
        <v>46031</v>
      </c>
      <c r="I1613" s="6" t="s">
        <v>7186</v>
      </c>
      <c r="J1613" s="6" t="s">
        <v>128</v>
      </c>
      <c r="K1613" s="6" t="s">
        <v>35</v>
      </c>
      <c r="L1613" s="6" t="s">
        <v>478</v>
      </c>
      <c r="M1613" s="6" t="s">
        <v>7187</v>
      </c>
    </row>
    <row r="1614" spans="1:13" ht="13" x14ac:dyDescent="0.15">
      <c r="A1614" s="5" t="str">
        <f>HYPERLINK("https://onemount.atlassian.net/browse/DBA-3609","DBA-3609")</f>
        <v>DBA-3609</v>
      </c>
      <c r="B1614" s="6" t="s">
        <v>21</v>
      </c>
      <c r="C1614" s="6" t="s">
        <v>7188</v>
      </c>
      <c r="D1614" s="8" t="s">
        <v>17</v>
      </c>
      <c r="E1614" s="6" t="s">
        <v>23</v>
      </c>
      <c r="F1614" s="6" t="s">
        <v>24</v>
      </c>
      <c r="G1614" s="6" t="s">
        <v>7189</v>
      </c>
      <c r="H1614" s="10">
        <v>46030</v>
      </c>
      <c r="I1614" s="6" t="s">
        <v>7190</v>
      </c>
      <c r="J1614" s="6" t="s">
        <v>85</v>
      </c>
      <c r="K1614" s="6" t="s">
        <v>55</v>
      </c>
      <c r="L1614" s="6" t="s">
        <v>85</v>
      </c>
      <c r="M1614" s="6" t="s">
        <v>7191</v>
      </c>
    </row>
    <row r="1615" spans="1:13" ht="13" x14ac:dyDescent="0.15">
      <c r="A1615" s="5" t="str">
        <f>HYPERLINK("https://onemount.atlassian.net/browse/DBA-3608","DBA-3608")</f>
        <v>DBA-3608</v>
      </c>
      <c r="B1615" s="6" t="s">
        <v>21</v>
      </c>
      <c r="C1615" s="6" t="s">
        <v>7192</v>
      </c>
      <c r="D1615" s="8" t="s">
        <v>17</v>
      </c>
      <c r="E1615" s="6" t="s">
        <v>23</v>
      </c>
      <c r="F1615" s="6" t="s">
        <v>24</v>
      </c>
      <c r="G1615" s="6" t="s">
        <v>7193</v>
      </c>
      <c r="H1615" s="10">
        <v>46029</v>
      </c>
      <c r="I1615" s="6" t="s">
        <v>7194</v>
      </c>
      <c r="J1615" s="6" t="s">
        <v>85</v>
      </c>
      <c r="K1615" s="6" t="s">
        <v>55</v>
      </c>
      <c r="L1615" s="6" t="s">
        <v>85</v>
      </c>
      <c r="M1615" s="6" t="s">
        <v>7195</v>
      </c>
    </row>
    <row r="1616" spans="1:13" ht="13" x14ac:dyDescent="0.15">
      <c r="A1616" s="5" t="str">
        <f>HYPERLINK("https://onemount.atlassian.net/browse/DBA-3607","DBA-3607")</f>
        <v>DBA-3607</v>
      </c>
      <c r="B1616" s="6" t="s">
        <v>21</v>
      </c>
      <c r="C1616" s="6" t="s">
        <v>7196</v>
      </c>
      <c r="D1616" s="8" t="s">
        <v>17</v>
      </c>
      <c r="E1616" s="6" t="s">
        <v>23</v>
      </c>
      <c r="F1616" s="6" t="s">
        <v>87</v>
      </c>
      <c r="G1616" s="6" t="s">
        <v>7197</v>
      </c>
      <c r="H1616" s="10">
        <v>46030</v>
      </c>
      <c r="I1616" s="6" t="s">
        <v>7198</v>
      </c>
      <c r="J1616" s="6" t="s">
        <v>2453</v>
      </c>
      <c r="K1616" s="6" t="s">
        <v>165</v>
      </c>
      <c r="L1616" s="6" t="s">
        <v>119</v>
      </c>
      <c r="M1616" s="6" t="s">
        <v>7199</v>
      </c>
    </row>
    <row r="1617" spans="1:13" ht="13" x14ac:dyDescent="0.15">
      <c r="A1617" s="5" t="str">
        <f>HYPERLINK("https://onemount.atlassian.net/browse/DBA-3606","DBA-3606")</f>
        <v>DBA-3606</v>
      </c>
      <c r="B1617" s="6" t="s">
        <v>21</v>
      </c>
      <c r="C1617" s="6" t="s">
        <v>7200</v>
      </c>
      <c r="D1617" s="8" t="s">
        <v>17</v>
      </c>
      <c r="E1617" s="6" t="s">
        <v>23</v>
      </c>
      <c r="F1617" s="6" t="s">
        <v>87</v>
      </c>
      <c r="G1617" s="6" t="s">
        <v>7201</v>
      </c>
      <c r="H1617" s="10">
        <v>46029</v>
      </c>
      <c r="I1617" s="6" t="s">
        <v>7202</v>
      </c>
      <c r="J1617" s="6" t="s">
        <v>1898</v>
      </c>
      <c r="K1617" s="6" t="s">
        <v>165</v>
      </c>
      <c r="L1617" s="6" t="s">
        <v>1097</v>
      </c>
      <c r="M1617" s="6" t="s">
        <v>7203</v>
      </c>
    </row>
    <row r="1618" spans="1:13" ht="13" x14ac:dyDescent="0.15">
      <c r="A1618" s="21" t="str">
        <f>HYPERLINK("https://onemount.atlassian.net/browse/DBA-3605","DBA-3605")</f>
        <v>DBA-3605</v>
      </c>
      <c r="B1618" s="6" t="s">
        <v>21</v>
      </c>
      <c r="C1618" s="6" t="s">
        <v>7204</v>
      </c>
      <c r="D1618" s="8" t="s">
        <v>17</v>
      </c>
      <c r="E1618" s="6" t="s">
        <v>23</v>
      </c>
      <c r="F1618" s="6" t="s">
        <v>41</v>
      </c>
      <c r="G1618" s="6" t="s">
        <v>7205</v>
      </c>
      <c r="H1618" s="10">
        <v>46035</v>
      </c>
      <c r="I1618" s="6" t="s">
        <v>7206</v>
      </c>
      <c r="J1618" s="6" t="s">
        <v>2427</v>
      </c>
      <c r="K1618" s="6" t="s">
        <v>46</v>
      </c>
      <c r="L1618" s="6" t="s">
        <v>109</v>
      </c>
      <c r="M1618" s="6" t="s">
        <v>7207</v>
      </c>
    </row>
    <row r="1619" spans="1:13" ht="13" x14ac:dyDescent="0.15">
      <c r="A1619" s="21" t="str">
        <f>HYPERLINK("https://onemount.atlassian.net/browse/DBA-3604","DBA-3604")</f>
        <v>DBA-3604</v>
      </c>
      <c r="B1619" s="6" t="s">
        <v>21</v>
      </c>
      <c r="C1619" s="6" t="s">
        <v>7204</v>
      </c>
      <c r="D1619" s="8" t="s">
        <v>17</v>
      </c>
      <c r="E1619" s="6" t="s">
        <v>23</v>
      </c>
      <c r="F1619" s="6" t="s">
        <v>41</v>
      </c>
      <c r="G1619" s="6" t="s">
        <v>7208</v>
      </c>
      <c r="H1619" s="10">
        <v>46035</v>
      </c>
      <c r="I1619" s="6" t="s">
        <v>7209</v>
      </c>
      <c r="J1619" s="6" t="s">
        <v>2427</v>
      </c>
      <c r="K1619" s="6" t="s">
        <v>46</v>
      </c>
      <c r="L1619" s="6" t="s">
        <v>109</v>
      </c>
      <c r="M1619" s="6" t="s">
        <v>7207</v>
      </c>
    </row>
    <row r="1620" spans="1:13" ht="13" x14ac:dyDescent="0.15">
      <c r="A1620" s="5" t="str">
        <f>HYPERLINK("https://onemount.atlassian.net/browse/DBA-3603","DBA-3603")</f>
        <v>DBA-3603</v>
      </c>
      <c r="B1620" s="6" t="s">
        <v>21</v>
      </c>
      <c r="C1620" s="6" t="s">
        <v>7210</v>
      </c>
      <c r="D1620" s="8" t="s">
        <v>17</v>
      </c>
      <c r="E1620" s="6" t="s">
        <v>23</v>
      </c>
      <c r="F1620" s="6" t="s">
        <v>31</v>
      </c>
      <c r="G1620" s="6" t="s">
        <v>7211</v>
      </c>
      <c r="H1620" s="10">
        <v>46029</v>
      </c>
      <c r="I1620" s="6" t="s">
        <v>7212</v>
      </c>
      <c r="J1620" s="6" t="s">
        <v>1182</v>
      </c>
      <c r="K1620" s="6" t="s">
        <v>35</v>
      </c>
      <c r="L1620" s="6" t="s">
        <v>1182</v>
      </c>
      <c r="M1620" s="6" t="s">
        <v>7213</v>
      </c>
    </row>
    <row r="1621" spans="1:13" ht="13" x14ac:dyDescent="0.15">
      <c r="A1621" s="5" t="str">
        <f>HYPERLINK("https://onemount.atlassian.net/browse/DBA-3602","DBA-3602")</f>
        <v>DBA-3602</v>
      </c>
      <c r="B1621" s="6" t="s">
        <v>21</v>
      </c>
      <c r="C1621" s="6" t="s">
        <v>7214</v>
      </c>
      <c r="D1621" s="8" t="s">
        <v>17</v>
      </c>
      <c r="E1621" s="6" t="s">
        <v>23</v>
      </c>
      <c r="F1621" s="6" t="s">
        <v>41</v>
      </c>
      <c r="G1621" s="6" t="s">
        <v>7215</v>
      </c>
      <c r="H1621" s="10">
        <v>46030</v>
      </c>
      <c r="I1621" s="6" t="s">
        <v>7216</v>
      </c>
      <c r="J1621" s="6" t="s">
        <v>99</v>
      </c>
      <c r="K1621" s="6" t="s">
        <v>59</v>
      </c>
      <c r="L1621" s="6" t="s">
        <v>99</v>
      </c>
      <c r="M1621" s="6" t="s">
        <v>7217</v>
      </c>
    </row>
    <row r="1622" spans="1:13" ht="13" x14ac:dyDescent="0.15">
      <c r="A1622" s="5" t="str">
        <f>HYPERLINK("https://onemount.atlassian.net/browse/DBA-3601","DBA-3601")</f>
        <v>DBA-3601</v>
      </c>
      <c r="B1622" s="6" t="s">
        <v>21</v>
      </c>
      <c r="C1622" s="6" t="s">
        <v>7218</v>
      </c>
      <c r="D1622" s="8" t="s">
        <v>17</v>
      </c>
      <c r="E1622" s="6" t="s">
        <v>23</v>
      </c>
      <c r="F1622" s="6" t="s">
        <v>31</v>
      </c>
      <c r="G1622" s="6" t="s">
        <v>7219</v>
      </c>
      <c r="H1622" s="10">
        <v>46030</v>
      </c>
      <c r="I1622" s="6" t="s">
        <v>7220</v>
      </c>
      <c r="J1622" s="6" t="s">
        <v>246</v>
      </c>
      <c r="K1622" s="6" t="s">
        <v>35</v>
      </c>
      <c r="L1622" s="6" t="s">
        <v>638</v>
      </c>
      <c r="M1622" s="6" t="s">
        <v>7221</v>
      </c>
    </row>
    <row r="1623" spans="1:13" ht="13" x14ac:dyDescent="0.15">
      <c r="A1623" s="5" t="str">
        <f>HYPERLINK("https://onemount.atlassian.net/browse/DBA-3600","DBA-3600")</f>
        <v>DBA-3600</v>
      </c>
      <c r="B1623" s="6" t="s">
        <v>21</v>
      </c>
      <c r="C1623" s="6" t="s">
        <v>7131</v>
      </c>
      <c r="D1623" s="8" t="s">
        <v>17</v>
      </c>
      <c r="E1623" s="6" t="s">
        <v>23</v>
      </c>
      <c r="F1623" s="6" t="s">
        <v>24</v>
      </c>
      <c r="G1623" s="6" t="s">
        <v>7222</v>
      </c>
      <c r="H1623" s="10">
        <v>46030</v>
      </c>
      <c r="I1623" s="6" t="s">
        <v>7223</v>
      </c>
      <c r="J1623" s="6" t="s">
        <v>7224</v>
      </c>
      <c r="K1623" s="6" t="s">
        <v>55</v>
      </c>
      <c r="L1623" s="6" t="s">
        <v>906</v>
      </c>
      <c r="M1623" s="6" t="s">
        <v>7225</v>
      </c>
    </row>
    <row r="1624" spans="1:13" ht="13" x14ac:dyDescent="0.15">
      <c r="A1624" s="5" t="str">
        <f>HYPERLINK("https://onemount.atlassian.net/browse/DBA-3599","DBA-3599")</f>
        <v>DBA-3599</v>
      </c>
      <c r="B1624" s="6" t="s">
        <v>21</v>
      </c>
      <c r="C1624" s="6" t="s">
        <v>7226</v>
      </c>
      <c r="D1624" s="8" t="s">
        <v>17</v>
      </c>
      <c r="E1624" s="6" t="s">
        <v>23</v>
      </c>
      <c r="F1624" s="6" t="s">
        <v>87</v>
      </c>
      <c r="G1624" s="6" t="s">
        <v>7227</v>
      </c>
      <c r="H1624" s="10">
        <v>46029</v>
      </c>
      <c r="I1624" s="6" t="s">
        <v>7228</v>
      </c>
      <c r="J1624" s="6" t="s">
        <v>1898</v>
      </c>
      <c r="K1624" s="6" t="s">
        <v>165</v>
      </c>
      <c r="L1624" s="6" t="s">
        <v>1097</v>
      </c>
      <c r="M1624" s="6" t="s">
        <v>7229</v>
      </c>
    </row>
    <row r="1625" spans="1:13" ht="13" x14ac:dyDescent="0.15">
      <c r="A1625" s="5" t="str">
        <f>HYPERLINK("https://onemount.atlassian.net/browse/DBA-3598","DBA-3598")</f>
        <v>DBA-3598</v>
      </c>
      <c r="B1625" s="6" t="s">
        <v>21</v>
      </c>
      <c r="C1625" s="6" t="s">
        <v>6545</v>
      </c>
      <c r="D1625" s="8" t="s">
        <v>17</v>
      </c>
      <c r="E1625" s="6" t="s">
        <v>23</v>
      </c>
      <c r="F1625" s="6" t="s">
        <v>31</v>
      </c>
      <c r="G1625" s="6" t="s">
        <v>7230</v>
      </c>
      <c r="H1625" s="10">
        <v>46030</v>
      </c>
      <c r="I1625" s="6" t="s">
        <v>7231</v>
      </c>
      <c r="J1625" s="6" t="s">
        <v>1464</v>
      </c>
      <c r="K1625" s="6" t="s">
        <v>55</v>
      </c>
      <c r="L1625" s="6" t="s">
        <v>254</v>
      </c>
      <c r="M1625" s="6" t="s">
        <v>7232</v>
      </c>
    </row>
    <row r="1626" spans="1:13" ht="13" x14ac:dyDescent="0.15">
      <c r="A1626" s="5" t="str">
        <f>HYPERLINK("https://onemount.atlassian.net/browse/DBA-3597","DBA-3597")</f>
        <v>DBA-3597</v>
      </c>
      <c r="B1626" s="6" t="s">
        <v>21</v>
      </c>
      <c r="C1626" s="6" t="s">
        <v>7233</v>
      </c>
      <c r="D1626" s="8" t="s">
        <v>17</v>
      </c>
      <c r="E1626" s="6" t="s">
        <v>23</v>
      </c>
      <c r="F1626" s="6" t="s">
        <v>31</v>
      </c>
      <c r="G1626" s="6" t="s">
        <v>7234</v>
      </c>
      <c r="H1626" s="10">
        <v>46029</v>
      </c>
      <c r="I1626" s="6" t="s">
        <v>7235</v>
      </c>
      <c r="J1626" s="6" t="s">
        <v>1187</v>
      </c>
      <c r="K1626" s="6" t="s">
        <v>35</v>
      </c>
      <c r="L1626" s="6" t="s">
        <v>1187</v>
      </c>
      <c r="M1626" s="6" t="s">
        <v>7236</v>
      </c>
    </row>
    <row r="1627" spans="1:13" ht="13" x14ac:dyDescent="0.15">
      <c r="A1627" s="5" t="str">
        <f>HYPERLINK("https://onemount.atlassian.net/browse/DBA-3595","DBA-3595")</f>
        <v>DBA-3595</v>
      </c>
      <c r="B1627" s="23" t="str">
        <f>HYPERLINK("https://onemount.atlassian.net/browse/DBA-3540","DBA-3540")</f>
        <v>DBA-3540</v>
      </c>
      <c r="C1627" s="6" t="s">
        <v>7237</v>
      </c>
      <c r="D1627" s="8" t="s">
        <v>17</v>
      </c>
      <c r="E1627" s="6" t="s">
        <v>428</v>
      </c>
      <c r="F1627" s="6" t="s">
        <v>41</v>
      </c>
      <c r="G1627" s="6" t="s">
        <v>7238</v>
      </c>
      <c r="H1627" s="10">
        <v>46029</v>
      </c>
      <c r="I1627" s="6" t="s">
        <v>7239</v>
      </c>
      <c r="J1627" s="6" t="s">
        <v>46</v>
      </c>
      <c r="K1627" s="6" t="s">
        <v>46</v>
      </c>
      <c r="L1627" s="6" t="s">
        <v>46</v>
      </c>
      <c r="M1627" s="6" t="s">
        <v>7240</v>
      </c>
    </row>
    <row r="1628" spans="1:13" ht="13" x14ac:dyDescent="0.15">
      <c r="A1628" s="5" t="str">
        <f>HYPERLINK("https://onemount.atlassian.net/browse/DBA-3592","DBA-3592")</f>
        <v>DBA-3592</v>
      </c>
      <c r="B1628" s="6" t="s">
        <v>21</v>
      </c>
      <c r="C1628" s="6" t="s">
        <v>7241</v>
      </c>
      <c r="D1628" s="8" t="s">
        <v>17</v>
      </c>
      <c r="E1628" s="6" t="s">
        <v>23</v>
      </c>
      <c r="F1628" s="6" t="s">
        <v>87</v>
      </c>
      <c r="G1628" s="6" t="s">
        <v>7242</v>
      </c>
      <c r="H1628" s="10">
        <v>46027</v>
      </c>
      <c r="I1628" s="6" t="s">
        <v>7243</v>
      </c>
      <c r="J1628" s="6" t="s">
        <v>1898</v>
      </c>
      <c r="K1628" s="6" t="s">
        <v>165</v>
      </c>
      <c r="L1628" s="6" t="s">
        <v>1097</v>
      </c>
      <c r="M1628" s="6" t="s">
        <v>7244</v>
      </c>
    </row>
    <row r="1629" spans="1:13" ht="13" x14ac:dyDescent="0.15">
      <c r="A1629" s="5" t="str">
        <f>HYPERLINK("https://onemount.atlassian.net/browse/DBA-3591","DBA-3591")</f>
        <v>DBA-3591</v>
      </c>
      <c r="B1629" s="6" t="s">
        <v>21</v>
      </c>
      <c r="C1629" s="6" t="s">
        <v>7245</v>
      </c>
      <c r="D1629" s="8" t="s">
        <v>17</v>
      </c>
      <c r="E1629" s="6" t="s">
        <v>23</v>
      </c>
      <c r="F1629" s="6" t="s">
        <v>87</v>
      </c>
      <c r="G1629" s="6" t="s">
        <v>7246</v>
      </c>
      <c r="H1629" s="10">
        <v>46029</v>
      </c>
      <c r="I1629" s="6" t="s">
        <v>7247</v>
      </c>
      <c r="J1629" s="6" t="s">
        <v>1898</v>
      </c>
      <c r="K1629" s="6" t="s">
        <v>165</v>
      </c>
      <c r="L1629" s="6" t="s">
        <v>1097</v>
      </c>
      <c r="M1629" s="6" t="s">
        <v>7248</v>
      </c>
    </row>
    <row r="1630" spans="1:13" ht="13" x14ac:dyDescent="0.15">
      <c r="A1630" s="5" t="str">
        <f>HYPERLINK("https://onemount.atlassian.net/browse/DBA-3590","DBA-3590")</f>
        <v>DBA-3590</v>
      </c>
      <c r="B1630" s="6" t="s">
        <v>21</v>
      </c>
      <c r="C1630" s="6" t="s">
        <v>7249</v>
      </c>
      <c r="D1630" s="8" t="s">
        <v>17</v>
      </c>
      <c r="E1630" s="6" t="s">
        <v>23</v>
      </c>
      <c r="F1630" s="6" t="s">
        <v>87</v>
      </c>
      <c r="G1630" s="6" t="s">
        <v>7250</v>
      </c>
      <c r="H1630" s="10">
        <v>46028</v>
      </c>
      <c r="I1630" s="6" t="s">
        <v>7251</v>
      </c>
      <c r="J1630" s="6" t="s">
        <v>1898</v>
      </c>
      <c r="K1630" s="6" t="s">
        <v>165</v>
      </c>
      <c r="L1630" s="6" t="s">
        <v>1097</v>
      </c>
      <c r="M1630" s="6" t="s">
        <v>7252</v>
      </c>
    </row>
    <row r="1631" spans="1:13" ht="13" x14ac:dyDescent="0.15">
      <c r="A1631" s="5" t="str">
        <f>HYPERLINK("https://onemount.atlassian.net/browse/DBA-3589","DBA-3589")</f>
        <v>DBA-3589</v>
      </c>
      <c r="B1631" s="6" t="s">
        <v>21</v>
      </c>
      <c r="C1631" s="6" t="s">
        <v>7253</v>
      </c>
      <c r="D1631" s="8" t="s">
        <v>17</v>
      </c>
      <c r="E1631" s="6" t="s">
        <v>23</v>
      </c>
      <c r="F1631" s="6" t="s">
        <v>31</v>
      </c>
      <c r="G1631" s="6" t="s">
        <v>7254</v>
      </c>
      <c r="H1631" s="10">
        <v>46028</v>
      </c>
      <c r="I1631" s="6" t="s">
        <v>7255</v>
      </c>
      <c r="J1631" s="6" t="s">
        <v>71</v>
      </c>
      <c r="K1631" s="6" t="s">
        <v>35</v>
      </c>
      <c r="L1631" s="6" t="s">
        <v>71</v>
      </c>
      <c r="M1631" s="6" t="s">
        <v>7256</v>
      </c>
    </row>
    <row r="1632" spans="1:13" ht="13" x14ac:dyDescent="0.15">
      <c r="A1632" s="5" t="str">
        <f>HYPERLINK("https://onemount.atlassian.net/browse/DBA-3588","DBA-3588")</f>
        <v>DBA-3588</v>
      </c>
      <c r="B1632" s="6" t="s">
        <v>21</v>
      </c>
      <c r="C1632" s="6" t="s">
        <v>7257</v>
      </c>
      <c r="D1632" s="8" t="s">
        <v>17</v>
      </c>
      <c r="E1632" s="6" t="s">
        <v>23</v>
      </c>
      <c r="F1632" s="6" t="s">
        <v>31</v>
      </c>
      <c r="G1632" s="6" t="s">
        <v>7258</v>
      </c>
      <c r="H1632" s="10">
        <v>46029</v>
      </c>
      <c r="I1632" s="6" t="s">
        <v>7259</v>
      </c>
      <c r="J1632" s="6" t="s">
        <v>7260</v>
      </c>
      <c r="K1632" s="6" t="s">
        <v>55</v>
      </c>
      <c r="L1632" s="6" t="s">
        <v>906</v>
      </c>
      <c r="M1632" s="6" t="s">
        <v>7261</v>
      </c>
    </row>
    <row r="1633" spans="1:13" ht="13" x14ac:dyDescent="0.15">
      <c r="A1633" s="5" t="str">
        <f>HYPERLINK("https://onemount.atlassian.net/browse/DBA-3587","DBA-3587")</f>
        <v>DBA-3587</v>
      </c>
      <c r="B1633" s="6" t="s">
        <v>21</v>
      </c>
      <c r="C1633" s="6" t="s">
        <v>7262</v>
      </c>
      <c r="D1633" s="8" t="s">
        <v>17</v>
      </c>
      <c r="E1633" s="6" t="s">
        <v>23</v>
      </c>
      <c r="F1633" s="6" t="s">
        <v>31</v>
      </c>
      <c r="G1633" s="6" t="s">
        <v>7263</v>
      </c>
      <c r="H1633" s="10">
        <v>46029</v>
      </c>
      <c r="I1633" s="6" t="s">
        <v>7264</v>
      </c>
      <c r="J1633" s="6" t="s">
        <v>165</v>
      </c>
      <c r="K1633" s="6" t="s">
        <v>165</v>
      </c>
      <c r="L1633" s="6" t="s">
        <v>715</v>
      </c>
      <c r="M1633" s="6" t="s">
        <v>7265</v>
      </c>
    </row>
    <row r="1634" spans="1:13" ht="13" x14ac:dyDescent="0.15">
      <c r="A1634" s="5" t="str">
        <f>HYPERLINK("https://onemount.atlassian.net/browse/DBA-3586","DBA-3586")</f>
        <v>DBA-3586</v>
      </c>
      <c r="B1634" s="6" t="s">
        <v>21</v>
      </c>
      <c r="C1634" s="6" t="s">
        <v>7266</v>
      </c>
      <c r="D1634" s="8" t="s">
        <v>17</v>
      </c>
      <c r="E1634" s="6" t="s">
        <v>23</v>
      </c>
      <c r="F1634" s="6" t="s">
        <v>87</v>
      </c>
      <c r="G1634" s="6" t="s">
        <v>7267</v>
      </c>
      <c r="H1634" s="10">
        <v>46029</v>
      </c>
      <c r="I1634" s="6" t="s">
        <v>7268</v>
      </c>
      <c r="J1634" s="6" t="s">
        <v>2453</v>
      </c>
      <c r="K1634" s="6" t="s">
        <v>165</v>
      </c>
      <c r="L1634" s="6" t="s">
        <v>119</v>
      </c>
      <c r="M1634" s="6" t="s">
        <v>7269</v>
      </c>
    </row>
    <row r="1635" spans="1:13" ht="13" x14ac:dyDescent="0.15">
      <c r="A1635" s="5" t="str">
        <f>HYPERLINK("https://onemount.atlassian.net/browse/DBA-3585","DBA-3585")</f>
        <v>DBA-3585</v>
      </c>
      <c r="B1635" s="6" t="s">
        <v>21</v>
      </c>
      <c r="C1635" s="6" t="s">
        <v>7270</v>
      </c>
      <c r="D1635" s="8" t="s">
        <v>17</v>
      </c>
      <c r="E1635" s="6" t="s">
        <v>23</v>
      </c>
      <c r="F1635" s="6" t="s">
        <v>24</v>
      </c>
      <c r="G1635" s="6" t="s">
        <v>7271</v>
      </c>
      <c r="H1635" s="10">
        <v>46028</v>
      </c>
      <c r="I1635" s="6" t="s">
        <v>7272</v>
      </c>
      <c r="J1635" s="6" t="s">
        <v>2869</v>
      </c>
      <c r="K1635" s="6" t="s">
        <v>46</v>
      </c>
      <c r="L1635" s="6" t="s">
        <v>164</v>
      </c>
      <c r="M1635" s="6" t="s">
        <v>7273</v>
      </c>
    </row>
    <row r="1636" spans="1:13" ht="13" x14ac:dyDescent="0.15">
      <c r="A1636" s="5" t="str">
        <f>HYPERLINK("https://onemount.atlassian.net/browse/DBA-3584","DBA-3584")</f>
        <v>DBA-3584</v>
      </c>
      <c r="B1636" s="6" t="s">
        <v>21</v>
      </c>
      <c r="C1636" s="6" t="s">
        <v>7274</v>
      </c>
      <c r="D1636" s="8" t="s">
        <v>17</v>
      </c>
      <c r="E1636" s="6" t="s">
        <v>23</v>
      </c>
      <c r="F1636" s="6" t="s">
        <v>24</v>
      </c>
      <c r="G1636" s="6" t="s">
        <v>7275</v>
      </c>
      <c r="H1636" s="10">
        <v>46049</v>
      </c>
      <c r="I1636" s="6" t="s">
        <v>7276</v>
      </c>
      <c r="J1636" s="6" t="s">
        <v>600</v>
      </c>
      <c r="K1636" s="6" t="s">
        <v>46</v>
      </c>
      <c r="L1636" s="6" t="s">
        <v>600</v>
      </c>
      <c r="M1636" s="6" t="s">
        <v>7277</v>
      </c>
    </row>
    <row r="1637" spans="1:13" ht="13" x14ac:dyDescent="0.15">
      <c r="A1637" s="5" t="str">
        <f>HYPERLINK("https://onemount.atlassian.net/browse/DBA-3583","DBA-3583")</f>
        <v>DBA-3583</v>
      </c>
      <c r="B1637" s="6" t="s">
        <v>21</v>
      </c>
      <c r="C1637" s="6" t="s">
        <v>7278</v>
      </c>
      <c r="D1637" s="8" t="s">
        <v>17</v>
      </c>
      <c r="E1637" s="6" t="s">
        <v>23</v>
      </c>
      <c r="F1637" s="6" t="s">
        <v>41</v>
      </c>
      <c r="G1637" s="6" t="s">
        <v>7279</v>
      </c>
      <c r="H1637" s="10">
        <v>46032</v>
      </c>
      <c r="I1637" s="6" t="s">
        <v>7280</v>
      </c>
      <c r="J1637" s="6" t="s">
        <v>99</v>
      </c>
      <c r="K1637" s="6" t="s">
        <v>59</v>
      </c>
      <c r="L1637" s="6" t="s">
        <v>99</v>
      </c>
      <c r="M1637" s="6" t="s">
        <v>7281</v>
      </c>
    </row>
    <row r="1638" spans="1:13" ht="13" x14ac:dyDescent="0.15">
      <c r="A1638" s="5" t="str">
        <f>HYPERLINK("https://onemount.atlassian.net/browse/DBA-3582","DBA-3582")</f>
        <v>DBA-3582</v>
      </c>
      <c r="B1638" s="6" t="s">
        <v>21</v>
      </c>
      <c r="C1638" s="6" t="s">
        <v>6266</v>
      </c>
      <c r="D1638" s="8" t="s">
        <v>17</v>
      </c>
      <c r="E1638" s="6" t="s">
        <v>23</v>
      </c>
      <c r="F1638" s="6" t="s">
        <v>41</v>
      </c>
      <c r="G1638" s="6" t="s">
        <v>7282</v>
      </c>
      <c r="H1638" s="10">
        <v>46028</v>
      </c>
      <c r="I1638" s="6" t="s">
        <v>7283</v>
      </c>
      <c r="J1638" s="6" t="s">
        <v>6269</v>
      </c>
      <c r="K1638" s="6" t="s">
        <v>28</v>
      </c>
      <c r="L1638" s="6" t="s">
        <v>1140</v>
      </c>
      <c r="M1638" s="6" t="s">
        <v>7284</v>
      </c>
    </row>
    <row r="1639" spans="1:13" ht="13" x14ac:dyDescent="0.15">
      <c r="A1639" s="5" t="str">
        <f>HYPERLINK("https://onemount.atlassian.net/browse/DBA-3581","DBA-3581")</f>
        <v>DBA-3581</v>
      </c>
      <c r="B1639" s="6" t="s">
        <v>21</v>
      </c>
      <c r="C1639" s="6" t="s">
        <v>7285</v>
      </c>
      <c r="D1639" s="8" t="s">
        <v>17</v>
      </c>
      <c r="E1639" s="6" t="s">
        <v>23</v>
      </c>
      <c r="F1639" s="6" t="s">
        <v>52</v>
      </c>
      <c r="G1639" s="6" t="s">
        <v>7286</v>
      </c>
      <c r="H1639" s="10">
        <v>46029</v>
      </c>
      <c r="I1639" s="6" t="s">
        <v>7287</v>
      </c>
      <c r="J1639" s="6" t="s">
        <v>56</v>
      </c>
      <c r="K1639" s="6" t="s">
        <v>55</v>
      </c>
      <c r="L1639" s="6" t="s">
        <v>56</v>
      </c>
      <c r="M1639" s="6" t="s">
        <v>7288</v>
      </c>
    </row>
    <row r="1640" spans="1:13" ht="13" x14ac:dyDescent="0.15">
      <c r="A1640" s="5" t="str">
        <f>HYPERLINK("https://onemount.atlassian.net/browse/DBA-3580","DBA-3580")</f>
        <v>DBA-3580</v>
      </c>
      <c r="B1640" s="6" t="s">
        <v>21</v>
      </c>
      <c r="C1640" s="6" t="s">
        <v>7289</v>
      </c>
      <c r="D1640" s="8" t="s">
        <v>17</v>
      </c>
      <c r="E1640" s="6" t="s">
        <v>23</v>
      </c>
      <c r="F1640" s="6" t="s">
        <v>24</v>
      </c>
      <c r="G1640" s="6" t="s">
        <v>7290</v>
      </c>
      <c r="H1640" s="10">
        <v>46028</v>
      </c>
      <c r="I1640" s="6" t="s">
        <v>7291</v>
      </c>
      <c r="J1640" s="6" t="s">
        <v>72</v>
      </c>
      <c r="K1640" s="6" t="s">
        <v>72</v>
      </c>
      <c r="L1640" s="6" t="s">
        <v>72</v>
      </c>
      <c r="M1640" s="6" t="s">
        <v>7292</v>
      </c>
    </row>
    <row r="1641" spans="1:13" ht="13" x14ac:dyDescent="0.15">
      <c r="A1641" s="5" t="str">
        <f>HYPERLINK("https://onemount.atlassian.net/browse/DBA-3579","DBA-3579")</f>
        <v>DBA-3579</v>
      </c>
      <c r="B1641" s="6" t="s">
        <v>21</v>
      </c>
      <c r="C1641" s="6" t="s">
        <v>7293</v>
      </c>
      <c r="D1641" s="8" t="s">
        <v>17</v>
      </c>
      <c r="E1641" s="6" t="s">
        <v>23</v>
      </c>
      <c r="F1641" s="6" t="s">
        <v>24</v>
      </c>
      <c r="G1641" s="6" t="s">
        <v>7294</v>
      </c>
      <c r="H1641" s="10">
        <v>46028</v>
      </c>
      <c r="I1641" s="6" t="s">
        <v>7295</v>
      </c>
      <c r="J1641" s="6" t="s">
        <v>55</v>
      </c>
      <c r="K1641" s="6" t="s">
        <v>55</v>
      </c>
      <c r="L1641" s="6" t="s">
        <v>55</v>
      </c>
      <c r="M1641" s="6" t="s">
        <v>7296</v>
      </c>
    </row>
    <row r="1642" spans="1:13" ht="13" x14ac:dyDescent="0.15">
      <c r="A1642" s="5" t="str">
        <f>HYPERLINK("https://onemount.atlassian.net/browse/DBA-3578","DBA-3578")</f>
        <v>DBA-3578</v>
      </c>
      <c r="B1642" s="6" t="s">
        <v>21</v>
      </c>
      <c r="C1642" s="6" t="s">
        <v>7297</v>
      </c>
      <c r="D1642" s="8" t="s">
        <v>17</v>
      </c>
      <c r="E1642" s="6" t="s">
        <v>23</v>
      </c>
      <c r="F1642" s="6" t="s">
        <v>87</v>
      </c>
      <c r="G1642" s="6" t="s">
        <v>7298</v>
      </c>
      <c r="H1642" s="10">
        <v>46029</v>
      </c>
      <c r="I1642" s="6" t="s">
        <v>7299</v>
      </c>
      <c r="J1642" s="6" t="s">
        <v>2453</v>
      </c>
      <c r="K1642" s="6" t="s">
        <v>165</v>
      </c>
      <c r="L1642" s="6" t="s">
        <v>119</v>
      </c>
      <c r="M1642" s="6" t="s">
        <v>7300</v>
      </c>
    </row>
    <row r="1643" spans="1:13" ht="13" x14ac:dyDescent="0.15">
      <c r="A1643" s="5" t="str">
        <f>HYPERLINK("https://onemount.atlassian.net/browse/DBA-3577","DBA-3577")</f>
        <v>DBA-3577</v>
      </c>
      <c r="B1643" s="23" t="str">
        <f t="shared" ref="B1643:B1644" si="20">HYPERLINK("https://onemount.atlassian.net/browse/DBA-2333","DBA-2333")</f>
        <v>DBA-2333</v>
      </c>
      <c r="C1643" s="6" t="s">
        <v>7301</v>
      </c>
      <c r="D1643" s="8" t="s">
        <v>17</v>
      </c>
      <c r="E1643" s="6" t="s">
        <v>23</v>
      </c>
      <c r="F1643" s="6" t="s">
        <v>52</v>
      </c>
      <c r="G1643" s="6" t="s">
        <v>7302</v>
      </c>
      <c r="H1643" s="10">
        <v>46033</v>
      </c>
      <c r="I1643" s="6" t="s">
        <v>7303</v>
      </c>
      <c r="J1643" s="6" t="s">
        <v>655</v>
      </c>
      <c r="K1643" s="6" t="s">
        <v>46</v>
      </c>
      <c r="L1643" s="6" t="s">
        <v>655</v>
      </c>
      <c r="M1643" s="6" t="s">
        <v>7304</v>
      </c>
    </row>
    <row r="1644" spans="1:13" ht="13" x14ac:dyDescent="0.15">
      <c r="A1644" s="5" t="str">
        <f>HYPERLINK("https://onemount.atlassian.net/browse/DBA-3576","DBA-3576")</f>
        <v>DBA-3576</v>
      </c>
      <c r="B1644" s="23" t="str">
        <f t="shared" si="20"/>
        <v>DBA-2333</v>
      </c>
      <c r="C1644" s="6" t="s">
        <v>7305</v>
      </c>
      <c r="D1644" s="8" t="s">
        <v>17</v>
      </c>
      <c r="E1644" s="6" t="s">
        <v>23</v>
      </c>
      <c r="F1644" s="6" t="s">
        <v>41</v>
      </c>
      <c r="G1644" s="6" t="s">
        <v>7306</v>
      </c>
      <c r="H1644" s="10">
        <v>46067</v>
      </c>
      <c r="I1644" s="6" t="s">
        <v>7307</v>
      </c>
      <c r="J1644" s="6" t="s">
        <v>46</v>
      </c>
      <c r="K1644" s="6" t="s">
        <v>46</v>
      </c>
      <c r="L1644" s="6" t="s">
        <v>46</v>
      </c>
      <c r="M1644" s="6" t="s">
        <v>7308</v>
      </c>
    </row>
    <row r="1645" spans="1:13" ht="13" x14ac:dyDescent="0.15">
      <c r="A1645" s="5" t="str">
        <f>HYPERLINK("https://onemount.atlassian.net/browse/DBA-3573","DBA-3573")</f>
        <v>DBA-3573</v>
      </c>
      <c r="B1645" s="23" t="str">
        <f>HYPERLINK("https://onemount.atlassian.net/browse/DBA-3549","DBA-3549")</f>
        <v>DBA-3549</v>
      </c>
      <c r="C1645" s="6" t="s">
        <v>7309</v>
      </c>
      <c r="D1645" s="8" t="s">
        <v>17</v>
      </c>
      <c r="E1645" s="6" t="s">
        <v>428</v>
      </c>
      <c r="F1645" s="6" t="s">
        <v>87</v>
      </c>
      <c r="G1645" s="6" t="s">
        <v>7310</v>
      </c>
      <c r="H1645" s="10">
        <v>46081</v>
      </c>
      <c r="I1645" s="6" t="s">
        <v>7311</v>
      </c>
      <c r="J1645" s="6" t="s">
        <v>655</v>
      </c>
      <c r="K1645" s="6" t="s">
        <v>46</v>
      </c>
      <c r="L1645" s="6" t="s">
        <v>655</v>
      </c>
      <c r="M1645" s="6" t="s">
        <v>7312</v>
      </c>
    </row>
    <row r="1646" spans="1:13" ht="13" x14ac:dyDescent="0.15">
      <c r="A1646" s="5" t="str">
        <f>HYPERLINK("https://onemount.atlassian.net/browse/DBA-3571","DBA-3571")</f>
        <v>DBA-3571</v>
      </c>
      <c r="B1646" s="6" t="s">
        <v>21</v>
      </c>
      <c r="C1646" s="6" t="s">
        <v>5906</v>
      </c>
      <c r="D1646" s="8" t="s">
        <v>17</v>
      </c>
      <c r="E1646" s="6" t="s">
        <v>23</v>
      </c>
      <c r="F1646" s="6" t="s">
        <v>52</v>
      </c>
      <c r="G1646" s="6" t="s">
        <v>7313</v>
      </c>
      <c r="H1646" s="10">
        <v>46028</v>
      </c>
      <c r="I1646" s="6" t="s">
        <v>7314</v>
      </c>
      <c r="J1646" s="6" t="s">
        <v>132</v>
      </c>
      <c r="K1646" s="6" t="s">
        <v>124</v>
      </c>
      <c r="L1646" s="6" t="s">
        <v>132</v>
      </c>
      <c r="M1646" s="6" t="s">
        <v>7315</v>
      </c>
    </row>
    <row r="1647" spans="1:13" ht="13" x14ac:dyDescent="0.15">
      <c r="A1647" s="5" t="str">
        <f>HYPERLINK("https://onemount.atlassian.net/browse/DBA-3570","DBA-3570")</f>
        <v>DBA-3570</v>
      </c>
      <c r="B1647" s="23" t="str">
        <f t="shared" ref="B1647:B1666" si="21">HYPERLINK("https://onemount.atlassian.net/browse/DBA-3549","DBA-3549")</f>
        <v>DBA-3549</v>
      </c>
      <c r="C1647" s="6" t="s">
        <v>7316</v>
      </c>
      <c r="D1647" s="8" t="s">
        <v>17</v>
      </c>
      <c r="E1647" s="6" t="s">
        <v>428</v>
      </c>
      <c r="F1647" s="6" t="s">
        <v>87</v>
      </c>
      <c r="G1647" s="6" t="s">
        <v>7317</v>
      </c>
      <c r="H1647" s="10">
        <v>46081</v>
      </c>
      <c r="I1647" s="6" t="s">
        <v>7318</v>
      </c>
      <c r="J1647" s="6" t="s">
        <v>655</v>
      </c>
      <c r="K1647" s="6" t="s">
        <v>165</v>
      </c>
      <c r="L1647" s="6" t="s">
        <v>655</v>
      </c>
      <c r="M1647" s="6" t="s">
        <v>7319</v>
      </c>
    </row>
    <row r="1648" spans="1:13" ht="13" x14ac:dyDescent="0.15">
      <c r="A1648" s="5" t="str">
        <f>HYPERLINK("https://onemount.atlassian.net/browse/DBA-3569","DBA-3569")</f>
        <v>DBA-3569</v>
      </c>
      <c r="B1648" s="23" t="str">
        <f t="shared" si="21"/>
        <v>DBA-3549</v>
      </c>
      <c r="C1648" s="6" t="s">
        <v>7320</v>
      </c>
      <c r="D1648" s="8" t="s">
        <v>17</v>
      </c>
      <c r="E1648" s="6" t="s">
        <v>428</v>
      </c>
      <c r="F1648" s="6" t="s">
        <v>87</v>
      </c>
      <c r="G1648" s="6" t="s">
        <v>7321</v>
      </c>
      <c r="H1648" s="10">
        <v>46081</v>
      </c>
      <c r="I1648" s="6" t="s">
        <v>7322</v>
      </c>
      <c r="J1648" s="6" t="s">
        <v>655</v>
      </c>
      <c r="K1648" s="6" t="s">
        <v>165</v>
      </c>
      <c r="L1648" s="6" t="s">
        <v>655</v>
      </c>
      <c r="M1648" s="6" t="s">
        <v>7323</v>
      </c>
    </row>
    <row r="1649" spans="1:13" ht="13" x14ac:dyDescent="0.15">
      <c r="A1649" s="5" t="str">
        <f>HYPERLINK("https://onemount.atlassian.net/browse/DBA-3568","DBA-3568")</f>
        <v>DBA-3568</v>
      </c>
      <c r="B1649" s="23" t="str">
        <f t="shared" si="21"/>
        <v>DBA-3549</v>
      </c>
      <c r="C1649" s="6" t="s">
        <v>7324</v>
      </c>
      <c r="D1649" s="8" t="s">
        <v>17</v>
      </c>
      <c r="E1649" s="6" t="s">
        <v>428</v>
      </c>
      <c r="F1649" s="6" t="s">
        <v>41</v>
      </c>
      <c r="G1649" s="6" t="s">
        <v>7325</v>
      </c>
      <c r="H1649" s="10">
        <v>46081</v>
      </c>
      <c r="I1649" s="6" t="s">
        <v>7326</v>
      </c>
      <c r="J1649" s="6" t="s">
        <v>655</v>
      </c>
      <c r="K1649" s="6" t="s">
        <v>28</v>
      </c>
      <c r="L1649" s="6" t="s">
        <v>655</v>
      </c>
      <c r="M1649" s="6" t="s">
        <v>7327</v>
      </c>
    </row>
    <row r="1650" spans="1:13" ht="13" x14ac:dyDescent="0.15">
      <c r="A1650" s="5" t="str">
        <f>HYPERLINK("https://onemount.atlassian.net/browse/DBA-3567","DBA-3567")</f>
        <v>DBA-3567</v>
      </c>
      <c r="B1650" s="23" t="str">
        <f t="shared" si="21"/>
        <v>DBA-3549</v>
      </c>
      <c r="C1650" s="6" t="s">
        <v>7328</v>
      </c>
      <c r="D1650" s="8" t="s">
        <v>17</v>
      </c>
      <c r="E1650" s="6" t="s">
        <v>428</v>
      </c>
      <c r="F1650" s="6" t="s">
        <v>41</v>
      </c>
      <c r="G1650" s="6" t="s">
        <v>7329</v>
      </c>
      <c r="H1650" s="10">
        <v>46081</v>
      </c>
      <c r="I1650" s="6" t="s">
        <v>7330</v>
      </c>
      <c r="J1650" s="6" t="s">
        <v>655</v>
      </c>
      <c r="K1650" s="6" t="s">
        <v>46</v>
      </c>
      <c r="L1650" s="6" t="s">
        <v>655</v>
      </c>
      <c r="M1650" s="6" t="s">
        <v>7331</v>
      </c>
    </row>
    <row r="1651" spans="1:13" ht="13" x14ac:dyDescent="0.15">
      <c r="A1651" s="5" t="str">
        <f>HYPERLINK("https://onemount.atlassian.net/browse/DBA-3565","DBA-3565")</f>
        <v>DBA-3565</v>
      </c>
      <c r="B1651" s="23" t="str">
        <f t="shared" si="21"/>
        <v>DBA-3549</v>
      </c>
      <c r="C1651" s="6" t="s">
        <v>7332</v>
      </c>
      <c r="D1651" s="8" t="s">
        <v>17</v>
      </c>
      <c r="E1651" s="6" t="s">
        <v>428</v>
      </c>
      <c r="F1651" s="6" t="s">
        <v>41</v>
      </c>
      <c r="G1651" s="6" t="s">
        <v>7333</v>
      </c>
      <c r="H1651" s="10">
        <v>46081</v>
      </c>
      <c r="I1651" s="6" t="s">
        <v>7334</v>
      </c>
      <c r="J1651" s="6" t="s">
        <v>655</v>
      </c>
      <c r="K1651" s="6" t="s">
        <v>28</v>
      </c>
      <c r="L1651" s="6" t="s">
        <v>655</v>
      </c>
      <c r="M1651" s="6" t="s">
        <v>7335</v>
      </c>
    </row>
    <row r="1652" spans="1:13" ht="13" x14ac:dyDescent="0.15">
      <c r="A1652" s="5" t="str">
        <f>HYPERLINK("https://onemount.atlassian.net/browse/DBA-3564","DBA-3564")</f>
        <v>DBA-3564</v>
      </c>
      <c r="B1652" s="23" t="str">
        <f t="shared" si="21"/>
        <v>DBA-3549</v>
      </c>
      <c r="C1652" s="6" t="s">
        <v>7336</v>
      </c>
      <c r="D1652" s="8" t="s">
        <v>17</v>
      </c>
      <c r="E1652" s="6" t="s">
        <v>428</v>
      </c>
      <c r="F1652" s="6" t="s">
        <v>52</v>
      </c>
      <c r="G1652" s="6" t="s">
        <v>7337</v>
      </c>
      <c r="H1652" s="10">
        <v>46081</v>
      </c>
      <c r="I1652" s="6" t="s">
        <v>7338</v>
      </c>
      <c r="J1652" s="6" t="s">
        <v>655</v>
      </c>
      <c r="K1652" s="6" t="s">
        <v>55</v>
      </c>
      <c r="L1652" s="6" t="s">
        <v>655</v>
      </c>
      <c r="M1652" s="6" t="s">
        <v>7339</v>
      </c>
    </row>
    <row r="1653" spans="1:13" ht="13" x14ac:dyDescent="0.15">
      <c r="A1653" s="5" t="str">
        <f>HYPERLINK("https://onemount.atlassian.net/browse/DBA-3563","DBA-3563")</f>
        <v>DBA-3563</v>
      </c>
      <c r="B1653" s="23" t="str">
        <f t="shared" si="21"/>
        <v>DBA-3549</v>
      </c>
      <c r="C1653" s="6" t="s">
        <v>7340</v>
      </c>
      <c r="D1653" s="8" t="s">
        <v>17</v>
      </c>
      <c r="E1653" s="6" t="s">
        <v>428</v>
      </c>
      <c r="F1653" s="6" t="s">
        <v>52</v>
      </c>
      <c r="G1653" s="6" t="s">
        <v>7341</v>
      </c>
      <c r="H1653" s="10">
        <v>46081</v>
      </c>
      <c r="I1653" s="6" t="s">
        <v>7342</v>
      </c>
      <c r="J1653" s="6" t="s">
        <v>655</v>
      </c>
      <c r="K1653" s="6" t="s">
        <v>55</v>
      </c>
      <c r="L1653" s="6" t="s">
        <v>655</v>
      </c>
      <c r="M1653" s="6" t="s">
        <v>7343</v>
      </c>
    </row>
    <row r="1654" spans="1:13" ht="13" x14ac:dyDescent="0.15">
      <c r="A1654" s="5" t="str">
        <f>HYPERLINK("https://onemount.atlassian.net/browse/DBA-3562","DBA-3562")</f>
        <v>DBA-3562</v>
      </c>
      <c r="B1654" s="23" t="str">
        <f t="shared" si="21"/>
        <v>DBA-3549</v>
      </c>
      <c r="C1654" s="6" t="s">
        <v>7344</v>
      </c>
      <c r="D1654" s="8" t="s">
        <v>17</v>
      </c>
      <c r="E1654" s="6" t="s">
        <v>428</v>
      </c>
      <c r="F1654" s="6" t="s">
        <v>52</v>
      </c>
      <c r="G1654" s="6" t="s">
        <v>7345</v>
      </c>
      <c r="H1654" s="10">
        <v>46081</v>
      </c>
      <c r="I1654" s="6" t="s">
        <v>7346</v>
      </c>
      <c r="J1654" s="6" t="s">
        <v>655</v>
      </c>
      <c r="K1654" s="6" t="s">
        <v>55</v>
      </c>
      <c r="L1654" s="6" t="s">
        <v>655</v>
      </c>
      <c r="M1654" s="6" t="s">
        <v>7347</v>
      </c>
    </row>
    <row r="1655" spans="1:13" ht="13" x14ac:dyDescent="0.15">
      <c r="A1655" s="5" t="str">
        <f>HYPERLINK("https://onemount.atlassian.net/browse/DBA-3561","DBA-3561")</f>
        <v>DBA-3561</v>
      </c>
      <c r="B1655" s="23" t="str">
        <f t="shared" si="21"/>
        <v>DBA-3549</v>
      </c>
      <c r="C1655" s="6" t="s">
        <v>7348</v>
      </c>
      <c r="D1655" s="8" t="s">
        <v>17</v>
      </c>
      <c r="E1655" s="6" t="s">
        <v>428</v>
      </c>
      <c r="F1655" s="6" t="s">
        <v>52</v>
      </c>
      <c r="G1655" s="6" t="s">
        <v>7349</v>
      </c>
      <c r="H1655" s="10">
        <v>46081</v>
      </c>
      <c r="I1655" s="6" t="s">
        <v>7350</v>
      </c>
      <c r="J1655" s="6" t="s">
        <v>655</v>
      </c>
      <c r="K1655" s="6" t="s">
        <v>55</v>
      </c>
      <c r="L1655" s="6" t="s">
        <v>655</v>
      </c>
      <c r="M1655" s="6" t="s">
        <v>7351</v>
      </c>
    </row>
    <row r="1656" spans="1:13" ht="13" x14ac:dyDescent="0.15">
      <c r="A1656" s="5" t="str">
        <f>HYPERLINK("https://onemount.atlassian.net/browse/DBA-3560","DBA-3560")</f>
        <v>DBA-3560</v>
      </c>
      <c r="B1656" s="23" t="str">
        <f t="shared" si="21"/>
        <v>DBA-3549</v>
      </c>
      <c r="C1656" s="6" t="s">
        <v>7352</v>
      </c>
      <c r="D1656" s="8" t="s">
        <v>17</v>
      </c>
      <c r="E1656" s="6" t="s">
        <v>428</v>
      </c>
      <c r="F1656" s="6" t="s">
        <v>52</v>
      </c>
      <c r="G1656" s="6" t="s">
        <v>7353</v>
      </c>
      <c r="H1656" s="10">
        <v>46081</v>
      </c>
      <c r="I1656" s="6" t="s">
        <v>7354</v>
      </c>
      <c r="J1656" s="6" t="s">
        <v>655</v>
      </c>
      <c r="K1656" s="6" t="s">
        <v>55</v>
      </c>
      <c r="L1656" s="6" t="s">
        <v>655</v>
      </c>
      <c r="M1656" s="6" t="s">
        <v>7355</v>
      </c>
    </row>
    <row r="1657" spans="1:13" ht="13" x14ac:dyDescent="0.15">
      <c r="A1657" s="5" t="str">
        <f>HYPERLINK("https://onemount.atlassian.net/browse/DBA-3559","DBA-3559")</f>
        <v>DBA-3559</v>
      </c>
      <c r="B1657" s="23" t="str">
        <f t="shared" si="21"/>
        <v>DBA-3549</v>
      </c>
      <c r="C1657" s="6" t="s">
        <v>7356</v>
      </c>
      <c r="D1657" s="8" t="s">
        <v>17</v>
      </c>
      <c r="E1657" s="6" t="s">
        <v>428</v>
      </c>
      <c r="F1657" s="6" t="s">
        <v>24</v>
      </c>
      <c r="G1657" s="6" t="s">
        <v>7357</v>
      </c>
      <c r="H1657" s="10">
        <v>46081</v>
      </c>
      <c r="I1657" s="6" t="s">
        <v>7358</v>
      </c>
      <c r="J1657" s="6" t="s">
        <v>655</v>
      </c>
      <c r="K1657" s="6" t="s">
        <v>55</v>
      </c>
      <c r="L1657" s="6" t="s">
        <v>655</v>
      </c>
      <c r="M1657" s="6" t="s">
        <v>7359</v>
      </c>
    </row>
    <row r="1658" spans="1:13" ht="13" x14ac:dyDescent="0.15">
      <c r="A1658" s="5" t="str">
        <f>HYPERLINK("https://onemount.atlassian.net/browse/DBA-3558","DBA-3558")</f>
        <v>DBA-3558</v>
      </c>
      <c r="B1658" s="23" t="str">
        <f t="shared" si="21"/>
        <v>DBA-3549</v>
      </c>
      <c r="C1658" s="6" t="s">
        <v>7360</v>
      </c>
      <c r="D1658" s="8" t="s">
        <v>17</v>
      </c>
      <c r="E1658" s="6" t="s">
        <v>428</v>
      </c>
      <c r="F1658" s="6" t="s">
        <v>24</v>
      </c>
      <c r="G1658" s="6" t="s">
        <v>7361</v>
      </c>
      <c r="H1658" s="10">
        <v>46081</v>
      </c>
      <c r="I1658" s="6" t="s">
        <v>7362</v>
      </c>
      <c r="J1658" s="6" t="s">
        <v>655</v>
      </c>
      <c r="K1658" s="6" t="s">
        <v>55</v>
      </c>
      <c r="L1658" s="6" t="s">
        <v>655</v>
      </c>
      <c r="M1658" s="6" t="s">
        <v>7363</v>
      </c>
    </row>
    <row r="1659" spans="1:13" ht="13" x14ac:dyDescent="0.15">
      <c r="A1659" s="5" t="str">
        <f>HYPERLINK("https://onemount.atlassian.net/browse/DBA-3557","DBA-3557")</f>
        <v>DBA-3557</v>
      </c>
      <c r="B1659" s="23" t="str">
        <f t="shared" si="21"/>
        <v>DBA-3549</v>
      </c>
      <c r="C1659" s="6" t="s">
        <v>7364</v>
      </c>
      <c r="D1659" s="8" t="s">
        <v>17</v>
      </c>
      <c r="E1659" s="6" t="s">
        <v>428</v>
      </c>
      <c r="F1659" s="6" t="s">
        <v>31</v>
      </c>
      <c r="G1659" s="6" t="s">
        <v>7365</v>
      </c>
      <c r="H1659" s="10">
        <v>46081</v>
      </c>
      <c r="I1659" s="6" t="s">
        <v>7366</v>
      </c>
      <c r="J1659" s="6" t="s">
        <v>655</v>
      </c>
      <c r="K1659" s="6" t="s">
        <v>35</v>
      </c>
      <c r="L1659" s="6" t="s">
        <v>655</v>
      </c>
      <c r="M1659" s="6" t="s">
        <v>7367</v>
      </c>
    </row>
    <row r="1660" spans="1:13" ht="13" x14ac:dyDescent="0.15">
      <c r="A1660" s="5" t="str">
        <f>HYPERLINK("https://onemount.atlassian.net/browse/DBA-3556","DBA-3556")</f>
        <v>DBA-3556</v>
      </c>
      <c r="B1660" s="23" t="str">
        <f t="shared" si="21"/>
        <v>DBA-3549</v>
      </c>
      <c r="C1660" s="6" t="s">
        <v>7368</v>
      </c>
      <c r="D1660" s="8" t="s">
        <v>17</v>
      </c>
      <c r="E1660" s="6" t="s">
        <v>428</v>
      </c>
      <c r="F1660" s="6" t="s">
        <v>31</v>
      </c>
      <c r="G1660" s="6" t="s">
        <v>7369</v>
      </c>
      <c r="H1660" s="10">
        <v>46081</v>
      </c>
      <c r="I1660" s="6" t="s">
        <v>7370</v>
      </c>
      <c r="J1660" s="6" t="s">
        <v>655</v>
      </c>
      <c r="K1660" s="6" t="s">
        <v>55</v>
      </c>
      <c r="L1660" s="6" t="s">
        <v>655</v>
      </c>
      <c r="M1660" s="6" t="s">
        <v>7371</v>
      </c>
    </row>
    <row r="1661" spans="1:13" ht="13" x14ac:dyDescent="0.15">
      <c r="A1661" s="5" t="str">
        <f>HYPERLINK("https://onemount.atlassian.net/browse/DBA-3555","DBA-3555")</f>
        <v>DBA-3555</v>
      </c>
      <c r="B1661" s="23" t="str">
        <f t="shared" si="21"/>
        <v>DBA-3549</v>
      </c>
      <c r="C1661" s="6" t="s">
        <v>7372</v>
      </c>
      <c r="D1661" s="8" t="s">
        <v>17</v>
      </c>
      <c r="E1661" s="6" t="s">
        <v>428</v>
      </c>
      <c r="F1661" s="6" t="s">
        <v>31</v>
      </c>
      <c r="G1661" s="6" t="s">
        <v>7373</v>
      </c>
      <c r="H1661" s="10">
        <v>46081</v>
      </c>
      <c r="I1661" s="6" t="s">
        <v>7374</v>
      </c>
      <c r="J1661" s="6" t="s">
        <v>655</v>
      </c>
      <c r="K1661" s="6" t="s">
        <v>55</v>
      </c>
      <c r="L1661" s="6" t="s">
        <v>655</v>
      </c>
      <c r="M1661" s="6" t="s">
        <v>7375</v>
      </c>
    </row>
    <row r="1662" spans="1:13" ht="13" x14ac:dyDescent="0.15">
      <c r="A1662" s="5" t="str">
        <f>HYPERLINK("https://onemount.atlassian.net/browse/DBA-3554","DBA-3554")</f>
        <v>DBA-3554</v>
      </c>
      <c r="B1662" s="23" t="str">
        <f t="shared" si="21"/>
        <v>DBA-3549</v>
      </c>
      <c r="C1662" s="6" t="s">
        <v>7376</v>
      </c>
      <c r="D1662" s="8" t="s">
        <v>17</v>
      </c>
      <c r="E1662" s="6" t="s">
        <v>428</v>
      </c>
      <c r="F1662" s="6" t="s">
        <v>31</v>
      </c>
      <c r="G1662" s="6" t="s">
        <v>7377</v>
      </c>
      <c r="H1662" s="10">
        <v>46081</v>
      </c>
      <c r="I1662" s="6" t="s">
        <v>7378</v>
      </c>
      <c r="J1662" s="6" t="s">
        <v>655</v>
      </c>
      <c r="K1662" s="6" t="s">
        <v>55</v>
      </c>
      <c r="L1662" s="6" t="s">
        <v>655</v>
      </c>
      <c r="M1662" s="6" t="s">
        <v>7379</v>
      </c>
    </row>
    <row r="1663" spans="1:13" ht="13" x14ac:dyDescent="0.15">
      <c r="A1663" s="5" t="str">
        <f>HYPERLINK("https://onemount.atlassian.net/browse/DBA-3553","DBA-3553")</f>
        <v>DBA-3553</v>
      </c>
      <c r="B1663" s="23" t="str">
        <f t="shared" si="21"/>
        <v>DBA-3549</v>
      </c>
      <c r="C1663" s="6" t="s">
        <v>7380</v>
      </c>
      <c r="D1663" s="8" t="s">
        <v>17</v>
      </c>
      <c r="E1663" s="6" t="s">
        <v>428</v>
      </c>
      <c r="F1663" s="6" t="s">
        <v>87</v>
      </c>
      <c r="G1663" s="6" t="s">
        <v>7381</v>
      </c>
      <c r="H1663" s="10">
        <v>46081</v>
      </c>
      <c r="I1663" s="6" t="s">
        <v>7382</v>
      </c>
      <c r="J1663" s="6" t="s">
        <v>655</v>
      </c>
      <c r="K1663" s="6" t="s">
        <v>46</v>
      </c>
      <c r="L1663" s="6" t="s">
        <v>655</v>
      </c>
      <c r="M1663" s="6" t="s">
        <v>7383</v>
      </c>
    </row>
    <row r="1664" spans="1:13" ht="13" x14ac:dyDescent="0.15">
      <c r="A1664" s="5" t="str">
        <f>HYPERLINK("https://onemount.atlassian.net/browse/DBA-3552","DBA-3552")</f>
        <v>DBA-3552</v>
      </c>
      <c r="B1664" s="23" t="str">
        <f t="shared" si="21"/>
        <v>DBA-3549</v>
      </c>
      <c r="C1664" s="6" t="s">
        <v>7384</v>
      </c>
      <c r="D1664" s="8" t="s">
        <v>17</v>
      </c>
      <c r="E1664" s="6" t="s">
        <v>428</v>
      </c>
      <c r="F1664" s="6" t="s">
        <v>31</v>
      </c>
      <c r="G1664" s="6" t="s">
        <v>7385</v>
      </c>
      <c r="H1664" s="10">
        <v>46081</v>
      </c>
      <c r="I1664" s="6" t="s">
        <v>7386</v>
      </c>
      <c r="J1664" s="6" t="s">
        <v>655</v>
      </c>
      <c r="K1664" s="6" t="s">
        <v>46</v>
      </c>
      <c r="L1664" s="6" t="s">
        <v>655</v>
      </c>
      <c r="M1664" s="6" t="s">
        <v>7387</v>
      </c>
    </row>
    <row r="1665" spans="1:13" ht="13" x14ac:dyDescent="0.15">
      <c r="A1665" s="5" t="str">
        <f>HYPERLINK("https://onemount.atlassian.net/browse/DBA-3551","DBA-3551")</f>
        <v>DBA-3551</v>
      </c>
      <c r="B1665" s="23" t="str">
        <f t="shared" si="21"/>
        <v>DBA-3549</v>
      </c>
      <c r="C1665" s="6" t="s">
        <v>7388</v>
      </c>
      <c r="D1665" s="8" t="s">
        <v>17</v>
      </c>
      <c r="E1665" s="6" t="s">
        <v>428</v>
      </c>
      <c r="F1665" s="6" t="s">
        <v>31</v>
      </c>
      <c r="G1665" s="6" t="s">
        <v>7389</v>
      </c>
      <c r="H1665" s="10">
        <v>46081</v>
      </c>
      <c r="I1665" s="6" t="s">
        <v>7390</v>
      </c>
      <c r="J1665" s="6" t="s">
        <v>655</v>
      </c>
      <c r="K1665" s="6" t="s">
        <v>35</v>
      </c>
      <c r="L1665" s="6" t="s">
        <v>655</v>
      </c>
      <c r="M1665" s="6" t="s">
        <v>7391</v>
      </c>
    </row>
    <row r="1666" spans="1:13" ht="13" x14ac:dyDescent="0.15">
      <c r="A1666" s="5" t="str">
        <f>HYPERLINK("https://onemount.atlassian.net/browse/DBA-3550","DBA-3550")</f>
        <v>DBA-3550</v>
      </c>
      <c r="B1666" s="23" t="str">
        <f t="shared" si="21"/>
        <v>DBA-3549</v>
      </c>
      <c r="C1666" s="6" t="s">
        <v>7392</v>
      </c>
      <c r="D1666" s="8" t="s">
        <v>17</v>
      </c>
      <c r="E1666" s="6" t="s">
        <v>428</v>
      </c>
      <c r="F1666" s="6" t="s">
        <v>31</v>
      </c>
      <c r="G1666" s="6" t="s">
        <v>7393</v>
      </c>
      <c r="H1666" s="10">
        <v>46081</v>
      </c>
      <c r="I1666" s="6" t="s">
        <v>7394</v>
      </c>
      <c r="J1666" s="6" t="s">
        <v>655</v>
      </c>
      <c r="K1666" s="6" t="s">
        <v>46</v>
      </c>
      <c r="L1666" s="6" t="s">
        <v>655</v>
      </c>
      <c r="M1666" s="6" t="s">
        <v>7395</v>
      </c>
    </row>
    <row r="1667" spans="1:13" ht="13" x14ac:dyDescent="0.15">
      <c r="A1667" s="5" t="str">
        <f>HYPERLINK("https://onemount.atlassian.net/browse/DBA-3549","DBA-3549")</f>
        <v>DBA-3549</v>
      </c>
      <c r="B1667" s="23" t="str">
        <f>HYPERLINK("https://onemount.atlassian.net/browse/DBA-2333","DBA-2333")</f>
        <v>DBA-2333</v>
      </c>
      <c r="C1667" s="6" t="s">
        <v>7396</v>
      </c>
      <c r="D1667" s="8" t="s">
        <v>17</v>
      </c>
      <c r="E1667" s="6" t="s">
        <v>23</v>
      </c>
      <c r="F1667" s="6" t="s">
        <v>94</v>
      </c>
      <c r="G1667" s="6" t="s">
        <v>7397</v>
      </c>
      <c r="H1667" s="10">
        <v>46081</v>
      </c>
      <c r="I1667" s="6" t="s">
        <v>7398</v>
      </c>
      <c r="J1667" s="6" t="s">
        <v>655</v>
      </c>
      <c r="K1667" s="6" t="s">
        <v>46</v>
      </c>
      <c r="L1667" s="6" t="s">
        <v>655</v>
      </c>
      <c r="M1667" s="6" t="s">
        <v>7399</v>
      </c>
    </row>
    <row r="1668" spans="1:13" ht="13" x14ac:dyDescent="0.15">
      <c r="A1668" s="5" t="str">
        <f>HYPERLINK("https://onemount.atlassian.net/browse/DBA-3548","DBA-3548")</f>
        <v>DBA-3548</v>
      </c>
      <c r="B1668" s="6" t="s">
        <v>21</v>
      </c>
      <c r="C1668" s="6" t="s">
        <v>7400</v>
      </c>
      <c r="D1668" s="8" t="s">
        <v>17</v>
      </c>
      <c r="E1668" s="6" t="s">
        <v>23</v>
      </c>
      <c r="F1668" s="6" t="s">
        <v>24</v>
      </c>
      <c r="G1668" s="6" t="s">
        <v>7401</v>
      </c>
      <c r="H1668" s="10">
        <v>46027</v>
      </c>
      <c r="I1668" s="6" t="s">
        <v>7402</v>
      </c>
      <c r="J1668" s="6" t="s">
        <v>2869</v>
      </c>
      <c r="K1668" s="6" t="s">
        <v>46</v>
      </c>
      <c r="L1668" s="6" t="s">
        <v>164</v>
      </c>
      <c r="M1668" s="6" t="s">
        <v>7403</v>
      </c>
    </row>
    <row r="1669" spans="1:13" ht="13" x14ac:dyDescent="0.15">
      <c r="A1669" s="5" t="str">
        <f>HYPERLINK("https://onemount.atlassian.net/browse/DBA-3547","DBA-3547")</f>
        <v>DBA-3547</v>
      </c>
      <c r="B1669" s="6" t="s">
        <v>21</v>
      </c>
      <c r="C1669" s="6" t="s">
        <v>7404</v>
      </c>
      <c r="D1669" s="8" t="s">
        <v>17</v>
      </c>
      <c r="E1669" s="6" t="s">
        <v>23</v>
      </c>
      <c r="F1669" s="6" t="s">
        <v>31</v>
      </c>
      <c r="G1669" s="6" t="s">
        <v>7405</v>
      </c>
      <c r="H1669" s="10">
        <v>46027</v>
      </c>
      <c r="I1669" s="6" t="s">
        <v>7406</v>
      </c>
      <c r="J1669" s="6" t="s">
        <v>293</v>
      </c>
      <c r="K1669" s="6" t="s">
        <v>35</v>
      </c>
      <c r="L1669" s="6" t="s">
        <v>293</v>
      </c>
      <c r="M1669" s="6" t="s">
        <v>7407</v>
      </c>
    </row>
    <row r="1670" spans="1:13" ht="13" x14ac:dyDescent="0.15">
      <c r="A1670" s="5" t="str">
        <f>HYPERLINK("https://onemount.atlassian.net/browse/DBA-3545","DBA-3545")</f>
        <v>DBA-3545</v>
      </c>
      <c r="B1670" s="6" t="s">
        <v>21</v>
      </c>
      <c r="C1670" s="6" t="s">
        <v>7408</v>
      </c>
      <c r="D1670" s="8" t="s">
        <v>17</v>
      </c>
      <c r="E1670" s="6" t="s">
        <v>23</v>
      </c>
      <c r="F1670" s="6" t="s">
        <v>41</v>
      </c>
      <c r="G1670" s="6" t="s">
        <v>7409</v>
      </c>
      <c r="H1670" s="10">
        <v>46028</v>
      </c>
      <c r="I1670" s="6" t="s">
        <v>7410</v>
      </c>
      <c r="J1670" s="6" t="s">
        <v>2392</v>
      </c>
      <c r="K1670" s="6" t="s">
        <v>165</v>
      </c>
      <c r="L1670" s="6" t="s">
        <v>1025</v>
      </c>
      <c r="M1670" s="6" t="s">
        <v>7411</v>
      </c>
    </row>
    <row r="1671" spans="1:13" ht="13" x14ac:dyDescent="0.15">
      <c r="A1671" s="5" t="str">
        <f>HYPERLINK("https://onemount.atlassian.net/browse/DBA-3544","DBA-3544")</f>
        <v>DBA-3544</v>
      </c>
      <c r="B1671" s="6" t="s">
        <v>21</v>
      </c>
      <c r="C1671" s="6" t="s">
        <v>7412</v>
      </c>
      <c r="D1671" s="8" t="s">
        <v>17</v>
      </c>
      <c r="E1671" s="6" t="s">
        <v>23</v>
      </c>
      <c r="F1671" s="6" t="s">
        <v>31</v>
      </c>
      <c r="G1671" s="6" t="s">
        <v>7413</v>
      </c>
      <c r="H1671" s="10">
        <v>46027</v>
      </c>
      <c r="I1671" s="6" t="s">
        <v>7414</v>
      </c>
      <c r="J1671" s="6" t="s">
        <v>85</v>
      </c>
      <c r="K1671" s="6" t="s">
        <v>55</v>
      </c>
      <c r="L1671" s="6" t="s">
        <v>85</v>
      </c>
      <c r="M1671" s="6" t="s">
        <v>7415</v>
      </c>
    </row>
    <row r="1672" spans="1:13" ht="13" x14ac:dyDescent="0.15">
      <c r="A1672" s="5" t="str">
        <f>HYPERLINK("https://onemount.atlassian.net/browse/DBA-3541","DBA-3541")</f>
        <v>DBA-3541</v>
      </c>
      <c r="B1672" s="6" t="s">
        <v>21</v>
      </c>
      <c r="C1672" s="6" t="s">
        <v>7416</v>
      </c>
      <c r="D1672" s="8" t="s">
        <v>17</v>
      </c>
      <c r="E1672" s="6" t="s">
        <v>1810</v>
      </c>
      <c r="F1672" s="6" t="s">
        <v>41</v>
      </c>
      <c r="G1672" s="6" t="s">
        <v>7417</v>
      </c>
      <c r="H1672" s="10">
        <v>46156</v>
      </c>
      <c r="I1672" s="6" t="s">
        <v>7418</v>
      </c>
      <c r="J1672" s="6" t="s">
        <v>72</v>
      </c>
      <c r="K1672" s="6" t="s">
        <v>72</v>
      </c>
      <c r="L1672" s="6" t="s">
        <v>72</v>
      </c>
      <c r="M1672" s="6" t="s">
        <v>7419</v>
      </c>
    </row>
    <row r="1673" spans="1:13" ht="13" x14ac:dyDescent="0.15">
      <c r="A1673" s="5" t="str">
        <f>HYPERLINK("https://onemount.atlassian.net/browse/DBA-3540","DBA-3540")</f>
        <v>DBA-3540</v>
      </c>
      <c r="B1673" s="6" t="s">
        <v>21</v>
      </c>
      <c r="C1673" s="6" t="s">
        <v>7420</v>
      </c>
      <c r="D1673" s="8" t="s">
        <v>17</v>
      </c>
      <c r="E1673" s="6" t="s">
        <v>1810</v>
      </c>
      <c r="F1673" s="6" t="s">
        <v>41</v>
      </c>
      <c r="G1673" s="6" t="s">
        <v>7421</v>
      </c>
      <c r="H1673" s="10">
        <v>46045</v>
      </c>
      <c r="I1673" s="6" t="s">
        <v>7422</v>
      </c>
      <c r="J1673" s="6" t="s">
        <v>46</v>
      </c>
      <c r="K1673" s="6" t="s">
        <v>46</v>
      </c>
      <c r="L1673" s="6" t="s">
        <v>109</v>
      </c>
      <c r="M1673" s="6" t="s">
        <v>7420</v>
      </c>
    </row>
    <row r="1674" spans="1:13" ht="13" x14ac:dyDescent="0.15">
      <c r="A1674" s="5" t="str">
        <f>HYPERLINK("https://onemount.atlassian.net/browse/DBA-3539","DBA-3539")</f>
        <v>DBA-3539</v>
      </c>
      <c r="B1674" s="23" t="str">
        <f>HYPERLINK("https://onemount.atlassian.net/browse/DBA-2635","DBA-2635")</f>
        <v>DBA-2635</v>
      </c>
      <c r="C1674" s="6" t="s">
        <v>7423</v>
      </c>
      <c r="D1674" s="8" t="s">
        <v>17</v>
      </c>
      <c r="E1674" s="6" t="s">
        <v>428</v>
      </c>
      <c r="F1674" s="6" t="s">
        <v>41</v>
      </c>
      <c r="G1674" s="6" t="s">
        <v>7424</v>
      </c>
      <c r="H1674" s="10">
        <v>46026</v>
      </c>
      <c r="I1674" s="6" t="s">
        <v>7425</v>
      </c>
      <c r="J1674" s="6" t="s">
        <v>72</v>
      </c>
      <c r="K1674" s="6" t="s">
        <v>72</v>
      </c>
      <c r="L1674" s="6" t="s">
        <v>72</v>
      </c>
      <c r="M1674" s="6" t="s">
        <v>7426</v>
      </c>
    </row>
    <row r="1675" spans="1:13" ht="13" x14ac:dyDescent="0.15">
      <c r="A1675" s="5" t="str">
        <f>HYPERLINK("https://onemount.atlassian.net/browse/DBA-3527","DBA-3527")</f>
        <v>DBA-3527</v>
      </c>
      <c r="B1675" s="6" t="s">
        <v>21</v>
      </c>
      <c r="C1675" s="6" t="s">
        <v>7427</v>
      </c>
      <c r="D1675" s="8" t="s">
        <v>17</v>
      </c>
      <c r="E1675" s="6" t="s">
        <v>23</v>
      </c>
      <c r="F1675" s="6" t="s">
        <v>31</v>
      </c>
      <c r="G1675" s="6" t="s">
        <v>7428</v>
      </c>
      <c r="H1675" s="10">
        <v>46024</v>
      </c>
      <c r="I1675" s="6" t="s">
        <v>7429</v>
      </c>
      <c r="J1675" s="6" t="s">
        <v>85</v>
      </c>
      <c r="K1675" s="6" t="s">
        <v>55</v>
      </c>
      <c r="L1675" s="6" t="s">
        <v>85</v>
      </c>
      <c r="M1675" s="6" t="s">
        <v>7430</v>
      </c>
    </row>
    <row r="1676" spans="1:13" ht="13" x14ac:dyDescent="0.15">
      <c r="A1676" s="5" t="str">
        <f>HYPERLINK("https://onemount.atlassian.net/browse/DBA-3525","DBA-3525")</f>
        <v>DBA-3525</v>
      </c>
      <c r="B1676" s="6" t="s">
        <v>21</v>
      </c>
      <c r="C1676" s="6" t="s">
        <v>7431</v>
      </c>
      <c r="D1676" s="8" t="s">
        <v>17</v>
      </c>
      <c r="E1676" s="6" t="s">
        <v>23</v>
      </c>
      <c r="F1676" s="6" t="s">
        <v>24</v>
      </c>
      <c r="G1676" s="6" t="s">
        <v>7432</v>
      </c>
      <c r="H1676" s="10">
        <v>46052</v>
      </c>
      <c r="I1676" s="6" t="s">
        <v>7433</v>
      </c>
      <c r="J1676" s="6" t="s">
        <v>2869</v>
      </c>
      <c r="K1676" s="6" t="s">
        <v>46</v>
      </c>
      <c r="L1676" s="6" t="s">
        <v>164</v>
      </c>
      <c r="M1676" s="6" t="s">
        <v>7434</v>
      </c>
    </row>
    <row r="1677" spans="1:13" ht="13" x14ac:dyDescent="0.15">
      <c r="A1677" s="5" t="str">
        <f>HYPERLINK("https://onemount.atlassian.net/browse/DBA-3524","DBA-3524")</f>
        <v>DBA-3524</v>
      </c>
      <c r="B1677" s="6" t="s">
        <v>21</v>
      </c>
      <c r="C1677" s="6" t="s">
        <v>7435</v>
      </c>
      <c r="D1677" s="8" t="s">
        <v>17</v>
      </c>
      <c r="E1677" s="6" t="s">
        <v>23</v>
      </c>
      <c r="F1677" s="6" t="s">
        <v>31</v>
      </c>
      <c r="G1677" s="6" t="s">
        <v>7436</v>
      </c>
      <c r="H1677" s="10">
        <v>46024</v>
      </c>
      <c r="I1677" s="6" t="s">
        <v>7437</v>
      </c>
      <c r="J1677" s="6" t="s">
        <v>85</v>
      </c>
      <c r="K1677" s="6" t="s">
        <v>55</v>
      </c>
      <c r="L1677" s="6" t="s">
        <v>85</v>
      </c>
      <c r="M1677" s="6" t="s">
        <v>7438</v>
      </c>
    </row>
    <row r="1678" spans="1:13" ht="13" x14ac:dyDescent="0.15">
      <c r="A1678" s="5" t="str">
        <f>HYPERLINK("https://onemount.atlassian.net/browse/DBA-3523","DBA-3523")</f>
        <v>DBA-3523</v>
      </c>
      <c r="B1678" s="6" t="s">
        <v>21</v>
      </c>
      <c r="C1678" s="6" t="s">
        <v>7439</v>
      </c>
      <c r="D1678" s="8" t="s">
        <v>17</v>
      </c>
      <c r="E1678" s="6" t="s">
        <v>23</v>
      </c>
      <c r="F1678" s="6" t="s">
        <v>52</v>
      </c>
      <c r="G1678" s="6" t="s">
        <v>7440</v>
      </c>
      <c r="H1678" s="10">
        <v>46054</v>
      </c>
      <c r="I1678" s="6" t="s">
        <v>7441</v>
      </c>
      <c r="J1678" s="6" t="s">
        <v>72</v>
      </c>
      <c r="K1678" s="6" t="s">
        <v>72</v>
      </c>
      <c r="L1678" s="6" t="s">
        <v>72</v>
      </c>
      <c r="M1678" s="6" t="s">
        <v>7442</v>
      </c>
    </row>
    <row r="1679" spans="1:13" ht="13" x14ac:dyDescent="0.15">
      <c r="A1679" s="5" t="str">
        <f>HYPERLINK("https://onemount.atlassian.net/browse/DBA-3522","DBA-3522")</f>
        <v>DBA-3522</v>
      </c>
      <c r="B1679" s="6" t="s">
        <v>21</v>
      </c>
      <c r="C1679" s="6" t="s">
        <v>5906</v>
      </c>
      <c r="D1679" s="8" t="s">
        <v>17</v>
      </c>
      <c r="E1679" s="6" t="s">
        <v>23</v>
      </c>
      <c r="F1679" s="6" t="s">
        <v>52</v>
      </c>
      <c r="G1679" s="6" t="s">
        <v>7443</v>
      </c>
      <c r="H1679" s="10">
        <v>46025</v>
      </c>
      <c r="I1679" s="6" t="s">
        <v>7444</v>
      </c>
      <c r="J1679" s="6" t="s">
        <v>455</v>
      </c>
      <c r="K1679" s="6" t="s">
        <v>124</v>
      </c>
      <c r="L1679" s="6" t="s">
        <v>127</v>
      </c>
      <c r="M1679" s="6" t="s">
        <v>7445</v>
      </c>
    </row>
    <row r="1680" spans="1:13" ht="13" x14ac:dyDescent="0.15">
      <c r="A1680" s="5" t="str">
        <f>HYPERLINK("https://onemount.atlassian.net/browse/DBA-3521","DBA-3521")</f>
        <v>DBA-3521</v>
      </c>
      <c r="B1680" s="6" t="s">
        <v>21</v>
      </c>
      <c r="C1680" s="6" t="s">
        <v>7446</v>
      </c>
      <c r="D1680" s="8" t="s">
        <v>17</v>
      </c>
      <c r="E1680" s="6" t="s">
        <v>23</v>
      </c>
      <c r="F1680" s="6" t="s">
        <v>31</v>
      </c>
      <c r="G1680" s="6" t="s">
        <v>7447</v>
      </c>
      <c r="H1680" s="10">
        <v>46025</v>
      </c>
      <c r="I1680" s="6" t="s">
        <v>7448</v>
      </c>
      <c r="J1680" s="6" t="s">
        <v>638</v>
      </c>
      <c r="K1680" s="6" t="s">
        <v>35</v>
      </c>
      <c r="L1680" s="6" t="s">
        <v>638</v>
      </c>
      <c r="M1680" s="6" t="s">
        <v>7449</v>
      </c>
    </row>
    <row r="1681" spans="1:13" ht="13" x14ac:dyDescent="0.15">
      <c r="A1681" s="5" t="str">
        <f>HYPERLINK("https://onemount.atlassian.net/browse/DBA-3520","DBA-3520")</f>
        <v>DBA-3520</v>
      </c>
      <c r="B1681" s="23" t="str">
        <f>HYPERLINK("https://onemount.atlassian.net/browse/DBA-2062","DBA-2062")</f>
        <v>DBA-2062</v>
      </c>
      <c r="C1681" s="6" t="s">
        <v>7450</v>
      </c>
      <c r="D1681" s="8" t="s">
        <v>17</v>
      </c>
      <c r="E1681" s="6" t="s">
        <v>428</v>
      </c>
      <c r="F1681" s="6" t="s">
        <v>24</v>
      </c>
      <c r="G1681" s="6" t="s">
        <v>7451</v>
      </c>
      <c r="H1681" s="10">
        <v>46024</v>
      </c>
      <c r="I1681" s="6" t="s">
        <v>7452</v>
      </c>
      <c r="J1681" s="6" t="s">
        <v>7453</v>
      </c>
      <c r="K1681" s="6" t="s">
        <v>55</v>
      </c>
      <c r="L1681" s="6" t="s">
        <v>799</v>
      </c>
      <c r="M1681" s="6" t="s">
        <v>7454</v>
      </c>
    </row>
    <row r="1682" spans="1:13" ht="13" x14ac:dyDescent="0.15">
      <c r="A1682" s="5" t="str">
        <f>HYPERLINK("https://onemount.atlassian.net/browse/DBA-3519","DBA-3519")</f>
        <v>DBA-3519</v>
      </c>
      <c r="B1682" s="6" t="s">
        <v>21</v>
      </c>
      <c r="C1682" s="6" t="s">
        <v>7455</v>
      </c>
      <c r="D1682" s="8" t="s">
        <v>17</v>
      </c>
      <c r="E1682" s="6" t="s">
        <v>23</v>
      </c>
      <c r="F1682" s="6" t="s">
        <v>31</v>
      </c>
      <c r="G1682" s="6" t="s">
        <v>7456</v>
      </c>
      <c r="H1682" s="10">
        <v>46023</v>
      </c>
      <c r="I1682" s="6" t="s">
        <v>7457</v>
      </c>
      <c r="J1682" s="6" t="s">
        <v>628</v>
      </c>
      <c r="K1682" s="6" t="s">
        <v>165</v>
      </c>
      <c r="L1682" s="6" t="s">
        <v>119</v>
      </c>
      <c r="M1682" s="6" t="s">
        <v>7458</v>
      </c>
    </row>
    <row r="1683" spans="1:13" ht="13" x14ac:dyDescent="0.15">
      <c r="A1683" s="5" t="str">
        <f>HYPERLINK("https://onemount.atlassian.net/browse/DBA-3517","DBA-3517")</f>
        <v>DBA-3517</v>
      </c>
      <c r="B1683" s="6" t="s">
        <v>21</v>
      </c>
      <c r="C1683" s="6" t="s">
        <v>7459</v>
      </c>
      <c r="D1683" s="8" t="s">
        <v>17</v>
      </c>
      <c r="E1683" s="6" t="s">
        <v>23</v>
      </c>
      <c r="F1683" s="6" t="s">
        <v>31</v>
      </c>
      <c r="G1683" s="6" t="s">
        <v>7460</v>
      </c>
      <c r="H1683" s="10">
        <v>46022</v>
      </c>
      <c r="I1683" s="6" t="s">
        <v>7461</v>
      </c>
      <c r="J1683" s="6" t="s">
        <v>85</v>
      </c>
      <c r="K1683" s="6" t="s">
        <v>55</v>
      </c>
      <c r="L1683" s="6" t="s">
        <v>85</v>
      </c>
      <c r="M1683" s="6" t="s">
        <v>7462</v>
      </c>
    </row>
    <row r="1684" spans="1:13" ht="13" x14ac:dyDescent="0.15">
      <c r="A1684" s="5" t="str">
        <f>HYPERLINK("https://onemount.atlassian.net/browse/DBA-3516","DBA-3516")</f>
        <v>DBA-3516</v>
      </c>
      <c r="B1684" s="6" t="s">
        <v>21</v>
      </c>
      <c r="C1684" s="6" t="s">
        <v>7463</v>
      </c>
      <c r="D1684" s="8" t="s">
        <v>17</v>
      </c>
      <c r="E1684" s="6" t="s">
        <v>23</v>
      </c>
      <c r="F1684" s="6" t="s">
        <v>24</v>
      </c>
      <c r="G1684" s="6" t="s">
        <v>7464</v>
      </c>
      <c r="H1684" s="10">
        <v>46031</v>
      </c>
      <c r="I1684" s="6" t="s">
        <v>7465</v>
      </c>
      <c r="J1684" s="6" t="s">
        <v>132</v>
      </c>
      <c r="K1684" s="6" t="s">
        <v>46</v>
      </c>
      <c r="L1684" s="6" t="s">
        <v>132</v>
      </c>
      <c r="M1684" s="6" t="s">
        <v>7466</v>
      </c>
    </row>
    <row r="1685" spans="1:13" ht="13" x14ac:dyDescent="0.15">
      <c r="A1685" s="5" t="str">
        <f>HYPERLINK("https://onemount.atlassian.net/browse/DBA-3515","DBA-3515")</f>
        <v>DBA-3515</v>
      </c>
      <c r="B1685" s="6" t="s">
        <v>21</v>
      </c>
      <c r="C1685" s="6" t="s">
        <v>7467</v>
      </c>
      <c r="D1685" s="8" t="s">
        <v>17</v>
      </c>
      <c r="E1685" s="6" t="s">
        <v>23</v>
      </c>
      <c r="F1685" s="6" t="s">
        <v>31</v>
      </c>
      <c r="G1685" s="6" t="s">
        <v>7468</v>
      </c>
      <c r="H1685" s="10">
        <v>46023</v>
      </c>
      <c r="I1685" s="6" t="s">
        <v>7469</v>
      </c>
      <c r="J1685" s="6" t="s">
        <v>2119</v>
      </c>
      <c r="K1685" s="6" t="s">
        <v>35</v>
      </c>
      <c r="L1685" s="6" t="s">
        <v>638</v>
      </c>
      <c r="M1685" s="6" t="s">
        <v>7470</v>
      </c>
    </row>
    <row r="1686" spans="1:13" ht="13" x14ac:dyDescent="0.15">
      <c r="A1686" s="5" t="str">
        <f>HYPERLINK("https://onemount.atlassian.net/browse/DBA-3514","DBA-3514")</f>
        <v>DBA-3514</v>
      </c>
      <c r="B1686" s="6" t="s">
        <v>21</v>
      </c>
      <c r="C1686" s="6" t="s">
        <v>7471</v>
      </c>
      <c r="D1686" s="8" t="s">
        <v>17</v>
      </c>
      <c r="E1686" s="6" t="s">
        <v>23</v>
      </c>
      <c r="F1686" s="6" t="s">
        <v>31</v>
      </c>
      <c r="G1686" s="6" t="s">
        <v>7472</v>
      </c>
      <c r="H1686" s="10">
        <v>46023</v>
      </c>
      <c r="I1686" s="6" t="s">
        <v>7473</v>
      </c>
      <c r="J1686" s="6" t="s">
        <v>628</v>
      </c>
      <c r="K1686" s="6" t="s">
        <v>165</v>
      </c>
      <c r="L1686" s="6" t="s">
        <v>119</v>
      </c>
      <c r="M1686" s="6" t="s">
        <v>7474</v>
      </c>
    </row>
    <row r="1687" spans="1:13" ht="13" x14ac:dyDescent="0.15">
      <c r="A1687" s="5" t="str">
        <f>HYPERLINK("https://onemount.atlassian.net/browse/DBA-3513","DBA-3513")</f>
        <v>DBA-3513</v>
      </c>
      <c r="B1687" s="6" t="s">
        <v>21</v>
      </c>
      <c r="C1687" s="6" t="s">
        <v>7475</v>
      </c>
      <c r="D1687" s="8" t="s">
        <v>17</v>
      </c>
      <c r="E1687" s="6" t="s">
        <v>23</v>
      </c>
      <c r="F1687" s="6" t="s">
        <v>31</v>
      </c>
      <c r="G1687" s="6" t="s">
        <v>7476</v>
      </c>
      <c r="H1687" s="10">
        <v>46021</v>
      </c>
      <c r="I1687" s="6" t="s">
        <v>7477</v>
      </c>
      <c r="J1687" s="6" t="s">
        <v>1898</v>
      </c>
      <c r="K1687" s="6" t="s">
        <v>165</v>
      </c>
      <c r="L1687" s="6" t="s">
        <v>1097</v>
      </c>
      <c r="M1687" s="6" t="s">
        <v>7478</v>
      </c>
    </row>
    <row r="1688" spans="1:13" ht="13" x14ac:dyDescent="0.15">
      <c r="A1688" s="5" t="str">
        <f>HYPERLINK("https://onemount.atlassian.net/browse/DBA-3512","DBA-3512")</f>
        <v>DBA-3512</v>
      </c>
      <c r="B1688" s="6" t="s">
        <v>21</v>
      </c>
      <c r="C1688" s="6" t="s">
        <v>7479</v>
      </c>
      <c r="D1688" s="8" t="s">
        <v>17</v>
      </c>
      <c r="E1688" s="6" t="s">
        <v>23</v>
      </c>
      <c r="F1688" s="6" t="s">
        <v>24</v>
      </c>
      <c r="G1688" s="6" t="s">
        <v>7480</v>
      </c>
      <c r="H1688" s="10">
        <v>46021</v>
      </c>
      <c r="I1688" s="6" t="s">
        <v>7481</v>
      </c>
      <c r="J1688" s="6" t="s">
        <v>55</v>
      </c>
      <c r="K1688" s="6" t="s">
        <v>55</v>
      </c>
      <c r="L1688" s="6" t="s">
        <v>55</v>
      </c>
      <c r="M1688" s="6" t="s">
        <v>7482</v>
      </c>
    </row>
    <row r="1689" spans="1:13" ht="13" x14ac:dyDescent="0.15">
      <c r="A1689" s="5" t="str">
        <f>HYPERLINK("https://onemount.atlassian.net/browse/DBA-3511","DBA-3511")</f>
        <v>DBA-3511</v>
      </c>
      <c r="B1689" s="6" t="s">
        <v>21</v>
      </c>
      <c r="C1689" s="6" t="s">
        <v>7483</v>
      </c>
      <c r="D1689" s="8" t="s">
        <v>17</v>
      </c>
      <c r="E1689" s="6" t="s">
        <v>23</v>
      </c>
      <c r="F1689" s="6" t="s">
        <v>31</v>
      </c>
      <c r="G1689" s="6" t="s">
        <v>7484</v>
      </c>
      <c r="H1689" s="10">
        <v>46021</v>
      </c>
      <c r="I1689" s="6" t="s">
        <v>7485</v>
      </c>
      <c r="J1689" s="6" t="s">
        <v>374</v>
      </c>
      <c r="K1689" s="6" t="s">
        <v>35</v>
      </c>
      <c r="L1689" s="6" t="s">
        <v>374</v>
      </c>
      <c r="M1689" s="6" t="s">
        <v>7486</v>
      </c>
    </row>
    <row r="1690" spans="1:13" ht="13" x14ac:dyDescent="0.15">
      <c r="A1690" s="5" t="str">
        <f>HYPERLINK("https://onemount.atlassian.net/browse/DBA-3509","DBA-3509")</f>
        <v>DBA-3509</v>
      </c>
      <c r="B1690" s="6" t="s">
        <v>21</v>
      </c>
      <c r="C1690" s="6" t="s">
        <v>7487</v>
      </c>
      <c r="D1690" s="8" t="s">
        <v>17</v>
      </c>
      <c r="E1690" s="6" t="s">
        <v>23</v>
      </c>
      <c r="F1690" s="6" t="s">
        <v>24</v>
      </c>
      <c r="G1690" s="6" t="s">
        <v>7488</v>
      </c>
      <c r="H1690" s="10">
        <v>46021</v>
      </c>
      <c r="I1690" s="6" t="s">
        <v>7489</v>
      </c>
      <c r="J1690" s="6" t="s">
        <v>55</v>
      </c>
      <c r="K1690" s="6" t="s">
        <v>55</v>
      </c>
      <c r="L1690" s="6" t="s">
        <v>93</v>
      </c>
      <c r="M1690" s="6" t="s">
        <v>7490</v>
      </c>
    </row>
    <row r="1691" spans="1:13" ht="13" x14ac:dyDescent="0.15">
      <c r="A1691" s="5" t="str">
        <f>HYPERLINK("https://onemount.atlassian.net/browse/DBA-3507","DBA-3507")</f>
        <v>DBA-3507</v>
      </c>
      <c r="B1691" s="6" t="s">
        <v>21</v>
      </c>
      <c r="C1691" s="6" t="s">
        <v>7491</v>
      </c>
      <c r="D1691" s="8" t="s">
        <v>17</v>
      </c>
      <c r="E1691" s="6" t="s">
        <v>23</v>
      </c>
      <c r="F1691" s="6" t="s">
        <v>24</v>
      </c>
      <c r="G1691" s="6" t="s">
        <v>7492</v>
      </c>
      <c r="H1691" s="10">
        <v>46021</v>
      </c>
      <c r="I1691" s="6" t="s">
        <v>7493</v>
      </c>
      <c r="J1691" s="6" t="s">
        <v>128</v>
      </c>
      <c r="K1691" s="6" t="s">
        <v>35</v>
      </c>
      <c r="L1691" s="6" t="s">
        <v>129</v>
      </c>
      <c r="M1691" s="6" t="s">
        <v>7494</v>
      </c>
    </row>
    <row r="1692" spans="1:13" ht="13" x14ac:dyDescent="0.15">
      <c r="A1692" s="5" t="str">
        <f>HYPERLINK("https://onemount.atlassian.net/browse/DBA-3505","DBA-3505")</f>
        <v>DBA-3505</v>
      </c>
      <c r="B1692" s="6" t="s">
        <v>21</v>
      </c>
      <c r="C1692" s="6" t="s">
        <v>7495</v>
      </c>
      <c r="D1692" s="8" t="s">
        <v>17</v>
      </c>
      <c r="E1692" s="6" t="s">
        <v>23</v>
      </c>
      <c r="F1692" s="6" t="s">
        <v>24</v>
      </c>
      <c r="G1692" s="6" t="s">
        <v>7496</v>
      </c>
      <c r="H1692" s="10">
        <v>46021</v>
      </c>
      <c r="I1692" s="6" t="s">
        <v>7497</v>
      </c>
      <c r="J1692" s="6" t="s">
        <v>270</v>
      </c>
      <c r="K1692" s="6" t="s">
        <v>55</v>
      </c>
      <c r="L1692" s="6" t="s">
        <v>270</v>
      </c>
      <c r="M1692" s="6" t="s">
        <v>7498</v>
      </c>
    </row>
    <row r="1693" spans="1:13" ht="13" x14ac:dyDescent="0.15">
      <c r="A1693" s="5" t="str">
        <f>HYPERLINK("https://onemount.atlassian.net/browse/DBA-3504","DBA-3504")</f>
        <v>DBA-3504</v>
      </c>
      <c r="B1693" s="6" t="s">
        <v>21</v>
      </c>
      <c r="C1693" s="6" t="s">
        <v>7499</v>
      </c>
      <c r="D1693" s="8" t="s">
        <v>17</v>
      </c>
      <c r="E1693" s="6" t="s">
        <v>23</v>
      </c>
      <c r="F1693" s="6" t="s">
        <v>24</v>
      </c>
      <c r="G1693" s="6" t="s">
        <v>7500</v>
      </c>
      <c r="H1693" s="10">
        <v>46021</v>
      </c>
      <c r="I1693" s="6" t="s">
        <v>7501</v>
      </c>
      <c r="J1693" s="6" t="s">
        <v>55</v>
      </c>
      <c r="K1693" s="6" t="s">
        <v>55</v>
      </c>
      <c r="L1693" s="6" t="s">
        <v>93</v>
      </c>
      <c r="M1693" s="6" t="s">
        <v>7502</v>
      </c>
    </row>
    <row r="1694" spans="1:13" ht="13" x14ac:dyDescent="0.15">
      <c r="A1694" s="5" t="str">
        <f>HYPERLINK("https://onemount.atlassian.net/browse/DBA-3503","DBA-3503")</f>
        <v>DBA-3503</v>
      </c>
      <c r="B1694" s="6" t="s">
        <v>21</v>
      </c>
      <c r="C1694" s="6" t="s">
        <v>7503</v>
      </c>
      <c r="D1694" s="8" t="s">
        <v>17</v>
      </c>
      <c r="E1694" s="6" t="s">
        <v>23</v>
      </c>
      <c r="F1694" s="6" t="s">
        <v>31</v>
      </c>
      <c r="G1694" s="6" t="s">
        <v>7504</v>
      </c>
      <c r="H1694" s="10">
        <v>46022</v>
      </c>
      <c r="I1694" s="6" t="s">
        <v>7505</v>
      </c>
      <c r="J1694" s="6" t="s">
        <v>7506</v>
      </c>
      <c r="K1694" s="6" t="s">
        <v>165</v>
      </c>
      <c r="L1694" s="6" t="s">
        <v>1016</v>
      </c>
      <c r="M1694" s="6" t="s">
        <v>7507</v>
      </c>
    </row>
    <row r="1695" spans="1:13" ht="13" x14ac:dyDescent="0.15">
      <c r="A1695" s="5" t="str">
        <f>HYPERLINK("https://onemount.atlassian.net/browse/DBA-3502","DBA-3502")</f>
        <v>DBA-3502</v>
      </c>
      <c r="B1695" s="6" t="s">
        <v>21</v>
      </c>
      <c r="C1695" s="6" t="s">
        <v>7508</v>
      </c>
      <c r="D1695" s="8" t="s">
        <v>17</v>
      </c>
      <c r="E1695" s="6" t="s">
        <v>23</v>
      </c>
      <c r="F1695" s="6" t="s">
        <v>31</v>
      </c>
      <c r="G1695" s="6" t="s">
        <v>7509</v>
      </c>
      <c r="H1695" s="10">
        <v>46021</v>
      </c>
      <c r="I1695" s="6" t="s">
        <v>7510</v>
      </c>
      <c r="J1695" s="6" t="s">
        <v>71</v>
      </c>
      <c r="K1695" s="6" t="s">
        <v>35</v>
      </c>
      <c r="L1695" s="6" t="s">
        <v>71</v>
      </c>
      <c r="M1695" s="6" t="s">
        <v>7511</v>
      </c>
    </row>
    <row r="1696" spans="1:13" ht="13" x14ac:dyDescent="0.15">
      <c r="A1696" s="5" t="str">
        <f>HYPERLINK("https://onemount.atlassian.net/browse/DBA-3501","DBA-3501")</f>
        <v>DBA-3501</v>
      </c>
      <c r="B1696" s="6" t="s">
        <v>21</v>
      </c>
      <c r="C1696" s="6" t="s">
        <v>7512</v>
      </c>
      <c r="D1696" s="8" t="s">
        <v>17</v>
      </c>
      <c r="E1696" s="6" t="s">
        <v>23</v>
      </c>
      <c r="F1696" s="6" t="s">
        <v>31</v>
      </c>
      <c r="G1696" s="6" t="s">
        <v>7513</v>
      </c>
      <c r="H1696" s="10">
        <v>46022</v>
      </c>
      <c r="I1696" s="6" t="s">
        <v>7514</v>
      </c>
      <c r="J1696" s="6" t="s">
        <v>1464</v>
      </c>
      <c r="K1696" s="6" t="s">
        <v>55</v>
      </c>
      <c r="L1696" s="6" t="s">
        <v>254</v>
      </c>
      <c r="M1696" s="6" t="s">
        <v>7515</v>
      </c>
    </row>
    <row r="1697" spans="1:13" ht="13" x14ac:dyDescent="0.15">
      <c r="A1697" s="5" t="str">
        <f>HYPERLINK("https://onemount.atlassian.net/browse/DBA-3500","DBA-3500")</f>
        <v>DBA-3500</v>
      </c>
      <c r="B1697" s="6" t="s">
        <v>21</v>
      </c>
      <c r="C1697" s="6" t="s">
        <v>1466</v>
      </c>
      <c r="D1697" s="8" t="s">
        <v>17</v>
      </c>
      <c r="E1697" s="6" t="s">
        <v>23</v>
      </c>
      <c r="F1697" s="6" t="s">
        <v>31</v>
      </c>
      <c r="G1697" s="6" t="s">
        <v>7516</v>
      </c>
      <c r="H1697" s="10">
        <v>46021</v>
      </c>
      <c r="I1697" s="6" t="s">
        <v>7517</v>
      </c>
      <c r="J1697" s="6" t="s">
        <v>852</v>
      </c>
      <c r="K1697" s="6" t="s">
        <v>55</v>
      </c>
      <c r="L1697" s="6" t="s">
        <v>855</v>
      </c>
      <c r="M1697" s="6" t="s">
        <v>7518</v>
      </c>
    </row>
    <row r="1698" spans="1:13" ht="13" x14ac:dyDescent="0.15">
      <c r="A1698" s="5" t="str">
        <f>HYPERLINK("https://onemount.atlassian.net/browse/DBA-3494","DBA-3494")</f>
        <v>DBA-3494</v>
      </c>
      <c r="B1698" s="6" t="s">
        <v>21</v>
      </c>
      <c r="C1698" s="6" t="s">
        <v>7519</v>
      </c>
      <c r="D1698" s="8" t="s">
        <v>17</v>
      </c>
      <c r="E1698" s="6" t="s">
        <v>23</v>
      </c>
      <c r="F1698" s="6" t="s">
        <v>31</v>
      </c>
      <c r="G1698" s="6" t="s">
        <v>7520</v>
      </c>
      <c r="H1698" s="10">
        <v>46020</v>
      </c>
      <c r="I1698" s="6" t="s">
        <v>7521</v>
      </c>
      <c r="J1698" s="6" t="s">
        <v>478</v>
      </c>
      <c r="K1698" s="6" t="s">
        <v>35</v>
      </c>
      <c r="L1698" s="6" t="s">
        <v>129</v>
      </c>
      <c r="M1698" s="6" t="s">
        <v>7522</v>
      </c>
    </row>
    <row r="1699" spans="1:13" ht="13" x14ac:dyDescent="0.15">
      <c r="A1699" s="5" t="str">
        <f>HYPERLINK("https://onemount.atlassian.net/browse/DBA-3493","DBA-3493")</f>
        <v>DBA-3493</v>
      </c>
      <c r="B1699" s="6" t="s">
        <v>21</v>
      </c>
      <c r="C1699" s="6" t="s">
        <v>7523</v>
      </c>
      <c r="D1699" s="8" t="s">
        <v>17</v>
      </c>
      <c r="E1699" s="6" t="s">
        <v>23</v>
      </c>
      <c r="F1699" s="6" t="s">
        <v>31</v>
      </c>
      <c r="G1699" s="6" t="s">
        <v>7524</v>
      </c>
      <c r="H1699" s="10">
        <v>46021</v>
      </c>
      <c r="I1699" s="6" t="s">
        <v>7525</v>
      </c>
      <c r="J1699" s="6" t="s">
        <v>2453</v>
      </c>
      <c r="K1699" s="6" t="s">
        <v>165</v>
      </c>
      <c r="L1699" s="6" t="s">
        <v>119</v>
      </c>
      <c r="M1699" s="6" t="s">
        <v>7526</v>
      </c>
    </row>
    <row r="1700" spans="1:13" ht="13" x14ac:dyDescent="0.15">
      <c r="A1700" s="5" t="str">
        <f>HYPERLINK("https://onemount.atlassian.net/browse/DBA-3492","DBA-3492")</f>
        <v>DBA-3492</v>
      </c>
      <c r="B1700" s="6" t="s">
        <v>21</v>
      </c>
      <c r="C1700" s="6" t="s">
        <v>7527</v>
      </c>
      <c r="D1700" s="8" t="s">
        <v>17</v>
      </c>
      <c r="E1700" s="6" t="s">
        <v>23</v>
      </c>
      <c r="F1700" s="6" t="s">
        <v>41</v>
      </c>
      <c r="G1700" s="6" t="s">
        <v>7528</v>
      </c>
      <c r="H1700" s="10">
        <v>46017</v>
      </c>
      <c r="I1700" s="6" t="s">
        <v>7529</v>
      </c>
      <c r="J1700" s="6" t="s">
        <v>85</v>
      </c>
      <c r="K1700" s="6" t="s">
        <v>55</v>
      </c>
      <c r="L1700" s="6" t="s">
        <v>85</v>
      </c>
      <c r="M1700" s="6" t="s">
        <v>7530</v>
      </c>
    </row>
    <row r="1701" spans="1:13" ht="13" x14ac:dyDescent="0.15">
      <c r="A1701" s="5" t="str">
        <f>HYPERLINK("https://onemount.atlassian.net/browse/DBA-3491","DBA-3491")</f>
        <v>DBA-3491</v>
      </c>
      <c r="B1701" s="6" t="s">
        <v>21</v>
      </c>
      <c r="C1701" s="6" t="s">
        <v>7531</v>
      </c>
      <c r="D1701" s="8" t="s">
        <v>17</v>
      </c>
      <c r="E1701" s="6" t="s">
        <v>23</v>
      </c>
      <c r="F1701" s="6" t="s">
        <v>41</v>
      </c>
      <c r="G1701" s="6" t="s">
        <v>7532</v>
      </c>
      <c r="H1701" s="10">
        <v>46026</v>
      </c>
      <c r="I1701" s="6" t="s">
        <v>7533</v>
      </c>
      <c r="J1701" s="6" t="s">
        <v>224</v>
      </c>
      <c r="K1701" s="6" t="s">
        <v>165</v>
      </c>
      <c r="L1701" s="6" t="s">
        <v>165</v>
      </c>
      <c r="M1701" s="6" t="s">
        <v>7534</v>
      </c>
    </row>
    <row r="1702" spans="1:13" ht="13" x14ac:dyDescent="0.15">
      <c r="A1702" s="5" t="str">
        <f>HYPERLINK("https://onemount.atlassian.net/browse/DBA-3490","DBA-3490")</f>
        <v>DBA-3490</v>
      </c>
      <c r="B1702" s="6" t="s">
        <v>21</v>
      </c>
      <c r="C1702" s="6" t="s">
        <v>7535</v>
      </c>
      <c r="D1702" s="8" t="s">
        <v>17</v>
      </c>
      <c r="E1702" s="6" t="s">
        <v>23</v>
      </c>
      <c r="F1702" s="6" t="s">
        <v>24</v>
      </c>
      <c r="G1702" s="6" t="s">
        <v>7536</v>
      </c>
      <c r="H1702" s="10">
        <v>46018</v>
      </c>
      <c r="I1702" s="6" t="s">
        <v>7537</v>
      </c>
      <c r="J1702" s="6" t="s">
        <v>85</v>
      </c>
      <c r="K1702" s="6" t="s">
        <v>55</v>
      </c>
      <c r="L1702" s="6" t="s">
        <v>85</v>
      </c>
      <c r="M1702" s="6" t="s">
        <v>7538</v>
      </c>
    </row>
    <row r="1703" spans="1:13" ht="13" x14ac:dyDescent="0.15">
      <c r="A1703" s="5" t="str">
        <f>HYPERLINK("https://onemount.atlassian.net/browse/DBA-3488","DBA-3488")</f>
        <v>DBA-3488</v>
      </c>
      <c r="B1703" s="6" t="s">
        <v>21</v>
      </c>
      <c r="C1703" s="6" t="s">
        <v>7539</v>
      </c>
      <c r="D1703" s="8" t="s">
        <v>17</v>
      </c>
      <c r="E1703" s="6" t="s">
        <v>23</v>
      </c>
      <c r="F1703" s="6" t="s">
        <v>24</v>
      </c>
      <c r="G1703" s="6" t="s">
        <v>7540</v>
      </c>
      <c r="H1703" s="10">
        <v>46018</v>
      </c>
      <c r="I1703" s="6" t="s">
        <v>7541</v>
      </c>
      <c r="J1703" s="6" t="s">
        <v>55</v>
      </c>
      <c r="K1703" s="6" t="s">
        <v>55</v>
      </c>
      <c r="L1703" s="6" t="s">
        <v>956</v>
      </c>
      <c r="M1703" s="6" t="s">
        <v>7542</v>
      </c>
    </row>
    <row r="1704" spans="1:13" ht="13" x14ac:dyDescent="0.15">
      <c r="A1704" s="5" t="str">
        <f>HYPERLINK("https://onemount.atlassian.net/browse/DBA-3487","DBA-3487")</f>
        <v>DBA-3487</v>
      </c>
      <c r="B1704" s="6" t="s">
        <v>21</v>
      </c>
      <c r="C1704" s="6" t="s">
        <v>7543</v>
      </c>
      <c r="D1704" s="8" t="s">
        <v>17</v>
      </c>
      <c r="E1704" s="6" t="s">
        <v>23</v>
      </c>
      <c r="F1704" s="6" t="s">
        <v>31</v>
      </c>
      <c r="G1704" s="6" t="s">
        <v>7544</v>
      </c>
      <c r="H1704" s="10">
        <v>46019</v>
      </c>
      <c r="I1704" s="6" t="s">
        <v>7545</v>
      </c>
      <c r="J1704" s="6" t="s">
        <v>7546</v>
      </c>
      <c r="K1704" s="6" t="s">
        <v>55</v>
      </c>
      <c r="L1704" s="6" t="s">
        <v>949</v>
      </c>
      <c r="M1704" s="6" t="s">
        <v>7547</v>
      </c>
    </row>
    <row r="1705" spans="1:13" ht="13" x14ac:dyDescent="0.15">
      <c r="A1705" s="5" t="str">
        <f>HYPERLINK("https://onemount.atlassian.net/browse/DBA-3486","DBA-3486")</f>
        <v>DBA-3486</v>
      </c>
      <c r="B1705" s="6" t="s">
        <v>21</v>
      </c>
      <c r="C1705" s="6" t="s">
        <v>7548</v>
      </c>
      <c r="D1705" s="8" t="s">
        <v>17</v>
      </c>
      <c r="E1705" s="6" t="s">
        <v>23</v>
      </c>
      <c r="F1705" s="6" t="s">
        <v>31</v>
      </c>
      <c r="G1705" s="6" t="s">
        <v>7549</v>
      </c>
      <c r="H1705" s="10">
        <v>46017</v>
      </c>
      <c r="I1705" s="6" t="s">
        <v>7550</v>
      </c>
      <c r="J1705" s="6" t="s">
        <v>1886</v>
      </c>
      <c r="K1705" s="6" t="s">
        <v>165</v>
      </c>
      <c r="L1705" s="6" t="s">
        <v>288</v>
      </c>
      <c r="M1705" s="6" t="s">
        <v>7551</v>
      </c>
    </row>
    <row r="1706" spans="1:13" ht="13" x14ac:dyDescent="0.15">
      <c r="A1706" s="5" t="str">
        <f>HYPERLINK("https://onemount.atlassian.net/browse/DBA-3485","DBA-3485")</f>
        <v>DBA-3485</v>
      </c>
      <c r="B1706" s="6" t="s">
        <v>21</v>
      </c>
      <c r="C1706" s="6" t="s">
        <v>7552</v>
      </c>
      <c r="D1706" s="8" t="s">
        <v>17</v>
      </c>
      <c r="E1706" s="6" t="s">
        <v>23</v>
      </c>
      <c r="F1706" s="6" t="s">
        <v>31</v>
      </c>
      <c r="G1706" s="6" t="s">
        <v>7553</v>
      </c>
      <c r="H1706" s="10">
        <v>46018</v>
      </c>
      <c r="I1706" s="6" t="s">
        <v>7554</v>
      </c>
      <c r="J1706" s="6" t="s">
        <v>2453</v>
      </c>
      <c r="K1706" s="6" t="s">
        <v>165</v>
      </c>
      <c r="L1706" s="6" t="s">
        <v>119</v>
      </c>
      <c r="M1706" s="6" t="s">
        <v>7555</v>
      </c>
    </row>
    <row r="1707" spans="1:13" ht="13" x14ac:dyDescent="0.15">
      <c r="A1707" s="5" t="str">
        <f>HYPERLINK("https://onemount.atlassian.net/browse/DBA-3484","DBA-3484")</f>
        <v>DBA-3484</v>
      </c>
      <c r="B1707" s="6" t="s">
        <v>21</v>
      </c>
      <c r="C1707" s="6" t="s">
        <v>6478</v>
      </c>
      <c r="D1707" s="8" t="s">
        <v>17</v>
      </c>
      <c r="E1707" s="6" t="s">
        <v>23</v>
      </c>
      <c r="F1707" s="6" t="s">
        <v>31</v>
      </c>
      <c r="G1707" s="6" t="s">
        <v>7556</v>
      </c>
      <c r="H1707" s="10">
        <v>46017</v>
      </c>
      <c r="I1707" s="6" t="s">
        <v>7557</v>
      </c>
      <c r="J1707" s="6" t="s">
        <v>4033</v>
      </c>
      <c r="K1707" s="6" t="s">
        <v>35</v>
      </c>
      <c r="L1707" s="6" t="s">
        <v>962</v>
      </c>
      <c r="M1707" s="6" t="s">
        <v>7558</v>
      </c>
    </row>
    <row r="1708" spans="1:13" ht="13" x14ac:dyDescent="0.15">
      <c r="A1708" s="5" t="str">
        <f>HYPERLINK("https://onemount.atlassian.net/browse/DBA-3483","DBA-3483")</f>
        <v>DBA-3483</v>
      </c>
      <c r="B1708" s="6" t="s">
        <v>21</v>
      </c>
      <c r="C1708" s="6" t="s">
        <v>7559</v>
      </c>
      <c r="D1708" s="8" t="s">
        <v>17</v>
      </c>
      <c r="E1708" s="6" t="s">
        <v>23</v>
      </c>
      <c r="F1708" s="6" t="s">
        <v>31</v>
      </c>
      <c r="G1708" s="6" t="s">
        <v>7560</v>
      </c>
      <c r="H1708" s="10">
        <v>46017</v>
      </c>
      <c r="I1708" s="6" t="s">
        <v>7561</v>
      </c>
      <c r="J1708" s="6" t="s">
        <v>85</v>
      </c>
      <c r="K1708" s="6" t="s">
        <v>55</v>
      </c>
      <c r="L1708" s="6" t="s">
        <v>85</v>
      </c>
      <c r="M1708" s="6" t="s">
        <v>7562</v>
      </c>
    </row>
    <row r="1709" spans="1:13" ht="13" x14ac:dyDescent="0.15">
      <c r="A1709" s="5" t="str">
        <f>HYPERLINK("https://onemount.atlassian.net/browse/DBA-3482","DBA-3482")</f>
        <v>DBA-3482</v>
      </c>
      <c r="B1709" s="6" t="s">
        <v>21</v>
      </c>
      <c r="C1709" s="6" t="s">
        <v>1466</v>
      </c>
      <c r="D1709" s="8" t="s">
        <v>17</v>
      </c>
      <c r="E1709" s="6" t="s">
        <v>23</v>
      </c>
      <c r="F1709" s="6" t="s">
        <v>31</v>
      </c>
      <c r="G1709" s="6" t="s">
        <v>7563</v>
      </c>
      <c r="H1709" s="10">
        <v>46017</v>
      </c>
      <c r="I1709" s="6" t="s">
        <v>7564</v>
      </c>
      <c r="J1709" s="6" t="s">
        <v>852</v>
      </c>
      <c r="K1709" s="6" t="s">
        <v>55</v>
      </c>
      <c r="L1709" s="6" t="s">
        <v>855</v>
      </c>
      <c r="M1709" s="6" t="s">
        <v>7565</v>
      </c>
    </row>
    <row r="1710" spans="1:13" ht="13" x14ac:dyDescent="0.15">
      <c r="A1710" s="5" t="str">
        <f>HYPERLINK("https://onemount.atlassian.net/browse/DBA-3481","DBA-3481")</f>
        <v>DBA-3481</v>
      </c>
      <c r="B1710" s="6" t="s">
        <v>21</v>
      </c>
      <c r="C1710" s="6" t="s">
        <v>7566</v>
      </c>
      <c r="D1710" s="8" t="s">
        <v>17</v>
      </c>
      <c r="E1710" s="6" t="s">
        <v>23</v>
      </c>
      <c r="F1710" s="6" t="s">
        <v>31</v>
      </c>
      <c r="G1710" s="6" t="s">
        <v>7567</v>
      </c>
      <c r="H1710" s="10">
        <v>46018</v>
      </c>
      <c r="I1710" s="6" t="s">
        <v>7568</v>
      </c>
      <c r="J1710" s="6" t="s">
        <v>1898</v>
      </c>
      <c r="K1710" s="6" t="s">
        <v>165</v>
      </c>
      <c r="L1710" s="6" t="s">
        <v>1097</v>
      </c>
      <c r="M1710" s="6" t="s">
        <v>7569</v>
      </c>
    </row>
    <row r="1711" spans="1:13" ht="13" x14ac:dyDescent="0.15">
      <c r="A1711" s="5" t="str">
        <f>HYPERLINK("https://onemount.atlassian.net/browse/DBA-3480","DBA-3480")</f>
        <v>DBA-3480</v>
      </c>
      <c r="B1711" s="6" t="s">
        <v>21</v>
      </c>
      <c r="C1711" s="6" t="s">
        <v>7570</v>
      </c>
      <c r="D1711" s="8" t="s">
        <v>17</v>
      </c>
      <c r="E1711" s="6" t="s">
        <v>23</v>
      </c>
      <c r="F1711" s="6" t="s">
        <v>24</v>
      </c>
      <c r="G1711" s="6" t="s">
        <v>7571</v>
      </c>
      <c r="H1711" s="10">
        <v>46017</v>
      </c>
      <c r="I1711" s="6" t="s">
        <v>7572</v>
      </c>
      <c r="J1711" s="6" t="s">
        <v>270</v>
      </c>
      <c r="K1711" s="6" t="s">
        <v>55</v>
      </c>
      <c r="L1711" s="6" t="s">
        <v>270</v>
      </c>
      <c r="M1711" s="6" t="s">
        <v>7573</v>
      </c>
    </row>
    <row r="1712" spans="1:13" ht="13" x14ac:dyDescent="0.15">
      <c r="A1712" s="5" t="str">
        <f>HYPERLINK("https://onemount.atlassian.net/browse/DBA-3479","DBA-3479")</f>
        <v>DBA-3479</v>
      </c>
      <c r="B1712" s="6" t="s">
        <v>21</v>
      </c>
      <c r="C1712" s="6" t="s">
        <v>7574</v>
      </c>
      <c r="D1712" s="8" t="s">
        <v>17</v>
      </c>
      <c r="E1712" s="6" t="s">
        <v>23</v>
      </c>
      <c r="F1712" s="6" t="s">
        <v>24</v>
      </c>
      <c r="G1712" s="6" t="s">
        <v>7575</v>
      </c>
      <c r="H1712" s="10">
        <v>46017</v>
      </c>
      <c r="I1712" s="6" t="s">
        <v>7576</v>
      </c>
      <c r="J1712" s="6" t="s">
        <v>55</v>
      </c>
      <c r="K1712" s="6" t="s">
        <v>55</v>
      </c>
      <c r="L1712" s="6" t="s">
        <v>956</v>
      </c>
      <c r="M1712" s="6" t="s">
        <v>7577</v>
      </c>
    </row>
    <row r="1713" spans="1:13" ht="13" x14ac:dyDescent="0.15">
      <c r="A1713" s="5" t="str">
        <f>HYPERLINK("https://onemount.atlassian.net/browse/DBA-3478","DBA-3478")</f>
        <v>DBA-3478</v>
      </c>
      <c r="B1713" s="6" t="s">
        <v>21</v>
      </c>
      <c r="C1713" s="6" t="s">
        <v>7578</v>
      </c>
      <c r="D1713" s="8" t="s">
        <v>17</v>
      </c>
      <c r="E1713" s="6" t="s">
        <v>23</v>
      </c>
      <c r="F1713" s="6" t="s">
        <v>31</v>
      </c>
      <c r="G1713" s="6" t="s">
        <v>7579</v>
      </c>
      <c r="H1713" s="10">
        <v>46018</v>
      </c>
      <c r="I1713" s="6" t="s">
        <v>7580</v>
      </c>
      <c r="J1713" s="6" t="s">
        <v>2453</v>
      </c>
      <c r="K1713" s="6" t="s">
        <v>165</v>
      </c>
      <c r="L1713" s="6" t="s">
        <v>119</v>
      </c>
      <c r="M1713" s="6" t="s">
        <v>7581</v>
      </c>
    </row>
    <row r="1714" spans="1:13" ht="13" x14ac:dyDescent="0.15">
      <c r="A1714" s="5" t="str">
        <f>HYPERLINK("https://onemount.atlassian.net/browse/DBA-3477","DBA-3477")</f>
        <v>DBA-3477</v>
      </c>
      <c r="B1714" s="6" t="s">
        <v>21</v>
      </c>
      <c r="C1714" s="6" t="s">
        <v>7582</v>
      </c>
      <c r="D1714" s="8" t="s">
        <v>17</v>
      </c>
      <c r="E1714" s="6" t="s">
        <v>23</v>
      </c>
      <c r="F1714" s="6" t="s">
        <v>31</v>
      </c>
      <c r="G1714" s="6" t="s">
        <v>7583</v>
      </c>
      <c r="H1714" s="10">
        <v>46018</v>
      </c>
      <c r="I1714" s="6" t="s">
        <v>7584</v>
      </c>
      <c r="J1714" s="6" t="s">
        <v>2245</v>
      </c>
      <c r="K1714" s="6" t="s">
        <v>55</v>
      </c>
      <c r="L1714" s="6" t="s">
        <v>55</v>
      </c>
      <c r="M1714" s="6" t="s">
        <v>7585</v>
      </c>
    </row>
    <row r="1715" spans="1:13" ht="13" x14ac:dyDescent="0.15">
      <c r="A1715" s="5" t="str">
        <f>HYPERLINK("https://onemount.atlassian.net/browse/DBA-3476","DBA-3476")</f>
        <v>DBA-3476</v>
      </c>
      <c r="B1715" s="6" t="s">
        <v>21</v>
      </c>
      <c r="C1715" s="6" t="s">
        <v>7586</v>
      </c>
      <c r="D1715" s="8" t="s">
        <v>17</v>
      </c>
      <c r="E1715" s="6" t="s">
        <v>23</v>
      </c>
      <c r="F1715" s="6" t="s">
        <v>24</v>
      </c>
      <c r="G1715" s="6" t="s">
        <v>7587</v>
      </c>
      <c r="H1715" s="10">
        <v>46017</v>
      </c>
      <c r="I1715" s="6" t="s">
        <v>7588</v>
      </c>
      <c r="J1715" s="6" t="s">
        <v>7589</v>
      </c>
      <c r="K1715" s="6" t="s">
        <v>59</v>
      </c>
      <c r="L1715" s="6" t="s">
        <v>88</v>
      </c>
      <c r="M1715" s="6" t="s">
        <v>7590</v>
      </c>
    </row>
    <row r="1716" spans="1:13" ht="13" x14ac:dyDescent="0.15">
      <c r="A1716" s="5" t="str">
        <f>HYPERLINK("https://onemount.atlassian.net/browse/DBA-3475","DBA-3475")</f>
        <v>DBA-3475</v>
      </c>
      <c r="B1716" s="6" t="s">
        <v>21</v>
      </c>
      <c r="C1716" s="6" t="s">
        <v>7591</v>
      </c>
      <c r="D1716" s="8" t="s">
        <v>17</v>
      </c>
      <c r="E1716" s="6" t="s">
        <v>23</v>
      </c>
      <c r="F1716" s="6" t="s">
        <v>31</v>
      </c>
      <c r="G1716" s="6" t="s">
        <v>7592</v>
      </c>
      <c r="H1716" s="10">
        <v>46017</v>
      </c>
      <c r="I1716" s="6" t="s">
        <v>7593</v>
      </c>
      <c r="J1716" s="6" t="s">
        <v>852</v>
      </c>
      <c r="K1716" s="6" t="s">
        <v>55</v>
      </c>
      <c r="L1716" s="6" t="s">
        <v>855</v>
      </c>
      <c r="M1716" s="6" t="s">
        <v>7594</v>
      </c>
    </row>
    <row r="1717" spans="1:13" ht="13" x14ac:dyDescent="0.15">
      <c r="A1717" s="5" t="str">
        <f>HYPERLINK("https://onemount.atlassian.net/browse/DBA-3473","DBA-3473")</f>
        <v>DBA-3473</v>
      </c>
      <c r="B1717" s="6" t="s">
        <v>21</v>
      </c>
      <c r="C1717" s="6" t="s">
        <v>7595</v>
      </c>
      <c r="D1717" s="8" t="s">
        <v>17</v>
      </c>
      <c r="E1717" s="6" t="s">
        <v>23</v>
      </c>
      <c r="F1717" s="6" t="s">
        <v>24</v>
      </c>
      <c r="G1717" s="6" t="s">
        <v>7596</v>
      </c>
      <c r="H1717" s="10">
        <v>46017</v>
      </c>
      <c r="I1717" s="6" t="s">
        <v>7597</v>
      </c>
      <c r="J1717" s="6" t="s">
        <v>7598</v>
      </c>
      <c r="K1717" s="6" t="s">
        <v>28</v>
      </c>
      <c r="L1717" s="6" t="s">
        <v>27</v>
      </c>
      <c r="M1717" s="6" t="s">
        <v>7599</v>
      </c>
    </row>
    <row r="1718" spans="1:13" ht="13" x14ac:dyDescent="0.15">
      <c r="A1718" s="5" t="str">
        <f>HYPERLINK("https://onemount.atlassian.net/browse/DBA-3472","DBA-3472")</f>
        <v>DBA-3472</v>
      </c>
      <c r="B1718" s="6" t="s">
        <v>21</v>
      </c>
      <c r="C1718" s="6" t="s">
        <v>7600</v>
      </c>
      <c r="D1718" s="8" t="s">
        <v>17</v>
      </c>
      <c r="E1718" s="6" t="s">
        <v>23</v>
      </c>
      <c r="F1718" s="6" t="s">
        <v>31</v>
      </c>
      <c r="G1718" s="6" t="s">
        <v>7601</v>
      </c>
      <c r="H1718" s="10">
        <v>46015</v>
      </c>
      <c r="I1718" s="6" t="s">
        <v>7602</v>
      </c>
      <c r="J1718" s="6" t="s">
        <v>5564</v>
      </c>
      <c r="K1718" s="6" t="s">
        <v>35</v>
      </c>
      <c r="L1718" s="6" t="s">
        <v>692</v>
      </c>
      <c r="M1718" s="6" t="s">
        <v>7603</v>
      </c>
    </row>
    <row r="1719" spans="1:13" ht="13" x14ac:dyDescent="0.15">
      <c r="A1719" s="5" t="str">
        <f>HYPERLINK("https://onemount.atlassian.net/browse/DBA-3471","DBA-3471")</f>
        <v>DBA-3471</v>
      </c>
      <c r="B1719" s="6" t="s">
        <v>21</v>
      </c>
      <c r="C1719" s="6" t="s">
        <v>7604</v>
      </c>
      <c r="D1719" s="8" t="s">
        <v>17</v>
      </c>
      <c r="E1719" s="6" t="s">
        <v>23</v>
      </c>
      <c r="F1719" s="6" t="s">
        <v>31</v>
      </c>
      <c r="G1719" s="6" t="s">
        <v>7605</v>
      </c>
      <c r="H1719" s="10">
        <v>46015</v>
      </c>
      <c r="I1719" s="6" t="s">
        <v>7606</v>
      </c>
      <c r="J1719" s="6" t="s">
        <v>1898</v>
      </c>
      <c r="K1719" s="6" t="s">
        <v>165</v>
      </c>
      <c r="L1719" s="6" t="s">
        <v>1097</v>
      </c>
      <c r="M1719" s="6" t="s">
        <v>7607</v>
      </c>
    </row>
    <row r="1720" spans="1:13" ht="13" x14ac:dyDescent="0.15">
      <c r="A1720" s="5" t="str">
        <f>HYPERLINK("https://onemount.atlassian.net/browse/DBA-3470","DBA-3470")</f>
        <v>DBA-3470</v>
      </c>
      <c r="B1720" s="6" t="s">
        <v>21</v>
      </c>
      <c r="C1720" s="6" t="s">
        <v>7404</v>
      </c>
      <c r="D1720" s="8" t="s">
        <v>17</v>
      </c>
      <c r="E1720" s="6" t="s">
        <v>23</v>
      </c>
      <c r="F1720" s="6" t="s">
        <v>31</v>
      </c>
      <c r="G1720" s="6" t="s">
        <v>7608</v>
      </c>
      <c r="H1720" s="10">
        <v>46016</v>
      </c>
      <c r="I1720" s="6" t="s">
        <v>7609</v>
      </c>
      <c r="J1720" s="6" t="s">
        <v>293</v>
      </c>
      <c r="K1720" s="6" t="s">
        <v>35</v>
      </c>
      <c r="L1720" s="6" t="s">
        <v>293</v>
      </c>
      <c r="M1720" s="6" t="s">
        <v>7610</v>
      </c>
    </row>
    <row r="1721" spans="1:13" ht="13" x14ac:dyDescent="0.15">
      <c r="A1721" s="5" t="str">
        <f>HYPERLINK("https://onemount.atlassian.net/browse/DBA-3469","DBA-3469")</f>
        <v>DBA-3469</v>
      </c>
      <c r="B1721" s="6" t="s">
        <v>21</v>
      </c>
      <c r="C1721" s="6" t="s">
        <v>7611</v>
      </c>
      <c r="D1721" s="8" t="s">
        <v>17</v>
      </c>
      <c r="E1721" s="6" t="s">
        <v>23</v>
      </c>
      <c r="F1721" s="6" t="s">
        <v>24</v>
      </c>
      <c r="G1721" s="6" t="s">
        <v>7612</v>
      </c>
      <c r="H1721" s="10">
        <v>46017</v>
      </c>
      <c r="I1721" s="6" t="s">
        <v>7613</v>
      </c>
      <c r="J1721" s="6" t="s">
        <v>7614</v>
      </c>
      <c r="K1721" s="6" t="s">
        <v>28</v>
      </c>
      <c r="L1721" s="6" t="s">
        <v>27</v>
      </c>
      <c r="M1721" s="6" t="s">
        <v>7615</v>
      </c>
    </row>
    <row r="1722" spans="1:13" ht="13" x14ac:dyDescent="0.15">
      <c r="A1722" s="5" t="str">
        <f>HYPERLINK("https://onemount.atlassian.net/browse/DBA-3468","DBA-3468")</f>
        <v>DBA-3468</v>
      </c>
      <c r="B1722" s="6" t="s">
        <v>21</v>
      </c>
      <c r="C1722" s="6" t="s">
        <v>7616</v>
      </c>
      <c r="D1722" s="8" t="s">
        <v>17</v>
      </c>
      <c r="E1722" s="6" t="s">
        <v>23</v>
      </c>
      <c r="F1722" s="6" t="s">
        <v>31</v>
      </c>
      <c r="G1722" s="6" t="s">
        <v>7617</v>
      </c>
      <c r="H1722" s="10">
        <v>46016</v>
      </c>
      <c r="I1722" s="6" t="s">
        <v>7618</v>
      </c>
      <c r="J1722" s="6" t="s">
        <v>707</v>
      </c>
      <c r="K1722" s="6" t="s">
        <v>35</v>
      </c>
      <c r="L1722" s="6" t="s">
        <v>707</v>
      </c>
      <c r="M1722" s="6" t="s">
        <v>7619</v>
      </c>
    </row>
    <row r="1723" spans="1:13" ht="13" x14ac:dyDescent="0.15">
      <c r="A1723" s="5" t="str">
        <f>HYPERLINK("https://onemount.atlassian.net/browse/DBA-3467","DBA-3467")</f>
        <v>DBA-3467</v>
      </c>
      <c r="B1723" s="6" t="s">
        <v>21</v>
      </c>
      <c r="C1723" s="6" t="s">
        <v>1466</v>
      </c>
      <c r="D1723" s="8" t="s">
        <v>17</v>
      </c>
      <c r="E1723" s="6" t="s">
        <v>23</v>
      </c>
      <c r="F1723" s="6" t="s">
        <v>31</v>
      </c>
      <c r="G1723" s="6" t="s">
        <v>7620</v>
      </c>
      <c r="H1723" s="10">
        <v>46016</v>
      </c>
      <c r="I1723" s="6" t="s">
        <v>7621</v>
      </c>
      <c r="J1723" s="6" t="s">
        <v>852</v>
      </c>
      <c r="K1723" s="6" t="s">
        <v>55</v>
      </c>
      <c r="L1723" s="6" t="s">
        <v>855</v>
      </c>
      <c r="M1723" s="6" t="s">
        <v>7622</v>
      </c>
    </row>
    <row r="1724" spans="1:13" ht="13" x14ac:dyDescent="0.15">
      <c r="A1724" s="5" t="str">
        <f>HYPERLINK("https://onemount.atlassian.net/browse/DBA-3466","DBA-3466")</f>
        <v>DBA-3466</v>
      </c>
      <c r="B1724" s="6" t="s">
        <v>21</v>
      </c>
      <c r="C1724" s="6" t="s">
        <v>7623</v>
      </c>
      <c r="D1724" s="8" t="s">
        <v>17</v>
      </c>
      <c r="E1724" s="6" t="s">
        <v>23</v>
      </c>
      <c r="F1724" s="6" t="s">
        <v>31</v>
      </c>
      <c r="G1724" s="6" t="s">
        <v>7624</v>
      </c>
      <c r="H1724" s="10">
        <v>46017</v>
      </c>
      <c r="I1724" s="6" t="s">
        <v>7625</v>
      </c>
      <c r="J1724" s="6" t="s">
        <v>119</v>
      </c>
      <c r="K1724" s="6" t="s">
        <v>165</v>
      </c>
      <c r="L1724" s="6" t="s">
        <v>119</v>
      </c>
      <c r="M1724" s="6" t="s">
        <v>7626</v>
      </c>
    </row>
    <row r="1725" spans="1:13" ht="13" x14ac:dyDescent="0.15">
      <c r="A1725" s="5" t="str">
        <f>HYPERLINK("https://onemount.atlassian.net/browse/DBA-3465","DBA-3465")</f>
        <v>DBA-3465</v>
      </c>
      <c r="B1725" s="6" t="s">
        <v>21</v>
      </c>
      <c r="C1725" s="6" t="s">
        <v>7627</v>
      </c>
      <c r="D1725" s="8" t="s">
        <v>17</v>
      </c>
      <c r="E1725" s="6" t="s">
        <v>23</v>
      </c>
      <c r="F1725" s="6" t="s">
        <v>24</v>
      </c>
      <c r="G1725" s="6" t="s">
        <v>7628</v>
      </c>
      <c r="H1725" s="10">
        <v>46017</v>
      </c>
      <c r="I1725" s="6" t="s">
        <v>7629</v>
      </c>
      <c r="J1725" s="6" t="s">
        <v>85</v>
      </c>
      <c r="K1725" s="6" t="s">
        <v>55</v>
      </c>
      <c r="L1725" s="6" t="s">
        <v>85</v>
      </c>
      <c r="M1725" s="6" t="s">
        <v>7630</v>
      </c>
    </row>
    <row r="1726" spans="1:13" ht="13" x14ac:dyDescent="0.15">
      <c r="A1726" s="5" t="str">
        <f>HYPERLINK("https://onemount.atlassian.net/browse/DBA-3464","DBA-3464")</f>
        <v>DBA-3464</v>
      </c>
      <c r="B1726" s="6" t="s">
        <v>21</v>
      </c>
      <c r="C1726" s="6" t="s">
        <v>7631</v>
      </c>
      <c r="D1726" s="8" t="s">
        <v>17</v>
      </c>
      <c r="E1726" s="6" t="s">
        <v>23</v>
      </c>
      <c r="F1726" s="6" t="s">
        <v>31</v>
      </c>
      <c r="G1726" s="6" t="s">
        <v>7632</v>
      </c>
      <c r="H1726" s="10">
        <v>46016</v>
      </c>
      <c r="I1726" s="6" t="s">
        <v>7633</v>
      </c>
      <c r="J1726" s="6" t="s">
        <v>478</v>
      </c>
      <c r="K1726" s="6" t="s">
        <v>35</v>
      </c>
      <c r="L1726" s="6" t="s">
        <v>129</v>
      </c>
      <c r="M1726" s="6" t="s">
        <v>7634</v>
      </c>
    </row>
    <row r="1727" spans="1:13" ht="13" x14ac:dyDescent="0.15">
      <c r="A1727" s="5" t="str">
        <f>HYPERLINK("https://onemount.atlassian.net/browse/DBA-3463","DBA-3463")</f>
        <v>DBA-3463</v>
      </c>
      <c r="B1727" s="6" t="s">
        <v>21</v>
      </c>
      <c r="C1727" s="6" t="s">
        <v>7635</v>
      </c>
      <c r="D1727" s="8" t="s">
        <v>17</v>
      </c>
      <c r="E1727" s="6" t="s">
        <v>23</v>
      </c>
      <c r="F1727" s="6" t="s">
        <v>24</v>
      </c>
      <c r="G1727" s="6" t="s">
        <v>7636</v>
      </c>
      <c r="H1727" s="10">
        <v>46016</v>
      </c>
      <c r="I1727" s="6" t="s">
        <v>7637</v>
      </c>
      <c r="J1727" s="6" t="s">
        <v>55</v>
      </c>
      <c r="K1727" s="6" t="s">
        <v>55</v>
      </c>
      <c r="L1727" s="6" t="s">
        <v>956</v>
      </c>
      <c r="M1727" s="6" t="s">
        <v>7638</v>
      </c>
    </row>
    <row r="1728" spans="1:13" ht="13" x14ac:dyDescent="0.15">
      <c r="A1728" s="5" t="str">
        <f>HYPERLINK("https://onemount.atlassian.net/browse/DBA-3462","DBA-3462")</f>
        <v>DBA-3462</v>
      </c>
      <c r="B1728" s="6" t="s">
        <v>21</v>
      </c>
      <c r="C1728" s="6" t="s">
        <v>7570</v>
      </c>
      <c r="D1728" s="8" t="s">
        <v>17</v>
      </c>
      <c r="E1728" s="6" t="s">
        <v>23</v>
      </c>
      <c r="F1728" s="6" t="s">
        <v>24</v>
      </c>
      <c r="G1728" s="6" t="s">
        <v>7639</v>
      </c>
      <c r="H1728" s="10">
        <v>46016</v>
      </c>
      <c r="I1728" s="6" t="s">
        <v>7640</v>
      </c>
      <c r="J1728" s="6" t="s">
        <v>270</v>
      </c>
      <c r="K1728" s="6" t="s">
        <v>55</v>
      </c>
      <c r="L1728" s="6" t="s">
        <v>270</v>
      </c>
      <c r="M1728" s="6" t="s">
        <v>7641</v>
      </c>
    </row>
    <row r="1729" spans="1:13" ht="13" x14ac:dyDescent="0.15">
      <c r="A1729" s="5" t="str">
        <f>HYPERLINK("https://onemount.atlassian.net/browse/DBA-3461","DBA-3461")</f>
        <v>DBA-3461</v>
      </c>
      <c r="B1729" s="6" t="s">
        <v>21</v>
      </c>
      <c r="C1729" s="6" t="s">
        <v>2684</v>
      </c>
      <c r="D1729" s="8" t="s">
        <v>17</v>
      </c>
      <c r="E1729" s="6" t="s">
        <v>23</v>
      </c>
      <c r="F1729" s="6" t="s">
        <v>31</v>
      </c>
      <c r="G1729" s="6" t="s">
        <v>7642</v>
      </c>
      <c r="H1729" s="10">
        <v>46016</v>
      </c>
      <c r="I1729" s="6" t="s">
        <v>7643</v>
      </c>
      <c r="J1729" s="6" t="s">
        <v>2687</v>
      </c>
      <c r="K1729" s="6" t="s">
        <v>46</v>
      </c>
      <c r="L1729" s="6" t="s">
        <v>404</v>
      </c>
      <c r="M1729" s="6" t="s">
        <v>7644</v>
      </c>
    </row>
    <row r="1730" spans="1:13" ht="13" x14ac:dyDescent="0.15">
      <c r="A1730" s="5" t="str">
        <f>HYPERLINK("https://onemount.atlassian.net/browse/DBA-3460","DBA-3460")</f>
        <v>DBA-3460</v>
      </c>
      <c r="B1730" s="6" t="s">
        <v>21</v>
      </c>
      <c r="C1730" s="6" t="s">
        <v>7645</v>
      </c>
      <c r="D1730" s="8" t="s">
        <v>17</v>
      </c>
      <c r="E1730" s="6" t="s">
        <v>23</v>
      </c>
      <c r="F1730" s="6" t="s">
        <v>24</v>
      </c>
      <c r="G1730" s="6" t="s">
        <v>7646</v>
      </c>
      <c r="H1730" s="10">
        <v>46017</v>
      </c>
      <c r="I1730" s="6" t="s">
        <v>7647</v>
      </c>
      <c r="J1730" s="6" t="s">
        <v>56</v>
      </c>
      <c r="K1730" s="6" t="s">
        <v>55</v>
      </c>
      <c r="L1730" s="6" t="s">
        <v>56</v>
      </c>
      <c r="M1730" s="6" t="s">
        <v>7648</v>
      </c>
    </row>
    <row r="1731" spans="1:13" ht="13" x14ac:dyDescent="0.15">
      <c r="A1731" s="5" t="str">
        <f>HYPERLINK("https://onemount.atlassian.net/browse/DBA-3455","DBA-3455")</f>
        <v>DBA-3455</v>
      </c>
      <c r="B1731" s="6" t="s">
        <v>21</v>
      </c>
      <c r="C1731" s="6" t="s">
        <v>7649</v>
      </c>
      <c r="D1731" s="8" t="s">
        <v>17</v>
      </c>
      <c r="E1731" s="6" t="s">
        <v>23</v>
      </c>
      <c r="F1731" s="6" t="s">
        <v>31</v>
      </c>
      <c r="G1731" s="6" t="s">
        <v>7650</v>
      </c>
      <c r="H1731" s="10">
        <v>46015</v>
      </c>
      <c r="I1731" s="6" t="s">
        <v>7651</v>
      </c>
      <c r="J1731" s="6" t="s">
        <v>1898</v>
      </c>
      <c r="K1731" s="6" t="s">
        <v>165</v>
      </c>
      <c r="L1731" s="6" t="s">
        <v>1097</v>
      </c>
      <c r="M1731" s="6" t="s">
        <v>7652</v>
      </c>
    </row>
    <row r="1732" spans="1:13" ht="13" x14ac:dyDescent="0.15">
      <c r="A1732" s="5" t="str">
        <f>HYPERLINK("https://onemount.atlassian.net/browse/DBA-3454","DBA-3454")</f>
        <v>DBA-3454</v>
      </c>
      <c r="B1732" s="6" t="s">
        <v>21</v>
      </c>
      <c r="C1732" s="6" t="s">
        <v>7653</v>
      </c>
      <c r="D1732" s="8" t="s">
        <v>17</v>
      </c>
      <c r="E1732" s="6" t="s">
        <v>23</v>
      </c>
      <c r="F1732" s="6" t="s">
        <v>31</v>
      </c>
      <c r="G1732" s="6" t="s">
        <v>7654</v>
      </c>
      <c r="H1732" s="10">
        <v>46015</v>
      </c>
      <c r="I1732" s="6" t="s">
        <v>7655</v>
      </c>
      <c r="J1732" s="6" t="s">
        <v>7656</v>
      </c>
      <c r="K1732" s="6" t="s">
        <v>165</v>
      </c>
      <c r="L1732" s="6" t="s">
        <v>996</v>
      </c>
      <c r="M1732" s="6" t="s">
        <v>7657</v>
      </c>
    </row>
    <row r="1733" spans="1:13" ht="13" x14ac:dyDescent="0.15">
      <c r="A1733" s="5" t="str">
        <f>HYPERLINK("https://onemount.atlassian.net/browse/DBA-3453","DBA-3453")</f>
        <v>DBA-3453</v>
      </c>
      <c r="B1733" s="6" t="s">
        <v>21</v>
      </c>
      <c r="C1733" s="6" t="s">
        <v>7658</v>
      </c>
      <c r="D1733" s="8" t="s">
        <v>17</v>
      </c>
      <c r="E1733" s="6" t="s">
        <v>23</v>
      </c>
      <c r="F1733" s="6" t="s">
        <v>24</v>
      </c>
      <c r="G1733" s="6" t="s">
        <v>7659</v>
      </c>
      <c r="H1733" s="10">
        <v>46016</v>
      </c>
      <c r="I1733" s="6" t="s">
        <v>7660</v>
      </c>
      <c r="J1733" s="6" t="s">
        <v>1441</v>
      </c>
      <c r="K1733" s="6" t="s">
        <v>55</v>
      </c>
      <c r="L1733" s="6" t="s">
        <v>119</v>
      </c>
      <c r="M1733" s="6" t="s">
        <v>7661</v>
      </c>
    </row>
    <row r="1734" spans="1:13" ht="13" x14ac:dyDescent="0.15">
      <c r="A1734" s="5" t="str">
        <f>HYPERLINK("https://onemount.atlassian.net/browse/DBA-3452","DBA-3452")</f>
        <v>DBA-3452</v>
      </c>
      <c r="B1734" s="23" t="str">
        <f>HYPERLINK("https://onemount.atlassian.net/browse/DBA-2635","DBA-2635")</f>
        <v>DBA-2635</v>
      </c>
      <c r="C1734" s="6" t="s">
        <v>7662</v>
      </c>
      <c r="D1734" s="8" t="s">
        <v>17</v>
      </c>
      <c r="E1734" s="6" t="s">
        <v>428</v>
      </c>
      <c r="F1734" s="6" t="s">
        <v>41</v>
      </c>
      <c r="G1734" s="6" t="s">
        <v>7663</v>
      </c>
      <c r="H1734" s="10">
        <v>46016</v>
      </c>
      <c r="I1734" s="6" t="s">
        <v>7664</v>
      </c>
      <c r="J1734" s="6" t="s">
        <v>72</v>
      </c>
      <c r="K1734" s="6" t="s">
        <v>72</v>
      </c>
      <c r="L1734" s="6" t="s">
        <v>72</v>
      </c>
      <c r="M1734" s="6" t="s">
        <v>7665</v>
      </c>
    </row>
    <row r="1735" spans="1:13" ht="13" x14ac:dyDescent="0.15">
      <c r="A1735" s="5" t="str">
        <f>HYPERLINK("https://onemount.atlassian.net/browse/DBA-3450","DBA-3450")</f>
        <v>DBA-3450</v>
      </c>
      <c r="B1735" s="6" t="s">
        <v>21</v>
      </c>
      <c r="C1735" s="6" t="s">
        <v>7666</v>
      </c>
      <c r="D1735" s="8" t="s">
        <v>17</v>
      </c>
      <c r="E1735" s="6" t="s">
        <v>23</v>
      </c>
      <c r="F1735" s="6" t="s">
        <v>31</v>
      </c>
      <c r="G1735" s="6" t="s">
        <v>7667</v>
      </c>
      <c r="H1735" s="10">
        <v>46015</v>
      </c>
      <c r="I1735" s="6" t="s">
        <v>7668</v>
      </c>
      <c r="J1735" s="6" t="s">
        <v>246</v>
      </c>
      <c r="K1735" s="6" t="s">
        <v>35</v>
      </c>
      <c r="L1735" s="6" t="s">
        <v>36</v>
      </c>
      <c r="M1735" s="6" t="s">
        <v>7669</v>
      </c>
    </row>
    <row r="1736" spans="1:13" ht="13" x14ac:dyDescent="0.15">
      <c r="A1736" s="5" t="str">
        <f>HYPERLINK("https://onemount.atlassian.net/browse/DBA-3449","DBA-3449")</f>
        <v>DBA-3449</v>
      </c>
      <c r="B1736" s="6" t="s">
        <v>21</v>
      </c>
      <c r="C1736" s="6" t="s">
        <v>6318</v>
      </c>
      <c r="D1736" s="8" t="s">
        <v>17</v>
      </c>
      <c r="E1736" s="6" t="s">
        <v>23</v>
      </c>
      <c r="F1736" s="6" t="s">
        <v>24</v>
      </c>
      <c r="G1736" s="6" t="s">
        <v>7670</v>
      </c>
      <c r="H1736" s="10">
        <v>46016</v>
      </c>
      <c r="I1736" s="6" t="s">
        <v>7671</v>
      </c>
      <c r="J1736" s="6" t="s">
        <v>56</v>
      </c>
      <c r="K1736" s="6" t="s">
        <v>55</v>
      </c>
      <c r="L1736" s="6" t="s">
        <v>56</v>
      </c>
      <c r="M1736" s="6" t="s">
        <v>7672</v>
      </c>
    </row>
    <row r="1737" spans="1:13" ht="13" x14ac:dyDescent="0.15">
      <c r="A1737" s="5" t="str">
        <f>HYPERLINK("https://onemount.atlassian.net/browse/DBA-3448","DBA-3448")</f>
        <v>DBA-3448</v>
      </c>
      <c r="B1737" s="6" t="s">
        <v>21</v>
      </c>
      <c r="C1737" s="6" t="s">
        <v>7673</v>
      </c>
      <c r="D1737" s="8" t="s">
        <v>17</v>
      </c>
      <c r="E1737" s="6" t="s">
        <v>23</v>
      </c>
      <c r="F1737" s="6" t="s">
        <v>31</v>
      </c>
      <c r="G1737" s="6" t="s">
        <v>7674</v>
      </c>
      <c r="H1737" s="10">
        <v>46015</v>
      </c>
      <c r="I1737" s="6" t="s">
        <v>7675</v>
      </c>
      <c r="J1737" s="6" t="s">
        <v>1084</v>
      </c>
      <c r="K1737" s="6" t="s">
        <v>165</v>
      </c>
      <c r="L1737" s="6" t="s">
        <v>1084</v>
      </c>
      <c r="M1737" s="6" t="s">
        <v>7676</v>
      </c>
    </row>
    <row r="1738" spans="1:13" ht="13" x14ac:dyDescent="0.15">
      <c r="A1738" s="5" t="str">
        <f>HYPERLINK("https://onemount.atlassian.net/browse/DBA-3447","DBA-3447")</f>
        <v>DBA-3447</v>
      </c>
      <c r="B1738" s="6" t="s">
        <v>21</v>
      </c>
      <c r="C1738" s="6" t="s">
        <v>7677</v>
      </c>
      <c r="D1738" s="8" t="s">
        <v>17</v>
      </c>
      <c r="E1738" s="6" t="s">
        <v>23</v>
      </c>
      <c r="F1738" s="6" t="s">
        <v>24</v>
      </c>
      <c r="G1738" s="6" t="s">
        <v>7678</v>
      </c>
      <c r="H1738" s="10">
        <v>46014</v>
      </c>
      <c r="I1738" s="6" t="s">
        <v>7679</v>
      </c>
      <c r="J1738" s="6" t="s">
        <v>55</v>
      </c>
      <c r="K1738" s="6" t="s">
        <v>55</v>
      </c>
      <c r="L1738" s="6" t="s">
        <v>93</v>
      </c>
      <c r="M1738" s="6" t="s">
        <v>7680</v>
      </c>
    </row>
    <row r="1739" spans="1:13" ht="13" x14ac:dyDescent="0.15">
      <c r="A1739" s="5" t="str">
        <f>HYPERLINK("https://onemount.atlassian.net/browse/DBA-3446","DBA-3446")</f>
        <v>DBA-3446</v>
      </c>
      <c r="B1739" s="6" t="s">
        <v>21</v>
      </c>
      <c r="C1739" s="6" t="s">
        <v>7681</v>
      </c>
      <c r="D1739" s="8" t="s">
        <v>17</v>
      </c>
      <c r="E1739" s="6" t="s">
        <v>23</v>
      </c>
      <c r="F1739" s="6" t="s">
        <v>31</v>
      </c>
      <c r="G1739" s="6" t="s">
        <v>7682</v>
      </c>
      <c r="H1739" s="10">
        <v>46015</v>
      </c>
      <c r="I1739" s="6" t="s">
        <v>7683</v>
      </c>
      <c r="J1739" s="6" t="s">
        <v>119</v>
      </c>
      <c r="K1739" s="6" t="s">
        <v>165</v>
      </c>
      <c r="L1739" s="6" t="s">
        <v>119</v>
      </c>
      <c r="M1739" s="6" t="s">
        <v>7684</v>
      </c>
    </row>
    <row r="1740" spans="1:13" ht="13" x14ac:dyDescent="0.15">
      <c r="A1740" s="5" t="str">
        <f>HYPERLINK("https://onemount.atlassian.net/browse/DBA-3445","DBA-3445")</f>
        <v>DBA-3445</v>
      </c>
      <c r="B1740" s="6" t="s">
        <v>21</v>
      </c>
      <c r="C1740" s="6" t="s">
        <v>7685</v>
      </c>
      <c r="D1740" s="8" t="s">
        <v>17</v>
      </c>
      <c r="E1740" s="6" t="s">
        <v>23</v>
      </c>
      <c r="F1740" s="6" t="s">
        <v>31</v>
      </c>
      <c r="G1740" s="6" t="s">
        <v>7686</v>
      </c>
      <c r="H1740" s="10">
        <v>46014</v>
      </c>
      <c r="I1740" s="6" t="s">
        <v>7687</v>
      </c>
      <c r="J1740" s="6" t="s">
        <v>7688</v>
      </c>
      <c r="K1740" s="6" t="s">
        <v>35</v>
      </c>
      <c r="L1740" s="6" t="s">
        <v>962</v>
      </c>
      <c r="M1740" s="6" t="s">
        <v>7689</v>
      </c>
    </row>
    <row r="1741" spans="1:13" ht="13" x14ac:dyDescent="0.15">
      <c r="A1741" s="5" t="str">
        <f>HYPERLINK("https://onemount.atlassian.net/browse/DBA-3444","DBA-3444")</f>
        <v>DBA-3444</v>
      </c>
      <c r="B1741" s="6" t="s">
        <v>21</v>
      </c>
      <c r="C1741" s="6" t="s">
        <v>7690</v>
      </c>
      <c r="D1741" s="8" t="s">
        <v>17</v>
      </c>
      <c r="E1741" s="6" t="s">
        <v>23</v>
      </c>
      <c r="F1741" s="6" t="s">
        <v>24</v>
      </c>
      <c r="G1741" s="6" t="s">
        <v>7691</v>
      </c>
      <c r="H1741" s="10">
        <v>46014</v>
      </c>
      <c r="I1741" s="6" t="s">
        <v>7692</v>
      </c>
      <c r="J1741" s="6" t="s">
        <v>88</v>
      </c>
      <c r="K1741" s="6" t="s">
        <v>59</v>
      </c>
      <c r="L1741" s="6" t="s">
        <v>88</v>
      </c>
      <c r="M1741" s="6" t="s">
        <v>7693</v>
      </c>
    </row>
    <row r="1742" spans="1:13" ht="13" x14ac:dyDescent="0.15">
      <c r="A1742" s="5" t="str">
        <f>HYPERLINK("https://onemount.atlassian.net/browse/DBA-3443","DBA-3443")</f>
        <v>DBA-3443</v>
      </c>
      <c r="B1742" s="6" t="s">
        <v>21</v>
      </c>
      <c r="C1742" s="6" t="s">
        <v>7694</v>
      </c>
      <c r="D1742" s="8" t="s">
        <v>17</v>
      </c>
      <c r="E1742" s="6" t="s">
        <v>23</v>
      </c>
      <c r="F1742" s="6" t="s">
        <v>24</v>
      </c>
      <c r="G1742" s="6" t="s">
        <v>7695</v>
      </c>
      <c r="H1742" s="10">
        <v>46015</v>
      </c>
      <c r="I1742" s="6" t="s">
        <v>7696</v>
      </c>
      <c r="J1742" s="6" t="s">
        <v>3041</v>
      </c>
      <c r="K1742" s="6" t="s">
        <v>46</v>
      </c>
      <c r="L1742" s="6" t="s">
        <v>46</v>
      </c>
      <c r="M1742" s="6" t="s">
        <v>7697</v>
      </c>
    </row>
    <row r="1743" spans="1:13" ht="13" x14ac:dyDescent="0.15">
      <c r="A1743" s="5" t="str">
        <f>HYPERLINK("https://onemount.atlassian.net/browse/DBA-3442","DBA-3442")</f>
        <v>DBA-3442</v>
      </c>
      <c r="B1743" s="23" t="str">
        <f>HYPERLINK("https://onemount.atlassian.net/browse/DBA-2062","DBA-2062")</f>
        <v>DBA-2062</v>
      </c>
      <c r="C1743" s="6" t="s">
        <v>7698</v>
      </c>
      <c r="D1743" s="8" t="s">
        <v>17</v>
      </c>
      <c r="E1743" s="6" t="s">
        <v>428</v>
      </c>
      <c r="F1743" s="6" t="s">
        <v>24</v>
      </c>
      <c r="G1743" s="6" t="s">
        <v>7699</v>
      </c>
      <c r="H1743" s="10">
        <v>46015</v>
      </c>
      <c r="I1743" s="6" t="s">
        <v>7700</v>
      </c>
      <c r="J1743" s="6" t="s">
        <v>7701</v>
      </c>
      <c r="K1743" s="6" t="s">
        <v>55</v>
      </c>
      <c r="L1743" s="6" t="s">
        <v>793</v>
      </c>
      <c r="M1743" s="6" t="s">
        <v>7702</v>
      </c>
    </row>
    <row r="1744" spans="1:13" ht="13" x14ac:dyDescent="0.15">
      <c r="A1744" s="5" t="str">
        <f>HYPERLINK("https://onemount.atlassian.net/browse/DBA-3441","DBA-3441")</f>
        <v>DBA-3441</v>
      </c>
      <c r="B1744" s="6" t="s">
        <v>21</v>
      </c>
      <c r="C1744" s="6" t="s">
        <v>7703</v>
      </c>
      <c r="D1744" s="8" t="s">
        <v>17</v>
      </c>
      <c r="E1744" s="6" t="s">
        <v>23</v>
      </c>
      <c r="F1744" s="6" t="s">
        <v>31</v>
      </c>
      <c r="G1744" s="6" t="s">
        <v>7704</v>
      </c>
      <c r="H1744" s="10">
        <v>46013</v>
      </c>
      <c r="I1744" s="6" t="s">
        <v>7705</v>
      </c>
      <c r="J1744" s="6" t="s">
        <v>1004</v>
      </c>
      <c r="K1744" s="6" t="s">
        <v>165</v>
      </c>
      <c r="L1744" s="6" t="s">
        <v>1004</v>
      </c>
      <c r="M1744" s="6" t="s">
        <v>7706</v>
      </c>
    </row>
    <row r="1745" spans="1:13" ht="13" x14ac:dyDescent="0.15">
      <c r="A1745" s="21" t="str">
        <f>HYPERLINK("https://onemount.atlassian.net/browse/DBA-3440","DBA-3440")</f>
        <v>DBA-3440</v>
      </c>
      <c r="B1745" s="6" t="s">
        <v>21</v>
      </c>
      <c r="C1745" s="6" t="s">
        <v>2684</v>
      </c>
      <c r="D1745" s="8" t="s">
        <v>17</v>
      </c>
      <c r="E1745" s="6" t="s">
        <v>23</v>
      </c>
      <c r="F1745" s="6" t="s">
        <v>31</v>
      </c>
      <c r="G1745" s="6" t="s">
        <v>7707</v>
      </c>
      <c r="H1745" s="10">
        <v>46014</v>
      </c>
      <c r="I1745" s="6" t="s">
        <v>7708</v>
      </c>
      <c r="J1745" s="6" t="s">
        <v>2687</v>
      </c>
      <c r="K1745" s="6" t="s">
        <v>46</v>
      </c>
      <c r="L1745" s="6" t="s">
        <v>404</v>
      </c>
      <c r="M1745" s="6" t="s">
        <v>6515</v>
      </c>
    </row>
    <row r="1746" spans="1:13" ht="13" x14ac:dyDescent="0.15">
      <c r="A1746" s="5" t="str">
        <f>HYPERLINK("https://onemount.atlassian.net/browse/DBA-3438","DBA-3438")</f>
        <v>DBA-3438</v>
      </c>
      <c r="B1746" s="6" t="s">
        <v>21</v>
      </c>
      <c r="C1746" s="6" t="s">
        <v>7709</v>
      </c>
      <c r="D1746" s="8" t="s">
        <v>17</v>
      </c>
      <c r="E1746" s="6" t="s">
        <v>23</v>
      </c>
      <c r="F1746" s="6" t="s">
        <v>31</v>
      </c>
      <c r="G1746" s="6" t="s">
        <v>7710</v>
      </c>
      <c r="H1746" s="10">
        <v>46011</v>
      </c>
      <c r="I1746" s="6" t="s">
        <v>7711</v>
      </c>
      <c r="J1746" s="6" t="s">
        <v>5746</v>
      </c>
      <c r="K1746" s="6" t="s">
        <v>35</v>
      </c>
      <c r="L1746" s="6" t="s">
        <v>962</v>
      </c>
      <c r="M1746" s="6" t="s">
        <v>7712</v>
      </c>
    </row>
    <row r="1747" spans="1:13" ht="13" x14ac:dyDescent="0.15">
      <c r="A1747" s="5" t="str">
        <f>HYPERLINK("https://onemount.atlassian.net/browse/DBA-3437","DBA-3437")</f>
        <v>DBA-3437</v>
      </c>
      <c r="B1747" s="6" t="s">
        <v>21</v>
      </c>
      <c r="C1747" s="6" t="s">
        <v>7713</v>
      </c>
      <c r="D1747" s="8" t="s">
        <v>17</v>
      </c>
      <c r="E1747" s="6" t="s">
        <v>23</v>
      </c>
      <c r="F1747" s="6" t="s">
        <v>31</v>
      </c>
      <c r="G1747" s="6" t="s">
        <v>7714</v>
      </c>
      <c r="H1747" s="10">
        <v>46012</v>
      </c>
      <c r="I1747" s="6" t="s">
        <v>7715</v>
      </c>
      <c r="J1747" s="6" t="s">
        <v>1187</v>
      </c>
      <c r="K1747" s="6" t="s">
        <v>35</v>
      </c>
      <c r="L1747" s="6" t="s">
        <v>1187</v>
      </c>
      <c r="M1747" s="6" t="s">
        <v>7716</v>
      </c>
    </row>
    <row r="1748" spans="1:13" ht="13" x14ac:dyDescent="0.15">
      <c r="A1748" s="5" t="str">
        <f>HYPERLINK("https://onemount.atlassian.net/browse/DBA-3436","DBA-3436")</f>
        <v>DBA-3436</v>
      </c>
      <c r="B1748" s="6" t="s">
        <v>21</v>
      </c>
      <c r="C1748" s="6" t="s">
        <v>7717</v>
      </c>
      <c r="D1748" s="8" t="s">
        <v>17</v>
      </c>
      <c r="E1748" s="6" t="s">
        <v>23</v>
      </c>
      <c r="F1748" s="6" t="s">
        <v>31</v>
      </c>
      <c r="G1748" s="6" t="s">
        <v>7718</v>
      </c>
      <c r="H1748" s="10">
        <v>46012</v>
      </c>
      <c r="I1748" s="6" t="s">
        <v>7719</v>
      </c>
      <c r="J1748" s="6" t="s">
        <v>628</v>
      </c>
      <c r="K1748" s="6" t="s">
        <v>165</v>
      </c>
      <c r="L1748" s="6" t="s">
        <v>119</v>
      </c>
      <c r="M1748" s="6" t="s">
        <v>7720</v>
      </c>
    </row>
    <row r="1749" spans="1:13" ht="13" x14ac:dyDescent="0.15">
      <c r="A1749" s="5" t="str">
        <f>HYPERLINK("https://onemount.atlassian.net/browse/DBA-3435","DBA-3435")</f>
        <v>DBA-3435</v>
      </c>
      <c r="B1749" s="6" t="s">
        <v>21</v>
      </c>
      <c r="C1749" s="6" t="s">
        <v>6898</v>
      </c>
      <c r="D1749" s="8" t="s">
        <v>17</v>
      </c>
      <c r="E1749" s="6" t="s">
        <v>23</v>
      </c>
      <c r="F1749" s="6" t="s">
        <v>31</v>
      </c>
      <c r="G1749" s="6" t="s">
        <v>7721</v>
      </c>
      <c r="H1749" s="10">
        <v>46012</v>
      </c>
      <c r="I1749" s="6" t="s">
        <v>7722</v>
      </c>
      <c r="J1749" s="6" t="s">
        <v>463</v>
      </c>
      <c r="K1749" s="6" t="s">
        <v>55</v>
      </c>
      <c r="L1749" s="6" t="s">
        <v>254</v>
      </c>
      <c r="M1749" s="6" t="s">
        <v>7723</v>
      </c>
    </row>
    <row r="1750" spans="1:13" ht="13" x14ac:dyDescent="0.15">
      <c r="A1750" s="5" t="str">
        <f>HYPERLINK("https://onemount.atlassian.net/browse/DBA-3434","DBA-3434")</f>
        <v>DBA-3434</v>
      </c>
      <c r="B1750" s="6" t="s">
        <v>21</v>
      </c>
      <c r="C1750" s="6" t="s">
        <v>7724</v>
      </c>
      <c r="D1750" s="8" t="s">
        <v>17</v>
      </c>
      <c r="E1750" s="6" t="s">
        <v>23</v>
      </c>
      <c r="F1750" s="6" t="s">
        <v>31</v>
      </c>
      <c r="G1750" s="6" t="s">
        <v>7725</v>
      </c>
      <c r="H1750" s="10">
        <v>46011</v>
      </c>
      <c r="I1750" s="6" t="s">
        <v>7726</v>
      </c>
      <c r="J1750" s="6" t="s">
        <v>85</v>
      </c>
      <c r="K1750" s="6" t="s">
        <v>55</v>
      </c>
      <c r="L1750" s="6" t="s">
        <v>85</v>
      </c>
      <c r="M1750" s="6" t="s">
        <v>7727</v>
      </c>
    </row>
    <row r="1751" spans="1:13" ht="13" x14ac:dyDescent="0.15">
      <c r="A1751" s="5" t="str">
        <f>HYPERLINK("https://onemount.atlassian.net/browse/DBA-3433","DBA-3433")</f>
        <v>DBA-3433</v>
      </c>
      <c r="B1751" s="6" t="s">
        <v>21</v>
      </c>
      <c r="C1751" s="6" t="s">
        <v>7728</v>
      </c>
      <c r="D1751" s="8" t="s">
        <v>17</v>
      </c>
      <c r="E1751" s="6" t="s">
        <v>23</v>
      </c>
      <c r="F1751" s="6" t="s">
        <v>31</v>
      </c>
      <c r="G1751" s="6" t="s">
        <v>7729</v>
      </c>
      <c r="H1751" s="10">
        <v>46009</v>
      </c>
      <c r="I1751" s="6" t="s">
        <v>7730</v>
      </c>
      <c r="J1751" s="6" t="s">
        <v>1187</v>
      </c>
      <c r="K1751" s="6" t="s">
        <v>35</v>
      </c>
      <c r="L1751" s="6" t="s">
        <v>1187</v>
      </c>
      <c r="M1751" s="6" t="s">
        <v>7731</v>
      </c>
    </row>
    <row r="1752" spans="1:13" ht="13" x14ac:dyDescent="0.15">
      <c r="A1752" s="5" t="str">
        <f>HYPERLINK("https://onemount.atlassian.net/browse/DBA-3432","DBA-3432")</f>
        <v>DBA-3432</v>
      </c>
      <c r="B1752" s="6" t="s">
        <v>21</v>
      </c>
      <c r="C1752" s="6" t="s">
        <v>7732</v>
      </c>
      <c r="D1752" s="8" t="s">
        <v>17</v>
      </c>
      <c r="E1752" s="6" t="s">
        <v>23</v>
      </c>
      <c r="F1752" s="6" t="s">
        <v>31</v>
      </c>
      <c r="G1752" s="6" t="s">
        <v>7733</v>
      </c>
      <c r="H1752" s="10">
        <v>46006</v>
      </c>
      <c r="I1752" s="6" t="s">
        <v>7734</v>
      </c>
      <c r="J1752" s="6" t="s">
        <v>1187</v>
      </c>
      <c r="K1752" s="6" t="s">
        <v>35</v>
      </c>
      <c r="L1752" s="6" t="s">
        <v>1187</v>
      </c>
      <c r="M1752" s="6" t="s">
        <v>7735</v>
      </c>
    </row>
    <row r="1753" spans="1:13" ht="13" x14ac:dyDescent="0.15">
      <c r="A1753" s="5" t="str">
        <f>HYPERLINK("https://onemount.atlassian.net/browse/DBA-3431","DBA-3431")</f>
        <v>DBA-3431</v>
      </c>
      <c r="B1753" s="6" t="s">
        <v>21</v>
      </c>
      <c r="C1753" s="6" t="s">
        <v>7736</v>
      </c>
      <c r="D1753" s="8" t="s">
        <v>17</v>
      </c>
      <c r="E1753" s="6" t="s">
        <v>23</v>
      </c>
      <c r="F1753" s="6" t="s">
        <v>31</v>
      </c>
      <c r="G1753" s="6" t="s">
        <v>7737</v>
      </c>
      <c r="H1753" s="10">
        <v>46012</v>
      </c>
      <c r="I1753" s="6" t="s">
        <v>7738</v>
      </c>
      <c r="J1753" s="6" t="s">
        <v>55</v>
      </c>
      <c r="K1753" s="6" t="s">
        <v>55</v>
      </c>
      <c r="L1753" s="6" t="s">
        <v>55</v>
      </c>
      <c r="M1753" s="6" t="s">
        <v>7739</v>
      </c>
    </row>
    <row r="1754" spans="1:13" ht="13" x14ac:dyDescent="0.15">
      <c r="A1754" s="5" t="str">
        <f>HYPERLINK("https://onemount.atlassian.net/browse/DBA-3429","DBA-3429")</f>
        <v>DBA-3429</v>
      </c>
      <c r="B1754" s="6" t="s">
        <v>21</v>
      </c>
      <c r="C1754" s="6" t="s">
        <v>1466</v>
      </c>
      <c r="D1754" s="8" t="s">
        <v>17</v>
      </c>
      <c r="E1754" s="6" t="s">
        <v>23</v>
      </c>
      <c r="F1754" s="6" t="s">
        <v>31</v>
      </c>
      <c r="G1754" s="6" t="s">
        <v>7740</v>
      </c>
      <c r="H1754" s="10">
        <v>46011</v>
      </c>
      <c r="I1754" s="6" t="s">
        <v>7741</v>
      </c>
      <c r="J1754" s="6" t="s">
        <v>852</v>
      </c>
      <c r="K1754" s="6" t="s">
        <v>55</v>
      </c>
      <c r="L1754" s="6" t="s">
        <v>855</v>
      </c>
      <c r="M1754" s="6" t="s">
        <v>7742</v>
      </c>
    </row>
    <row r="1755" spans="1:13" ht="13" x14ac:dyDescent="0.15">
      <c r="A1755" s="5" t="str">
        <f>HYPERLINK("https://onemount.atlassian.net/browse/DBA-3428","DBA-3428")</f>
        <v>DBA-3428</v>
      </c>
      <c r="B1755" s="6" t="s">
        <v>21</v>
      </c>
      <c r="C1755" s="6" t="s">
        <v>7743</v>
      </c>
      <c r="D1755" s="8" t="s">
        <v>17</v>
      </c>
      <c r="E1755" s="6" t="s">
        <v>23</v>
      </c>
      <c r="F1755" s="6" t="s">
        <v>31</v>
      </c>
      <c r="G1755" s="6" t="s">
        <v>7744</v>
      </c>
      <c r="H1755" s="10">
        <v>46012</v>
      </c>
      <c r="I1755" s="6" t="s">
        <v>7745</v>
      </c>
      <c r="J1755" s="6" t="s">
        <v>165</v>
      </c>
      <c r="K1755" s="6" t="s">
        <v>165</v>
      </c>
      <c r="L1755" s="6" t="s">
        <v>165</v>
      </c>
      <c r="M1755" s="6" t="s">
        <v>7746</v>
      </c>
    </row>
    <row r="1756" spans="1:13" ht="13" x14ac:dyDescent="0.15">
      <c r="A1756" s="5" t="str">
        <f>HYPERLINK("https://onemount.atlassian.net/browse/DBA-3427","DBA-3427")</f>
        <v>DBA-3427</v>
      </c>
      <c r="B1756" s="6" t="s">
        <v>21</v>
      </c>
      <c r="C1756" s="6" t="s">
        <v>7747</v>
      </c>
      <c r="D1756" s="8" t="s">
        <v>17</v>
      </c>
      <c r="E1756" s="6" t="s">
        <v>23</v>
      </c>
      <c r="F1756" s="6" t="s">
        <v>24</v>
      </c>
      <c r="G1756" s="6" t="s">
        <v>7748</v>
      </c>
      <c r="H1756" s="10">
        <v>46011</v>
      </c>
      <c r="I1756" s="6" t="s">
        <v>7749</v>
      </c>
      <c r="J1756" s="6" t="s">
        <v>3141</v>
      </c>
      <c r="K1756" s="6" t="s">
        <v>165</v>
      </c>
      <c r="L1756" s="6" t="s">
        <v>145</v>
      </c>
      <c r="M1756" s="6" t="s">
        <v>7750</v>
      </c>
    </row>
    <row r="1757" spans="1:13" ht="13" x14ac:dyDescent="0.15">
      <c r="A1757" s="5" t="str">
        <f>HYPERLINK("https://onemount.atlassian.net/browse/DBA-3426","DBA-3426")</f>
        <v>DBA-3426</v>
      </c>
      <c r="B1757" s="6" t="s">
        <v>21</v>
      </c>
      <c r="C1757" s="6" t="s">
        <v>7751</v>
      </c>
      <c r="D1757" s="8" t="s">
        <v>17</v>
      </c>
      <c r="E1757" s="6" t="s">
        <v>23</v>
      </c>
      <c r="F1757" s="6" t="s">
        <v>31</v>
      </c>
      <c r="G1757" s="6" t="s">
        <v>7752</v>
      </c>
      <c r="H1757" s="10">
        <v>46012</v>
      </c>
      <c r="I1757" s="6" t="s">
        <v>7753</v>
      </c>
      <c r="J1757" s="6" t="s">
        <v>85</v>
      </c>
      <c r="K1757" s="6" t="s">
        <v>55</v>
      </c>
      <c r="L1757" s="6" t="s">
        <v>85</v>
      </c>
      <c r="M1757" s="6" t="s">
        <v>7754</v>
      </c>
    </row>
    <row r="1758" spans="1:13" ht="13" x14ac:dyDescent="0.15">
      <c r="A1758" s="5" t="str">
        <f>HYPERLINK("https://onemount.atlassian.net/browse/DBA-3423","DBA-3423")</f>
        <v>DBA-3423</v>
      </c>
      <c r="B1758" s="6" t="s">
        <v>21</v>
      </c>
      <c r="C1758" s="6" t="s">
        <v>7755</v>
      </c>
      <c r="D1758" s="8" t="s">
        <v>17</v>
      </c>
      <c r="E1758" s="6" t="s">
        <v>23</v>
      </c>
      <c r="F1758" s="6" t="s">
        <v>31</v>
      </c>
      <c r="G1758" s="6" t="s">
        <v>7756</v>
      </c>
      <c r="H1758" s="10">
        <v>46012</v>
      </c>
      <c r="I1758" s="6" t="s">
        <v>7757</v>
      </c>
      <c r="J1758" s="6" t="s">
        <v>1898</v>
      </c>
      <c r="K1758" s="6" t="s">
        <v>165</v>
      </c>
      <c r="L1758" s="6" t="s">
        <v>1097</v>
      </c>
      <c r="M1758" s="6" t="s">
        <v>7758</v>
      </c>
    </row>
    <row r="1759" spans="1:13" ht="13" x14ac:dyDescent="0.15">
      <c r="A1759" s="5" t="str">
        <f>HYPERLINK("https://onemount.atlassian.net/browse/DBA-3422","DBA-3422")</f>
        <v>DBA-3422</v>
      </c>
      <c r="B1759" s="6" t="s">
        <v>21</v>
      </c>
      <c r="C1759" s="6" t="s">
        <v>7759</v>
      </c>
      <c r="D1759" s="8" t="s">
        <v>17</v>
      </c>
      <c r="E1759" s="6" t="s">
        <v>23</v>
      </c>
      <c r="F1759" s="6" t="s">
        <v>31</v>
      </c>
      <c r="G1759" s="6" t="s">
        <v>7760</v>
      </c>
      <c r="H1759" s="10">
        <v>46012</v>
      </c>
      <c r="I1759" s="6" t="s">
        <v>7761</v>
      </c>
      <c r="J1759" s="6" t="s">
        <v>1898</v>
      </c>
      <c r="K1759" s="6" t="s">
        <v>165</v>
      </c>
      <c r="L1759" s="6" t="s">
        <v>1097</v>
      </c>
      <c r="M1759" s="6" t="s">
        <v>7762</v>
      </c>
    </row>
    <row r="1760" spans="1:13" ht="13" x14ac:dyDescent="0.15">
      <c r="A1760" s="5" t="str">
        <f>HYPERLINK("https://onemount.atlassian.net/browse/DBA-3421","DBA-3421")</f>
        <v>DBA-3421</v>
      </c>
      <c r="B1760" s="6" t="s">
        <v>21</v>
      </c>
      <c r="C1760" s="6" t="s">
        <v>7763</v>
      </c>
      <c r="D1760" s="8" t="s">
        <v>17</v>
      </c>
      <c r="E1760" s="6" t="s">
        <v>23</v>
      </c>
      <c r="F1760" s="6" t="s">
        <v>24</v>
      </c>
      <c r="G1760" s="6" t="s">
        <v>7764</v>
      </c>
      <c r="H1760" s="10">
        <v>46010</v>
      </c>
      <c r="I1760" s="6" t="s">
        <v>7765</v>
      </c>
      <c r="J1760" s="6" t="s">
        <v>55</v>
      </c>
      <c r="K1760" s="6" t="s">
        <v>55</v>
      </c>
      <c r="L1760" s="6" t="s">
        <v>55</v>
      </c>
      <c r="M1760" s="6" t="s">
        <v>7766</v>
      </c>
    </row>
    <row r="1761" spans="1:13" ht="13" x14ac:dyDescent="0.15">
      <c r="A1761" s="5" t="str">
        <f>HYPERLINK("https://onemount.atlassian.net/browse/DBA-3420","DBA-3420")</f>
        <v>DBA-3420</v>
      </c>
      <c r="B1761" s="6" t="s">
        <v>21</v>
      </c>
      <c r="C1761" s="6" t="s">
        <v>7767</v>
      </c>
      <c r="D1761" s="8" t="s">
        <v>17</v>
      </c>
      <c r="E1761" s="6" t="s">
        <v>23</v>
      </c>
      <c r="F1761" s="6" t="s">
        <v>24</v>
      </c>
      <c r="G1761" s="6" t="s">
        <v>7768</v>
      </c>
      <c r="H1761" s="10">
        <v>46011</v>
      </c>
      <c r="I1761" s="6" t="s">
        <v>7769</v>
      </c>
      <c r="J1761" s="6" t="s">
        <v>55</v>
      </c>
      <c r="K1761" s="6" t="s">
        <v>55</v>
      </c>
      <c r="L1761" s="6" t="s">
        <v>55</v>
      </c>
      <c r="M1761" s="6" t="s">
        <v>7770</v>
      </c>
    </row>
    <row r="1762" spans="1:13" ht="13" x14ac:dyDescent="0.15">
      <c r="A1762" s="5" t="str">
        <f>HYPERLINK("https://onemount.atlassian.net/browse/DBA-3419","DBA-3419")</f>
        <v>DBA-3419</v>
      </c>
      <c r="B1762" s="6" t="s">
        <v>21</v>
      </c>
      <c r="C1762" s="6" t="s">
        <v>7771</v>
      </c>
      <c r="D1762" s="8" t="s">
        <v>17</v>
      </c>
      <c r="E1762" s="6" t="s">
        <v>23</v>
      </c>
      <c r="F1762" s="6" t="s">
        <v>41</v>
      </c>
      <c r="G1762" s="6" t="s">
        <v>7772</v>
      </c>
      <c r="H1762" s="10">
        <v>46011</v>
      </c>
      <c r="I1762" s="6" t="s">
        <v>7773</v>
      </c>
      <c r="J1762" s="6" t="s">
        <v>4343</v>
      </c>
      <c r="K1762" s="6" t="s">
        <v>59</v>
      </c>
      <c r="L1762" s="6" t="s">
        <v>99</v>
      </c>
      <c r="M1762" s="6" t="s">
        <v>7774</v>
      </c>
    </row>
    <row r="1763" spans="1:13" ht="13" x14ac:dyDescent="0.15">
      <c r="A1763" s="5" t="str">
        <f>HYPERLINK("https://onemount.atlassian.net/browse/DBA-3417","DBA-3417")</f>
        <v>DBA-3417</v>
      </c>
      <c r="B1763" s="6" t="s">
        <v>21</v>
      </c>
      <c r="C1763" s="6" t="s">
        <v>7775</v>
      </c>
      <c r="D1763" s="8" t="s">
        <v>17</v>
      </c>
      <c r="E1763" s="6" t="s">
        <v>23</v>
      </c>
      <c r="F1763" s="6" t="s">
        <v>24</v>
      </c>
      <c r="G1763" s="6" t="s">
        <v>7776</v>
      </c>
      <c r="H1763" s="10">
        <v>46011</v>
      </c>
      <c r="I1763" s="6" t="s">
        <v>7777</v>
      </c>
      <c r="J1763" s="6" t="s">
        <v>7778</v>
      </c>
      <c r="K1763" s="6" t="s">
        <v>55</v>
      </c>
      <c r="L1763" s="6" t="s">
        <v>56</v>
      </c>
      <c r="M1763" s="6" t="s">
        <v>7779</v>
      </c>
    </row>
    <row r="1764" spans="1:13" ht="13" x14ac:dyDescent="0.15">
      <c r="A1764" s="5" t="str">
        <f>HYPERLINK("https://onemount.atlassian.net/browse/DBA-3416","DBA-3416")</f>
        <v>DBA-3416</v>
      </c>
      <c r="B1764" s="6" t="s">
        <v>21</v>
      </c>
      <c r="C1764" s="6" t="s">
        <v>7780</v>
      </c>
      <c r="D1764" s="8" t="s">
        <v>17</v>
      </c>
      <c r="E1764" s="6" t="s">
        <v>23</v>
      </c>
      <c r="F1764" s="6" t="s">
        <v>24</v>
      </c>
      <c r="G1764" s="6" t="s">
        <v>7781</v>
      </c>
      <c r="H1764" s="10">
        <v>46011</v>
      </c>
      <c r="I1764" s="6" t="s">
        <v>7782</v>
      </c>
      <c r="J1764" s="6" t="s">
        <v>55</v>
      </c>
      <c r="K1764" s="6" t="s">
        <v>55</v>
      </c>
      <c r="L1764" s="6" t="s">
        <v>93</v>
      </c>
      <c r="M1764" s="6" t="s">
        <v>7783</v>
      </c>
    </row>
    <row r="1765" spans="1:13" ht="13" x14ac:dyDescent="0.15">
      <c r="A1765" s="5" t="str">
        <f>HYPERLINK("https://onemount.atlassian.net/browse/DBA-3415","DBA-3415")</f>
        <v>DBA-3415</v>
      </c>
      <c r="B1765" s="6" t="s">
        <v>21</v>
      </c>
      <c r="C1765" s="6" t="s">
        <v>7784</v>
      </c>
      <c r="D1765" s="8" t="s">
        <v>17</v>
      </c>
      <c r="E1765" s="6" t="s">
        <v>23</v>
      </c>
      <c r="F1765" s="6" t="s">
        <v>31</v>
      </c>
      <c r="G1765" s="6" t="s">
        <v>7785</v>
      </c>
      <c r="H1765" s="10">
        <v>46010</v>
      </c>
      <c r="I1765" s="6" t="s">
        <v>7786</v>
      </c>
      <c r="J1765" s="6" t="s">
        <v>1898</v>
      </c>
      <c r="K1765" s="6" t="s">
        <v>165</v>
      </c>
      <c r="L1765" s="6" t="s">
        <v>1097</v>
      </c>
      <c r="M1765" s="6" t="s">
        <v>7787</v>
      </c>
    </row>
    <row r="1766" spans="1:13" ht="13" x14ac:dyDescent="0.15">
      <c r="A1766" s="5" t="str">
        <f>HYPERLINK("https://onemount.atlassian.net/browse/DBA-3414","DBA-3414")</f>
        <v>DBA-3414</v>
      </c>
      <c r="B1766" s="6" t="s">
        <v>21</v>
      </c>
      <c r="C1766" s="6" t="s">
        <v>7788</v>
      </c>
      <c r="D1766" s="8" t="s">
        <v>17</v>
      </c>
      <c r="E1766" s="6" t="s">
        <v>23</v>
      </c>
      <c r="F1766" s="6" t="s">
        <v>31</v>
      </c>
      <c r="G1766" s="6" t="s">
        <v>7789</v>
      </c>
      <c r="H1766" s="10">
        <v>46010</v>
      </c>
      <c r="I1766" s="6" t="s">
        <v>7790</v>
      </c>
      <c r="J1766" s="6" t="s">
        <v>85</v>
      </c>
      <c r="K1766" s="6" t="s">
        <v>55</v>
      </c>
      <c r="L1766" s="6" t="s">
        <v>85</v>
      </c>
      <c r="M1766" s="6" t="s">
        <v>7791</v>
      </c>
    </row>
    <row r="1767" spans="1:13" ht="13" x14ac:dyDescent="0.15">
      <c r="A1767" s="5" t="str">
        <f>HYPERLINK("https://onemount.atlassian.net/browse/DBA-3413","DBA-3413")</f>
        <v>DBA-3413</v>
      </c>
      <c r="B1767" s="6" t="s">
        <v>21</v>
      </c>
      <c r="C1767" s="6" t="s">
        <v>7792</v>
      </c>
      <c r="D1767" s="8" t="s">
        <v>17</v>
      </c>
      <c r="E1767" s="6" t="s">
        <v>23</v>
      </c>
      <c r="F1767" s="6" t="s">
        <v>41</v>
      </c>
      <c r="G1767" s="6" t="s">
        <v>7793</v>
      </c>
      <c r="H1767" s="10">
        <v>46011</v>
      </c>
      <c r="I1767" s="6" t="s">
        <v>7794</v>
      </c>
      <c r="J1767" s="6" t="s">
        <v>85</v>
      </c>
      <c r="K1767" s="6" t="s">
        <v>55</v>
      </c>
      <c r="L1767" s="6" t="s">
        <v>85</v>
      </c>
      <c r="M1767" s="6" t="s">
        <v>7795</v>
      </c>
    </row>
    <row r="1768" spans="1:13" ht="13" x14ac:dyDescent="0.15">
      <c r="A1768" s="5" t="str">
        <f>HYPERLINK("https://onemount.atlassian.net/browse/DBA-3412","DBA-3412")</f>
        <v>DBA-3412</v>
      </c>
      <c r="B1768" s="6" t="s">
        <v>21</v>
      </c>
      <c r="C1768" s="6" t="s">
        <v>7796</v>
      </c>
      <c r="D1768" s="8" t="s">
        <v>17</v>
      </c>
      <c r="E1768" s="6" t="s">
        <v>23</v>
      </c>
      <c r="F1768" s="6" t="s">
        <v>24</v>
      </c>
      <c r="G1768" s="6" t="s">
        <v>7797</v>
      </c>
      <c r="H1768" s="10">
        <v>46010</v>
      </c>
      <c r="I1768" s="6" t="s">
        <v>7798</v>
      </c>
      <c r="J1768" s="6" t="s">
        <v>55</v>
      </c>
      <c r="K1768" s="6" t="s">
        <v>55</v>
      </c>
      <c r="L1768" s="6" t="s">
        <v>93</v>
      </c>
      <c r="M1768" s="6" t="s">
        <v>7799</v>
      </c>
    </row>
    <row r="1769" spans="1:13" ht="13" x14ac:dyDescent="0.15">
      <c r="A1769" s="5" t="str">
        <f>HYPERLINK("https://onemount.atlassian.net/browse/DBA-3411","DBA-3411")</f>
        <v>DBA-3411</v>
      </c>
      <c r="B1769" s="6" t="s">
        <v>21</v>
      </c>
      <c r="C1769" s="6" t="s">
        <v>7800</v>
      </c>
      <c r="D1769" s="8" t="s">
        <v>17</v>
      </c>
      <c r="E1769" s="6" t="s">
        <v>23</v>
      </c>
      <c r="F1769" s="6" t="s">
        <v>31</v>
      </c>
      <c r="G1769" s="6" t="s">
        <v>7801</v>
      </c>
      <c r="H1769" s="10">
        <v>46010</v>
      </c>
      <c r="I1769" s="6" t="s">
        <v>7802</v>
      </c>
      <c r="J1769" s="6" t="s">
        <v>1898</v>
      </c>
      <c r="K1769" s="6" t="s">
        <v>165</v>
      </c>
      <c r="L1769" s="6" t="s">
        <v>1097</v>
      </c>
      <c r="M1769" s="6" t="s">
        <v>7803</v>
      </c>
    </row>
    <row r="1770" spans="1:13" ht="13" x14ac:dyDescent="0.15">
      <c r="A1770" s="5" t="str">
        <f>HYPERLINK("https://onemount.atlassian.net/browse/DBA-3410","DBA-3410")</f>
        <v>DBA-3410</v>
      </c>
      <c r="B1770" s="6" t="s">
        <v>21</v>
      </c>
      <c r="C1770" s="6" t="s">
        <v>7804</v>
      </c>
      <c r="D1770" s="8" t="s">
        <v>17</v>
      </c>
      <c r="E1770" s="6" t="s">
        <v>23</v>
      </c>
      <c r="F1770" s="6" t="s">
        <v>31</v>
      </c>
      <c r="G1770" s="6" t="s">
        <v>7805</v>
      </c>
      <c r="H1770" s="10">
        <v>46009</v>
      </c>
      <c r="I1770" s="6" t="s">
        <v>7806</v>
      </c>
      <c r="J1770" s="6" t="s">
        <v>7807</v>
      </c>
      <c r="K1770" s="6" t="s">
        <v>55</v>
      </c>
      <c r="L1770" s="6" t="s">
        <v>254</v>
      </c>
      <c r="M1770" s="6" t="s">
        <v>7808</v>
      </c>
    </row>
    <row r="1771" spans="1:13" ht="13" x14ac:dyDescent="0.15">
      <c r="A1771" s="5" t="str">
        <f>HYPERLINK("https://onemount.atlassian.net/browse/DBA-3409","DBA-3409")</f>
        <v>DBA-3409</v>
      </c>
      <c r="B1771" s="6" t="s">
        <v>21</v>
      </c>
      <c r="C1771" s="6" t="s">
        <v>1466</v>
      </c>
      <c r="D1771" s="8" t="s">
        <v>17</v>
      </c>
      <c r="E1771" s="6" t="s">
        <v>23</v>
      </c>
      <c r="F1771" s="6" t="s">
        <v>31</v>
      </c>
      <c r="G1771" s="6" t="s">
        <v>7809</v>
      </c>
      <c r="H1771" s="10">
        <v>46010</v>
      </c>
      <c r="I1771" s="6" t="s">
        <v>7810</v>
      </c>
      <c r="J1771" s="6" t="s">
        <v>852</v>
      </c>
      <c r="K1771" s="6" t="s">
        <v>55</v>
      </c>
      <c r="L1771" s="6" t="s">
        <v>855</v>
      </c>
      <c r="M1771" s="6" t="s">
        <v>7811</v>
      </c>
    </row>
    <row r="1772" spans="1:13" ht="13" x14ac:dyDescent="0.15">
      <c r="A1772" s="5" t="str">
        <f>HYPERLINK("https://onemount.atlassian.net/browse/DBA-3408","DBA-3408")</f>
        <v>DBA-3408</v>
      </c>
      <c r="B1772" s="6" t="s">
        <v>21</v>
      </c>
      <c r="C1772" s="6" t="s">
        <v>7812</v>
      </c>
      <c r="D1772" s="8" t="s">
        <v>17</v>
      </c>
      <c r="E1772" s="6" t="s">
        <v>23</v>
      </c>
      <c r="F1772" s="6" t="s">
        <v>31</v>
      </c>
      <c r="G1772" s="6" t="s">
        <v>7813</v>
      </c>
      <c r="H1772" s="10">
        <v>46009</v>
      </c>
      <c r="I1772" s="6" t="s">
        <v>7814</v>
      </c>
      <c r="J1772" s="6" t="s">
        <v>852</v>
      </c>
      <c r="K1772" s="6" t="s">
        <v>55</v>
      </c>
      <c r="L1772" s="6" t="s">
        <v>855</v>
      </c>
      <c r="M1772" s="6" t="s">
        <v>7815</v>
      </c>
    </row>
    <row r="1773" spans="1:13" ht="13" x14ac:dyDescent="0.15">
      <c r="A1773" s="21" t="str">
        <f>HYPERLINK("https://onemount.atlassian.net/browse/DBA-3407","DBA-3407")</f>
        <v>DBA-3407</v>
      </c>
      <c r="B1773" s="6" t="s">
        <v>21</v>
      </c>
      <c r="C1773" s="6" t="s">
        <v>2684</v>
      </c>
      <c r="D1773" s="8" t="s">
        <v>17</v>
      </c>
      <c r="E1773" s="6" t="s">
        <v>23</v>
      </c>
      <c r="F1773" s="6" t="s">
        <v>31</v>
      </c>
      <c r="G1773" s="6" t="s">
        <v>7816</v>
      </c>
      <c r="H1773" s="10">
        <v>46009</v>
      </c>
      <c r="I1773" s="6" t="s">
        <v>7817</v>
      </c>
      <c r="J1773" s="6" t="s">
        <v>2687</v>
      </c>
      <c r="K1773" s="6" t="s">
        <v>46</v>
      </c>
      <c r="L1773" s="6" t="s">
        <v>404</v>
      </c>
      <c r="M1773" s="6" t="s">
        <v>6515</v>
      </c>
    </row>
    <row r="1774" spans="1:13" ht="13" x14ac:dyDescent="0.15">
      <c r="A1774" s="5" t="str">
        <f>HYPERLINK("https://onemount.atlassian.net/browse/DBA-3404","DBA-3404")</f>
        <v>DBA-3404</v>
      </c>
      <c r="B1774" s="6" t="s">
        <v>21</v>
      </c>
      <c r="C1774" s="6" t="s">
        <v>7818</v>
      </c>
      <c r="D1774" s="8" t="s">
        <v>17</v>
      </c>
      <c r="E1774" s="6" t="s">
        <v>23</v>
      </c>
      <c r="F1774" s="6" t="s">
        <v>41</v>
      </c>
      <c r="G1774" s="6" t="s">
        <v>7819</v>
      </c>
      <c r="H1774" s="10">
        <v>46009</v>
      </c>
      <c r="I1774" s="6" t="s">
        <v>7820</v>
      </c>
      <c r="J1774" s="6" t="s">
        <v>3369</v>
      </c>
      <c r="K1774" s="6" t="s">
        <v>168</v>
      </c>
      <c r="L1774" s="6" t="s">
        <v>1082</v>
      </c>
      <c r="M1774" s="6" t="s">
        <v>7821</v>
      </c>
    </row>
    <row r="1775" spans="1:13" ht="13" x14ac:dyDescent="0.15">
      <c r="A1775" s="5" t="str">
        <f>HYPERLINK("https://onemount.atlassian.net/browse/DBA-3403","DBA-3403")</f>
        <v>DBA-3403</v>
      </c>
      <c r="B1775" s="23" t="str">
        <f>HYPERLINK("https://onemount.atlassian.net/browse/DBA-2062","DBA-2062")</f>
        <v>DBA-2062</v>
      </c>
      <c r="C1775" s="6" t="s">
        <v>7822</v>
      </c>
      <c r="D1775" s="8" t="s">
        <v>17</v>
      </c>
      <c r="E1775" s="6" t="s">
        <v>428</v>
      </c>
      <c r="F1775" s="6" t="s">
        <v>24</v>
      </c>
      <c r="G1775" s="6" t="s">
        <v>7823</v>
      </c>
      <c r="H1775" s="10">
        <v>46009</v>
      </c>
      <c r="I1775" s="6" t="s">
        <v>7824</v>
      </c>
      <c r="J1775" s="6" t="s">
        <v>7825</v>
      </c>
      <c r="K1775" s="6" t="s">
        <v>55</v>
      </c>
      <c r="L1775" s="6" t="s">
        <v>793</v>
      </c>
      <c r="M1775" s="6" t="s">
        <v>7826</v>
      </c>
    </row>
    <row r="1776" spans="1:13" ht="13" x14ac:dyDescent="0.15">
      <c r="A1776" s="5" t="str">
        <f>HYPERLINK("https://onemount.atlassian.net/browse/DBA-3402","DBA-3402")</f>
        <v>DBA-3402</v>
      </c>
      <c r="B1776" s="23" t="str">
        <f t="shared" ref="B1776:B1780" si="22">HYPERLINK("https://onemount.atlassian.net/browse/DBA-2635","DBA-2635")</f>
        <v>DBA-2635</v>
      </c>
      <c r="C1776" s="6" t="s">
        <v>7827</v>
      </c>
      <c r="D1776" s="8" t="s">
        <v>17</v>
      </c>
      <c r="E1776" s="6" t="s">
        <v>428</v>
      </c>
      <c r="F1776" s="6" t="s">
        <v>41</v>
      </c>
      <c r="G1776" s="6" t="s">
        <v>7828</v>
      </c>
      <c r="H1776" s="10">
        <v>46010</v>
      </c>
      <c r="I1776" s="6" t="s">
        <v>7829</v>
      </c>
      <c r="J1776" s="6" t="s">
        <v>72</v>
      </c>
      <c r="K1776" s="6" t="s">
        <v>72</v>
      </c>
      <c r="L1776" s="6" t="s">
        <v>72</v>
      </c>
      <c r="M1776" s="6" t="s">
        <v>7830</v>
      </c>
    </row>
    <row r="1777" spans="1:13" ht="13" x14ac:dyDescent="0.15">
      <c r="A1777" s="5" t="str">
        <f>HYPERLINK("https://onemount.atlassian.net/browse/DBA-3401","DBA-3401")</f>
        <v>DBA-3401</v>
      </c>
      <c r="B1777" s="23" t="str">
        <f t="shared" si="22"/>
        <v>DBA-2635</v>
      </c>
      <c r="C1777" s="6" t="s">
        <v>7831</v>
      </c>
      <c r="D1777" s="8" t="s">
        <v>17</v>
      </c>
      <c r="E1777" s="6" t="s">
        <v>428</v>
      </c>
      <c r="F1777" s="6" t="s">
        <v>41</v>
      </c>
      <c r="G1777" s="6" t="s">
        <v>7832</v>
      </c>
      <c r="H1777" s="10">
        <v>46010</v>
      </c>
      <c r="I1777" s="6" t="s">
        <v>7833</v>
      </c>
      <c r="J1777" s="6" t="s">
        <v>72</v>
      </c>
      <c r="K1777" s="6" t="s">
        <v>72</v>
      </c>
      <c r="L1777" s="6" t="s">
        <v>72</v>
      </c>
      <c r="M1777" s="6" t="s">
        <v>7834</v>
      </c>
    </row>
    <row r="1778" spans="1:13" ht="13" x14ac:dyDescent="0.15">
      <c r="A1778" s="5" t="str">
        <f>HYPERLINK("https://onemount.atlassian.net/browse/DBA-3400","DBA-3400")</f>
        <v>DBA-3400</v>
      </c>
      <c r="B1778" s="23" t="str">
        <f t="shared" si="22"/>
        <v>DBA-2635</v>
      </c>
      <c r="C1778" s="6" t="s">
        <v>7835</v>
      </c>
      <c r="D1778" s="8" t="s">
        <v>17</v>
      </c>
      <c r="E1778" s="6" t="s">
        <v>428</v>
      </c>
      <c r="F1778" s="6" t="s">
        <v>41</v>
      </c>
      <c r="G1778" s="6" t="s">
        <v>7836</v>
      </c>
      <c r="H1778" s="10">
        <v>46010</v>
      </c>
      <c r="I1778" s="6" t="s">
        <v>7837</v>
      </c>
      <c r="J1778" s="6" t="s">
        <v>72</v>
      </c>
      <c r="K1778" s="6" t="s">
        <v>72</v>
      </c>
      <c r="L1778" s="6" t="s">
        <v>72</v>
      </c>
      <c r="M1778" s="6" t="s">
        <v>7838</v>
      </c>
    </row>
    <row r="1779" spans="1:13" ht="13" x14ac:dyDescent="0.15">
      <c r="A1779" s="5" t="str">
        <f>HYPERLINK("https://onemount.atlassian.net/browse/DBA-3399","DBA-3399")</f>
        <v>DBA-3399</v>
      </c>
      <c r="B1779" s="23" t="str">
        <f t="shared" si="22"/>
        <v>DBA-2635</v>
      </c>
      <c r="C1779" s="6" t="s">
        <v>7839</v>
      </c>
      <c r="D1779" s="8" t="s">
        <v>17</v>
      </c>
      <c r="E1779" s="6" t="s">
        <v>428</v>
      </c>
      <c r="F1779" s="6" t="s">
        <v>41</v>
      </c>
      <c r="G1779" s="6" t="s">
        <v>7840</v>
      </c>
      <c r="H1779" s="10">
        <v>46010</v>
      </c>
      <c r="I1779" s="6" t="s">
        <v>7841</v>
      </c>
      <c r="J1779" s="6" t="s">
        <v>72</v>
      </c>
      <c r="K1779" s="6" t="s">
        <v>72</v>
      </c>
      <c r="L1779" s="6" t="s">
        <v>72</v>
      </c>
      <c r="M1779" s="6" t="s">
        <v>7842</v>
      </c>
    </row>
    <row r="1780" spans="1:13" ht="13" x14ac:dyDescent="0.15">
      <c r="A1780" s="5" t="str">
        <f>HYPERLINK("https://onemount.atlassian.net/browse/DBA-3398","DBA-3398")</f>
        <v>DBA-3398</v>
      </c>
      <c r="B1780" s="23" t="str">
        <f t="shared" si="22"/>
        <v>DBA-2635</v>
      </c>
      <c r="C1780" s="6" t="s">
        <v>7843</v>
      </c>
      <c r="D1780" s="8" t="s">
        <v>17</v>
      </c>
      <c r="E1780" s="6" t="s">
        <v>428</v>
      </c>
      <c r="F1780" s="6" t="s">
        <v>41</v>
      </c>
      <c r="G1780" s="6" t="s">
        <v>7844</v>
      </c>
      <c r="H1780" s="10">
        <v>46010</v>
      </c>
      <c r="I1780" s="6" t="s">
        <v>7845</v>
      </c>
      <c r="J1780" s="6" t="s">
        <v>72</v>
      </c>
      <c r="K1780" s="6" t="s">
        <v>72</v>
      </c>
      <c r="L1780" s="6" t="s">
        <v>72</v>
      </c>
      <c r="M1780" s="6" t="s">
        <v>7846</v>
      </c>
    </row>
    <row r="1781" spans="1:13" ht="13" x14ac:dyDescent="0.15">
      <c r="A1781" s="21" t="str">
        <f>HYPERLINK("https://onemount.atlassian.net/browse/DBA-3396","DBA-3396")</f>
        <v>DBA-3396</v>
      </c>
      <c r="B1781" s="6" t="s">
        <v>21</v>
      </c>
      <c r="C1781" s="6" t="s">
        <v>2684</v>
      </c>
      <c r="D1781" s="8" t="s">
        <v>17</v>
      </c>
      <c r="E1781" s="6" t="s">
        <v>23</v>
      </c>
      <c r="F1781" s="6" t="s">
        <v>31</v>
      </c>
      <c r="G1781" s="6" t="s">
        <v>7847</v>
      </c>
      <c r="H1781" s="10">
        <v>46008</v>
      </c>
      <c r="I1781" s="6" t="s">
        <v>7848</v>
      </c>
      <c r="J1781" s="6" t="s">
        <v>2687</v>
      </c>
      <c r="K1781" s="6" t="s">
        <v>46</v>
      </c>
      <c r="L1781" s="6" t="s">
        <v>404</v>
      </c>
      <c r="M1781" s="6" t="s">
        <v>6515</v>
      </c>
    </row>
    <row r="1782" spans="1:13" ht="13" x14ac:dyDescent="0.15">
      <c r="A1782" s="5" t="str">
        <f>HYPERLINK("https://onemount.atlassian.net/browse/DBA-3395","DBA-3395")</f>
        <v>DBA-3395</v>
      </c>
      <c r="B1782" s="6" t="s">
        <v>21</v>
      </c>
      <c r="C1782" s="6" t="s">
        <v>7849</v>
      </c>
      <c r="D1782" s="8" t="s">
        <v>17</v>
      </c>
      <c r="E1782" s="6" t="s">
        <v>23</v>
      </c>
      <c r="F1782" s="6" t="s">
        <v>24</v>
      </c>
      <c r="G1782" s="6" t="s">
        <v>7850</v>
      </c>
      <c r="H1782" s="10">
        <v>46009</v>
      </c>
      <c r="I1782" s="6" t="s">
        <v>7851</v>
      </c>
      <c r="J1782" s="6" t="s">
        <v>2281</v>
      </c>
      <c r="K1782" s="6" t="s">
        <v>55</v>
      </c>
      <c r="L1782" s="6" t="s">
        <v>254</v>
      </c>
      <c r="M1782" s="6" t="s">
        <v>7852</v>
      </c>
    </row>
    <row r="1783" spans="1:13" ht="13" x14ac:dyDescent="0.15">
      <c r="A1783" s="5" t="str">
        <f>HYPERLINK("https://onemount.atlassian.net/browse/DBA-3394","DBA-3394")</f>
        <v>DBA-3394</v>
      </c>
      <c r="B1783" s="6" t="s">
        <v>21</v>
      </c>
      <c r="C1783" s="6" t="s">
        <v>7853</v>
      </c>
      <c r="D1783" s="8" t="s">
        <v>17</v>
      </c>
      <c r="E1783" s="6" t="s">
        <v>23</v>
      </c>
      <c r="F1783" s="6" t="s">
        <v>24</v>
      </c>
      <c r="G1783" s="6" t="s">
        <v>7854</v>
      </c>
      <c r="H1783" s="10">
        <v>46008</v>
      </c>
      <c r="I1783" s="6" t="s">
        <v>7855</v>
      </c>
      <c r="J1783" s="6" t="s">
        <v>3141</v>
      </c>
      <c r="K1783" s="6" t="s">
        <v>165</v>
      </c>
      <c r="L1783" s="6" t="s">
        <v>145</v>
      </c>
      <c r="M1783" s="6" t="s">
        <v>7856</v>
      </c>
    </row>
    <row r="1784" spans="1:13" ht="13" x14ac:dyDescent="0.15">
      <c r="A1784" s="5" t="str">
        <f>HYPERLINK("https://onemount.atlassian.net/browse/DBA-3393","DBA-3393")</f>
        <v>DBA-3393</v>
      </c>
      <c r="B1784" s="6" t="s">
        <v>21</v>
      </c>
      <c r="C1784" s="6" t="s">
        <v>7857</v>
      </c>
      <c r="D1784" s="8" t="s">
        <v>17</v>
      </c>
      <c r="E1784" s="6" t="s">
        <v>23</v>
      </c>
      <c r="F1784" s="6" t="s">
        <v>24</v>
      </c>
      <c r="G1784" s="6" t="s">
        <v>7858</v>
      </c>
      <c r="H1784" s="10">
        <v>46009</v>
      </c>
      <c r="I1784" s="6" t="s">
        <v>7859</v>
      </c>
      <c r="J1784" s="6" t="s">
        <v>119</v>
      </c>
      <c r="K1784" s="6" t="s">
        <v>165</v>
      </c>
      <c r="L1784" s="6" t="s">
        <v>119</v>
      </c>
      <c r="M1784" s="6" t="s">
        <v>7860</v>
      </c>
    </row>
    <row r="1785" spans="1:13" ht="13" x14ac:dyDescent="0.15">
      <c r="A1785" s="5" t="str">
        <f>HYPERLINK("https://onemount.atlassian.net/browse/DBA-3392","DBA-3392")</f>
        <v>DBA-3392</v>
      </c>
      <c r="B1785" s="6" t="s">
        <v>21</v>
      </c>
      <c r="C1785" s="6" t="s">
        <v>6266</v>
      </c>
      <c r="D1785" s="8" t="s">
        <v>17</v>
      </c>
      <c r="E1785" s="6" t="s">
        <v>23</v>
      </c>
      <c r="F1785" s="6" t="s">
        <v>41</v>
      </c>
      <c r="G1785" s="6" t="s">
        <v>7861</v>
      </c>
      <c r="H1785" s="10">
        <v>46008</v>
      </c>
      <c r="I1785" s="6" t="s">
        <v>7862</v>
      </c>
      <c r="J1785" s="6" t="s">
        <v>6269</v>
      </c>
      <c r="K1785" s="6" t="s">
        <v>28</v>
      </c>
      <c r="L1785" s="6" t="s">
        <v>1000</v>
      </c>
      <c r="M1785" s="6" t="s">
        <v>7863</v>
      </c>
    </row>
    <row r="1786" spans="1:13" ht="13" x14ac:dyDescent="0.15">
      <c r="A1786" s="5" t="str">
        <f>HYPERLINK("https://onemount.atlassian.net/browse/DBA-3391","DBA-3391")</f>
        <v>DBA-3391</v>
      </c>
      <c r="B1786" s="6" t="s">
        <v>21</v>
      </c>
      <c r="C1786" s="6" t="s">
        <v>7864</v>
      </c>
      <c r="D1786" s="8" t="s">
        <v>17</v>
      </c>
      <c r="E1786" s="6" t="s">
        <v>23</v>
      </c>
      <c r="F1786" s="6" t="s">
        <v>31</v>
      </c>
      <c r="G1786" s="6" t="s">
        <v>7865</v>
      </c>
      <c r="H1786" s="10">
        <v>46008</v>
      </c>
      <c r="I1786" s="6" t="s">
        <v>7866</v>
      </c>
      <c r="J1786" s="6" t="s">
        <v>3443</v>
      </c>
      <c r="K1786" s="6" t="s">
        <v>35</v>
      </c>
      <c r="L1786" s="6" t="s">
        <v>36</v>
      </c>
      <c r="M1786" s="6" t="s">
        <v>7867</v>
      </c>
    </row>
    <row r="1787" spans="1:13" ht="13" x14ac:dyDescent="0.15">
      <c r="A1787" s="5" t="str">
        <f>HYPERLINK("https://onemount.atlassian.net/browse/DBA-3390","DBA-3390")</f>
        <v>DBA-3390</v>
      </c>
      <c r="B1787" s="6" t="s">
        <v>21</v>
      </c>
      <c r="C1787" s="6" t="s">
        <v>7868</v>
      </c>
      <c r="D1787" s="8" t="s">
        <v>17</v>
      </c>
      <c r="E1787" s="6" t="s">
        <v>23</v>
      </c>
      <c r="F1787" s="6" t="s">
        <v>31</v>
      </c>
      <c r="G1787" s="6" t="s">
        <v>7869</v>
      </c>
      <c r="H1787" s="10">
        <v>46008</v>
      </c>
      <c r="I1787" s="6" t="s">
        <v>7870</v>
      </c>
      <c r="J1787" s="6" t="s">
        <v>7871</v>
      </c>
      <c r="K1787" s="6" t="s">
        <v>35</v>
      </c>
      <c r="L1787" s="6" t="s">
        <v>962</v>
      </c>
      <c r="M1787" s="6" t="s">
        <v>7872</v>
      </c>
    </row>
    <row r="1788" spans="1:13" ht="13" x14ac:dyDescent="0.15">
      <c r="A1788" s="5" t="str">
        <f>HYPERLINK("https://onemount.atlassian.net/browse/DBA-3389","DBA-3389")</f>
        <v>DBA-3389</v>
      </c>
      <c r="B1788" s="6" t="s">
        <v>21</v>
      </c>
      <c r="C1788" s="6" t="s">
        <v>7873</v>
      </c>
      <c r="D1788" s="8" t="s">
        <v>17</v>
      </c>
      <c r="E1788" s="6" t="s">
        <v>23</v>
      </c>
      <c r="F1788" s="6" t="s">
        <v>31</v>
      </c>
      <c r="G1788" s="6" t="s">
        <v>7874</v>
      </c>
      <c r="H1788" s="10">
        <v>46009</v>
      </c>
      <c r="I1788" s="6" t="s">
        <v>7875</v>
      </c>
      <c r="J1788" s="6" t="s">
        <v>2984</v>
      </c>
      <c r="K1788" s="6" t="s">
        <v>35</v>
      </c>
      <c r="L1788" s="6" t="s">
        <v>638</v>
      </c>
      <c r="M1788" s="6" t="s">
        <v>7876</v>
      </c>
    </row>
    <row r="1789" spans="1:13" ht="13" x14ac:dyDescent="0.15">
      <c r="A1789" s="5" t="str">
        <f>HYPERLINK("https://onemount.atlassian.net/browse/DBA-3388","DBA-3388")</f>
        <v>DBA-3388</v>
      </c>
      <c r="B1789" s="6" t="s">
        <v>21</v>
      </c>
      <c r="C1789" s="6" t="s">
        <v>7491</v>
      </c>
      <c r="D1789" s="8" t="s">
        <v>17</v>
      </c>
      <c r="E1789" s="6" t="s">
        <v>23</v>
      </c>
      <c r="F1789" s="6" t="s">
        <v>31</v>
      </c>
      <c r="G1789" s="6" t="s">
        <v>7877</v>
      </c>
      <c r="H1789" s="10">
        <v>46008</v>
      </c>
      <c r="I1789" s="6" t="s">
        <v>7878</v>
      </c>
      <c r="J1789" s="6" t="s">
        <v>128</v>
      </c>
      <c r="K1789" s="6" t="s">
        <v>35</v>
      </c>
      <c r="L1789" s="6" t="s">
        <v>129</v>
      </c>
      <c r="M1789" s="6" t="s">
        <v>7879</v>
      </c>
    </row>
    <row r="1790" spans="1:13" ht="13" x14ac:dyDescent="0.15">
      <c r="A1790" s="21" t="str">
        <f>HYPERLINK("https://onemount.atlassian.net/browse/DBA-3387","DBA-3387")</f>
        <v>DBA-3387</v>
      </c>
      <c r="B1790" s="6" t="s">
        <v>21</v>
      </c>
      <c r="C1790" s="6" t="s">
        <v>2684</v>
      </c>
      <c r="D1790" s="8" t="s">
        <v>17</v>
      </c>
      <c r="E1790" s="6" t="s">
        <v>23</v>
      </c>
      <c r="F1790" s="6" t="s">
        <v>31</v>
      </c>
      <c r="G1790" s="6" t="s">
        <v>7880</v>
      </c>
      <c r="H1790" s="10">
        <v>46007</v>
      </c>
      <c r="I1790" s="6" t="s">
        <v>7881</v>
      </c>
      <c r="J1790" s="6" t="s">
        <v>2687</v>
      </c>
      <c r="K1790" s="6" t="s">
        <v>46</v>
      </c>
      <c r="L1790" s="6" t="s">
        <v>404</v>
      </c>
      <c r="M1790" s="6" t="s">
        <v>6515</v>
      </c>
    </row>
    <row r="1791" spans="1:13" ht="13" x14ac:dyDescent="0.15">
      <c r="A1791" s="5" t="str">
        <f>HYPERLINK("https://onemount.atlassian.net/browse/DBA-3386","DBA-3386")</f>
        <v>DBA-3386</v>
      </c>
      <c r="B1791" s="6" t="s">
        <v>21</v>
      </c>
      <c r="C1791" s="6" t="s">
        <v>7882</v>
      </c>
      <c r="D1791" s="8" t="s">
        <v>17</v>
      </c>
      <c r="E1791" s="6" t="s">
        <v>23</v>
      </c>
      <c r="F1791" s="6" t="s">
        <v>24</v>
      </c>
      <c r="G1791" s="6" t="s">
        <v>7883</v>
      </c>
      <c r="H1791" s="10">
        <v>46007</v>
      </c>
      <c r="I1791" s="6" t="s">
        <v>7884</v>
      </c>
      <c r="J1791" s="6" t="s">
        <v>2869</v>
      </c>
      <c r="K1791" s="6" t="s">
        <v>46</v>
      </c>
      <c r="L1791" s="6" t="s">
        <v>164</v>
      </c>
      <c r="M1791" s="6" t="s">
        <v>7885</v>
      </c>
    </row>
    <row r="1792" spans="1:13" ht="13" x14ac:dyDescent="0.15">
      <c r="A1792" s="5" t="str">
        <f>HYPERLINK("https://onemount.atlassian.net/browse/DBA-3385","DBA-3385")</f>
        <v>DBA-3385</v>
      </c>
      <c r="B1792" s="6" t="s">
        <v>21</v>
      </c>
      <c r="C1792" s="6" t="s">
        <v>7886</v>
      </c>
      <c r="D1792" s="8" t="s">
        <v>17</v>
      </c>
      <c r="E1792" s="6" t="s">
        <v>23</v>
      </c>
      <c r="F1792" s="6" t="s">
        <v>24</v>
      </c>
      <c r="G1792" s="6" t="s">
        <v>7887</v>
      </c>
      <c r="H1792" s="10">
        <v>46010</v>
      </c>
      <c r="I1792" s="6" t="s">
        <v>7888</v>
      </c>
      <c r="J1792" s="6" t="s">
        <v>132</v>
      </c>
      <c r="K1792" s="6" t="s">
        <v>46</v>
      </c>
      <c r="L1792" s="6" t="s">
        <v>132</v>
      </c>
      <c r="M1792" s="6" t="s">
        <v>7889</v>
      </c>
    </row>
    <row r="1793" spans="1:13" ht="13" x14ac:dyDescent="0.15">
      <c r="A1793" s="5" t="str">
        <f>HYPERLINK("https://onemount.atlassian.net/browse/DBA-3384","DBA-3384")</f>
        <v>DBA-3384</v>
      </c>
      <c r="B1793" s="6" t="s">
        <v>21</v>
      </c>
      <c r="C1793" s="6" t="s">
        <v>7890</v>
      </c>
      <c r="D1793" s="8" t="s">
        <v>17</v>
      </c>
      <c r="E1793" s="6" t="s">
        <v>23</v>
      </c>
      <c r="F1793" s="6" t="s">
        <v>31</v>
      </c>
      <c r="G1793" s="6" t="s">
        <v>7891</v>
      </c>
      <c r="H1793" s="10">
        <v>46008</v>
      </c>
      <c r="I1793" s="6" t="s">
        <v>7892</v>
      </c>
      <c r="J1793" s="6" t="s">
        <v>913</v>
      </c>
      <c r="K1793" s="6" t="s">
        <v>165</v>
      </c>
      <c r="L1793" s="6" t="s">
        <v>288</v>
      </c>
      <c r="M1793" s="6" t="s">
        <v>7893</v>
      </c>
    </row>
    <row r="1794" spans="1:13" ht="13" x14ac:dyDescent="0.15">
      <c r="A1794" s="5" t="str">
        <f>HYPERLINK("https://onemount.atlassian.net/browse/DBA-3381","DBA-3381")</f>
        <v>DBA-3381</v>
      </c>
      <c r="B1794" s="6" t="s">
        <v>21</v>
      </c>
      <c r="C1794" s="6" t="s">
        <v>7894</v>
      </c>
      <c r="D1794" s="8" t="s">
        <v>17</v>
      </c>
      <c r="E1794" s="6" t="s">
        <v>23</v>
      </c>
      <c r="F1794" s="6" t="s">
        <v>24</v>
      </c>
      <c r="G1794" s="6" t="s">
        <v>7895</v>
      </c>
      <c r="H1794" s="10">
        <v>46007</v>
      </c>
      <c r="I1794" s="6" t="s">
        <v>7896</v>
      </c>
      <c r="J1794" s="6" t="s">
        <v>7897</v>
      </c>
      <c r="K1794" s="6" t="s">
        <v>55</v>
      </c>
      <c r="L1794" s="6" t="s">
        <v>55</v>
      </c>
      <c r="M1794" s="6" t="s">
        <v>7898</v>
      </c>
    </row>
    <row r="1795" spans="1:13" ht="13" x14ac:dyDescent="0.15">
      <c r="A1795" s="5" t="str">
        <f>HYPERLINK("https://onemount.atlassian.net/browse/DBA-3379","DBA-3379")</f>
        <v>DBA-3379</v>
      </c>
      <c r="B1795" s="6" t="s">
        <v>21</v>
      </c>
      <c r="C1795" s="6" t="s">
        <v>7899</v>
      </c>
      <c r="D1795" s="8" t="s">
        <v>17</v>
      </c>
      <c r="E1795" s="6" t="s">
        <v>23</v>
      </c>
      <c r="F1795" s="6" t="s">
        <v>87</v>
      </c>
      <c r="G1795" s="6" t="s">
        <v>7900</v>
      </c>
      <c r="H1795" s="10">
        <v>46007</v>
      </c>
      <c r="I1795" s="6" t="s">
        <v>7901</v>
      </c>
      <c r="J1795" s="6" t="s">
        <v>1898</v>
      </c>
      <c r="K1795" s="6" t="s">
        <v>165</v>
      </c>
      <c r="L1795" s="6" t="s">
        <v>1097</v>
      </c>
      <c r="M1795" s="6" t="s">
        <v>7902</v>
      </c>
    </row>
    <row r="1796" spans="1:13" ht="13" x14ac:dyDescent="0.15">
      <c r="A1796" s="5" t="str">
        <f>HYPERLINK("https://onemount.atlassian.net/browse/DBA-3378","DBA-3378")</f>
        <v>DBA-3378</v>
      </c>
      <c r="B1796" s="6" t="s">
        <v>21</v>
      </c>
      <c r="C1796" s="6" t="s">
        <v>7903</v>
      </c>
      <c r="D1796" s="8" t="s">
        <v>17</v>
      </c>
      <c r="E1796" s="6" t="s">
        <v>23</v>
      </c>
      <c r="F1796" s="6" t="s">
        <v>24</v>
      </c>
      <c r="G1796" s="6" t="s">
        <v>7904</v>
      </c>
      <c r="H1796" s="10">
        <v>46007</v>
      </c>
      <c r="I1796" s="6" t="s">
        <v>7905</v>
      </c>
      <c r="J1796" s="6" t="s">
        <v>7778</v>
      </c>
      <c r="K1796" s="6" t="s">
        <v>55</v>
      </c>
      <c r="L1796" s="6" t="s">
        <v>56</v>
      </c>
      <c r="M1796" s="6" t="s">
        <v>7906</v>
      </c>
    </row>
    <row r="1797" spans="1:13" ht="13" x14ac:dyDescent="0.15">
      <c r="A1797" s="5" t="str">
        <f>HYPERLINK("https://onemount.atlassian.net/browse/DBA-3377","DBA-3377")</f>
        <v>DBA-3377</v>
      </c>
      <c r="B1797" s="6" t="s">
        <v>21</v>
      </c>
      <c r="C1797" s="6" t="s">
        <v>7907</v>
      </c>
      <c r="D1797" s="8" t="s">
        <v>17</v>
      </c>
      <c r="E1797" s="6" t="s">
        <v>23</v>
      </c>
      <c r="F1797" s="6" t="s">
        <v>31</v>
      </c>
      <c r="G1797" s="6" t="s">
        <v>7908</v>
      </c>
      <c r="H1797" s="10">
        <v>46005</v>
      </c>
      <c r="I1797" s="6" t="s">
        <v>7909</v>
      </c>
      <c r="J1797" s="6" t="s">
        <v>6575</v>
      </c>
      <c r="K1797" s="6" t="s">
        <v>35</v>
      </c>
      <c r="L1797" s="6" t="s">
        <v>962</v>
      </c>
      <c r="M1797" s="6" t="s">
        <v>7910</v>
      </c>
    </row>
    <row r="1798" spans="1:13" ht="13" x14ac:dyDescent="0.15">
      <c r="A1798" s="5" t="str">
        <f>HYPERLINK("https://onemount.atlassian.net/browse/DBA-3376","DBA-3376")</f>
        <v>DBA-3376</v>
      </c>
      <c r="B1798" s="6" t="s">
        <v>21</v>
      </c>
      <c r="C1798" s="6" t="s">
        <v>7911</v>
      </c>
      <c r="D1798" s="8" t="s">
        <v>17</v>
      </c>
      <c r="E1798" s="6" t="s">
        <v>23</v>
      </c>
      <c r="F1798" s="6" t="s">
        <v>31</v>
      </c>
      <c r="G1798" s="6" t="s">
        <v>7912</v>
      </c>
      <c r="H1798" s="10">
        <v>46006</v>
      </c>
      <c r="I1798" s="6" t="s">
        <v>7913</v>
      </c>
      <c r="J1798" s="6" t="s">
        <v>5564</v>
      </c>
      <c r="K1798" s="6" t="s">
        <v>55</v>
      </c>
      <c r="L1798" s="6" t="s">
        <v>692</v>
      </c>
      <c r="M1798" s="6" t="s">
        <v>7914</v>
      </c>
    </row>
    <row r="1799" spans="1:13" ht="13" x14ac:dyDescent="0.15">
      <c r="A1799" s="5" t="str">
        <f>HYPERLINK("https://onemount.atlassian.net/browse/DBA-3375","DBA-3375")</f>
        <v>DBA-3375</v>
      </c>
      <c r="B1799" s="6" t="s">
        <v>21</v>
      </c>
      <c r="C1799" s="6" t="s">
        <v>7915</v>
      </c>
      <c r="D1799" s="8" t="s">
        <v>17</v>
      </c>
      <c r="E1799" s="6" t="s">
        <v>23</v>
      </c>
      <c r="F1799" s="6" t="s">
        <v>31</v>
      </c>
      <c r="G1799" s="6" t="s">
        <v>7916</v>
      </c>
      <c r="H1799" s="10">
        <v>46006</v>
      </c>
      <c r="I1799" s="6" t="s">
        <v>7917</v>
      </c>
      <c r="J1799" s="6" t="s">
        <v>85</v>
      </c>
      <c r="K1799" s="6" t="s">
        <v>55</v>
      </c>
      <c r="L1799" s="6" t="s">
        <v>85</v>
      </c>
      <c r="M1799" s="6" t="s">
        <v>7918</v>
      </c>
    </row>
    <row r="1800" spans="1:13" ht="13" x14ac:dyDescent="0.15">
      <c r="A1800" s="5" t="str">
        <f>HYPERLINK("https://onemount.atlassian.net/browse/DBA-3374","DBA-3374")</f>
        <v>DBA-3374</v>
      </c>
      <c r="B1800" s="6" t="s">
        <v>21</v>
      </c>
      <c r="C1800" s="6" t="s">
        <v>7919</v>
      </c>
      <c r="D1800" s="8" t="s">
        <v>17</v>
      </c>
      <c r="E1800" s="6" t="s">
        <v>23</v>
      </c>
      <c r="F1800" s="6" t="s">
        <v>31</v>
      </c>
      <c r="G1800" s="6" t="s">
        <v>7920</v>
      </c>
      <c r="H1800" s="10">
        <v>46006</v>
      </c>
      <c r="I1800" s="6" t="s">
        <v>7921</v>
      </c>
      <c r="J1800" s="6" t="s">
        <v>85</v>
      </c>
      <c r="K1800" s="6" t="s">
        <v>55</v>
      </c>
      <c r="L1800" s="6" t="s">
        <v>85</v>
      </c>
      <c r="M1800" s="6" t="s">
        <v>7922</v>
      </c>
    </row>
    <row r="1801" spans="1:13" ht="13" x14ac:dyDescent="0.15">
      <c r="A1801" s="5" t="str">
        <f>HYPERLINK("https://onemount.atlassian.net/browse/DBA-3373","DBA-3373")</f>
        <v>DBA-3373</v>
      </c>
      <c r="B1801" s="6" t="s">
        <v>21</v>
      </c>
      <c r="C1801" s="6" t="s">
        <v>7600</v>
      </c>
      <c r="D1801" s="8" t="s">
        <v>17</v>
      </c>
      <c r="E1801" s="6" t="s">
        <v>23</v>
      </c>
      <c r="F1801" s="6" t="s">
        <v>31</v>
      </c>
      <c r="G1801" s="6" t="s">
        <v>7923</v>
      </c>
      <c r="H1801" s="10">
        <v>46006</v>
      </c>
      <c r="I1801" s="6" t="s">
        <v>7924</v>
      </c>
      <c r="J1801" s="6" t="s">
        <v>636</v>
      </c>
      <c r="K1801" s="6" t="s">
        <v>35</v>
      </c>
      <c r="L1801" s="6" t="s">
        <v>692</v>
      </c>
      <c r="M1801" s="6" t="s">
        <v>7925</v>
      </c>
    </row>
    <row r="1802" spans="1:13" ht="13" x14ac:dyDescent="0.15">
      <c r="A1802" s="5" t="str">
        <f>HYPERLINK("https://onemount.atlassian.net/browse/DBA-3372","DBA-3372")</f>
        <v>DBA-3372</v>
      </c>
      <c r="B1802" s="6" t="s">
        <v>21</v>
      </c>
      <c r="C1802" s="6" t="s">
        <v>7926</v>
      </c>
      <c r="D1802" s="8" t="s">
        <v>17</v>
      </c>
      <c r="E1802" s="6" t="s">
        <v>23</v>
      </c>
      <c r="F1802" s="6" t="s">
        <v>24</v>
      </c>
      <c r="G1802" s="6" t="s">
        <v>7927</v>
      </c>
      <c r="H1802" s="10">
        <v>46004</v>
      </c>
      <c r="I1802" s="6" t="s">
        <v>7928</v>
      </c>
      <c r="J1802" s="6" t="s">
        <v>56</v>
      </c>
      <c r="K1802" s="6" t="s">
        <v>55</v>
      </c>
      <c r="L1802" s="6" t="s">
        <v>56</v>
      </c>
      <c r="M1802" s="6" t="s">
        <v>7929</v>
      </c>
    </row>
    <row r="1803" spans="1:13" ht="13" x14ac:dyDescent="0.15">
      <c r="A1803" s="5" t="str">
        <f>HYPERLINK("https://onemount.atlassian.net/browse/DBA-3367","DBA-3367")</f>
        <v>DBA-3367</v>
      </c>
      <c r="B1803" s="6" t="s">
        <v>21</v>
      </c>
      <c r="C1803" s="6" t="s">
        <v>7930</v>
      </c>
      <c r="D1803" s="8" t="s">
        <v>17</v>
      </c>
      <c r="E1803" s="6" t="s">
        <v>23</v>
      </c>
      <c r="F1803" s="6" t="s">
        <v>24</v>
      </c>
      <c r="G1803" s="6" t="s">
        <v>7931</v>
      </c>
      <c r="H1803" s="10">
        <v>46004</v>
      </c>
      <c r="I1803" s="6" t="s">
        <v>7932</v>
      </c>
      <c r="J1803" s="6" t="s">
        <v>7933</v>
      </c>
      <c r="K1803" s="6" t="s">
        <v>165</v>
      </c>
      <c r="L1803" s="6" t="s">
        <v>145</v>
      </c>
      <c r="M1803" s="6" t="s">
        <v>7934</v>
      </c>
    </row>
    <row r="1804" spans="1:13" ht="13" x14ac:dyDescent="0.15">
      <c r="A1804" s="5" t="str">
        <f>HYPERLINK("https://onemount.atlassian.net/browse/DBA-3366","DBA-3366")</f>
        <v>DBA-3366</v>
      </c>
      <c r="B1804" s="6" t="s">
        <v>21</v>
      </c>
      <c r="C1804" s="6" t="s">
        <v>7935</v>
      </c>
      <c r="D1804" s="8" t="s">
        <v>17</v>
      </c>
      <c r="E1804" s="6" t="s">
        <v>23</v>
      </c>
      <c r="F1804" s="6" t="s">
        <v>24</v>
      </c>
      <c r="G1804" s="6" t="s">
        <v>7936</v>
      </c>
      <c r="H1804" s="10">
        <v>46004</v>
      </c>
      <c r="I1804" s="6" t="s">
        <v>7937</v>
      </c>
      <c r="J1804" s="6" t="s">
        <v>3553</v>
      </c>
      <c r="K1804" s="6" t="s">
        <v>165</v>
      </c>
      <c r="L1804" s="6" t="s">
        <v>119</v>
      </c>
      <c r="M1804" s="6" t="s">
        <v>7938</v>
      </c>
    </row>
    <row r="1805" spans="1:13" ht="13" x14ac:dyDescent="0.15">
      <c r="A1805" s="5" t="str">
        <f>HYPERLINK("https://onemount.atlassian.net/browse/DBA-3364","DBA-3364")</f>
        <v>DBA-3364</v>
      </c>
      <c r="B1805" s="6" t="s">
        <v>21</v>
      </c>
      <c r="C1805" s="6" t="s">
        <v>7939</v>
      </c>
      <c r="D1805" s="8" t="s">
        <v>17</v>
      </c>
      <c r="E1805" s="6" t="s">
        <v>23</v>
      </c>
      <c r="F1805" s="6" t="s">
        <v>87</v>
      </c>
      <c r="G1805" s="6" t="s">
        <v>7940</v>
      </c>
      <c r="H1805" s="10">
        <v>46003</v>
      </c>
      <c r="I1805" s="6" t="s">
        <v>7941</v>
      </c>
      <c r="J1805" s="6" t="s">
        <v>1091</v>
      </c>
      <c r="K1805" s="6" t="s">
        <v>165</v>
      </c>
      <c r="L1805" s="6" t="s">
        <v>1091</v>
      </c>
      <c r="M1805" s="6" t="s">
        <v>7942</v>
      </c>
    </row>
    <row r="1806" spans="1:13" ht="13" x14ac:dyDescent="0.15">
      <c r="A1806" s="5" t="str">
        <f>HYPERLINK("https://onemount.atlassian.net/browse/DBA-3359","DBA-3359")</f>
        <v>DBA-3359</v>
      </c>
      <c r="B1806" s="6" t="s">
        <v>21</v>
      </c>
      <c r="C1806" s="6" t="s">
        <v>7943</v>
      </c>
      <c r="D1806" s="8" t="s">
        <v>17</v>
      </c>
      <c r="E1806" s="6" t="s">
        <v>23</v>
      </c>
      <c r="F1806" s="6" t="s">
        <v>31</v>
      </c>
      <c r="G1806" s="6" t="s">
        <v>7944</v>
      </c>
      <c r="H1806" s="10">
        <v>46003</v>
      </c>
      <c r="I1806" s="6" t="s">
        <v>7945</v>
      </c>
      <c r="J1806" s="6" t="s">
        <v>85</v>
      </c>
      <c r="K1806" s="6" t="s">
        <v>55</v>
      </c>
      <c r="L1806" s="6" t="s">
        <v>85</v>
      </c>
      <c r="M1806" s="6" t="s">
        <v>7946</v>
      </c>
    </row>
    <row r="1807" spans="1:13" ht="13" x14ac:dyDescent="0.15">
      <c r="A1807" s="5" t="str">
        <f>HYPERLINK("https://onemount.atlassian.net/browse/DBA-3356","DBA-3356")</f>
        <v>DBA-3356</v>
      </c>
      <c r="B1807" s="6" t="s">
        <v>21</v>
      </c>
      <c r="C1807" s="6" t="s">
        <v>7947</v>
      </c>
      <c r="D1807" s="8" t="s">
        <v>17</v>
      </c>
      <c r="E1807" s="6" t="s">
        <v>23</v>
      </c>
      <c r="F1807" s="6" t="s">
        <v>31</v>
      </c>
      <c r="G1807" s="6" t="s">
        <v>7948</v>
      </c>
      <c r="H1807" s="10">
        <v>46003</v>
      </c>
      <c r="I1807" s="6" t="s">
        <v>7949</v>
      </c>
      <c r="J1807" s="6" t="s">
        <v>7950</v>
      </c>
      <c r="K1807" s="6" t="s">
        <v>55</v>
      </c>
      <c r="L1807" s="6" t="s">
        <v>254</v>
      </c>
      <c r="M1807" s="6" t="s">
        <v>7951</v>
      </c>
    </row>
    <row r="1808" spans="1:13" ht="13" x14ac:dyDescent="0.15">
      <c r="A1808" s="5" t="str">
        <f>HYPERLINK("https://onemount.atlassian.net/browse/DBA-3355","DBA-3355")</f>
        <v>DBA-3355</v>
      </c>
      <c r="B1808" s="6" t="s">
        <v>21</v>
      </c>
      <c r="C1808" s="6" t="s">
        <v>7952</v>
      </c>
      <c r="D1808" s="8" t="s">
        <v>17</v>
      </c>
      <c r="E1808" s="6" t="s">
        <v>23</v>
      </c>
      <c r="F1808" s="6" t="s">
        <v>31</v>
      </c>
      <c r="G1808" s="6" t="s">
        <v>7953</v>
      </c>
      <c r="H1808" s="10">
        <v>46002</v>
      </c>
      <c r="I1808" s="6" t="s">
        <v>7954</v>
      </c>
      <c r="J1808" s="6" t="s">
        <v>246</v>
      </c>
      <c r="K1808" s="6" t="s">
        <v>35</v>
      </c>
      <c r="L1808" s="6" t="s">
        <v>36</v>
      </c>
      <c r="M1808" s="6" t="s">
        <v>7955</v>
      </c>
    </row>
    <row r="1809" spans="1:13" ht="13" x14ac:dyDescent="0.15">
      <c r="A1809" s="5" t="str">
        <f>HYPERLINK("https://onemount.atlassian.net/browse/DBA-3354","DBA-3354")</f>
        <v>DBA-3354</v>
      </c>
      <c r="B1809" s="6" t="s">
        <v>21</v>
      </c>
      <c r="C1809" s="6" t="s">
        <v>7956</v>
      </c>
      <c r="D1809" s="8" t="s">
        <v>17</v>
      </c>
      <c r="E1809" s="6" t="s">
        <v>23</v>
      </c>
      <c r="F1809" s="6" t="s">
        <v>31</v>
      </c>
      <c r="G1809" s="6" t="s">
        <v>7957</v>
      </c>
      <c r="H1809" s="10">
        <v>46002</v>
      </c>
      <c r="I1809" s="6" t="s">
        <v>7958</v>
      </c>
      <c r="J1809" s="6" t="s">
        <v>85</v>
      </c>
      <c r="K1809" s="6" t="s">
        <v>55</v>
      </c>
      <c r="L1809" s="6" t="s">
        <v>85</v>
      </c>
      <c r="M1809" s="6" t="s">
        <v>7959</v>
      </c>
    </row>
    <row r="1810" spans="1:13" ht="13" x14ac:dyDescent="0.15">
      <c r="A1810" s="5" t="str">
        <f>HYPERLINK("https://onemount.atlassian.net/browse/DBA-3353","DBA-3353")</f>
        <v>DBA-3353</v>
      </c>
      <c r="B1810" s="6" t="s">
        <v>21</v>
      </c>
      <c r="C1810" s="6" t="s">
        <v>7960</v>
      </c>
      <c r="D1810" s="8" t="s">
        <v>17</v>
      </c>
      <c r="E1810" s="6" t="s">
        <v>23</v>
      </c>
      <c r="F1810" s="6" t="s">
        <v>24</v>
      </c>
      <c r="G1810" s="6" t="s">
        <v>7961</v>
      </c>
      <c r="H1810" s="10">
        <v>46003</v>
      </c>
      <c r="I1810" s="6" t="s">
        <v>7962</v>
      </c>
      <c r="J1810" s="6" t="s">
        <v>27</v>
      </c>
      <c r="K1810" s="6" t="s">
        <v>28</v>
      </c>
      <c r="L1810" s="6" t="s">
        <v>27</v>
      </c>
      <c r="M1810" s="6" t="s">
        <v>7963</v>
      </c>
    </row>
    <row r="1811" spans="1:13" ht="13" x14ac:dyDescent="0.15">
      <c r="A1811" s="5" t="str">
        <f>HYPERLINK("https://onemount.atlassian.net/browse/DBA-3352","DBA-3352")</f>
        <v>DBA-3352</v>
      </c>
      <c r="B1811" s="6" t="s">
        <v>21</v>
      </c>
      <c r="C1811" s="6" t="s">
        <v>7964</v>
      </c>
      <c r="D1811" s="8" t="s">
        <v>17</v>
      </c>
      <c r="E1811" s="6" t="s">
        <v>23</v>
      </c>
      <c r="F1811" s="6" t="s">
        <v>24</v>
      </c>
      <c r="G1811" s="6" t="s">
        <v>7965</v>
      </c>
      <c r="H1811" s="10">
        <v>46003</v>
      </c>
      <c r="I1811" s="6" t="s">
        <v>7966</v>
      </c>
      <c r="J1811" s="6" t="s">
        <v>7933</v>
      </c>
      <c r="K1811" s="6" t="s">
        <v>165</v>
      </c>
      <c r="L1811" s="6" t="s">
        <v>145</v>
      </c>
      <c r="M1811" s="6" t="s">
        <v>7967</v>
      </c>
    </row>
    <row r="1812" spans="1:13" ht="13" x14ac:dyDescent="0.15">
      <c r="A1812" s="5" t="str">
        <f>HYPERLINK("https://onemount.atlassian.net/browse/DBA-3351","DBA-3351")</f>
        <v>DBA-3351</v>
      </c>
      <c r="B1812" s="6" t="s">
        <v>21</v>
      </c>
      <c r="C1812" s="6" t="s">
        <v>7968</v>
      </c>
      <c r="D1812" s="8" t="s">
        <v>17</v>
      </c>
      <c r="E1812" s="6" t="s">
        <v>23</v>
      </c>
      <c r="F1812" s="6" t="s">
        <v>24</v>
      </c>
      <c r="G1812" s="6" t="s">
        <v>7969</v>
      </c>
      <c r="H1812" s="10">
        <v>46003</v>
      </c>
      <c r="I1812" s="6" t="s">
        <v>7970</v>
      </c>
      <c r="J1812" s="6" t="s">
        <v>7897</v>
      </c>
      <c r="K1812" s="6" t="s">
        <v>55</v>
      </c>
      <c r="L1812" s="6" t="s">
        <v>55</v>
      </c>
      <c r="M1812" s="6" t="s">
        <v>7971</v>
      </c>
    </row>
    <row r="1813" spans="1:13" ht="13" x14ac:dyDescent="0.15">
      <c r="A1813" s="5" t="str">
        <f>HYPERLINK("https://onemount.atlassian.net/browse/DBA-3350","DBA-3350")</f>
        <v>DBA-3350</v>
      </c>
      <c r="B1813" s="23" t="str">
        <f>HYPERLINK("https://onemount.atlassian.net/browse/DBA-2635","DBA-2635")</f>
        <v>DBA-2635</v>
      </c>
      <c r="C1813" s="6" t="s">
        <v>7972</v>
      </c>
      <c r="D1813" s="8" t="s">
        <v>17</v>
      </c>
      <c r="E1813" s="6" t="s">
        <v>428</v>
      </c>
      <c r="F1813" s="6" t="s">
        <v>41</v>
      </c>
      <c r="G1813" s="6" t="s">
        <v>7973</v>
      </c>
      <c r="H1813" s="10">
        <v>46002</v>
      </c>
      <c r="I1813" s="6" t="s">
        <v>7974</v>
      </c>
      <c r="J1813" s="6" t="s">
        <v>72</v>
      </c>
      <c r="K1813" s="6" t="s">
        <v>72</v>
      </c>
      <c r="L1813" s="6" t="s">
        <v>72</v>
      </c>
      <c r="M1813" s="6" t="s">
        <v>7975</v>
      </c>
    </row>
    <row r="1814" spans="1:13" ht="13" x14ac:dyDescent="0.15">
      <c r="A1814" s="5" t="str">
        <f>HYPERLINK("https://onemount.atlassian.net/browse/DBA-3349","DBA-3349")</f>
        <v>DBA-3349</v>
      </c>
      <c r="B1814" s="6" t="s">
        <v>21</v>
      </c>
      <c r="C1814" s="6" t="s">
        <v>7976</v>
      </c>
      <c r="D1814" s="8" t="s">
        <v>17</v>
      </c>
      <c r="E1814" s="6" t="s">
        <v>23</v>
      </c>
      <c r="F1814" s="6" t="s">
        <v>24</v>
      </c>
      <c r="G1814" s="6" t="s">
        <v>7977</v>
      </c>
      <c r="H1814" s="10">
        <v>46002</v>
      </c>
      <c r="I1814" s="6" t="s">
        <v>7978</v>
      </c>
      <c r="J1814" s="6" t="s">
        <v>2869</v>
      </c>
      <c r="K1814" s="6" t="s">
        <v>46</v>
      </c>
      <c r="L1814" s="6" t="s">
        <v>164</v>
      </c>
      <c r="M1814" s="6" t="s">
        <v>7979</v>
      </c>
    </row>
    <row r="1815" spans="1:13" ht="13" x14ac:dyDescent="0.15">
      <c r="A1815" s="5" t="str">
        <f>HYPERLINK("https://onemount.atlassian.net/browse/DBA-3347","DBA-3347")</f>
        <v>DBA-3347</v>
      </c>
      <c r="B1815" s="6" t="s">
        <v>21</v>
      </c>
      <c r="C1815" s="6" t="s">
        <v>7903</v>
      </c>
      <c r="D1815" s="8" t="s">
        <v>17</v>
      </c>
      <c r="E1815" s="6" t="s">
        <v>23</v>
      </c>
      <c r="F1815" s="6" t="s">
        <v>24</v>
      </c>
      <c r="G1815" s="6" t="s">
        <v>7980</v>
      </c>
      <c r="H1815" s="10">
        <v>46003</v>
      </c>
      <c r="I1815" s="6" t="s">
        <v>7981</v>
      </c>
      <c r="J1815" s="6" t="s">
        <v>5791</v>
      </c>
      <c r="K1815" s="6" t="s">
        <v>55</v>
      </c>
      <c r="L1815" s="6" t="s">
        <v>56</v>
      </c>
      <c r="M1815" s="6" t="s">
        <v>7982</v>
      </c>
    </row>
    <row r="1816" spans="1:13" ht="13" x14ac:dyDescent="0.15">
      <c r="A1816" s="5" t="str">
        <f>HYPERLINK("https://onemount.atlassian.net/browse/DBA-3345","DBA-3345")</f>
        <v>DBA-3345</v>
      </c>
      <c r="B1816" s="6" t="s">
        <v>21</v>
      </c>
      <c r="C1816" s="6" t="s">
        <v>7930</v>
      </c>
      <c r="D1816" s="8" t="s">
        <v>17</v>
      </c>
      <c r="E1816" s="6" t="s">
        <v>23</v>
      </c>
      <c r="F1816" s="6" t="s">
        <v>24</v>
      </c>
      <c r="G1816" s="6" t="s">
        <v>7983</v>
      </c>
      <c r="H1816" s="10">
        <v>46002</v>
      </c>
      <c r="I1816" s="6" t="s">
        <v>7984</v>
      </c>
      <c r="J1816" s="6" t="s">
        <v>7933</v>
      </c>
      <c r="K1816" s="6" t="s">
        <v>165</v>
      </c>
      <c r="L1816" s="6" t="s">
        <v>145</v>
      </c>
      <c r="M1816" s="6" t="s">
        <v>7985</v>
      </c>
    </row>
    <row r="1817" spans="1:13" ht="13" x14ac:dyDescent="0.15">
      <c r="A1817" s="5" t="str">
        <f>HYPERLINK("https://onemount.atlassian.net/browse/DBA-3344","DBA-3344")</f>
        <v>DBA-3344</v>
      </c>
      <c r="B1817" s="6" t="s">
        <v>21</v>
      </c>
      <c r="C1817" s="6" t="s">
        <v>7986</v>
      </c>
      <c r="D1817" s="8" t="s">
        <v>17</v>
      </c>
      <c r="E1817" s="6" t="s">
        <v>23</v>
      </c>
      <c r="F1817" s="6" t="s">
        <v>24</v>
      </c>
      <c r="G1817" s="6" t="s">
        <v>7987</v>
      </c>
      <c r="H1817" s="10">
        <v>46002</v>
      </c>
      <c r="I1817" s="6" t="s">
        <v>7988</v>
      </c>
      <c r="J1817" s="6" t="s">
        <v>4792</v>
      </c>
      <c r="K1817" s="6" t="s">
        <v>55</v>
      </c>
      <c r="L1817" s="6" t="s">
        <v>270</v>
      </c>
      <c r="M1817" s="6" t="s">
        <v>7989</v>
      </c>
    </row>
    <row r="1818" spans="1:13" ht="13" x14ac:dyDescent="0.15">
      <c r="A1818" s="5" t="str">
        <f>HYPERLINK("https://onemount.atlassian.net/browse/DBA-3343","DBA-3343")</f>
        <v>DBA-3343</v>
      </c>
      <c r="B1818" s="6" t="s">
        <v>21</v>
      </c>
      <c r="C1818" s="6" t="s">
        <v>7990</v>
      </c>
      <c r="D1818" s="8" t="s">
        <v>17</v>
      </c>
      <c r="E1818" s="6" t="s">
        <v>23</v>
      </c>
      <c r="F1818" s="6" t="s">
        <v>31</v>
      </c>
      <c r="G1818" s="6" t="s">
        <v>7991</v>
      </c>
      <c r="H1818" s="10">
        <v>46001</v>
      </c>
      <c r="I1818" s="6" t="s">
        <v>7992</v>
      </c>
      <c r="J1818" s="6" t="s">
        <v>165</v>
      </c>
      <c r="K1818" s="6" t="s">
        <v>165</v>
      </c>
      <c r="L1818" s="6" t="s">
        <v>1030</v>
      </c>
      <c r="M1818" s="6" t="s">
        <v>7993</v>
      </c>
    </row>
    <row r="1819" spans="1:13" ht="13" x14ac:dyDescent="0.15">
      <c r="A1819" s="5" t="str">
        <f>HYPERLINK("https://onemount.atlassian.net/browse/DBA-3342","DBA-3342")</f>
        <v>DBA-3342</v>
      </c>
      <c r="B1819" s="6" t="s">
        <v>21</v>
      </c>
      <c r="C1819" s="6" t="s">
        <v>7994</v>
      </c>
      <c r="D1819" s="8" t="s">
        <v>17</v>
      </c>
      <c r="E1819" s="6" t="s">
        <v>23</v>
      </c>
      <c r="F1819" s="6" t="s">
        <v>31</v>
      </c>
      <c r="G1819" s="6" t="s">
        <v>7995</v>
      </c>
      <c r="H1819" s="10">
        <v>46001</v>
      </c>
      <c r="I1819" s="6" t="s">
        <v>7996</v>
      </c>
      <c r="J1819" s="6" t="s">
        <v>1091</v>
      </c>
      <c r="K1819" s="6" t="s">
        <v>165</v>
      </c>
      <c r="L1819" s="6" t="s">
        <v>1091</v>
      </c>
      <c r="M1819" s="6" t="s">
        <v>7997</v>
      </c>
    </row>
    <row r="1820" spans="1:13" ht="13" x14ac:dyDescent="0.15">
      <c r="A1820" s="5" t="str">
        <f>HYPERLINK("https://onemount.atlassian.net/browse/DBA-3341","DBA-3341")</f>
        <v>DBA-3341</v>
      </c>
      <c r="B1820" s="6" t="s">
        <v>21</v>
      </c>
      <c r="C1820" s="6" t="s">
        <v>1466</v>
      </c>
      <c r="D1820" s="8" t="s">
        <v>17</v>
      </c>
      <c r="E1820" s="6" t="s">
        <v>23</v>
      </c>
      <c r="F1820" s="6" t="s">
        <v>31</v>
      </c>
      <c r="G1820" s="6" t="s">
        <v>7998</v>
      </c>
      <c r="H1820" s="10">
        <v>46002</v>
      </c>
      <c r="I1820" s="6" t="s">
        <v>7999</v>
      </c>
      <c r="J1820" s="6" t="s">
        <v>852</v>
      </c>
      <c r="K1820" s="6" t="s">
        <v>55</v>
      </c>
      <c r="L1820" s="6" t="s">
        <v>848</v>
      </c>
      <c r="M1820" s="6" t="s">
        <v>8000</v>
      </c>
    </row>
    <row r="1821" spans="1:13" ht="13" x14ac:dyDescent="0.15">
      <c r="A1821" s="5" t="str">
        <f>HYPERLINK("https://onemount.atlassian.net/browse/DBA-3340","DBA-3340")</f>
        <v>DBA-3340</v>
      </c>
      <c r="B1821" s="6" t="s">
        <v>21</v>
      </c>
      <c r="C1821" s="6" t="s">
        <v>8001</v>
      </c>
      <c r="D1821" s="8" t="s">
        <v>17</v>
      </c>
      <c r="E1821" s="6" t="s">
        <v>23</v>
      </c>
      <c r="F1821" s="6" t="s">
        <v>31</v>
      </c>
      <c r="G1821" s="6" t="s">
        <v>8002</v>
      </c>
      <c r="H1821" s="10">
        <v>46002</v>
      </c>
      <c r="I1821" s="6" t="s">
        <v>8003</v>
      </c>
      <c r="J1821" s="6" t="s">
        <v>2453</v>
      </c>
      <c r="K1821" s="6" t="s">
        <v>165</v>
      </c>
      <c r="L1821" s="6" t="s">
        <v>119</v>
      </c>
      <c r="M1821" s="6" t="s">
        <v>8004</v>
      </c>
    </row>
    <row r="1822" spans="1:13" ht="13" x14ac:dyDescent="0.15">
      <c r="A1822" s="5" t="str">
        <f>HYPERLINK("https://onemount.atlassian.net/browse/DBA-3339","DBA-3339")</f>
        <v>DBA-3339</v>
      </c>
      <c r="B1822" s="6" t="s">
        <v>21</v>
      </c>
      <c r="C1822" s="6" t="s">
        <v>8005</v>
      </c>
      <c r="D1822" s="8" t="s">
        <v>17</v>
      </c>
      <c r="E1822" s="6" t="s">
        <v>23</v>
      </c>
      <c r="F1822" s="6" t="s">
        <v>31</v>
      </c>
      <c r="G1822" s="6" t="s">
        <v>8006</v>
      </c>
      <c r="H1822" s="10">
        <v>46002</v>
      </c>
      <c r="I1822" s="6" t="s">
        <v>8007</v>
      </c>
      <c r="J1822" s="6" t="s">
        <v>2453</v>
      </c>
      <c r="K1822" s="6" t="s">
        <v>165</v>
      </c>
      <c r="L1822" s="6" t="s">
        <v>119</v>
      </c>
      <c r="M1822" s="6" t="s">
        <v>8008</v>
      </c>
    </row>
    <row r="1823" spans="1:13" ht="13" x14ac:dyDescent="0.15">
      <c r="A1823" s="5" t="str">
        <f>HYPERLINK("https://onemount.atlassian.net/browse/DBA-3338","DBA-3338")</f>
        <v>DBA-3338</v>
      </c>
      <c r="B1823" s="6" t="s">
        <v>21</v>
      </c>
      <c r="C1823" s="6" t="s">
        <v>8009</v>
      </c>
      <c r="D1823" s="8" t="s">
        <v>17</v>
      </c>
      <c r="E1823" s="6" t="s">
        <v>23</v>
      </c>
      <c r="F1823" s="6" t="s">
        <v>24</v>
      </c>
      <c r="G1823" s="6" t="s">
        <v>8010</v>
      </c>
      <c r="H1823" s="10">
        <v>46002</v>
      </c>
      <c r="I1823" s="6" t="s">
        <v>8011</v>
      </c>
      <c r="J1823" s="6" t="s">
        <v>7897</v>
      </c>
      <c r="K1823" s="6" t="s">
        <v>55</v>
      </c>
      <c r="L1823" s="6" t="s">
        <v>55</v>
      </c>
      <c r="M1823" s="6" t="s">
        <v>8012</v>
      </c>
    </row>
    <row r="1824" spans="1:13" ht="13" x14ac:dyDescent="0.15">
      <c r="A1824" s="5" t="str">
        <f>HYPERLINK("https://onemount.atlassian.net/browse/DBA-3336","DBA-3336")</f>
        <v>DBA-3336</v>
      </c>
      <c r="B1824" s="6" t="s">
        <v>21</v>
      </c>
      <c r="C1824" s="6" t="s">
        <v>1466</v>
      </c>
      <c r="D1824" s="8" t="s">
        <v>17</v>
      </c>
      <c r="E1824" s="6" t="s">
        <v>23</v>
      </c>
      <c r="F1824" s="6" t="s">
        <v>31</v>
      </c>
      <c r="G1824" s="6" t="s">
        <v>8013</v>
      </c>
      <c r="H1824" s="10">
        <v>46001</v>
      </c>
      <c r="I1824" s="6" t="s">
        <v>8014</v>
      </c>
      <c r="J1824" s="6" t="s">
        <v>852</v>
      </c>
      <c r="K1824" s="6" t="s">
        <v>55</v>
      </c>
      <c r="L1824" s="6" t="s">
        <v>855</v>
      </c>
      <c r="M1824" s="6" t="s">
        <v>8015</v>
      </c>
    </row>
    <row r="1825" spans="1:13" ht="13" x14ac:dyDescent="0.15">
      <c r="A1825" s="5" t="str">
        <f>HYPERLINK("https://onemount.atlassian.net/browse/DBA-3335","DBA-3335")</f>
        <v>DBA-3335</v>
      </c>
      <c r="B1825" s="6" t="s">
        <v>21</v>
      </c>
      <c r="C1825" s="6" t="s">
        <v>8016</v>
      </c>
      <c r="D1825" s="8" t="s">
        <v>17</v>
      </c>
      <c r="E1825" s="6" t="s">
        <v>23</v>
      </c>
      <c r="F1825" s="6" t="s">
        <v>31</v>
      </c>
      <c r="G1825" s="6" t="s">
        <v>8017</v>
      </c>
      <c r="H1825" s="10">
        <v>46000</v>
      </c>
      <c r="I1825" s="6" t="s">
        <v>8018</v>
      </c>
      <c r="J1825" s="6" t="s">
        <v>49</v>
      </c>
      <c r="K1825" s="6" t="s">
        <v>35</v>
      </c>
      <c r="L1825" s="6" t="s">
        <v>49</v>
      </c>
      <c r="M1825" s="6" t="s">
        <v>8019</v>
      </c>
    </row>
    <row r="1826" spans="1:13" ht="13" x14ac:dyDescent="0.15">
      <c r="A1826" s="5" t="str">
        <f>HYPERLINK("https://onemount.atlassian.net/browse/DBA-3334","DBA-3334")</f>
        <v>DBA-3334</v>
      </c>
      <c r="B1826" s="6" t="s">
        <v>21</v>
      </c>
      <c r="C1826" s="6" t="s">
        <v>8020</v>
      </c>
      <c r="D1826" s="8" t="s">
        <v>17</v>
      </c>
      <c r="E1826" s="6" t="s">
        <v>23</v>
      </c>
      <c r="F1826" s="6" t="s">
        <v>31</v>
      </c>
      <c r="G1826" s="6" t="s">
        <v>8021</v>
      </c>
      <c r="H1826" s="10">
        <v>46001</v>
      </c>
      <c r="I1826" s="6" t="s">
        <v>8022</v>
      </c>
      <c r="J1826" s="6" t="s">
        <v>1898</v>
      </c>
      <c r="K1826" s="6" t="s">
        <v>165</v>
      </c>
      <c r="L1826" s="6" t="s">
        <v>1097</v>
      </c>
      <c r="M1826" s="6" t="s">
        <v>8023</v>
      </c>
    </row>
    <row r="1827" spans="1:13" ht="13" x14ac:dyDescent="0.15">
      <c r="A1827" s="5" t="str">
        <f>HYPERLINK("https://onemount.atlassian.net/browse/DBA-3333","DBA-3333")</f>
        <v>DBA-3333</v>
      </c>
      <c r="B1827" s="6" t="s">
        <v>21</v>
      </c>
      <c r="C1827" s="6" t="s">
        <v>8024</v>
      </c>
      <c r="D1827" s="8" t="s">
        <v>17</v>
      </c>
      <c r="E1827" s="6" t="s">
        <v>23</v>
      </c>
      <c r="F1827" s="6" t="s">
        <v>24</v>
      </c>
      <c r="G1827" s="6" t="s">
        <v>8025</v>
      </c>
      <c r="H1827" s="10">
        <v>46000</v>
      </c>
      <c r="I1827" s="6" t="s">
        <v>8026</v>
      </c>
      <c r="J1827" s="6" t="s">
        <v>638</v>
      </c>
      <c r="K1827" s="6" t="s">
        <v>35</v>
      </c>
      <c r="L1827" s="6" t="s">
        <v>638</v>
      </c>
      <c r="M1827" s="6" t="s">
        <v>8027</v>
      </c>
    </row>
    <row r="1828" spans="1:13" ht="13" x14ac:dyDescent="0.15">
      <c r="A1828" s="5" t="str">
        <f>HYPERLINK("https://onemount.atlassian.net/browse/DBA-3330","DBA-3330")</f>
        <v>DBA-3330</v>
      </c>
      <c r="B1828" s="6" t="s">
        <v>21</v>
      </c>
      <c r="C1828" s="6" t="s">
        <v>8028</v>
      </c>
      <c r="D1828" s="8" t="s">
        <v>17</v>
      </c>
      <c r="E1828" s="6" t="s">
        <v>23</v>
      </c>
      <c r="F1828" s="6" t="s">
        <v>87</v>
      </c>
      <c r="G1828" s="6" t="s">
        <v>8029</v>
      </c>
      <c r="H1828" s="10">
        <v>46000</v>
      </c>
      <c r="I1828" s="6" t="s">
        <v>8030</v>
      </c>
      <c r="J1828" s="6" t="s">
        <v>2453</v>
      </c>
      <c r="K1828" s="6" t="s">
        <v>165</v>
      </c>
      <c r="L1828" s="6" t="s">
        <v>119</v>
      </c>
      <c r="M1828" s="6" t="s">
        <v>8031</v>
      </c>
    </row>
    <row r="1829" spans="1:13" ht="13" x14ac:dyDescent="0.15">
      <c r="A1829" s="5" t="str">
        <f>HYPERLINK("https://onemount.atlassian.net/browse/DBA-3329","DBA-3329")</f>
        <v>DBA-3329</v>
      </c>
      <c r="B1829" s="6" t="s">
        <v>21</v>
      </c>
      <c r="C1829" s="6" t="s">
        <v>8032</v>
      </c>
      <c r="D1829" s="8" t="s">
        <v>17</v>
      </c>
      <c r="E1829" s="6" t="s">
        <v>23</v>
      </c>
      <c r="F1829" s="6" t="s">
        <v>24</v>
      </c>
      <c r="G1829" s="6" t="s">
        <v>8033</v>
      </c>
      <c r="H1829" s="10">
        <v>46001</v>
      </c>
      <c r="I1829" s="6" t="s">
        <v>8034</v>
      </c>
      <c r="J1829" s="6" t="s">
        <v>3553</v>
      </c>
      <c r="K1829" s="6" t="s">
        <v>165</v>
      </c>
      <c r="L1829" s="6" t="s">
        <v>39</v>
      </c>
      <c r="M1829" s="6" t="s">
        <v>8035</v>
      </c>
    </row>
    <row r="1830" spans="1:13" ht="13" x14ac:dyDescent="0.15">
      <c r="A1830" s="5" t="str">
        <f>HYPERLINK("https://onemount.atlassian.net/browse/DBA-3328","DBA-3328")</f>
        <v>DBA-3328</v>
      </c>
      <c r="B1830" s="6" t="s">
        <v>21</v>
      </c>
      <c r="C1830" s="6" t="s">
        <v>8036</v>
      </c>
      <c r="D1830" s="8" t="s">
        <v>17</v>
      </c>
      <c r="E1830" s="6" t="s">
        <v>23</v>
      </c>
      <c r="F1830" s="6" t="s">
        <v>24</v>
      </c>
      <c r="G1830" s="6" t="s">
        <v>8037</v>
      </c>
      <c r="H1830" s="10">
        <v>46000</v>
      </c>
      <c r="I1830" s="6" t="s">
        <v>8038</v>
      </c>
      <c r="J1830" s="6" t="s">
        <v>55</v>
      </c>
      <c r="K1830" s="6" t="s">
        <v>55</v>
      </c>
      <c r="L1830" s="6" t="s">
        <v>93</v>
      </c>
      <c r="M1830" s="6" t="s">
        <v>8039</v>
      </c>
    </row>
    <row r="1831" spans="1:13" ht="13" x14ac:dyDescent="0.15">
      <c r="A1831" s="5" t="str">
        <f>HYPERLINK("https://onemount.atlassian.net/browse/DBA-3327","DBA-3327")</f>
        <v>DBA-3327</v>
      </c>
      <c r="B1831" s="6" t="s">
        <v>21</v>
      </c>
      <c r="C1831" s="6" t="s">
        <v>6702</v>
      </c>
      <c r="D1831" s="8" t="s">
        <v>17</v>
      </c>
      <c r="E1831" s="6" t="s">
        <v>23</v>
      </c>
      <c r="F1831" s="6" t="s">
        <v>24</v>
      </c>
      <c r="G1831" s="6" t="s">
        <v>8040</v>
      </c>
      <c r="H1831" s="10">
        <v>46000</v>
      </c>
      <c r="I1831" s="6" t="s">
        <v>8041</v>
      </c>
      <c r="J1831" s="6" t="s">
        <v>6575</v>
      </c>
      <c r="K1831" s="6" t="s">
        <v>35</v>
      </c>
      <c r="L1831" s="6" t="s">
        <v>962</v>
      </c>
      <c r="M1831" s="6" t="s">
        <v>8042</v>
      </c>
    </row>
    <row r="1832" spans="1:13" ht="13" x14ac:dyDescent="0.15">
      <c r="A1832" s="5" t="str">
        <f>HYPERLINK("https://onemount.atlassian.net/browse/DBA-3326","DBA-3326")</f>
        <v>DBA-3326</v>
      </c>
      <c r="B1832" s="6" t="s">
        <v>21</v>
      </c>
      <c r="C1832" s="6" t="s">
        <v>8043</v>
      </c>
      <c r="D1832" s="8" t="s">
        <v>17</v>
      </c>
      <c r="E1832" s="6" t="s">
        <v>23</v>
      </c>
      <c r="F1832" s="6" t="s">
        <v>41</v>
      </c>
      <c r="G1832" s="6" t="s">
        <v>8044</v>
      </c>
      <c r="H1832" s="10">
        <v>46001</v>
      </c>
      <c r="I1832" s="6" t="s">
        <v>8045</v>
      </c>
      <c r="J1832" s="6" t="s">
        <v>79</v>
      </c>
      <c r="K1832" s="6" t="s">
        <v>59</v>
      </c>
      <c r="L1832" s="6" t="s">
        <v>79</v>
      </c>
      <c r="M1832" s="6" t="s">
        <v>8046</v>
      </c>
    </row>
    <row r="1833" spans="1:13" ht="13" x14ac:dyDescent="0.15">
      <c r="A1833" s="5" t="str">
        <f>HYPERLINK("https://onemount.atlassian.net/browse/DBA-3324","DBA-3324")</f>
        <v>DBA-3324</v>
      </c>
      <c r="B1833" s="6" t="s">
        <v>21</v>
      </c>
      <c r="C1833" s="6" t="s">
        <v>8047</v>
      </c>
      <c r="D1833" s="8" t="s">
        <v>17</v>
      </c>
      <c r="E1833" s="6" t="s">
        <v>23</v>
      </c>
      <c r="F1833" s="6" t="s">
        <v>24</v>
      </c>
      <c r="G1833" s="6" t="s">
        <v>8048</v>
      </c>
      <c r="H1833" s="10">
        <v>46000</v>
      </c>
      <c r="I1833" s="6" t="s">
        <v>8049</v>
      </c>
      <c r="J1833" s="6" t="s">
        <v>55</v>
      </c>
      <c r="K1833" s="6" t="s">
        <v>55</v>
      </c>
      <c r="L1833" s="6" t="s">
        <v>93</v>
      </c>
      <c r="M1833" s="6" t="s">
        <v>8050</v>
      </c>
    </row>
    <row r="1834" spans="1:13" ht="13" x14ac:dyDescent="0.15">
      <c r="A1834" s="5" t="str">
        <f>HYPERLINK("https://onemount.atlassian.net/browse/DBA-3323","DBA-3323")</f>
        <v>DBA-3323</v>
      </c>
      <c r="B1834" s="6" t="s">
        <v>21</v>
      </c>
      <c r="C1834" s="6" t="s">
        <v>8051</v>
      </c>
      <c r="D1834" s="8" t="s">
        <v>17</v>
      </c>
      <c r="E1834" s="6" t="s">
        <v>23</v>
      </c>
      <c r="F1834" s="6" t="s">
        <v>87</v>
      </c>
      <c r="G1834" s="6" t="s">
        <v>8052</v>
      </c>
      <c r="H1834" s="10">
        <v>45999</v>
      </c>
      <c r="I1834" s="6" t="s">
        <v>8053</v>
      </c>
      <c r="J1834" s="6" t="s">
        <v>1091</v>
      </c>
      <c r="K1834" s="6" t="s">
        <v>165</v>
      </c>
      <c r="L1834" s="6" t="s">
        <v>1091</v>
      </c>
      <c r="M1834" s="6" t="s">
        <v>8054</v>
      </c>
    </row>
    <row r="1835" spans="1:13" ht="13" x14ac:dyDescent="0.15">
      <c r="A1835" s="5" t="str">
        <f>HYPERLINK("https://onemount.atlassian.net/browse/DBA-3322","DBA-3322")</f>
        <v>DBA-3322</v>
      </c>
      <c r="B1835" s="6" t="s">
        <v>21</v>
      </c>
      <c r="C1835" s="6" t="s">
        <v>8009</v>
      </c>
      <c r="D1835" s="8" t="s">
        <v>17</v>
      </c>
      <c r="E1835" s="6" t="s">
        <v>23</v>
      </c>
      <c r="F1835" s="6" t="s">
        <v>24</v>
      </c>
      <c r="G1835" s="6" t="s">
        <v>8055</v>
      </c>
      <c r="H1835" s="10">
        <v>46000</v>
      </c>
      <c r="I1835" s="6" t="s">
        <v>8056</v>
      </c>
      <c r="J1835" s="6" t="s">
        <v>7897</v>
      </c>
      <c r="K1835" s="6" t="s">
        <v>55</v>
      </c>
      <c r="L1835" s="6" t="s">
        <v>869</v>
      </c>
      <c r="M1835" s="6" t="s">
        <v>8057</v>
      </c>
    </row>
    <row r="1836" spans="1:13" ht="13" x14ac:dyDescent="0.15">
      <c r="A1836" s="5" t="str">
        <f>HYPERLINK("https://onemount.atlassian.net/browse/DBA-3321","DBA-3321")</f>
        <v>DBA-3321</v>
      </c>
      <c r="B1836" s="6" t="s">
        <v>21</v>
      </c>
      <c r="C1836" s="6" t="s">
        <v>8058</v>
      </c>
      <c r="D1836" s="8" t="s">
        <v>17</v>
      </c>
      <c r="E1836" s="6" t="s">
        <v>23</v>
      </c>
      <c r="F1836" s="6" t="s">
        <v>31</v>
      </c>
      <c r="G1836" s="6" t="s">
        <v>8059</v>
      </c>
      <c r="H1836" s="10">
        <v>45999</v>
      </c>
      <c r="I1836" s="6" t="s">
        <v>8060</v>
      </c>
      <c r="J1836" s="6" t="s">
        <v>55</v>
      </c>
      <c r="K1836" s="6" t="s">
        <v>55</v>
      </c>
      <c r="L1836" s="6" t="s">
        <v>55</v>
      </c>
      <c r="M1836" s="6" t="s">
        <v>8061</v>
      </c>
    </row>
    <row r="1837" spans="1:13" ht="13" x14ac:dyDescent="0.15">
      <c r="A1837" s="5" t="str">
        <f>HYPERLINK("https://onemount.atlassian.net/browse/DBA-3320","DBA-3320")</f>
        <v>DBA-3320</v>
      </c>
      <c r="B1837" s="6" t="s">
        <v>21</v>
      </c>
      <c r="C1837" s="6" t="s">
        <v>8062</v>
      </c>
      <c r="D1837" s="8" t="s">
        <v>17</v>
      </c>
      <c r="E1837" s="6" t="s">
        <v>23</v>
      </c>
      <c r="F1837" s="6" t="s">
        <v>31</v>
      </c>
      <c r="G1837" s="6" t="s">
        <v>8063</v>
      </c>
      <c r="H1837" s="10">
        <v>45999</v>
      </c>
      <c r="I1837" s="6" t="s">
        <v>8064</v>
      </c>
      <c r="J1837" s="6" t="s">
        <v>8065</v>
      </c>
      <c r="K1837" s="6" t="s">
        <v>165</v>
      </c>
      <c r="L1837" s="6" t="s">
        <v>1084</v>
      </c>
      <c r="M1837" s="6" t="s">
        <v>8066</v>
      </c>
    </row>
    <row r="1838" spans="1:13" ht="13" x14ac:dyDescent="0.15">
      <c r="A1838" s="5" t="str">
        <f>HYPERLINK("https://onemount.atlassian.net/browse/DBA-3319","DBA-3319")</f>
        <v>DBA-3319</v>
      </c>
      <c r="B1838" s="6" t="s">
        <v>21</v>
      </c>
      <c r="C1838" s="6" t="s">
        <v>8067</v>
      </c>
      <c r="D1838" s="8" t="s">
        <v>17</v>
      </c>
      <c r="E1838" s="6" t="s">
        <v>23</v>
      </c>
      <c r="F1838" s="6" t="s">
        <v>31</v>
      </c>
      <c r="G1838" s="6" t="s">
        <v>8068</v>
      </c>
      <c r="H1838" s="10">
        <v>45999</v>
      </c>
      <c r="I1838" s="6" t="s">
        <v>8069</v>
      </c>
      <c r="J1838" s="6" t="s">
        <v>2687</v>
      </c>
      <c r="K1838" s="6" t="s">
        <v>46</v>
      </c>
      <c r="L1838" s="6" t="s">
        <v>404</v>
      </c>
      <c r="M1838" s="6" t="s">
        <v>8070</v>
      </c>
    </row>
    <row r="1839" spans="1:13" ht="13" x14ac:dyDescent="0.15">
      <c r="A1839" s="5" t="str">
        <f>HYPERLINK("https://onemount.atlassian.net/browse/DBA-3318","DBA-3318")</f>
        <v>DBA-3318</v>
      </c>
      <c r="B1839" s="6" t="s">
        <v>21</v>
      </c>
      <c r="C1839" s="6" t="s">
        <v>8071</v>
      </c>
      <c r="D1839" s="8" t="s">
        <v>17</v>
      </c>
      <c r="E1839" s="6" t="s">
        <v>23</v>
      </c>
      <c r="F1839" s="6" t="s">
        <v>41</v>
      </c>
      <c r="G1839" s="6" t="s">
        <v>8072</v>
      </c>
      <c r="H1839" s="10">
        <v>45999</v>
      </c>
      <c r="I1839" s="6" t="s">
        <v>8073</v>
      </c>
      <c r="J1839" s="6" t="s">
        <v>85</v>
      </c>
      <c r="K1839" s="6" t="s">
        <v>55</v>
      </c>
      <c r="L1839" s="6" t="s">
        <v>85</v>
      </c>
      <c r="M1839" s="6" t="s">
        <v>8074</v>
      </c>
    </row>
    <row r="1840" spans="1:13" ht="13" x14ac:dyDescent="0.15">
      <c r="A1840" s="5" t="str">
        <f>HYPERLINK("https://onemount.atlassian.net/browse/DBA-3313","DBA-3313")</f>
        <v>DBA-3313</v>
      </c>
      <c r="B1840" s="23" t="str">
        <f>HYPERLINK("https://onemount.atlassian.net/browse/DBA-1909","DBA-1909")</f>
        <v>DBA-1909</v>
      </c>
      <c r="C1840" s="6" t="s">
        <v>8075</v>
      </c>
      <c r="D1840" s="8" t="s">
        <v>17</v>
      </c>
      <c r="E1840" s="6" t="s">
        <v>428</v>
      </c>
      <c r="F1840" s="6" t="s">
        <v>31</v>
      </c>
      <c r="G1840" s="6" t="s">
        <v>8076</v>
      </c>
      <c r="H1840" s="10">
        <v>46000</v>
      </c>
      <c r="I1840" s="6" t="s">
        <v>8077</v>
      </c>
      <c r="J1840" s="6" t="s">
        <v>930</v>
      </c>
      <c r="K1840" s="6" t="s">
        <v>55</v>
      </c>
      <c r="L1840" s="6" t="s">
        <v>930</v>
      </c>
      <c r="M1840" s="6" t="s">
        <v>8078</v>
      </c>
    </row>
    <row r="1841" spans="1:13" ht="13" x14ac:dyDescent="0.15">
      <c r="A1841" s="5" t="str">
        <f>HYPERLINK("https://onemount.atlassian.net/browse/DBA-3312","DBA-3312")</f>
        <v>DBA-3312</v>
      </c>
      <c r="B1841" s="6" t="s">
        <v>21</v>
      </c>
      <c r="C1841" s="6" t="s">
        <v>8079</v>
      </c>
      <c r="D1841" s="8" t="s">
        <v>17</v>
      </c>
      <c r="E1841" s="6" t="s">
        <v>23</v>
      </c>
      <c r="F1841" s="6" t="s">
        <v>31</v>
      </c>
      <c r="G1841" s="6" t="s">
        <v>8080</v>
      </c>
      <c r="H1841" s="10">
        <v>46000</v>
      </c>
      <c r="I1841" s="6" t="s">
        <v>8081</v>
      </c>
      <c r="J1841" s="6" t="s">
        <v>55</v>
      </c>
      <c r="K1841" s="6" t="s">
        <v>55</v>
      </c>
      <c r="L1841" s="6" t="s">
        <v>956</v>
      </c>
      <c r="M1841" s="6" t="s">
        <v>8082</v>
      </c>
    </row>
    <row r="1842" spans="1:13" ht="13" x14ac:dyDescent="0.15">
      <c r="A1842" s="5" t="str">
        <f>HYPERLINK("https://onemount.atlassian.net/browse/DBA-3310","DBA-3310")</f>
        <v>DBA-3310</v>
      </c>
      <c r="B1842" s="6" t="s">
        <v>21</v>
      </c>
      <c r="C1842" s="6" t="s">
        <v>8083</v>
      </c>
      <c r="D1842" s="8" t="s">
        <v>17</v>
      </c>
      <c r="E1842" s="6" t="s">
        <v>23</v>
      </c>
      <c r="F1842" s="6" t="s">
        <v>31</v>
      </c>
      <c r="G1842" s="6" t="s">
        <v>8084</v>
      </c>
      <c r="H1842" s="10">
        <v>46002</v>
      </c>
      <c r="I1842" s="6" t="s">
        <v>8085</v>
      </c>
      <c r="J1842" s="6" t="s">
        <v>8065</v>
      </c>
      <c r="K1842" s="6" t="s">
        <v>165</v>
      </c>
      <c r="L1842" s="6" t="s">
        <v>1084</v>
      </c>
      <c r="M1842" s="6" t="s">
        <v>8086</v>
      </c>
    </row>
    <row r="1843" spans="1:13" ht="13" x14ac:dyDescent="0.15">
      <c r="A1843" s="5" t="str">
        <f>HYPERLINK("https://onemount.atlassian.net/browse/DBA-3309","DBA-3309")</f>
        <v>DBA-3309</v>
      </c>
      <c r="B1843" s="6" t="s">
        <v>21</v>
      </c>
      <c r="C1843" s="6" t="s">
        <v>8087</v>
      </c>
      <c r="D1843" s="8" t="s">
        <v>17</v>
      </c>
      <c r="E1843" s="6" t="s">
        <v>23</v>
      </c>
      <c r="F1843" s="6" t="s">
        <v>31</v>
      </c>
      <c r="G1843" s="6" t="s">
        <v>8088</v>
      </c>
      <c r="H1843" s="10">
        <v>45997</v>
      </c>
      <c r="I1843" s="6" t="s">
        <v>8089</v>
      </c>
      <c r="J1843" s="6" t="s">
        <v>707</v>
      </c>
      <c r="K1843" s="6" t="s">
        <v>35</v>
      </c>
      <c r="L1843" s="6" t="s">
        <v>707</v>
      </c>
      <c r="M1843" s="6" t="s">
        <v>8090</v>
      </c>
    </row>
    <row r="1844" spans="1:13" ht="13" x14ac:dyDescent="0.15">
      <c r="A1844" s="5" t="str">
        <f>HYPERLINK("https://onemount.atlassian.net/browse/DBA-3308","DBA-3308")</f>
        <v>DBA-3308</v>
      </c>
      <c r="B1844" s="6" t="s">
        <v>21</v>
      </c>
      <c r="C1844" s="6" t="s">
        <v>8091</v>
      </c>
      <c r="D1844" s="8" t="s">
        <v>17</v>
      </c>
      <c r="E1844" s="6" t="s">
        <v>23</v>
      </c>
      <c r="F1844" s="6" t="s">
        <v>31</v>
      </c>
      <c r="G1844" s="6" t="s">
        <v>8092</v>
      </c>
      <c r="H1844" s="10">
        <v>45998</v>
      </c>
      <c r="I1844" s="6" t="s">
        <v>8093</v>
      </c>
      <c r="J1844" s="6" t="s">
        <v>85</v>
      </c>
      <c r="K1844" s="6" t="s">
        <v>55</v>
      </c>
      <c r="L1844" s="6" t="s">
        <v>85</v>
      </c>
      <c r="M1844" s="6" t="s">
        <v>8094</v>
      </c>
    </row>
    <row r="1845" spans="1:13" ht="13" x14ac:dyDescent="0.15">
      <c r="A1845" s="5" t="str">
        <f>HYPERLINK("https://onemount.atlassian.net/browse/DBA-3307","DBA-3307")</f>
        <v>DBA-3307</v>
      </c>
      <c r="B1845" s="6" t="s">
        <v>21</v>
      </c>
      <c r="C1845" s="6" t="s">
        <v>8095</v>
      </c>
      <c r="D1845" s="8" t="s">
        <v>17</v>
      </c>
      <c r="E1845" s="6" t="s">
        <v>23</v>
      </c>
      <c r="F1845" s="6" t="s">
        <v>31</v>
      </c>
      <c r="G1845" s="6" t="s">
        <v>8096</v>
      </c>
      <c r="H1845" s="10">
        <v>45998</v>
      </c>
      <c r="I1845" s="6" t="s">
        <v>8097</v>
      </c>
      <c r="J1845" s="6" t="s">
        <v>2453</v>
      </c>
      <c r="K1845" s="6" t="s">
        <v>165</v>
      </c>
      <c r="L1845" s="6" t="s">
        <v>119</v>
      </c>
      <c r="M1845" s="6" t="s">
        <v>8098</v>
      </c>
    </row>
    <row r="1846" spans="1:13" ht="13" x14ac:dyDescent="0.15">
      <c r="A1846" s="5" t="str">
        <f>HYPERLINK("https://onemount.atlassian.net/browse/DBA-3306","DBA-3306")</f>
        <v>DBA-3306</v>
      </c>
      <c r="B1846" s="23" t="str">
        <f>HYPERLINK("https://onemount.atlassian.net/browse/DBA-2635","DBA-2635")</f>
        <v>DBA-2635</v>
      </c>
      <c r="C1846" s="6" t="s">
        <v>8099</v>
      </c>
      <c r="D1846" s="8" t="s">
        <v>17</v>
      </c>
      <c r="E1846" s="6" t="s">
        <v>428</v>
      </c>
      <c r="F1846" s="6" t="s">
        <v>41</v>
      </c>
      <c r="G1846" s="6" t="s">
        <v>8100</v>
      </c>
      <c r="H1846" s="10">
        <v>46026</v>
      </c>
      <c r="I1846" s="6" t="s">
        <v>8101</v>
      </c>
      <c r="J1846" s="6" t="s">
        <v>72</v>
      </c>
      <c r="K1846" s="6" t="s">
        <v>72</v>
      </c>
      <c r="L1846" s="6" t="s">
        <v>201</v>
      </c>
      <c r="M1846" s="6" t="s">
        <v>8102</v>
      </c>
    </row>
    <row r="1847" spans="1:13" ht="13" x14ac:dyDescent="0.15">
      <c r="A1847" s="5" t="str">
        <f>HYPERLINK("https://onemount.atlassian.net/browse/DBA-3303","DBA-3303")</f>
        <v>DBA-3303</v>
      </c>
      <c r="B1847" s="6" t="s">
        <v>21</v>
      </c>
      <c r="C1847" s="6" t="s">
        <v>8095</v>
      </c>
      <c r="D1847" s="8" t="s">
        <v>17</v>
      </c>
      <c r="E1847" s="6" t="s">
        <v>23</v>
      </c>
      <c r="F1847" s="6" t="s">
        <v>31</v>
      </c>
      <c r="G1847" s="6" t="s">
        <v>8103</v>
      </c>
      <c r="H1847" s="10">
        <v>45997</v>
      </c>
      <c r="I1847" s="6" t="s">
        <v>8104</v>
      </c>
      <c r="J1847" s="6" t="s">
        <v>2453</v>
      </c>
      <c r="K1847" s="6" t="s">
        <v>165</v>
      </c>
      <c r="L1847" s="6" t="s">
        <v>119</v>
      </c>
      <c r="M1847" s="6" t="s">
        <v>8105</v>
      </c>
    </row>
    <row r="1848" spans="1:13" ht="13" x14ac:dyDescent="0.15">
      <c r="A1848" s="5" t="str">
        <f>HYPERLINK("https://onemount.atlassian.net/browse/DBA-3302","DBA-3302")</f>
        <v>DBA-3302</v>
      </c>
      <c r="B1848" s="6" t="s">
        <v>21</v>
      </c>
      <c r="C1848" s="6" t="s">
        <v>8106</v>
      </c>
      <c r="D1848" s="8" t="s">
        <v>17</v>
      </c>
      <c r="E1848" s="6" t="s">
        <v>23</v>
      </c>
      <c r="F1848" s="6" t="s">
        <v>31</v>
      </c>
      <c r="G1848" s="6" t="s">
        <v>8107</v>
      </c>
      <c r="H1848" s="10">
        <v>45995</v>
      </c>
      <c r="I1848" s="6" t="s">
        <v>8108</v>
      </c>
      <c r="J1848" s="6" t="s">
        <v>55</v>
      </c>
      <c r="K1848" s="6" t="s">
        <v>55</v>
      </c>
      <c r="L1848" s="6" t="s">
        <v>55</v>
      </c>
      <c r="M1848" s="6" t="s">
        <v>8109</v>
      </c>
    </row>
    <row r="1849" spans="1:13" ht="13" x14ac:dyDescent="0.15">
      <c r="A1849" s="5" t="str">
        <f>HYPERLINK("https://onemount.atlassian.net/browse/DBA-3297","DBA-3297")</f>
        <v>DBA-3297</v>
      </c>
      <c r="B1849" s="6" t="s">
        <v>21</v>
      </c>
      <c r="C1849" s="6" t="s">
        <v>8110</v>
      </c>
      <c r="D1849" s="8" t="s">
        <v>17</v>
      </c>
      <c r="E1849" s="6" t="s">
        <v>23</v>
      </c>
      <c r="F1849" s="6" t="s">
        <v>31</v>
      </c>
      <c r="G1849" s="6" t="s">
        <v>8111</v>
      </c>
      <c r="H1849" s="10">
        <v>45996</v>
      </c>
      <c r="I1849" s="6" t="s">
        <v>8112</v>
      </c>
      <c r="J1849" s="6" t="s">
        <v>1898</v>
      </c>
      <c r="K1849" s="6" t="s">
        <v>165</v>
      </c>
      <c r="L1849" s="6" t="s">
        <v>1097</v>
      </c>
      <c r="M1849" s="6" t="s">
        <v>8113</v>
      </c>
    </row>
    <row r="1850" spans="1:13" ht="13" x14ac:dyDescent="0.15">
      <c r="A1850" s="5" t="str">
        <f>HYPERLINK("https://onemount.atlassian.net/browse/DBA-3296","DBA-3296")</f>
        <v>DBA-3296</v>
      </c>
      <c r="B1850" s="6" t="s">
        <v>21</v>
      </c>
      <c r="C1850" s="6" t="s">
        <v>8114</v>
      </c>
      <c r="D1850" s="8" t="s">
        <v>17</v>
      </c>
      <c r="E1850" s="6" t="s">
        <v>23</v>
      </c>
      <c r="F1850" s="6" t="s">
        <v>31</v>
      </c>
      <c r="G1850" s="6" t="s">
        <v>8115</v>
      </c>
      <c r="H1850" s="10">
        <v>45995</v>
      </c>
      <c r="I1850" s="6" t="s">
        <v>8116</v>
      </c>
      <c r="J1850" s="6" t="s">
        <v>478</v>
      </c>
      <c r="K1850" s="6" t="s">
        <v>35</v>
      </c>
      <c r="L1850" s="6" t="s">
        <v>129</v>
      </c>
      <c r="M1850" s="6" t="s">
        <v>8117</v>
      </c>
    </row>
    <row r="1851" spans="1:13" ht="13" x14ac:dyDescent="0.15">
      <c r="A1851" s="21" t="str">
        <f>HYPERLINK("https://onemount.atlassian.net/browse/DBA-3294","DBA-3294")</f>
        <v>DBA-3294</v>
      </c>
      <c r="B1851" s="6" t="s">
        <v>21</v>
      </c>
      <c r="C1851" s="6" t="s">
        <v>2684</v>
      </c>
      <c r="D1851" s="8" t="s">
        <v>17</v>
      </c>
      <c r="E1851" s="6" t="s">
        <v>23</v>
      </c>
      <c r="F1851" s="6" t="s">
        <v>31</v>
      </c>
      <c r="G1851" s="6" t="s">
        <v>8118</v>
      </c>
      <c r="H1851" s="10">
        <v>45995</v>
      </c>
      <c r="I1851" s="6" t="s">
        <v>8119</v>
      </c>
      <c r="J1851" s="6" t="s">
        <v>2687</v>
      </c>
      <c r="K1851" s="6" t="s">
        <v>46</v>
      </c>
      <c r="L1851" s="6" t="s">
        <v>404</v>
      </c>
      <c r="M1851" s="6" t="s">
        <v>6940</v>
      </c>
    </row>
    <row r="1852" spans="1:13" ht="13" x14ac:dyDescent="0.15">
      <c r="A1852" s="5" t="str">
        <f>HYPERLINK("https://onemount.atlassian.net/browse/DBA-3293","DBA-3293")</f>
        <v>DBA-3293</v>
      </c>
      <c r="B1852" s="6" t="s">
        <v>21</v>
      </c>
      <c r="C1852" s="6" t="s">
        <v>8120</v>
      </c>
      <c r="D1852" s="8" t="s">
        <v>17</v>
      </c>
      <c r="E1852" s="6" t="s">
        <v>23</v>
      </c>
      <c r="F1852" s="6" t="s">
        <v>24</v>
      </c>
      <c r="G1852" s="6" t="s">
        <v>8121</v>
      </c>
      <c r="H1852" s="10">
        <v>45995</v>
      </c>
      <c r="I1852" s="6" t="s">
        <v>8122</v>
      </c>
      <c r="J1852" s="6" t="s">
        <v>55</v>
      </c>
      <c r="K1852" s="6" t="s">
        <v>55</v>
      </c>
      <c r="L1852" s="6" t="s">
        <v>956</v>
      </c>
      <c r="M1852" s="6" t="s">
        <v>8123</v>
      </c>
    </row>
    <row r="1853" spans="1:13" ht="13" x14ac:dyDescent="0.15">
      <c r="A1853" s="5" t="str">
        <f>HYPERLINK("https://onemount.atlassian.net/browse/DBA-3292","DBA-3292")</f>
        <v>DBA-3292</v>
      </c>
      <c r="B1853" s="6" t="s">
        <v>21</v>
      </c>
      <c r="C1853" s="6" t="s">
        <v>8124</v>
      </c>
      <c r="D1853" s="8" t="s">
        <v>17</v>
      </c>
      <c r="E1853" s="6" t="s">
        <v>23</v>
      </c>
      <c r="F1853" s="6" t="s">
        <v>31</v>
      </c>
      <c r="G1853" s="6" t="s">
        <v>8125</v>
      </c>
      <c r="H1853" s="10">
        <v>45995</v>
      </c>
      <c r="I1853" s="6" t="s">
        <v>8126</v>
      </c>
      <c r="J1853" s="6" t="s">
        <v>85</v>
      </c>
      <c r="K1853" s="6" t="s">
        <v>55</v>
      </c>
      <c r="L1853" s="6" t="s">
        <v>85</v>
      </c>
      <c r="M1853" s="6" t="s">
        <v>8127</v>
      </c>
    </row>
    <row r="1854" spans="1:13" ht="13" x14ac:dyDescent="0.15">
      <c r="A1854" s="5" t="str">
        <f>HYPERLINK("https://onemount.atlassian.net/browse/DBA-3291","DBA-3291")</f>
        <v>DBA-3291</v>
      </c>
      <c r="B1854" s="6" t="s">
        <v>21</v>
      </c>
      <c r="C1854" s="6" t="s">
        <v>8128</v>
      </c>
      <c r="D1854" s="8" t="s">
        <v>17</v>
      </c>
      <c r="E1854" s="6" t="s">
        <v>23</v>
      </c>
      <c r="F1854" s="6" t="s">
        <v>31</v>
      </c>
      <c r="G1854" s="6" t="s">
        <v>8129</v>
      </c>
      <c r="H1854" s="10">
        <v>45994</v>
      </c>
      <c r="I1854" s="6" t="s">
        <v>8130</v>
      </c>
      <c r="J1854" s="6" t="s">
        <v>478</v>
      </c>
      <c r="K1854" s="6" t="s">
        <v>35</v>
      </c>
      <c r="L1854" s="6" t="s">
        <v>478</v>
      </c>
      <c r="M1854" s="6" t="s">
        <v>8131</v>
      </c>
    </row>
    <row r="1855" spans="1:13" ht="13" x14ac:dyDescent="0.15">
      <c r="A1855" s="5" t="str">
        <f>HYPERLINK("https://onemount.atlassian.net/browse/DBA-3290","DBA-3290")</f>
        <v>DBA-3290</v>
      </c>
      <c r="B1855" s="6" t="s">
        <v>21</v>
      </c>
      <c r="C1855" s="6" t="s">
        <v>8132</v>
      </c>
      <c r="D1855" s="8" t="s">
        <v>17</v>
      </c>
      <c r="E1855" s="6" t="s">
        <v>23</v>
      </c>
      <c r="F1855" s="6" t="s">
        <v>24</v>
      </c>
      <c r="G1855" s="6" t="s">
        <v>8133</v>
      </c>
      <c r="H1855" s="10">
        <v>45996</v>
      </c>
      <c r="I1855" s="6" t="s">
        <v>8134</v>
      </c>
      <c r="J1855" s="6" t="s">
        <v>144</v>
      </c>
      <c r="K1855" s="6" t="s">
        <v>165</v>
      </c>
      <c r="L1855" s="6" t="s">
        <v>1082</v>
      </c>
      <c r="M1855" s="6" t="s">
        <v>8135</v>
      </c>
    </row>
    <row r="1856" spans="1:13" ht="13" x14ac:dyDescent="0.15">
      <c r="A1856" s="5" t="str">
        <f>HYPERLINK("https://onemount.atlassian.net/browse/DBA-3289","DBA-3289")</f>
        <v>DBA-3289</v>
      </c>
      <c r="B1856" s="6" t="s">
        <v>21</v>
      </c>
      <c r="C1856" s="6" t="s">
        <v>8136</v>
      </c>
      <c r="D1856" s="8" t="s">
        <v>17</v>
      </c>
      <c r="E1856" s="6" t="s">
        <v>23</v>
      </c>
      <c r="F1856" s="6" t="s">
        <v>41</v>
      </c>
      <c r="G1856" s="6" t="s">
        <v>8137</v>
      </c>
      <c r="H1856" s="10">
        <v>45994</v>
      </c>
      <c r="I1856" s="6" t="s">
        <v>8138</v>
      </c>
      <c r="J1856" s="6" t="s">
        <v>807</v>
      </c>
      <c r="K1856" s="6" t="s">
        <v>28</v>
      </c>
      <c r="L1856" s="6" t="s">
        <v>807</v>
      </c>
      <c r="M1856" s="6" t="s">
        <v>8139</v>
      </c>
    </row>
    <row r="1857" spans="1:13" ht="13" x14ac:dyDescent="0.15">
      <c r="A1857" s="5" t="str">
        <f>HYPERLINK("https://onemount.atlassian.net/browse/DBA-3287","DBA-3287")</f>
        <v>DBA-3287</v>
      </c>
      <c r="B1857" s="6" t="s">
        <v>21</v>
      </c>
      <c r="C1857" s="6" t="s">
        <v>8140</v>
      </c>
      <c r="D1857" s="8" t="s">
        <v>17</v>
      </c>
      <c r="E1857" s="6" t="s">
        <v>23</v>
      </c>
      <c r="F1857" s="6" t="s">
        <v>31</v>
      </c>
      <c r="G1857" s="6" t="s">
        <v>8141</v>
      </c>
      <c r="H1857" s="10">
        <v>45995</v>
      </c>
      <c r="I1857" s="6" t="s">
        <v>8142</v>
      </c>
      <c r="J1857" s="6" t="s">
        <v>1898</v>
      </c>
      <c r="K1857" s="6" t="s">
        <v>165</v>
      </c>
      <c r="L1857" s="6" t="s">
        <v>1097</v>
      </c>
      <c r="M1857" s="6" t="s">
        <v>8143</v>
      </c>
    </row>
    <row r="1858" spans="1:13" ht="13" x14ac:dyDescent="0.15">
      <c r="A1858" s="5" t="str">
        <f>HYPERLINK("https://onemount.atlassian.net/browse/DBA-3286","DBA-3286")</f>
        <v>DBA-3286</v>
      </c>
      <c r="B1858" s="23" t="str">
        <f>HYPERLINK("https://onemount.atlassian.net/browse/DBA-2062","DBA-2062")</f>
        <v>DBA-2062</v>
      </c>
      <c r="C1858" s="6" t="s">
        <v>8144</v>
      </c>
      <c r="D1858" s="8" t="s">
        <v>17</v>
      </c>
      <c r="E1858" s="6" t="s">
        <v>428</v>
      </c>
      <c r="F1858" s="6" t="s">
        <v>24</v>
      </c>
      <c r="G1858" s="6" t="s">
        <v>8145</v>
      </c>
      <c r="H1858" s="10">
        <v>45994</v>
      </c>
      <c r="I1858" s="6" t="s">
        <v>8146</v>
      </c>
      <c r="J1858" s="6" t="s">
        <v>7701</v>
      </c>
      <c r="K1858" s="6" t="s">
        <v>55</v>
      </c>
      <c r="L1858" s="6" t="s">
        <v>793</v>
      </c>
      <c r="M1858" s="6" t="s">
        <v>8147</v>
      </c>
    </row>
    <row r="1859" spans="1:13" ht="13" x14ac:dyDescent="0.15">
      <c r="A1859" s="5" t="str">
        <f>HYPERLINK("https://onemount.atlassian.net/browse/DBA-3285","DBA-3285")</f>
        <v>DBA-3285</v>
      </c>
      <c r="B1859" s="6" t="s">
        <v>21</v>
      </c>
      <c r="C1859" s="6" t="s">
        <v>8148</v>
      </c>
      <c r="D1859" s="8" t="s">
        <v>17</v>
      </c>
      <c r="E1859" s="6" t="s">
        <v>23</v>
      </c>
      <c r="F1859" s="6" t="s">
        <v>24</v>
      </c>
      <c r="G1859" s="6" t="s">
        <v>8149</v>
      </c>
      <c r="H1859" s="10">
        <v>45995</v>
      </c>
      <c r="I1859" s="6" t="s">
        <v>8150</v>
      </c>
      <c r="J1859" s="6" t="s">
        <v>55</v>
      </c>
      <c r="K1859" s="6" t="s">
        <v>55</v>
      </c>
      <c r="L1859" s="6" t="s">
        <v>956</v>
      </c>
      <c r="M1859" s="6" t="s">
        <v>8151</v>
      </c>
    </row>
    <row r="1860" spans="1:13" ht="13" x14ac:dyDescent="0.15">
      <c r="A1860" s="5" t="str">
        <f>HYPERLINK("https://onemount.atlassian.net/browse/DBA-3284","DBA-3284")</f>
        <v>DBA-3284</v>
      </c>
      <c r="B1860" s="6" t="s">
        <v>21</v>
      </c>
      <c r="C1860" s="6" t="s">
        <v>3967</v>
      </c>
      <c r="D1860" s="8" t="s">
        <v>17</v>
      </c>
      <c r="E1860" s="6" t="s">
        <v>23</v>
      </c>
      <c r="F1860" s="6" t="s">
        <v>41</v>
      </c>
      <c r="G1860" s="6" t="s">
        <v>8152</v>
      </c>
      <c r="H1860" s="10">
        <v>45995</v>
      </c>
      <c r="I1860" s="6" t="s">
        <v>8153</v>
      </c>
      <c r="J1860" s="6" t="s">
        <v>2427</v>
      </c>
      <c r="K1860" s="6" t="s">
        <v>28</v>
      </c>
      <c r="L1860" s="6" t="s">
        <v>1000</v>
      </c>
      <c r="M1860" s="6" t="s">
        <v>8154</v>
      </c>
    </row>
    <row r="1861" spans="1:13" ht="13" x14ac:dyDescent="0.15">
      <c r="A1861" s="5" t="str">
        <f>HYPERLINK("https://onemount.atlassian.net/browse/DBA-3283","DBA-3283")</f>
        <v>DBA-3283</v>
      </c>
      <c r="B1861" s="6" t="s">
        <v>21</v>
      </c>
      <c r="C1861" s="6" t="s">
        <v>8155</v>
      </c>
      <c r="D1861" s="8" t="s">
        <v>17</v>
      </c>
      <c r="E1861" s="6" t="s">
        <v>23</v>
      </c>
      <c r="F1861" s="6" t="s">
        <v>31</v>
      </c>
      <c r="G1861" s="6" t="s">
        <v>8156</v>
      </c>
      <c r="H1861" s="10">
        <v>45993</v>
      </c>
      <c r="I1861" s="6" t="s">
        <v>8157</v>
      </c>
      <c r="J1861" s="6" t="s">
        <v>55</v>
      </c>
      <c r="K1861" s="6" t="s">
        <v>55</v>
      </c>
      <c r="L1861" s="6" t="s">
        <v>956</v>
      </c>
      <c r="M1861" s="6" t="s">
        <v>8158</v>
      </c>
    </row>
    <row r="1862" spans="1:13" ht="13" x14ac:dyDescent="0.15">
      <c r="A1862" s="5" t="str">
        <f>HYPERLINK("https://onemount.atlassian.net/browse/DBA-3282","DBA-3282")</f>
        <v>DBA-3282</v>
      </c>
      <c r="B1862" s="6" t="s">
        <v>21</v>
      </c>
      <c r="C1862" s="6" t="s">
        <v>7512</v>
      </c>
      <c r="D1862" s="8" t="s">
        <v>17</v>
      </c>
      <c r="E1862" s="6" t="s">
        <v>23</v>
      </c>
      <c r="F1862" s="6" t="s">
        <v>31</v>
      </c>
      <c r="G1862" s="6" t="s">
        <v>8159</v>
      </c>
      <c r="H1862" s="10">
        <v>45993</v>
      </c>
      <c r="I1862" s="6" t="s">
        <v>8160</v>
      </c>
      <c r="J1862" s="6" t="s">
        <v>1464</v>
      </c>
      <c r="K1862" s="6" t="s">
        <v>55</v>
      </c>
      <c r="L1862" s="6" t="s">
        <v>254</v>
      </c>
      <c r="M1862" s="6" t="s">
        <v>8161</v>
      </c>
    </row>
    <row r="1863" spans="1:13" ht="13" x14ac:dyDescent="0.15">
      <c r="A1863" s="5" t="str">
        <f>HYPERLINK("https://onemount.atlassian.net/browse/DBA-3281","DBA-3281")</f>
        <v>DBA-3281</v>
      </c>
      <c r="B1863" s="6" t="s">
        <v>21</v>
      </c>
      <c r="C1863" s="6" t="s">
        <v>8162</v>
      </c>
      <c r="D1863" s="8" t="s">
        <v>17</v>
      </c>
      <c r="E1863" s="6" t="s">
        <v>23</v>
      </c>
      <c r="F1863" s="6" t="s">
        <v>24</v>
      </c>
      <c r="G1863" s="6" t="s">
        <v>8163</v>
      </c>
      <c r="H1863" s="10">
        <v>45994</v>
      </c>
      <c r="I1863" s="6" t="s">
        <v>8164</v>
      </c>
      <c r="J1863" s="6" t="s">
        <v>27</v>
      </c>
      <c r="K1863" s="6" t="s">
        <v>28</v>
      </c>
      <c r="L1863" s="6" t="s">
        <v>27</v>
      </c>
      <c r="M1863" s="6" t="s">
        <v>8165</v>
      </c>
    </row>
    <row r="1864" spans="1:13" ht="13" x14ac:dyDescent="0.15">
      <c r="A1864" s="5" t="str">
        <f>HYPERLINK("https://onemount.atlassian.net/browse/DBA-3280","DBA-3280")</f>
        <v>DBA-3280</v>
      </c>
      <c r="B1864" s="6" t="s">
        <v>21</v>
      </c>
      <c r="C1864" s="6" t="s">
        <v>8166</v>
      </c>
      <c r="D1864" s="8" t="s">
        <v>17</v>
      </c>
      <c r="E1864" s="6" t="s">
        <v>23</v>
      </c>
      <c r="F1864" s="6" t="s">
        <v>31</v>
      </c>
      <c r="G1864" s="6" t="s">
        <v>8167</v>
      </c>
      <c r="H1864" s="10">
        <v>45994</v>
      </c>
      <c r="I1864" s="6" t="s">
        <v>8168</v>
      </c>
      <c r="J1864" s="6" t="s">
        <v>2153</v>
      </c>
      <c r="K1864" s="6" t="s">
        <v>55</v>
      </c>
      <c r="L1864" s="6" t="s">
        <v>254</v>
      </c>
      <c r="M1864" s="6" t="s">
        <v>8169</v>
      </c>
    </row>
    <row r="1865" spans="1:13" ht="13" x14ac:dyDescent="0.15">
      <c r="A1865" s="5" t="str">
        <f>HYPERLINK("https://onemount.atlassian.net/browse/DBA-3279","DBA-3279")</f>
        <v>DBA-3279</v>
      </c>
      <c r="B1865" s="6" t="s">
        <v>21</v>
      </c>
      <c r="C1865" s="6" t="s">
        <v>8170</v>
      </c>
      <c r="D1865" s="8" t="s">
        <v>17</v>
      </c>
      <c r="E1865" s="6" t="s">
        <v>23</v>
      </c>
      <c r="F1865" s="6" t="s">
        <v>31</v>
      </c>
      <c r="G1865" s="6" t="s">
        <v>8171</v>
      </c>
      <c r="H1865" s="10">
        <v>45994</v>
      </c>
      <c r="I1865" s="6" t="s">
        <v>8172</v>
      </c>
      <c r="J1865" s="6" t="s">
        <v>27</v>
      </c>
      <c r="K1865" s="6" t="s">
        <v>28</v>
      </c>
      <c r="L1865" s="6" t="s">
        <v>27</v>
      </c>
      <c r="M1865" s="6" t="s">
        <v>8173</v>
      </c>
    </row>
    <row r="1866" spans="1:13" ht="13" x14ac:dyDescent="0.15">
      <c r="A1866" s="5" t="str">
        <f>HYPERLINK("https://onemount.atlassian.net/browse/DBA-3278","DBA-3278")</f>
        <v>DBA-3278</v>
      </c>
      <c r="B1866" s="6" t="s">
        <v>21</v>
      </c>
      <c r="C1866" s="6" t="s">
        <v>8174</v>
      </c>
      <c r="D1866" s="8" t="s">
        <v>17</v>
      </c>
      <c r="E1866" s="6" t="s">
        <v>23</v>
      </c>
      <c r="F1866" s="6" t="s">
        <v>31</v>
      </c>
      <c r="G1866" s="6" t="s">
        <v>8175</v>
      </c>
      <c r="H1866" s="10">
        <v>45993</v>
      </c>
      <c r="I1866" s="6" t="s">
        <v>8176</v>
      </c>
      <c r="J1866" s="6" t="s">
        <v>6575</v>
      </c>
      <c r="K1866" s="6" t="s">
        <v>35</v>
      </c>
      <c r="L1866" s="6" t="s">
        <v>962</v>
      </c>
      <c r="M1866" s="6" t="s">
        <v>8177</v>
      </c>
    </row>
    <row r="1867" spans="1:13" ht="13" x14ac:dyDescent="0.15">
      <c r="A1867" s="5" t="str">
        <f>HYPERLINK("https://onemount.atlassian.net/browse/DBA-3275","DBA-3275")</f>
        <v>DBA-3275</v>
      </c>
      <c r="B1867" s="6" t="s">
        <v>21</v>
      </c>
      <c r="C1867" s="6" t="s">
        <v>3289</v>
      </c>
      <c r="D1867" s="8" t="s">
        <v>17</v>
      </c>
      <c r="E1867" s="6" t="s">
        <v>23</v>
      </c>
      <c r="F1867" s="6" t="s">
        <v>24</v>
      </c>
      <c r="G1867" s="6" t="s">
        <v>8178</v>
      </c>
      <c r="H1867" s="10">
        <v>45994</v>
      </c>
      <c r="I1867" s="6" t="s">
        <v>8179</v>
      </c>
      <c r="J1867" s="6" t="s">
        <v>56</v>
      </c>
      <c r="K1867" s="6" t="s">
        <v>55</v>
      </c>
      <c r="L1867" s="6" t="s">
        <v>56</v>
      </c>
      <c r="M1867" s="6" t="s">
        <v>8180</v>
      </c>
    </row>
    <row r="1868" spans="1:13" ht="13" x14ac:dyDescent="0.15">
      <c r="A1868" s="5" t="str">
        <f>HYPERLINK("https://onemount.atlassian.net/browse/DBA-3273","DBA-3273")</f>
        <v>DBA-3273</v>
      </c>
      <c r="B1868" s="6" t="s">
        <v>21</v>
      </c>
      <c r="C1868" s="6" t="s">
        <v>8181</v>
      </c>
      <c r="D1868" s="8" t="s">
        <v>17</v>
      </c>
      <c r="E1868" s="6" t="s">
        <v>23</v>
      </c>
      <c r="F1868" s="6" t="s">
        <v>24</v>
      </c>
      <c r="G1868" s="6" t="s">
        <v>8182</v>
      </c>
      <c r="H1868" s="10">
        <v>45996</v>
      </c>
      <c r="I1868" s="6" t="s">
        <v>8183</v>
      </c>
      <c r="J1868" s="6" t="s">
        <v>8184</v>
      </c>
      <c r="K1868" s="6" t="s">
        <v>59</v>
      </c>
      <c r="L1868" s="6" t="s">
        <v>88</v>
      </c>
      <c r="M1868" s="6" t="s">
        <v>8185</v>
      </c>
    </row>
    <row r="1869" spans="1:13" ht="13" x14ac:dyDescent="0.15">
      <c r="A1869" s="5" t="str">
        <f>HYPERLINK("https://onemount.atlassian.net/browse/DBA-3272","DBA-3272")</f>
        <v>DBA-3272</v>
      </c>
      <c r="B1869" s="23" t="str">
        <f t="shared" ref="B1869:B1871" si="23">HYPERLINK("https://onemount.atlassian.net/browse/DBA-3269","DBA-3269")</f>
        <v>DBA-3269</v>
      </c>
      <c r="C1869" s="6" t="s">
        <v>8186</v>
      </c>
      <c r="D1869" s="8" t="s">
        <v>17</v>
      </c>
      <c r="E1869" s="6" t="s">
        <v>428</v>
      </c>
      <c r="F1869" s="6" t="s">
        <v>24</v>
      </c>
      <c r="G1869" s="6" t="s">
        <v>8187</v>
      </c>
      <c r="H1869" s="10">
        <v>46010</v>
      </c>
      <c r="I1869" s="6" t="s">
        <v>8188</v>
      </c>
      <c r="J1869" s="6" t="s">
        <v>2796</v>
      </c>
      <c r="K1869" s="6" t="s">
        <v>55</v>
      </c>
      <c r="L1869" s="6" t="s">
        <v>425</v>
      </c>
      <c r="M1869" s="6" t="s">
        <v>8189</v>
      </c>
    </row>
    <row r="1870" spans="1:13" ht="13" x14ac:dyDescent="0.15">
      <c r="A1870" s="5" t="str">
        <f>HYPERLINK("https://onemount.atlassian.net/browse/DBA-3271","DBA-3271")</f>
        <v>DBA-3271</v>
      </c>
      <c r="B1870" s="23" t="str">
        <f t="shared" si="23"/>
        <v>DBA-3269</v>
      </c>
      <c r="C1870" s="6" t="s">
        <v>8190</v>
      </c>
      <c r="D1870" s="8" t="s">
        <v>17</v>
      </c>
      <c r="E1870" s="6" t="s">
        <v>428</v>
      </c>
      <c r="F1870" s="6" t="s">
        <v>24</v>
      </c>
      <c r="G1870" s="6" t="s">
        <v>8191</v>
      </c>
      <c r="H1870" s="10">
        <v>46003</v>
      </c>
      <c r="I1870" s="6" t="s">
        <v>8192</v>
      </c>
      <c r="J1870" s="6" t="s">
        <v>2796</v>
      </c>
      <c r="K1870" s="6" t="s">
        <v>55</v>
      </c>
      <c r="L1870" s="6" t="s">
        <v>425</v>
      </c>
      <c r="M1870" s="6" t="s">
        <v>8193</v>
      </c>
    </row>
    <row r="1871" spans="1:13" ht="13" x14ac:dyDescent="0.15">
      <c r="A1871" s="21" t="str">
        <f>HYPERLINK("https://onemount.atlassian.net/browse/DBA-3270","DBA-3270")</f>
        <v>DBA-3270</v>
      </c>
      <c r="B1871" s="23" t="str">
        <f t="shared" si="23"/>
        <v>DBA-3269</v>
      </c>
      <c r="C1871" s="6" t="s">
        <v>8194</v>
      </c>
      <c r="D1871" s="8" t="s">
        <v>17</v>
      </c>
      <c r="E1871" s="6" t="s">
        <v>428</v>
      </c>
      <c r="F1871" s="6" t="s">
        <v>24</v>
      </c>
      <c r="G1871" s="6" t="s">
        <v>8195</v>
      </c>
      <c r="H1871" s="10">
        <v>46003</v>
      </c>
      <c r="I1871" s="6" t="s">
        <v>8196</v>
      </c>
      <c r="J1871" s="6" t="s">
        <v>2796</v>
      </c>
      <c r="K1871" s="6" t="s">
        <v>55</v>
      </c>
      <c r="L1871" s="6" t="s">
        <v>425</v>
      </c>
      <c r="M1871" s="6" t="s">
        <v>6194</v>
      </c>
    </row>
    <row r="1872" spans="1:13" ht="13" x14ac:dyDescent="0.15">
      <c r="A1872" s="5" t="str">
        <f>HYPERLINK("https://onemount.atlassian.net/browse/DBA-3269","DBA-3269")</f>
        <v>DBA-3269</v>
      </c>
      <c r="B1872" s="23" t="str">
        <f>HYPERLINK("https://onemount.atlassian.net/browse/DBA-3006","DBA-3006")</f>
        <v>DBA-3006</v>
      </c>
      <c r="C1872" s="6" t="s">
        <v>8197</v>
      </c>
      <c r="D1872" s="8" t="s">
        <v>17</v>
      </c>
      <c r="E1872" s="6" t="s">
        <v>23</v>
      </c>
      <c r="F1872" s="6" t="s">
        <v>24</v>
      </c>
      <c r="G1872" s="6" t="s">
        <v>8198</v>
      </c>
      <c r="H1872" s="10">
        <v>46022</v>
      </c>
      <c r="I1872" s="6" t="s">
        <v>8199</v>
      </c>
      <c r="J1872" s="6" t="s">
        <v>2796</v>
      </c>
      <c r="K1872" s="6" t="s">
        <v>55</v>
      </c>
      <c r="L1872" s="6" t="s">
        <v>835</v>
      </c>
      <c r="M1872" s="6" t="s">
        <v>8200</v>
      </c>
    </row>
    <row r="1873" spans="1:13" ht="13" x14ac:dyDescent="0.15">
      <c r="A1873" s="5" t="str">
        <f>HYPERLINK("https://onemount.atlassian.net/browse/DBA-3268","DBA-3268")</f>
        <v>DBA-3268</v>
      </c>
      <c r="B1873" s="6" t="s">
        <v>21</v>
      </c>
      <c r="C1873" s="6" t="s">
        <v>8201</v>
      </c>
      <c r="D1873" s="8" t="s">
        <v>17</v>
      </c>
      <c r="E1873" s="6" t="s">
        <v>23</v>
      </c>
      <c r="F1873" s="6" t="s">
        <v>24</v>
      </c>
      <c r="G1873" s="6" t="s">
        <v>8202</v>
      </c>
      <c r="H1873" s="10">
        <v>45994</v>
      </c>
      <c r="I1873" s="6" t="s">
        <v>8203</v>
      </c>
      <c r="J1873" s="6" t="s">
        <v>3141</v>
      </c>
      <c r="K1873" s="6" t="s">
        <v>165</v>
      </c>
      <c r="L1873" s="6" t="s">
        <v>1022</v>
      </c>
      <c r="M1873" s="6" t="s">
        <v>8204</v>
      </c>
    </row>
    <row r="1874" spans="1:13" ht="13" x14ac:dyDescent="0.15">
      <c r="A1874" s="5" t="str">
        <f>HYPERLINK("https://onemount.atlassian.net/browse/DBA-3267","DBA-3267")</f>
        <v>DBA-3267</v>
      </c>
      <c r="B1874" s="6" t="s">
        <v>21</v>
      </c>
      <c r="C1874" s="6" t="s">
        <v>8205</v>
      </c>
      <c r="D1874" s="8" t="s">
        <v>17</v>
      </c>
      <c r="E1874" s="6" t="s">
        <v>23</v>
      </c>
      <c r="F1874" s="6" t="s">
        <v>24</v>
      </c>
      <c r="G1874" s="6" t="s">
        <v>8206</v>
      </c>
      <c r="H1874" s="10">
        <v>45996</v>
      </c>
      <c r="I1874" s="6" t="s">
        <v>8207</v>
      </c>
      <c r="J1874" s="6" t="s">
        <v>3141</v>
      </c>
      <c r="K1874" s="6" t="s">
        <v>165</v>
      </c>
      <c r="L1874" s="6" t="s">
        <v>1022</v>
      </c>
      <c r="M1874" s="6" t="s">
        <v>8208</v>
      </c>
    </row>
    <row r="1875" spans="1:13" ht="13" x14ac:dyDescent="0.15">
      <c r="A1875" s="5" t="str">
        <f>HYPERLINK("https://onemount.atlassian.net/browse/DBA-3263","DBA-3263")</f>
        <v>DBA-3263</v>
      </c>
      <c r="B1875" s="6" t="s">
        <v>21</v>
      </c>
      <c r="C1875" s="6" t="s">
        <v>8209</v>
      </c>
      <c r="D1875" s="8" t="s">
        <v>17</v>
      </c>
      <c r="E1875" s="6" t="s">
        <v>23</v>
      </c>
      <c r="F1875" s="6" t="s">
        <v>31</v>
      </c>
      <c r="G1875" s="6" t="s">
        <v>8210</v>
      </c>
      <c r="H1875" s="10">
        <v>45993</v>
      </c>
      <c r="I1875" s="6" t="s">
        <v>8211</v>
      </c>
      <c r="J1875" s="6" t="s">
        <v>128</v>
      </c>
      <c r="K1875" s="6" t="s">
        <v>35</v>
      </c>
      <c r="L1875" s="6" t="s">
        <v>129</v>
      </c>
      <c r="M1875" s="6" t="s">
        <v>8212</v>
      </c>
    </row>
    <row r="1876" spans="1:13" ht="13" x14ac:dyDescent="0.15">
      <c r="A1876" s="5" t="str">
        <f>HYPERLINK("https://onemount.atlassian.net/browse/DBA-3262","DBA-3262")</f>
        <v>DBA-3262</v>
      </c>
      <c r="B1876" s="6" t="s">
        <v>21</v>
      </c>
      <c r="C1876" s="6" t="s">
        <v>8213</v>
      </c>
      <c r="D1876" s="8" t="s">
        <v>17</v>
      </c>
      <c r="E1876" s="6" t="s">
        <v>23</v>
      </c>
      <c r="F1876" s="6" t="s">
        <v>31</v>
      </c>
      <c r="G1876" s="6" t="s">
        <v>8214</v>
      </c>
      <c r="H1876" s="10">
        <v>45994</v>
      </c>
      <c r="I1876" s="6" t="s">
        <v>8215</v>
      </c>
      <c r="J1876" s="6" t="s">
        <v>2453</v>
      </c>
      <c r="K1876" s="6" t="s">
        <v>165</v>
      </c>
      <c r="L1876" s="6" t="s">
        <v>119</v>
      </c>
      <c r="M1876" s="6" t="s">
        <v>8216</v>
      </c>
    </row>
    <row r="1877" spans="1:13" ht="13" x14ac:dyDescent="0.15">
      <c r="A1877" s="5" t="str">
        <f>HYPERLINK("https://onemount.atlassian.net/browse/DBA-3261","DBA-3261")</f>
        <v>DBA-3261</v>
      </c>
      <c r="B1877" s="6" t="s">
        <v>21</v>
      </c>
      <c r="C1877" s="6" t="s">
        <v>8217</v>
      </c>
      <c r="D1877" s="8" t="s">
        <v>17</v>
      </c>
      <c r="E1877" s="6" t="s">
        <v>23</v>
      </c>
      <c r="F1877" s="6" t="s">
        <v>31</v>
      </c>
      <c r="G1877" s="6" t="s">
        <v>8218</v>
      </c>
      <c r="H1877" s="10">
        <v>45994</v>
      </c>
      <c r="I1877" s="6" t="s">
        <v>8219</v>
      </c>
      <c r="J1877" s="6" t="s">
        <v>2453</v>
      </c>
      <c r="K1877" s="6" t="s">
        <v>165</v>
      </c>
      <c r="L1877" s="6" t="s">
        <v>119</v>
      </c>
      <c r="M1877" s="6" t="s">
        <v>8220</v>
      </c>
    </row>
    <row r="1878" spans="1:13" ht="13" x14ac:dyDescent="0.15">
      <c r="A1878" s="5" t="str">
        <f>HYPERLINK("https://onemount.atlassian.net/browse/DBA-3260","DBA-3260")</f>
        <v>DBA-3260</v>
      </c>
      <c r="B1878" s="6" t="s">
        <v>21</v>
      </c>
      <c r="C1878" s="6" t="s">
        <v>8221</v>
      </c>
      <c r="D1878" s="8" t="s">
        <v>17</v>
      </c>
      <c r="E1878" s="6" t="s">
        <v>23</v>
      </c>
      <c r="F1878" s="6" t="s">
        <v>31</v>
      </c>
      <c r="G1878" s="6" t="s">
        <v>8222</v>
      </c>
      <c r="H1878" s="10">
        <v>45994</v>
      </c>
      <c r="I1878" s="6" t="s">
        <v>8223</v>
      </c>
      <c r="J1878" s="6" t="s">
        <v>55</v>
      </c>
      <c r="K1878" s="6" t="s">
        <v>55</v>
      </c>
      <c r="L1878" s="6" t="s">
        <v>956</v>
      </c>
      <c r="M1878" s="6" t="s">
        <v>8224</v>
      </c>
    </row>
    <row r="1879" spans="1:13" ht="13" x14ac:dyDescent="0.15">
      <c r="A1879" s="5" t="str">
        <f>HYPERLINK("https://onemount.atlassian.net/browse/DBA-3259","DBA-3259")</f>
        <v>DBA-3259</v>
      </c>
      <c r="B1879" s="6" t="s">
        <v>21</v>
      </c>
      <c r="C1879" s="6" t="s">
        <v>8225</v>
      </c>
      <c r="D1879" s="8" t="s">
        <v>17</v>
      </c>
      <c r="E1879" s="6" t="s">
        <v>23</v>
      </c>
      <c r="F1879" s="6" t="s">
        <v>31</v>
      </c>
      <c r="G1879" s="6" t="s">
        <v>8226</v>
      </c>
      <c r="H1879" s="10">
        <v>45992</v>
      </c>
      <c r="I1879" s="6" t="s">
        <v>8227</v>
      </c>
      <c r="J1879" s="6" t="s">
        <v>246</v>
      </c>
      <c r="K1879" s="6" t="s">
        <v>35</v>
      </c>
      <c r="L1879" s="6" t="s">
        <v>638</v>
      </c>
      <c r="M1879" s="6" t="s">
        <v>8228</v>
      </c>
    </row>
    <row r="1880" spans="1:13" ht="13" x14ac:dyDescent="0.15">
      <c r="A1880" s="5" t="str">
        <f>HYPERLINK("https://onemount.atlassian.net/browse/DBA-3258","DBA-3258")</f>
        <v>DBA-3258</v>
      </c>
      <c r="B1880" s="6" t="s">
        <v>21</v>
      </c>
      <c r="C1880" s="6" t="s">
        <v>8229</v>
      </c>
      <c r="D1880" s="8" t="s">
        <v>17</v>
      </c>
      <c r="E1880" s="6" t="s">
        <v>23</v>
      </c>
      <c r="F1880" s="6" t="s">
        <v>41</v>
      </c>
      <c r="G1880" s="6" t="s">
        <v>8230</v>
      </c>
      <c r="H1880" s="10">
        <v>45994</v>
      </c>
      <c r="I1880" s="6" t="s">
        <v>8231</v>
      </c>
      <c r="J1880" s="6" t="s">
        <v>99</v>
      </c>
      <c r="K1880" s="6" t="s">
        <v>59</v>
      </c>
      <c r="L1880" s="6" t="s">
        <v>99</v>
      </c>
      <c r="M1880" s="6" t="s">
        <v>8232</v>
      </c>
    </row>
    <row r="1881" spans="1:13" ht="13" x14ac:dyDescent="0.15">
      <c r="A1881" s="5" t="str">
        <f>HYPERLINK("https://onemount.atlassian.net/browse/DBA-3257","DBA-3257")</f>
        <v>DBA-3257</v>
      </c>
      <c r="B1881" s="23" t="str">
        <f t="shared" ref="B1881:B1882" si="24">HYPERLINK("https://onemount.atlassian.net/browse/DBA-3227","DBA-3227")</f>
        <v>DBA-3227</v>
      </c>
      <c r="C1881" s="6" t="s">
        <v>8233</v>
      </c>
      <c r="D1881" s="8" t="s">
        <v>17</v>
      </c>
      <c r="E1881" s="6" t="s">
        <v>428</v>
      </c>
      <c r="F1881" s="6" t="s">
        <v>87</v>
      </c>
      <c r="G1881" s="6" t="s">
        <v>8234</v>
      </c>
      <c r="H1881" s="10">
        <v>45994</v>
      </c>
      <c r="I1881" s="6" t="s">
        <v>8235</v>
      </c>
      <c r="J1881" s="6" t="s">
        <v>577</v>
      </c>
      <c r="K1881" s="6" t="s">
        <v>46</v>
      </c>
      <c r="L1881" s="6" t="s">
        <v>577</v>
      </c>
      <c r="M1881" s="6" t="s">
        <v>8236</v>
      </c>
    </row>
    <row r="1882" spans="1:13" ht="13" x14ac:dyDescent="0.15">
      <c r="A1882" s="5" t="str">
        <f>HYPERLINK("https://onemount.atlassian.net/browse/DBA-3256","DBA-3256")</f>
        <v>DBA-3256</v>
      </c>
      <c r="B1882" s="23" t="str">
        <f t="shared" si="24"/>
        <v>DBA-3227</v>
      </c>
      <c r="C1882" s="6" t="s">
        <v>8237</v>
      </c>
      <c r="D1882" s="8" t="s">
        <v>17</v>
      </c>
      <c r="E1882" s="6" t="s">
        <v>428</v>
      </c>
      <c r="F1882" s="6" t="s">
        <v>87</v>
      </c>
      <c r="G1882" s="6" t="s">
        <v>8238</v>
      </c>
      <c r="H1882" s="10">
        <v>45994</v>
      </c>
      <c r="I1882" s="6" t="s">
        <v>8239</v>
      </c>
      <c r="J1882" s="6" t="s">
        <v>577</v>
      </c>
      <c r="K1882" s="6" t="s">
        <v>46</v>
      </c>
      <c r="L1882" s="6" t="s">
        <v>577</v>
      </c>
      <c r="M1882" s="6" t="s">
        <v>8240</v>
      </c>
    </row>
    <row r="1883" spans="1:13" ht="13" x14ac:dyDescent="0.15">
      <c r="A1883" s="5" t="str">
        <f>HYPERLINK("https://onemount.atlassian.net/browse/DBA-3254","DBA-3254")</f>
        <v>DBA-3254</v>
      </c>
      <c r="B1883" s="6" t="s">
        <v>21</v>
      </c>
      <c r="C1883" s="6" t="s">
        <v>8241</v>
      </c>
      <c r="D1883" s="8" t="s">
        <v>17</v>
      </c>
      <c r="E1883" s="6" t="s">
        <v>23</v>
      </c>
      <c r="F1883" s="6" t="s">
        <v>41</v>
      </c>
      <c r="G1883" s="6" t="s">
        <v>8242</v>
      </c>
      <c r="H1883" s="10">
        <v>45992</v>
      </c>
      <c r="I1883" s="6" t="s">
        <v>8243</v>
      </c>
      <c r="J1883" s="6" t="s">
        <v>55</v>
      </c>
      <c r="K1883" s="6" t="s">
        <v>55</v>
      </c>
      <c r="L1883" s="6" t="s">
        <v>93</v>
      </c>
      <c r="M1883" s="6" t="s">
        <v>8244</v>
      </c>
    </row>
    <row r="1884" spans="1:13" ht="13" x14ac:dyDescent="0.15">
      <c r="A1884" s="5" t="str">
        <f>HYPERLINK("https://onemount.atlassian.net/browse/DBA-3253","DBA-3253")</f>
        <v>DBA-3253</v>
      </c>
      <c r="B1884" s="6" t="s">
        <v>21</v>
      </c>
      <c r="C1884" s="6" t="s">
        <v>8245</v>
      </c>
      <c r="D1884" s="8" t="s">
        <v>17</v>
      </c>
      <c r="E1884" s="6" t="s">
        <v>23</v>
      </c>
      <c r="F1884" s="6" t="s">
        <v>31</v>
      </c>
      <c r="G1884" s="6" t="s">
        <v>8246</v>
      </c>
      <c r="H1884" s="10">
        <v>45992</v>
      </c>
      <c r="I1884" s="6" t="s">
        <v>8247</v>
      </c>
      <c r="J1884" s="6" t="s">
        <v>3940</v>
      </c>
      <c r="K1884" s="6" t="s">
        <v>46</v>
      </c>
      <c r="L1884" s="6" t="s">
        <v>160</v>
      </c>
      <c r="M1884" s="6" t="s">
        <v>8248</v>
      </c>
    </row>
    <row r="1885" spans="1:13" ht="13" x14ac:dyDescent="0.15">
      <c r="A1885" s="5" t="str">
        <f>HYPERLINK("https://onemount.atlassian.net/browse/DBA-3252","DBA-3252")</f>
        <v>DBA-3252</v>
      </c>
      <c r="B1885" s="6" t="s">
        <v>21</v>
      </c>
      <c r="C1885" s="6" t="s">
        <v>8249</v>
      </c>
      <c r="D1885" s="8" t="s">
        <v>17</v>
      </c>
      <c r="E1885" s="6" t="s">
        <v>23</v>
      </c>
      <c r="F1885" s="6" t="s">
        <v>31</v>
      </c>
      <c r="G1885" s="6" t="s">
        <v>8250</v>
      </c>
      <c r="H1885" s="10">
        <v>45993</v>
      </c>
      <c r="I1885" s="6" t="s">
        <v>8251</v>
      </c>
      <c r="J1885" s="6" t="s">
        <v>49</v>
      </c>
      <c r="K1885" s="6" t="s">
        <v>35</v>
      </c>
      <c r="L1885" s="6" t="s">
        <v>981</v>
      </c>
      <c r="M1885" s="6" t="s">
        <v>8252</v>
      </c>
    </row>
    <row r="1886" spans="1:13" ht="13" x14ac:dyDescent="0.15">
      <c r="A1886" s="5" t="str">
        <f>HYPERLINK("https://onemount.atlassian.net/browse/DBA-3251","DBA-3251")</f>
        <v>DBA-3251</v>
      </c>
      <c r="B1886" s="6" t="s">
        <v>21</v>
      </c>
      <c r="C1886" s="6" t="s">
        <v>8245</v>
      </c>
      <c r="D1886" s="8" t="s">
        <v>17</v>
      </c>
      <c r="E1886" s="6" t="s">
        <v>23</v>
      </c>
      <c r="F1886" s="6" t="s">
        <v>31</v>
      </c>
      <c r="G1886" s="6" t="s">
        <v>8253</v>
      </c>
      <c r="H1886" s="10">
        <v>45993</v>
      </c>
      <c r="I1886" s="6" t="s">
        <v>8254</v>
      </c>
      <c r="J1886" s="6" t="s">
        <v>3940</v>
      </c>
      <c r="K1886" s="6" t="s">
        <v>46</v>
      </c>
      <c r="L1886" s="6" t="s">
        <v>160</v>
      </c>
      <c r="M1886" s="6" t="s">
        <v>8255</v>
      </c>
    </row>
    <row r="1887" spans="1:13" ht="13" x14ac:dyDescent="0.15">
      <c r="A1887" s="5" t="str">
        <f>HYPERLINK("https://onemount.atlassian.net/browse/DBA-3250","DBA-3250")</f>
        <v>DBA-3250</v>
      </c>
      <c r="B1887" s="6" t="s">
        <v>21</v>
      </c>
      <c r="C1887" s="6" t="s">
        <v>8256</v>
      </c>
      <c r="D1887" s="8" t="s">
        <v>17</v>
      </c>
      <c r="E1887" s="6" t="s">
        <v>23</v>
      </c>
      <c r="F1887" s="6" t="s">
        <v>31</v>
      </c>
      <c r="G1887" s="6" t="s">
        <v>8257</v>
      </c>
      <c r="H1887" s="10">
        <v>45992</v>
      </c>
      <c r="I1887" s="6" t="s">
        <v>8258</v>
      </c>
      <c r="J1887" s="6" t="s">
        <v>1898</v>
      </c>
      <c r="K1887" s="6" t="s">
        <v>165</v>
      </c>
      <c r="L1887" s="6" t="s">
        <v>1097</v>
      </c>
      <c r="M1887" s="6" t="s">
        <v>8259</v>
      </c>
    </row>
    <row r="1888" spans="1:13" ht="13" x14ac:dyDescent="0.15">
      <c r="A1888" s="5" t="str">
        <f>HYPERLINK("https://onemount.atlassian.net/browse/DBA-3249","DBA-3249")</f>
        <v>DBA-3249</v>
      </c>
      <c r="B1888" s="6" t="s">
        <v>21</v>
      </c>
      <c r="C1888" s="6" t="s">
        <v>8260</v>
      </c>
      <c r="D1888" s="8" t="s">
        <v>17</v>
      </c>
      <c r="E1888" s="6" t="s">
        <v>23</v>
      </c>
      <c r="F1888" s="6" t="s">
        <v>41</v>
      </c>
      <c r="G1888" s="6" t="s">
        <v>8261</v>
      </c>
      <c r="H1888" s="10">
        <v>46045</v>
      </c>
      <c r="I1888" s="6" t="s">
        <v>8262</v>
      </c>
      <c r="J1888" s="6" t="s">
        <v>8263</v>
      </c>
      <c r="K1888" s="6" t="s">
        <v>165</v>
      </c>
      <c r="L1888" s="6" t="s">
        <v>1014</v>
      </c>
      <c r="M1888" s="6" t="s">
        <v>8264</v>
      </c>
    </row>
    <row r="1889" spans="1:13" ht="13" x14ac:dyDescent="0.15">
      <c r="A1889" s="5" t="str">
        <f>HYPERLINK("https://onemount.atlassian.net/browse/DBA-3248","DBA-3248")</f>
        <v>DBA-3248</v>
      </c>
      <c r="B1889" s="6" t="s">
        <v>21</v>
      </c>
      <c r="C1889" s="6" t="s">
        <v>8265</v>
      </c>
      <c r="D1889" s="8" t="s">
        <v>17</v>
      </c>
      <c r="E1889" s="6" t="s">
        <v>23</v>
      </c>
      <c r="F1889" s="6" t="s">
        <v>31</v>
      </c>
      <c r="G1889" s="6" t="s">
        <v>8266</v>
      </c>
      <c r="H1889" s="10">
        <v>45993</v>
      </c>
      <c r="I1889" s="6" t="s">
        <v>8267</v>
      </c>
      <c r="J1889" s="6" t="s">
        <v>597</v>
      </c>
      <c r="K1889" s="6" t="s">
        <v>46</v>
      </c>
      <c r="L1889" s="6" t="s">
        <v>597</v>
      </c>
      <c r="M1889" s="6" t="s">
        <v>8268</v>
      </c>
    </row>
    <row r="1890" spans="1:13" ht="13" x14ac:dyDescent="0.15">
      <c r="A1890" s="5" t="str">
        <f>HYPERLINK("https://onemount.atlassian.net/browse/DBA-3247","DBA-3247")</f>
        <v>DBA-3247</v>
      </c>
      <c r="B1890" s="6" t="s">
        <v>21</v>
      </c>
      <c r="C1890" s="6" t="s">
        <v>8269</v>
      </c>
      <c r="D1890" s="8" t="s">
        <v>17</v>
      </c>
      <c r="E1890" s="6" t="s">
        <v>23</v>
      </c>
      <c r="F1890" s="6" t="s">
        <v>24</v>
      </c>
      <c r="G1890" s="6" t="s">
        <v>8270</v>
      </c>
      <c r="H1890" s="10">
        <v>45992</v>
      </c>
      <c r="I1890" s="6" t="s">
        <v>8271</v>
      </c>
      <c r="J1890" s="6" t="s">
        <v>254</v>
      </c>
      <c r="K1890" s="6" t="s">
        <v>55</v>
      </c>
      <c r="L1890" s="6" t="s">
        <v>254</v>
      </c>
      <c r="M1890" s="6" t="s">
        <v>8272</v>
      </c>
    </row>
    <row r="1891" spans="1:13" ht="13" x14ac:dyDescent="0.15">
      <c r="A1891" s="5" t="str">
        <f>HYPERLINK("https://onemount.atlassian.net/browse/DBA-3246","DBA-3246")</f>
        <v>DBA-3246</v>
      </c>
      <c r="B1891" s="6" t="s">
        <v>21</v>
      </c>
      <c r="C1891" s="6" t="s">
        <v>8273</v>
      </c>
      <c r="D1891" s="8" t="s">
        <v>17</v>
      </c>
      <c r="E1891" s="6" t="s">
        <v>23</v>
      </c>
      <c r="F1891" s="6" t="s">
        <v>31</v>
      </c>
      <c r="G1891" s="6" t="s">
        <v>8274</v>
      </c>
      <c r="H1891" s="10">
        <v>45990</v>
      </c>
      <c r="I1891" s="6" t="s">
        <v>8275</v>
      </c>
      <c r="J1891" s="6" t="s">
        <v>843</v>
      </c>
      <c r="K1891" s="6" t="s">
        <v>55</v>
      </c>
      <c r="L1891" s="6" t="s">
        <v>855</v>
      </c>
      <c r="M1891" s="6" t="s">
        <v>8276</v>
      </c>
    </row>
    <row r="1892" spans="1:13" ht="13" x14ac:dyDescent="0.15">
      <c r="A1892" s="5" t="str">
        <f>HYPERLINK("https://onemount.atlassian.net/browse/DBA-3245","DBA-3245")</f>
        <v>DBA-3245</v>
      </c>
      <c r="B1892" s="6" t="s">
        <v>21</v>
      </c>
      <c r="C1892" s="6" t="s">
        <v>8277</v>
      </c>
      <c r="D1892" s="8" t="s">
        <v>17</v>
      </c>
      <c r="E1892" s="6" t="s">
        <v>23</v>
      </c>
      <c r="F1892" s="6" t="s">
        <v>31</v>
      </c>
      <c r="G1892" s="6" t="s">
        <v>8278</v>
      </c>
      <c r="H1892" s="10">
        <v>45990</v>
      </c>
      <c r="I1892" s="6" t="s">
        <v>8279</v>
      </c>
      <c r="J1892" s="6" t="s">
        <v>55</v>
      </c>
      <c r="K1892" s="6" t="s">
        <v>55</v>
      </c>
      <c r="L1892" s="6" t="s">
        <v>93</v>
      </c>
      <c r="M1892" s="6" t="s">
        <v>8280</v>
      </c>
    </row>
    <row r="1893" spans="1:13" ht="13" x14ac:dyDescent="0.15">
      <c r="A1893" s="5" t="str">
        <f>HYPERLINK("https://onemount.atlassian.net/browse/DBA-3244","DBA-3244")</f>
        <v>DBA-3244</v>
      </c>
      <c r="B1893" s="6" t="s">
        <v>21</v>
      </c>
      <c r="C1893" s="6" t="s">
        <v>8281</v>
      </c>
      <c r="D1893" s="8" t="s">
        <v>17</v>
      </c>
      <c r="E1893" s="6" t="s">
        <v>23</v>
      </c>
      <c r="F1893" s="6" t="s">
        <v>87</v>
      </c>
      <c r="G1893" s="6" t="s">
        <v>8282</v>
      </c>
      <c r="H1893" s="10">
        <v>45991</v>
      </c>
      <c r="I1893" s="6" t="s">
        <v>8283</v>
      </c>
      <c r="J1893" s="6" t="s">
        <v>8284</v>
      </c>
      <c r="K1893" s="6" t="s">
        <v>165</v>
      </c>
      <c r="L1893" s="6" t="s">
        <v>1091</v>
      </c>
      <c r="M1893" s="6" t="s">
        <v>8285</v>
      </c>
    </row>
    <row r="1894" spans="1:13" ht="13" x14ac:dyDescent="0.15">
      <c r="A1894" s="5" t="str">
        <f>HYPERLINK("https://onemount.atlassian.net/browse/DBA-3243","DBA-3243")</f>
        <v>DBA-3243</v>
      </c>
      <c r="B1894" s="6" t="s">
        <v>21</v>
      </c>
      <c r="C1894" s="6" t="s">
        <v>8286</v>
      </c>
      <c r="D1894" s="8" t="s">
        <v>17</v>
      </c>
      <c r="E1894" s="6" t="s">
        <v>23</v>
      </c>
      <c r="F1894" s="6" t="s">
        <v>31</v>
      </c>
      <c r="G1894" s="6" t="s">
        <v>8287</v>
      </c>
      <c r="H1894" s="10">
        <v>45989</v>
      </c>
      <c r="I1894" s="6" t="s">
        <v>8288</v>
      </c>
      <c r="J1894" s="6" t="s">
        <v>638</v>
      </c>
      <c r="K1894" s="6" t="s">
        <v>35</v>
      </c>
      <c r="L1894" s="6" t="s">
        <v>638</v>
      </c>
      <c r="M1894" s="6" t="s">
        <v>8289</v>
      </c>
    </row>
    <row r="1895" spans="1:13" ht="13" x14ac:dyDescent="0.15">
      <c r="A1895" s="5" t="str">
        <f>HYPERLINK("https://onemount.atlassian.net/browse/DBA-3242","DBA-3242")</f>
        <v>DBA-3242</v>
      </c>
      <c r="B1895" s="6" t="s">
        <v>21</v>
      </c>
      <c r="C1895" s="6" t="s">
        <v>8290</v>
      </c>
      <c r="D1895" s="8" t="s">
        <v>17</v>
      </c>
      <c r="E1895" s="6" t="s">
        <v>23</v>
      </c>
      <c r="F1895" s="6" t="s">
        <v>31</v>
      </c>
      <c r="G1895" s="6" t="s">
        <v>8291</v>
      </c>
      <c r="H1895" s="10">
        <v>45990</v>
      </c>
      <c r="I1895" s="6" t="s">
        <v>8292</v>
      </c>
      <c r="J1895" s="6" t="s">
        <v>2453</v>
      </c>
      <c r="K1895" s="6" t="s">
        <v>165</v>
      </c>
      <c r="L1895" s="6" t="s">
        <v>119</v>
      </c>
      <c r="M1895" s="6" t="s">
        <v>8293</v>
      </c>
    </row>
    <row r="1896" spans="1:13" ht="13" x14ac:dyDescent="0.15">
      <c r="A1896" s="5" t="str">
        <f>HYPERLINK("https://onemount.atlassian.net/browse/DBA-3241","DBA-3241")</f>
        <v>DBA-3241</v>
      </c>
      <c r="B1896" s="6" t="s">
        <v>21</v>
      </c>
      <c r="C1896" s="6" t="s">
        <v>8294</v>
      </c>
      <c r="D1896" s="8" t="s">
        <v>17</v>
      </c>
      <c r="E1896" s="6" t="s">
        <v>23</v>
      </c>
      <c r="F1896" s="6" t="s">
        <v>31</v>
      </c>
      <c r="G1896" s="6" t="s">
        <v>8295</v>
      </c>
      <c r="H1896" s="10">
        <v>45997</v>
      </c>
      <c r="I1896" s="6" t="s">
        <v>8296</v>
      </c>
      <c r="J1896" s="6" t="s">
        <v>1054</v>
      </c>
      <c r="K1896" s="6" t="s">
        <v>165</v>
      </c>
      <c r="L1896" s="6" t="s">
        <v>715</v>
      </c>
      <c r="M1896" s="6" t="s">
        <v>8297</v>
      </c>
    </row>
    <row r="1897" spans="1:13" ht="13" x14ac:dyDescent="0.15">
      <c r="A1897" s="5" t="str">
        <f>HYPERLINK("https://onemount.atlassian.net/browse/DBA-3240","DBA-3240")</f>
        <v>DBA-3240</v>
      </c>
      <c r="B1897" s="6" t="s">
        <v>21</v>
      </c>
      <c r="C1897" s="6" t="s">
        <v>8298</v>
      </c>
      <c r="D1897" s="8" t="s">
        <v>17</v>
      </c>
      <c r="E1897" s="6" t="s">
        <v>23</v>
      </c>
      <c r="F1897" s="6" t="s">
        <v>31</v>
      </c>
      <c r="G1897" s="6" t="s">
        <v>8299</v>
      </c>
      <c r="H1897" s="10">
        <v>45989</v>
      </c>
      <c r="I1897" s="6" t="s">
        <v>8300</v>
      </c>
      <c r="J1897" s="6" t="s">
        <v>7042</v>
      </c>
      <c r="K1897" s="6" t="s">
        <v>35</v>
      </c>
      <c r="L1897" s="6" t="s">
        <v>1238</v>
      </c>
      <c r="M1897" s="6" t="s">
        <v>8301</v>
      </c>
    </row>
    <row r="1898" spans="1:13" ht="13" x14ac:dyDescent="0.15">
      <c r="A1898" s="5" t="str">
        <f>HYPERLINK("https://onemount.atlassian.net/browse/DBA-3239","DBA-3239")</f>
        <v>DBA-3239</v>
      </c>
      <c r="B1898" s="6" t="s">
        <v>21</v>
      </c>
      <c r="C1898" s="6" t="s">
        <v>8302</v>
      </c>
      <c r="D1898" s="8" t="s">
        <v>17</v>
      </c>
      <c r="E1898" s="6" t="s">
        <v>23</v>
      </c>
      <c r="F1898" s="6" t="s">
        <v>31</v>
      </c>
      <c r="G1898" s="6" t="s">
        <v>8303</v>
      </c>
      <c r="H1898" s="10">
        <v>45989</v>
      </c>
      <c r="I1898" s="6" t="s">
        <v>8304</v>
      </c>
      <c r="J1898" s="6" t="s">
        <v>85</v>
      </c>
      <c r="K1898" s="6" t="s">
        <v>55</v>
      </c>
      <c r="L1898" s="6" t="s">
        <v>85</v>
      </c>
      <c r="M1898" s="6" t="s">
        <v>8305</v>
      </c>
    </row>
    <row r="1899" spans="1:13" ht="13" x14ac:dyDescent="0.15">
      <c r="A1899" s="5" t="str">
        <f>HYPERLINK("https://onemount.atlassian.net/browse/DBA-3238","DBA-3238")</f>
        <v>DBA-3238</v>
      </c>
      <c r="B1899" s="6" t="s">
        <v>21</v>
      </c>
      <c r="C1899" s="6" t="s">
        <v>8306</v>
      </c>
      <c r="D1899" s="8" t="s">
        <v>17</v>
      </c>
      <c r="E1899" s="6" t="s">
        <v>23</v>
      </c>
      <c r="F1899" s="6" t="s">
        <v>31</v>
      </c>
      <c r="G1899" s="6" t="s">
        <v>8307</v>
      </c>
      <c r="H1899" s="10">
        <v>45990</v>
      </c>
      <c r="I1899" s="6" t="s">
        <v>8308</v>
      </c>
      <c r="J1899" s="6" t="s">
        <v>1898</v>
      </c>
      <c r="K1899" s="6" t="s">
        <v>165</v>
      </c>
      <c r="L1899" s="6" t="s">
        <v>1097</v>
      </c>
      <c r="M1899" s="6" t="s">
        <v>8309</v>
      </c>
    </row>
    <row r="1900" spans="1:13" ht="13" x14ac:dyDescent="0.15">
      <c r="A1900" s="5" t="str">
        <f>HYPERLINK("https://onemount.atlassian.net/browse/DBA-3237","DBA-3237")</f>
        <v>DBA-3237</v>
      </c>
      <c r="B1900" s="6" t="s">
        <v>21</v>
      </c>
      <c r="C1900" s="6" t="s">
        <v>8310</v>
      </c>
      <c r="D1900" s="8" t="s">
        <v>17</v>
      </c>
      <c r="E1900" s="6" t="s">
        <v>23</v>
      </c>
      <c r="F1900" s="6" t="s">
        <v>41</v>
      </c>
      <c r="G1900" s="6" t="s">
        <v>8311</v>
      </c>
      <c r="H1900" s="10">
        <v>45989</v>
      </c>
      <c r="I1900" s="6" t="s">
        <v>8312</v>
      </c>
      <c r="J1900" s="6" t="s">
        <v>2427</v>
      </c>
      <c r="K1900" s="6" t="s">
        <v>28</v>
      </c>
      <c r="L1900" s="6" t="s">
        <v>1000</v>
      </c>
      <c r="M1900" s="6" t="s">
        <v>8313</v>
      </c>
    </row>
    <row r="1901" spans="1:13" ht="13" x14ac:dyDescent="0.15">
      <c r="A1901" s="5" t="str">
        <f>HYPERLINK("https://onemount.atlassian.net/browse/DBA-3236","DBA-3236")</f>
        <v>DBA-3236</v>
      </c>
      <c r="B1901" s="6" t="s">
        <v>21</v>
      </c>
      <c r="C1901" s="6" t="s">
        <v>8314</v>
      </c>
      <c r="D1901" s="8" t="s">
        <v>17</v>
      </c>
      <c r="E1901" s="6" t="s">
        <v>23</v>
      </c>
      <c r="F1901" s="6" t="s">
        <v>24</v>
      </c>
      <c r="G1901" s="6" t="s">
        <v>8315</v>
      </c>
      <c r="H1901" s="10">
        <v>45988</v>
      </c>
      <c r="I1901" s="6" t="s">
        <v>8316</v>
      </c>
      <c r="J1901" s="6" t="s">
        <v>8317</v>
      </c>
      <c r="K1901" s="6" t="s">
        <v>55</v>
      </c>
      <c r="L1901" s="6" t="s">
        <v>906</v>
      </c>
      <c r="M1901" s="6" t="s">
        <v>8318</v>
      </c>
    </row>
    <row r="1902" spans="1:13" ht="13" x14ac:dyDescent="0.15">
      <c r="A1902" s="5" t="str">
        <f>HYPERLINK("https://onemount.atlassian.net/browse/DBA-3235","DBA-3235")</f>
        <v>DBA-3235</v>
      </c>
      <c r="B1902" s="6" t="s">
        <v>21</v>
      </c>
      <c r="C1902" s="6" t="s">
        <v>8319</v>
      </c>
      <c r="D1902" s="8" t="s">
        <v>17</v>
      </c>
      <c r="E1902" s="6" t="s">
        <v>23</v>
      </c>
      <c r="F1902" s="6" t="s">
        <v>24</v>
      </c>
      <c r="G1902" s="6" t="s">
        <v>8320</v>
      </c>
      <c r="H1902" s="10">
        <v>45988</v>
      </c>
      <c r="I1902" s="6" t="s">
        <v>8321</v>
      </c>
      <c r="J1902" s="6" t="s">
        <v>913</v>
      </c>
      <c r="K1902" s="6" t="s">
        <v>165</v>
      </c>
      <c r="L1902" s="6" t="s">
        <v>288</v>
      </c>
      <c r="M1902" s="6" t="s">
        <v>8322</v>
      </c>
    </row>
    <row r="1903" spans="1:13" ht="13" x14ac:dyDescent="0.15">
      <c r="A1903" s="5" t="str">
        <f>HYPERLINK("https://onemount.atlassian.net/browse/DBA-3234","DBA-3234")</f>
        <v>DBA-3234</v>
      </c>
      <c r="B1903" s="6" t="s">
        <v>21</v>
      </c>
      <c r="C1903" s="6" t="s">
        <v>8323</v>
      </c>
      <c r="D1903" s="8" t="s">
        <v>17</v>
      </c>
      <c r="E1903" s="6" t="s">
        <v>23</v>
      </c>
      <c r="F1903" s="6" t="s">
        <v>24</v>
      </c>
      <c r="G1903" s="6" t="s">
        <v>8324</v>
      </c>
      <c r="H1903" s="10">
        <v>45988</v>
      </c>
      <c r="I1903" s="6" t="s">
        <v>8325</v>
      </c>
      <c r="J1903" s="6" t="s">
        <v>85</v>
      </c>
      <c r="K1903" s="6" t="s">
        <v>55</v>
      </c>
      <c r="L1903" s="6" t="s">
        <v>85</v>
      </c>
      <c r="M1903" s="6" t="s">
        <v>8326</v>
      </c>
    </row>
    <row r="1904" spans="1:13" ht="13" x14ac:dyDescent="0.15">
      <c r="A1904" s="5" t="str">
        <f>HYPERLINK("https://onemount.atlassian.net/browse/DBA-3233","DBA-3233")</f>
        <v>DBA-3233</v>
      </c>
      <c r="B1904" s="6" t="s">
        <v>21</v>
      </c>
      <c r="C1904" s="6" t="s">
        <v>8327</v>
      </c>
      <c r="D1904" s="8" t="s">
        <v>17</v>
      </c>
      <c r="E1904" s="6" t="s">
        <v>23</v>
      </c>
      <c r="F1904" s="6" t="s">
        <v>24</v>
      </c>
      <c r="G1904" s="6" t="s">
        <v>8328</v>
      </c>
      <c r="H1904" s="10">
        <v>45988</v>
      </c>
      <c r="I1904" s="6" t="s">
        <v>8329</v>
      </c>
      <c r="J1904" s="6" t="s">
        <v>55</v>
      </c>
      <c r="K1904" s="6" t="s">
        <v>55</v>
      </c>
      <c r="L1904" s="6" t="s">
        <v>93</v>
      </c>
      <c r="M1904" s="6" t="s">
        <v>8330</v>
      </c>
    </row>
    <row r="1905" spans="1:13" ht="13" x14ac:dyDescent="0.15">
      <c r="A1905" s="5" t="str">
        <f>HYPERLINK("https://onemount.atlassian.net/browse/DBA-3232","DBA-3232")</f>
        <v>DBA-3232</v>
      </c>
      <c r="B1905" s="6" t="s">
        <v>21</v>
      </c>
      <c r="C1905" s="6" t="s">
        <v>8331</v>
      </c>
      <c r="D1905" s="8" t="s">
        <v>17</v>
      </c>
      <c r="E1905" s="6" t="s">
        <v>23</v>
      </c>
      <c r="F1905" s="6" t="s">
        <v>24</v>
      </c>
      <c r="G1905" s="6" t="s">
        <v>8332</v>
      </c>
      <c r="H1905" s="10">
        <v>45989</v>
      </c>
      <c r="I1905" s="6" t="s">
        <v>8333</v>
      </c>
      <c r="J1905" s="6" t="s">
        <v>8317</v>
      </c>
      <c r="K1905" s="6" t="s">
        <v>55</v>
      </c>
      <c r="L1905" s="6" t="s">
        <v>906</v>
      </c>
      <c r="M1905" s="6" t="s">
        <v>8334</v>
      </c>
    </row>
    <row r="1906" spans="1:13" ht="13" x14ac:dyDescent="0.15">
      <c r="A1906" s="5" t="str">
        <f>HYPERLINK("https://onemount.atlassian.net/browse/DBA-3231","DBA-3231")</f>
        <v>DBA-3231</v>
      </c>
      <c r="B1906" s="6" t="s">
        <v>21</v>
      </c>
      <c r="C1906" s="6" t="s">
        <v>8335</v>
      </c>
      <c r="D1906" s="8" t="s">
        <v>17</v>
      </c>
      <c r="E1906" s="6" t="s">
        <v>23</v>
      </c>
      <c r="F1906" s="6" t="s">
        <v>31</v>
      </c>
      <c r="G1906" s="6" t="s">
        <v>8336</v>
      </c>
      <c r="H1906" s="10">
        <v>45989</v>
      </c>
      <c r="I1906" s="6" t="s">
        <v>8337</v>
      </c>
      <c r="J1906" s="6" t="s">
        <v>1898</v>
      </c>
      <c r="K1906" s="6" t="s">
        <v>165</v>
      </c>
      <c r="L1906" s="6" t="s">
        <v>1097</v>
      </c>
      <c r="M1906" s="6" t="s">
        <v>8338</v>
      </c>
    </row>
    <row r="1907" spans="1:13" ht="13" x14ac:dyDescent="0.15">
      <c r="A1907" s="5" t="str">
        <f>HYPERLINK("https://onemount.atlassian.net/browse/DBA-3230","DBA-3230")</f>
        <v>DBA-3230</v>
      </c>
      <c r="B1907" s="6" t="s">
        <v>21</v>
      </c>
      <c r="C1907" s="6" t="s">
        <v>8339</v>
      </c>
      <c r="D1907" s="8" t="s">
        <v>17</v>
      </c>
      <c r="E1907" s="6" t="s">
        <v>23</v>
      </c>
      <c r="F1907" s="6" t="s">
        <v>31</v>
      </c>
      <c r="G1907" s="6" t="s">
        <v>8340</v>
      </c>
      <c r="H1907" s="10">
        <v>45988</v>
      </c>
      <c r="I1907" s="6" t="s">
        <v>8341</v>
      </c>
      <c r="J1907" s="6" t="s">
        <v>1217</v>
      </c>
      <c r="K1907" s="6" t="s">
        <v>35</v>
      </c>
      <c r="L1907" s="6" t="s">
        <v>1217</v>
      </c>
      <c r="M1907" s="6" t="s">
        <v>8342</v>
      </c>
    </row>
    <row r="1908" spans="1:13" ht="13" x14ac:dyDescent="0.15">
      <c r="A1908" s="5" t="str">
        <f>HYPERLINK("https://onemount.atlassian.net/browse/DBA-3229","DBA-3229")</f>
        <v>DBA-3229</v>
      </c>
      <c r="B1908" s="6" t="s">
        <v>21</v>
      </c>
      <c r="C1908" s="6" t="s">
        <v>8343</v>
      </c>
      <c r="D1908" s="8" t="s">
        <v>17</v>
      </c>
      <c r="E1908" s="6" t="s">
        <v>23</v>
      </c>
      <c r="F1908" s="6" t="s">
        <v>31</v>
      </c>
      <c r="G1908" s="6" t="s">
        <v>8344</v>
      </c>
      <c r="H1908" s="10">
        <v>45988</v>
      </c>
      <c r="I1908" s="6" t="s">
        <v>8345</v>
      </c>
      <c r="J1908" s="6" t="s">
        <v>638</v>
      </c>
      <c r="K1908" s="6" t="s">
        <v>35</v>
      </c>
      <c r="L1908" s="6" t="s">
        <v>638</v>
      </c>
      <c r="M1908" s="6" t="s">
        <v>8346</v>
      </c>
    </row>
    <row r="1909" spans="1:13" ht="13" x14ac:dyDescent="0.15">
      <c r="A1909" s="5" t="str">
        <f>HYPERLINK("https://onemount.atlassian.net/browse/DBA-3228","DBA-3228")</f>
        <v>DBA-3228</v>
      </c>
      <c r="B1909" s="6" t="s">
        <v>21</v>
      </c>
      <c r="C1909" s="6" t="s">
        <v>8347</v>
      </c>
      <c r="D1909" s="8" t="s">
        <v>17</v>
      </c>
      <c r="E1909" s="6" t="s">
        <v>23</v>
      </c>
      <c r="F1909" s="6" t="s">
        <v>31</v>
      </c>
      <c r="G1909" s="6" t="s">
        <v>8348</v>
      </c>
      <c r="H1909" s="10">
        <v>45988</v>
      </c>
      <c r="I1909" s="6" t="s">
        <v>8349</v>
      </c>
      <c r="J1909" s="6" t="s">
        <v>85</v>
      </c>
      <c r="K1909" s="6" t="s">
        <v>55</v>
      </c>
      <c r="L1909" s="6" t="s">
        <v>85</v>
      </c>
      <c r="M1909" s="6" t="s">
        <v>8350</v>
      </c>
    </row>
    <row r="1910" spans="1:13" ht="13" x14ac:dyDescent="0.15">
      <c r="A1910" s="5" t="str">
        <f>HYPERLINK("https://onemount.atlassian.net/browse/DBA-3227","DBA-3227")</f>
        <v>DBA-3227</v>
      </c>
      <c r="B1910" s="6" t="s">
        <v>21</v>
      </c>
      <c r="C1910" s="6" t="s">
        <v>8351</v>
      </c>
      <c r="D1910" s="8" t="s">
        <v>17</v>
      </c>
      <c r="E1910" s="6" t="s">
        <v>23</v>
      </c>
      <c r="F1910" s="6" t="s">
        <v>94</v>
      </c>
      <c r="G1910" s="6" t="s">
        <v>8352</v>
      </c>
      <c r="H1910" s="10">
        <v>46006</v>
      </c>
      <c r="I1910" s="6" t="s">
        <v>8353</v>
      </c>
      <c r="J1910" s="6" t="s">
        <v>577</v>
      </c>
      <c r="K1910" s="6" t="s">
        <v>46</v>
      </c>
      <c r="L1910" s="6" t="s">
        <v>577</v>
      </c>
      <c r="M1910" s="6" t="s">
        <v>8354</v>
      </c>
    </row>
    <row r="1911" spans="1:13" ht="13" x14ac:dyDescent="0.15">
      <c r="A1911" s="5" t="str">
        <f>HYPERLINK("https://onemount.atlassian.net/browse/DBA-3226","DBA-3226")</f>
        <v>DBA-3226</v>
      </c>
      <c r="B1911" s="6" t="s">
        <v>21</v>
      </c>
      <c r="C1911" s="6" t="s">
        <v>8355</v>
      </c>
      <c r="D1911" s="8" t="s">
        <v>17</v>
      </c>
      <c r="E1911" s="6" t="s">
        <v>23</v>
      </c>
      <c r="F1911" s="6" t="s">
        <v>41</v>
      </c>
      <c r="G1911" s="6" t="s">
        <v>8356</v>
      </c>
      <c r="H1911" s="10">
        <v>45989</v>
      </c>
      <c r="I1911" s="6" t="s">
        <v>8357</v>
      </c>
      <c r="J1911" s="6" t="s">
        <v>913</v>
      </c>
      <c r="K1911" s="6" t="s">
        <v>165</v>
      </c>
      <c r="L1911" s="6" t="s">
        <v>288</v>
      </c>
      <c r="M1911" s="6" t="s">
        <v>8358</v>
      </c>
    </row>
    <row r="1912" spans="1:13" ht="13" x14ac:dyDescent="0.15">
      <c r="A1912" s="5" t="str">
        <f>HYPERLINK("https://onemount.atlassian.net/browse/DBA-3224","DBA-3224")</f>
        <v>DBA-3224</v>
      </c>
      <c r="B1912" s="6" t="s">
        <v>21</v>
      </c>
      <c r="C1912" s="6" t="s">
        <v>8359</v>
      </c>
      <c r="D1912" s="8" t="s">
        <v>17</v>
      </c>
      <c r="E1912" s="6" t="s">
        <v>23</v>
      </c>
      <c r="F1912" s="6" t="s">
        <v>31</v>
      </c>
      <c r="G1912" s="6" t="s">
        <v>8360</v>
      </c>
      <c r="H1912" s="10">
        <v>45987</v>
      </c>
      <c r="I1912" s="6" t="s">
        <v>8361</v>
      </c>
      <c r="J1912" s="6" t="s">
        <v>8362</v>
      </c>
      <c r="K1912" s="6" t="s">
        <v>165</v>
      </c>
      <c r="L1912" s="6" t="s">
        <v>145</v>
      </c>
      <c r="M1912" s="6" t="s">
        <v>8363</v>
      </c>
    </row>
    <row r="1913" spans="1:13" ht="13" x14ac:dyDescent="0.15">
      <c r="A1913" s="5" t="str">
        <f>HYPERLINK("https://onemount.atlassian.net/browse/DBA-3223","DBA-3223")</f>
        <v>DBA-3223</v>
      </c>
      <c r="B1913" s="6" t="s">
        <v>21</v>
      </c>
      <c r="C1913" s="6" t="s">
        <v>8364</v>
      </c>
      <c r="D1913" s="8" t="s">
        <v>17</v>
      </c>
      <c r="E1913" s="6" t="s">
        <v>23</v>
      </c>
      <c r="F1913" s="6" t="s">
        <v>31</v>
      </c>
      <c r="G1913" s="6" t="s">
        <v>8365</v>
      </c>
      <c r="H1913" s="10">
        <v>45987</v>
      </c>
      <c r="I1913" s="6" t="s">
        <v>8366</v>
      </c>
      <c r="J1913" s="6" t="s">
        <v>2453</v>
      </c>
      <c r="K1913" s="6" t="s">
        <v>165</v>
      </c>
      <c r="L1913" s="6" t="s">
        <v>119</v>
      </c>
      <c r="M1913" s="6" t="s">
        <v>8367</v>
      </c>
    </row>
    <row r="1914" spans="1:13" ht="13" x14ac:dyDescent="0.15">
      <c r="A1914" s="5" t="str">
        <f>HYPERLINK("https://onemount.atlassian.net/browse/DBA-3222","DBA-3222")</f>
        <v>DBA-3222</v>
      </c>
      <c r="B1914" s="6" t="s">
        <v>21</v>
      </c>
      <c r="C1914" s="6" t="s">
        <v>8368</v>
      </c>
      <c r="D1914" s="8" t="s">
        <v>17</v>
      </c>
      <c r="E1914" s="6" t="s">
        <v>23</v>
      </c>
      <c r="F1914" s="6" t="s">
        <v>31</v>
      </c>
      <c r="G1914" s="6" t="s">
        <v>8369</v>
      </c>
      <c r="H1914" s="10">
        <v>45987</v>
      </c>
      <c r="I1914" s="6" t="s">
        <v>8370</v>
      </c>
      <c r="J1914" s="6" t="s">
        <v>55</v>
      </c>
      <c r="K1914" s="6" t="s">
        <v>55</v>
      </c>
      <c r="L1914" s="6" t="s">
        <v>956</v>
      </c>
      <c r="M1914" s="6" t="s">
        <v>8371</v>
      </c>
    </row>
    <row r="1915" spans="1:13" ht="13" x14ac:dyDescent="0.15">
      <c r="A1915" s="5" t="str">
        <f>HYPERLINK("https://onemount.atlassian.net/browse/DBA-3221","DBA-3221")</f>
        <v>DBA-3221</v>
      </c>
      <c r="B1915" s="6" t="s">
        <v>21</v>
      </c>
      <c r="C1915" s="6" t="s">
        <v>8372</v>
      </c>
      <c r="D1915" s="8" t="s">
        <v>17</v>
      </c>
      <c r="E1915" s="6" t="s">
        <v>23</v>
      </c>
      <c r="F1915" s="6" t="s">
        <v>31</v>
      </c>
      <c r="G1915" s="6" t="s">
        <v>8373</v>
      </c>
      <c r="H1915" s="10">
        <v>45988</v>
      </c>
      <c r="I1915" s="6" t="s">
        <v>8374</v>
      </c>
      <c r="J1915" s="6" t="s">
        <v>843</v>
      </c>
      <c r="K1915" s="6" t="s">
        <v>55</v>
      </c>
      <c r="L1915" s="6" t="s">
        <v>843</v>
      </c>
      <c r="M1915" s="6" t="s">
        <v>8375</v>
      </c>
    </row>
    <row r="1916" spans="1:13" ht="13" x14ac:dyDescent="0.15">
      <c r="A1916" s="5" t="str">
        <f>HYPERLINK("https://onemount.atlassian.net/browse/DBA-3220","DBA-3220")</f>
        <v>DBA-3220</v>
      </c>
      <c r="B1916" s="6" t="s">
        <v>21</v>
      </c>
      <c r="C1916" s="6" t="s">
        <v>8376</v>
      </c>
      <c r="D1916" s="8" t="s">
        <v>17</v>
      </c>
      <c r="E1916" s="6" t="s">
        <v>23</v>
      </c>
      <c r="F1916" s="6" t="s">
        <v>31</v>
      </c>
      <c r="G1916" s="6" t="s">
        <v>8377</v>
      </c>
      <c r="H1916" s="10">
        <v>45987</v>
      </c>
      <c r="I1916" s="6" t="s">
        <v>8378</v>
      </c>
      <c r="J1916" s="6" t="s">
        <v>1898</v>
      </c>
      <c r="K1916" s="6" t="s">
        <v>165</v>
      </c>
      <c r="L1916" s="6" t="s">
        <v>1097</v>
      </c>
      <c r="M1916" s="6" t="s">
        <v>8379</v>
      </c>
    </row>
    <row r="1917" spans="1:13" ht="13" x14ac:dyDescent="0.15">
      <c r="A1917" s="5" t="str">
        <f>HYPERLINK("https://onemount.atlassian.net/browse/DBA-3219","DBA-3219")</f>
        <v>DBA-3219</v>
      </c>
      <c r="B1917" s="6" t="s">
        <v>21</v>
      </c>
      <c r="C1917" s="6" t="s">
        <v>8380</v>
      </c>
      <c r="D1917" s="8" t="s">
        <v>17</v>
      </c>
      <c r="E1917" s="6" t="s">
        <v>23</v>
      </c>
      <c r="F1917" s="6" t="s">
        <v>24</v>
      </c>
      <c r="G1917" s="6" t="s">
        <v>8381</v>
      </c>
      <c r="H1917" s="10">
        <v>45988</v>
      </c>
      <c r="I1917" s="6" t="s">
        <v>8382</v>
      </c>
      <c r="J1917" s="6" t="s">
        <v>7897</v>
      </c>
      <c r="K1917" s="6" t="s">
        <v>55</v>
      </c>
      <c r="L1917" s="6" t="s">
        <v>55</v>
      </c>
      <c r="M1917" s="6" t="s">
        <v>8383</v>
      </c>
    </row>
    <row r="1918" spans="1:13" ht="13" x14ac:dyDescent="0.15">
      <c r="A1918" s="5" t="str">
        <f>HYPERLINK("https://onemount.atlassian.net/browse/DBA-3218","DBA-3218")</f>
        <v>DBA-3218</v>
      </c>
      <c r="B1918" s="6" t="s">
        <v>21</v>
      </c>
      <c r="C1918" s="6" t="s">
        <v>8384</v>
      </c>
      <c r="D1918" s="8" t="s">
        <v>17</v>
      </c>
      <c r="E1918" s="6" t="s">
        <v>23</v>
      </c>
      <c r="F1918" s="6" t="s">
        <v>41</v>
      </c>
      <c r="G1918" s="6" t="s">
        <v>8385</v>
      </c>
      <c r="H1918" s="10">
        <v>45987</v>
      </c>
      <c r="I1918" s="6" t="s">
        <v>8386</v>
      </c>
      <c r="J1918" s="6" t="s">
        <v>2427</v>
      </c>
      <c r="K1918" s="6" t="s">
        <v>28</v>
      </c>
      <c r="L1918" s="6" t="s">
        <v>1000</v>
      </c>
      <c r="M1918" s="6" t="s">
        <v>8387</v>
      </c>
    </row>
    <row r="1919" spans="1:13" ht="13" x14ac:dyDescent="0.15">
      <c r="A1919" s="5" t="str">
        <f>HYPERLINK("https://onemount.atlassian.net/browse/DBA-3217","DBA-3217")</f>
        <v>DBA-3217</v>
      </c>
      <c r="B1919" s="6" t="s">
        <v>21</v>
      </c>
      <c r="C1919" s="6" t="s">
        <v>8388</v>
      </c>
      <c r="D1919" s="8" t="s">
        <v>17</v>
      </c>
      <c r="E1919" s="6" t="s">
        <v>23</v>
      </c>
      <c r="F1919" s="6" t="s">
        <v>31</v>
      </c>
      <c r="G1919" s="6" t="s">
        <v>8389</v>
      </c>
      <c r="H1919" s="10">
        <v>45987</v>
      </c>
      <c r="I1919" s="6" t="s">
        <v>8390</v>
      </c>
      <c r="J1919" s="6" t="s">
        <v>85</v>
      </c>
      <c r="K1919" s="6" t="s">
        <v>55</v>
      </c>
      <c r="L1919" s="6" t="s">
        <v>85</v>
      </c>
      <c r="M1919" s="6" t="s">
        <v>8391</v>
      </c>
    </row>
    <row r="1920" spans="1:13" ht="13" x14ac:dyDescent="0.15">
      <c r="A1920" s="5" t="str">
        <f>HYPERLINK("https://onemount.atlassian.net/browse/DBA-3215","DBA-3215")</f>
        <v>DBA-3215</v>
      </c>
      <c r="B1920" s="6" t="s">
        <v>21</v>
      </c>
      <c r="C1920" s="6" t="s">
        <v>8392</v>
      </c>
      <c r="D1920" s="8" t="s">
        <v>17</v>
      </c>
      <c r="E1920" s="6" t="s">
        <v>23</v>
      </c>
      <c r="F1920" s="6" t="s">
        <v>87</v>
      </c>
      <c r="G1920" s="6" t="s">
        <v>8393</v>
      </c>
      <c r="H1920" s="10">
        <v>45987</v>
      </c>
      <c r="I1920" s="6" t="s">
        <v>8394</v>
      </c>
      <c r="J1920" s="6" t="s">
        <v>1091</v>
      </c>
      <c r="K1920" s="6" t="s">
        <v>165</v>
      </c>
      <c r="L1920" s="6" t="s">
        <v>1091</v>
      </c>
      <c r="M1920" s="6" t="s">
        <v>8395</v>
      </c>
    </row>
    <row r="1921" spans="1:13" ht="13" x14ac:dyDescent="0.15">
      <c r="A1921" s="5" t="str">
        <f>HYPERLINK("https://onemount.atlassian.net/browse/DBA-3214","DBA-3214")</f>
        <v>DBA-3214</v>
      </c>
      <c r="B1921" s="23" t="str">
        <f>HYPERLINK("https://onemount.atlassian.net/browse/DBA-2062","DBA-2062")</f>
        <v>DBA-2062</v>
      </c>
      <c r="C1921" s="6" t="s">
        <v>8396</v>
      </c>
      <c r="D1921" s="8" t="s">
        <v>17</v>
      </c>
      <c r="E1921" s="6" t="s">
        <v>428</v>
      </c>
      <c r="F1921" s="6" t="s">
        <v>24</v>
      </c>
      <c r="G1921" s="6" t="s">
        <v>8397</v>
      </c>
      <c r="H1921" s="10">
        <v>45987</v>
      </c>
      <c r="I1921" s="6" t="s">
        <v>8398</v>
      </c>
      <c r="J1921" s="6" t="s">
        <v>8399</v>
      </c>
      <c r="K1921" s="6" t="s">
        <v>55</v>
      </c>
      <c r="L1921" s="6" t="s">
        <v>782</v>
      </c>
      <c r="M1921" s="6" t="s">
        <v>8400</v>
      </c>
    </row>
    <row r="1922" spans="1:13" ht="13" x14ac:dyDescent="0.15">
      <c r="A1922" s="5" t="str">
        <f>HYPERLINK("https://onemount.atlassian.net/browse/DBA-3213","DBA-3213")</f>
        <v>DBA-3213</v>
      </c>
      <c r="B1922" s="6" t="s">
        <v>21</v>
      </c>
      <c r="C1922" s="6" t="s">
        <v>8401</v>
      </c>
      <c r="D1922" s="8" t="s">
        <v>17</v>
      </c>
      <c r="E1922" s="6" t="s">
        <v>23</v>
      </c>
      <c r="F1922" s="6" t="s">
        <v>31</v>
      </c>
      <c r="G1922" s="6" t="s">
        <v>8402</v>
      </c>
      <c r="H1922" s="10">
        <v>45988</v>
      </c>
      <c r="I1922" s="6" t="s">
        <v>8403</v>
      </c>
      <c r="J1922" s="6" t="s">
        <v>1898</v>
      </c>
      <c r="K1922" s="6" t="s">
        <v>165</v>
      </c>
      <c r="L1922" s="6" t="s">
        <v>1097</v>
      </c>
      <c r="M1922" s="6" t="s">
        <v>8404</v>
      </c>
    </row>
    <row r="1923" spans="1:13" ht="13" x14ac:dyDescent="0.15">
      <c r="A1923" s="5" t="str">
        <f>HYPERLINK("https://onemount.atlassian.net/browse/DBA-3212","DBA-3212")</f>
        <v>DBA-3212</v>
      </c>
      <c r="B1923" s="6" t="s">
        <v>21</v>
      </c>
      <c r="C1923" s="6" t="s">
        <v>8405</v>
      </c>
      <c r="D1923" s="8" t="s">
        <v>17</v>
      </c>
      <c r="E1923" s="6" t="s">
        <v>23</v>
      </c>
      <c r="F1923" s="6" t="s">
        <v>31</v>
      </c>
      <c r="G1923" s="6" t="s">
        <v>8406</v>
      </c>
      <c r="H1923" s="10">
        <v>45988</v>
      </c>
      <c r="I1923" s="6" t="s">
        <v>8407</v>
      </c>
      <c r="J1923" s="6" t="s">
        <v>1898</v>
      </c>
      <c r="K1923" s="6" t="s">
        <v>165</v>
      </c>
      <c r="L1923" s="6" t="s">
        <v>1097</v>
      </c>
      <c r="M1923" s="6" t="s">
        <v>8408</v>
      </c>
    </row>
    <row r="1924" spans="1:13" ht="13" x14ac:dyDescent="0.15">
      <c r="A1924" s="5" t="str">
        <f>HYPERLINK("https://onemount.atlassian.net/browse/DBA-3211","DBA-3211")</f>
        <v>DBA-3211</v>
      </c>
      <c r="B1924" s="6" t="s">
        <v>21</v>
      </c>
      <c r="C1924" s="6" t="s">
        <v>8409</v>
      </c>
      <c r="D1924" s="8" t="s">
        <v>17</v>
      </c>
      <c r="E1924" s="6" t="s">
        <v>23</v>
      </c>
      <c r="F1924" s="6" t="s">
        <v>31</v>
      </c>
      <c r="G1924" s="6" t="s">
        <v>8410</v>
      </c>
      <c r="H1924" s="10">
        <v>45986</v>
      </c>
      <c r="I1924" s="6" t="s">
        <v>8411</v>
      </c>
      <c r="J1924" s="6" t="s">
        <v>1898</v>
      </c>
      <c r="K1924" s="6" t="s">
        <v>165</v>
      </c>
      <c r="L1924" s="6" t="s">
        <v>1097</v>
      </c>
      <c r="M1924" s="6" t="s">
        <v>8412</v>
      </c>
    </row>
    <row r="1925" spans="1:13" ht="13" x14ac:dyDescent="0.15">
      <c r="A1925" s="5" t="str">
        <f>HYPERLINK("https://onemount.atlassian.net/browse/DBA-3210","DBA-3210")</f>
        <v>DBA-3210</v>
      </c>
      <c r="B1925" s="6" t="s">
        <v>21</v>
      </c>
      <c r="C1925" s="6" t="s">
        <v>6702</v>
      </c>
      <c r="D1925" s="8" t="s">
        <v>17</v>
      </c>
      <c r="E1925" s="6" t="s">
        <v>23</v>
      </c>
      <c r="F1925" s="6" t="s">
        <v>31</v>
      </c>
      <c r="G1925" s="6" t="s">
        <v>8413</v>
      </c>
      <c r="H1925" s="10">
        <v>45986</v>
      </c>
      <c r="I1925" s="6" t="s">
        <v>8414</v>
      </c>
      <c r="J1925" s="6" t="s">
        <v>6575</v>
      </c>
      <c r="K1925" s="6" t="s">
        <v>35</v>
      </c>
      <c r="L1925" s="6" t="s">
        <v>962</v>
      </c>
      <c r="M1925" s="6" t="s">
        <v>8415</v>
      </c>
    </row>
    <row r="1926" spans="1:13" ht="13" x14ac:dyDescent="0.15">
      <c r="A1926" s="5" t="str">
        <f>HYPERLINK("https://onemount.atlassian.net/browse/DBA-3209","DBA-3209")</f>
        <v>DBA-3209</v>
      </c>
      <c r="B1926" s="6" t="s">
        <v>21</v>
      </c>
      <c r="C1926" s="6" t="s">
        <v>8416</v>
      </c>
      <c r="D1926" s="8" t="s">
        <v>17</v>
      </c>
      <c r="E1926" s="6" t="s">
        <v>23</v>
      </c>
      <c r="F1926" s="6" t="s">
        <v>31</v>
      </c>
      <c r="G1926" s="6" t="s">
        <v>8417</v>
      </c>
      <c r="H1926" s="10">
        <v>45986</v>
      </c>
      <c r="I1926" s="6" t="s">
        <v>8418</v>
      </c>
      <c r="J1926" s="6" t="s">
        <v>852</v>
      </c>
      <c r="K1926" s="6" t="s">
        <v>55</v>
      </c>
      <c r="L1926" s="6" t="s">
        <v>855</v>
      </c>
      <c r="M1926" s="6" t="s">
        <v>8419</v>
      </c>
    </row>
    <row r="1927" spans="1:13" ht="13" x14ac:dyDescent="0.15">
      <c r="A1927" s="5" t="str">
        <f>HYPERLINK("https://onemount.atlassian.net/browse/DBA-3207","DBA-3207")</f>
        <v>DBA-3207</v>
      </c>
      <c r="B1927" s="6" t="s">
        <v>21</v>
      </c>
      <c r="C1927" s="6" t="s">
        <v>8420</v>
      </c>
      <c r="D1927" s="8" t="s">
        <v>17</v>
      </c>
      <c r="E1927" s="6" t="s">
        <v>23</v>
      </c>
      <c r="F1927" s="6" t="s">
        <v>31</v>
      </c>
      <c r="G1927" s="6" t="s">
        <v>8421</v>
      </c>
      <c r="H1927" s="10">
        <v>45986</v>
      </c>
      <c r="I1927" s="6" t="s">
        <v>8422</v>
      </c>
      <c r="J1927" s="6" t="s">
        <v>7042</v>
      </c>
      <c r="K1927" s="6" t="s">
        <v>35</v>
      </c>
      <c r="L1927" s="6" t="s">
        <v>1238</v>
      </c>
      <c r="M1927" s="6" t="s">
        <v>8423</v>
      </c>
    </row>
    <row r="1928" spans="1:13" ht="13" x14ac:dyDescent="0.15">
      <c r="A1928" s="5" t="str">
        <f>HYPERLINK("https://onemount.atlassian.net/browse/DBA-3205","DBA-3205")</f>
        <v>DBA-3205</v>
      </c>
      <c r="B1928" s="6" t="s">
        <v>21</v>
      </c>
      <c r="C1928" s="6" t="s">
        <v>8355</v>
      </c>
      <c r="D1928" s="8" t="s">
        <v>17</v>
      </c>
      <c r="E1928" s="6" t="s">
        <v>23</v>
      </c>
      <c r="F1928" s="6" t="s">
        <v>41</v>
      </c>
      <c r="G1928" s="6" t="s">
        <v>8424</v>
      </c>
      <c r="H1928" s="10">
        <v>45988</v>
      </c>
      <c r="I1928" s="6" t="s">
        <v>8425</v>
      </c>
      <c r="J1928" s="6" t="s">
        <v>913</v>
      </c>
      <c r="K1928" s="6" t="s">
        <v>165</v>
      </c>
      <c r="L1928" s="6" t="s">
        <v>288</v>
      </c>
      <c r="M1928" s="6" t="s">
        <v>8426</v>
      </c>
    </row>
    <row r="1929" spans="1:13" ht="13" x14ac:dyDescent="0.15">
      <c r="A1929" s="5" t="str">
        <f>HYPERLINK("https://onemount.atlassian.net/browse/DBA-3203","DBA-3203")</f>
        <v>DBA-3203</v>
      </c>
      <c r="B1929" s="6" t="s">
        <v>21</v>
      </c>
      <c r="C1929" s="6" t="s">
        <v>8427</v>
      </c>
      <c r="D1929" s="8" t="s">
        <v>17</v>
      </c>
      <c r="E1929" s="6" t="s">
        <v>23</v>
      </c>
      <c r="F1929" s="6" t="s">
        <v>31</v>
      </c>
      <c r="G1929" s="6" t="s">
        <v>8428</v>
      </c>
      <c r="H1929" s="10">
        <v>45987</v>
      </c>
      <c r="I1929" s="6" t="s">
        <v>8429</v>
      </c>
      <c r="J1929" s="6" t="s">
        <v>374</v>
      </c>
      <c r="K1929" s="6" t="s">
        <v>35</v>
      </c>
      <c r="L1929" s="6" t="s">
        <v>374</v>
      </c>
      <c r="M1929" s="6" t="s">
        <v>8430</v>
      </c>
    </row>
    <row r="1930" spans="1:13" ht="13" x14ac:dyDescent="0.15">
      <c r="A1930" s="21" t="str">
        <f>HYPERLINK("https://onemount.atlassian.net/browse/DBA-3202","DBA-3202")</f>
        <v>DBA-3202</v>
      </c>
      <c r="B1930" s="6" t="s">
        <v>21</v>
      </c>
      <c r="C1930" s="6" t="s">
        <v>8431</v>
      </c>
      <c r="D1930" s="8" t="s">
        <v>17</v>
      </c>
      <c r="E1930" s="6" t="s">
        <v>23</v>
      </c>
      <c r="F1930" s="6" t="s">
        <v>87</v>
      </c>
      <c r="G1930" s="6" t="s">
        <v>8432</v>
      </c>
      <c r="H1930" s="10">
        <v>45986</v>
      </c>
      <c r="I1930" s="6" t="s">
        <v>8433</v>
      </c>
      <c r="J1930" s="6" t="s">
        <v>655</v>
      </c>
      <c r="K1930" s="6" t="s">
        <v>46</v>
      </c>
      <c r="L1930" s="6" t="s">
        <v>46</v>
      </c>
      <c r="M1930" s="6" t="s">
        <v>8434</v>
      </c>
    </row>
    <row r="1931" spans="1:13" ht="13" x14ac:dyDescent="0.15">
      <c r="A1931" s="21" t="str">
        <f>HYPERLINK("https://onemount.atlassian.net/browse/DBA-3201","DBA-3201")</f>
        <v>DBA-3201</v>
      </c>
      <c r="B1931" s="6" t="s">
        <v>21</v>
      </c>
      <c r="C1931" s="6" t="s">
        <v>8435</v>
      </c>
      <c r="D1931" s="8" t="s">
        <v>17</v>
      </c>
      <c r="E1931" s="6" t="s">
        <v>23</v>
      </c>
      <c r="F1931" s="6" t="s">
        <v>87</v>
      </c>
      <c r="G1931" s="6" t="s">
        <v>8436</v>
      </c>
      <c r="H1931" s="10">
        <v>45986</v>
      </c>
      <c r="I1931" s="6" t="s">
        <v>8437</v>
      </c>
      <c r="J1931" s="6" t="s">
        <v>655</v>
      </c>
      <c r="K1931" s="6" t="s">
        <v>46</v>
      </c>
      <c r="L1931" s="6" t="s">
        <v>46</v>
      </c>
      <c r="M1931" s="6" t="s">
        <v>8434</v>
      </c>
    </row>
    <row r="1932" spans="1:13" ht="13" x14ac:dyDescent="0.15">
      <c r="A1932" s="21" t="str">
        <f>HYPERLINK("https://onemount.atlassian.net/browse/DBA-3200","DBA-3200")</f>
        <v>DBA-3200</v>
      </c>
      <c r="B1932" s="6" t="s">
        <v>21</v>
      </c>
      <c r="C1932" s="6" t="s">
        <v>8438</v>
      </c>
      <c r="D1932" s="8" t="s">
        <v>17</v>
      </c>
      <c r="E1932" s="6" t="s">
        <v>23</v>
      </c>
      <c r="F1932" s="6" t="s">
        <v>87</v>
      </c>
      <c r="G1932" s="6" t="s">
        <v>8439</v>
      </c>
      <c r="H1932" s="10">
        <v>45986</v>
      </c>
      <c r="I1932" s="6" t="s">
        <v>8440</v>
      </c>
      <c r="J1932" s="6" t="s">
        <v>655</v>
      </c>
      <c r="K1932" s="6" t="s">
        <v>46</v>
      </c>
      <c r="L1932" s="6" t="s">
        <v>46</v>
      </c>
      <c r="M1932" s="6" t="s">
        <v>8434</v>
      </c>
    </row>
    <row r="1933" spans="1:13" ht="13" x14ac:dyDescent="0.15">
      <c r="A1933" s="5" t="str">
        <f>HYPERLINK("https://onemount.atlassian.net/browse/DBA-3199","DBA-3199")</f>
        <v>DBA-3199</v>
      </c>
      <c r="B1933" s="6" t="s">
        <v>21</v>
      </c>
      <c r="C1933" s="6" t="s">
        <v>8441</v>
      </c>
      <c r="D1933" s="8" t="s">
        <v>17</v>
      </c>
      <c r="E1933" s="6" t="s">
        <v>23</v>
      </c>
      <c r="F1933" s="6" t="s">
        <v>31</v>
      </c>
      <c r="G1933" s="6" t="s">
        <v>8442</v>
      </c>
      <c r="H1933" s="10">
        <v>45986</v>
      </c>
      <c r="I1933" s="6" t="s">
        <v>8443</v>
      </c>
      <c r="J1933" s="6" t="s">
        <v>8444</v>
      </c>
      <c r="K1933" s="6" t="s">
        <v>165</v>
      </c>
      <c r="L1933" s="6" t="s">
        <v>715</v>
      </c>
      <c r="M1933" s="6" t="s">
        <v>8445</v>
      </c>
    </row>
    <row r="1934" spans="1:13" ht="13" x14ac:dyDescent="0.15">
      <c r="A1934" s="5" t="str">
        <f>HYPERLINK("https://onemount.atlassian.net/browse/DBA-3198","DBA-3198")</f>
        <v>DBA-3198</v>
      </c>
      <c r="B1934" s="6" t="s">
        <v>21</v>
      </c>
      <c r="C1934" s="6" t="s">
        <v>8446</v>
      </c>
      <c r="D1934" s="8" t="s">
        <v>17</v>
      </c>
      <c r="E1934" s="6" t="s">
        <v>23</v>
      </c>
      <c r="F1934" s="6" t="s">
        <v>41</v>
      </c>
      <c r="G1934" s="6" t="s">
        <v>8447</v>
      </c>
      <c r="H1934" s="10">
        <v>45985</v>
      </c>
      <c r="I1934" s="6" t="s">
        <v>8448</v>
      </c>
      <c r="J1934" s="6" t="s">
        <v>27</v>
      </c>
      <c r="K1934" s="6" t="s">
        <v>28</v>
      </c>
      <c r="L1934" s="6" t="s">
        <v>27</v>
      </c>
      <c r="M1934" s="6" t="s">
        <v>8449</v>
      </c>
    </row>
    <row r="1935" spans="1:13" ht="13" x14ac:dyDescent="0.15">
      <c r="A1935" s="5" t="str">
        <f>HYPERLINK("https://onemount.atlassian.net/browse/DBA-3197","DBA-3197")</f>
        <v>DBA-3197</v>
      </c>
      <c r="B1935" s="6" t="s">
        <v>21</v>
      </c>
      <c r="C1935" s="6" t="s">
        <v>8450</v>
      </c>
      <c r="D1935" s="8" t="s">
        <v>17</v>
      </c>
      <c r="E1935" s="6" t="s">
        <v>23</v>
      </c>
      <c r="F1935" s="6" t="s">
        <v>31</v>
      </c>
      <c r="G1935" s="6" t="s">
        <v>8451</v>
      </c>
      <c r="H1935" s="10">
        <v>45985</v>
      </c>
      <c r="I1935" s="6" t="s">
        <v>8452</v>
      </c>
      <c r="J1935" s="6" t="s">
        <v>55</v>
      </c>
      <c r="K1935" s="6" t="s">
        <v>55</v>
      </c>
      <c r="L1935" s="6" t="s">
        <v>956</v>
      </c>
      <c r="M1935" s="6" t="s">
        <v>8453</v>
      </c>
    </row>
    <row r="1936" spans="1:13" ht="13" x14ac:dyDescent="0.15">
      <c r="A1936" s="5" t="str">
        <f>HYPERLINK("https://onemount.atlassian.net/browse/DBA-3196","DBA-3196")</f>
        <v>DBA-3196</v>
      </c>
      <c r="B1936" s="6" t="s">
        <v>21</v>
      </c>
      <c r="C1936" s="6" t="s">
        <v>8454</v>
      </c>
      <c r="D1936" s="8" t="s">
        <v>17</v>
      </c>
      <c r="E1936" s="6" t="s">
        <v>23</v>
      </c>
      <c r="F1936" s="6" t="s">
        <v>31</v>
      </c>
      <c r="G1936" s="6" t="s">
        <v>8455</v>
      </c>
      <c r="H1936" s="10">
        <v>45986</v>
      </c>
      <c r="I1936" s="6" t="s">
        <v>8456</v>
      </c>
      <c r="J1936" s="6" t="s">
        <v>49</v>
      </c>
      <c r="K1936" s="6" t="s">
        <v>35</v>
      </c>
      <c r="L1936" s="6" t="s">
        <v>981</v>
      </c>
      <c r="M1936" s="6" t="s">
        <v>8457</v>
      </c>
    </row>
    <row r="1937" spans="1:13" ht="13" x14ac:dyDescent="0.15">
      <c r="A1937" s="5" t="str">
        <f>HYPERLINK("https://onemount.atlassian.net/browse/DBA-3195","DBA-3195")</f>
        <v>DBA-3195</v>
      </c>
      <c r="B1937" s="6" t="s">
        <v>21</v>
      </c>
      <c r="C1937" s="6" t="s">
        <v>8458</v>
      </c>
      <c r="D1937" s="8" t="s">
        <v>17</v>
      </c>
      <c r="E1937" s="6" t="s">
        <v>23</v>
      </c>
      <c r="F1937" s="6" t="s">
        <v>87</v>
      </c>
      <c r="G1937" s="6" t="s">
        <v>8459</v>
      </c>
      <c r="H1937" s="10">
        <v>45986</v>
      </c>
      <c r="I1937" s="6" t="s">
        <v>8460</v>
      </c>
      <c r="J1937" s="6" t="s">
        <v>2453</v>
      </c>
      <c r="K1937" s="6" t="s">
        <v>165</v>
      </c>
      <c r="L1937" s="6" t="s">
        <v>119</v>
      </c>
      <c r="M1937" s="6" t="s">
        <v>8461</v>
      </c>
    </row>
    <row r="1938" spans="1:13" ht="13" x14ac:dyDescent="0.15">
      <c r="A1938" s="5" t="str">
        <f>HYPERLINK("https://onemount.atlassian.net/browse/DBA-3193","DBA-3193")</f>
        <v>DBA-3193</v>
      </c>
      <c r="B1938" s="6" t="s">
        <v>21</v>
      </c>
      <c r="C1938" s="6" t="s">
        <v>8462</v>
      </c>
      <c r="D1938" s="8" t="s">
        <v>17</v>
      </c>
      <c r="E1938" s="6" t="s">
        <v>23</v>
      </c>
      <c r="F1938" s="6" t="s">
        <v>24</v>
      </c>
      <c r="G1938" s="6" t="s">
        <v>8463</v>
      </c>
      <c r="H1938" s="10">
        <v>45986</v>
      </c>
      <c r="I1938" s="6" t="s">
        <v>8464</v>
      </c>
      <c r="J1938" s="6" t="s">
        <v>3141</v>
      </c>
      <c r="K1938" s="6" t="s">
        <v>165</v>
      </c>
      <c r="L1938" s="6" t="s">
        <v>1037</v>
      </c>
      <c r="M1938" s="6" t="s">
        <v>8465</v>
      </c>
    </row>
    <row r="1939" spans="1:13" ht="13" x14ac:dyDescent="0.15">
      <c r="A1939" s="5" t="str">
        <f>HYPERLINK("https://onemount.atlassian.net/browse/DBA-3192","DBA-3192")</f>
        <v>DBA-3192</v>
      </c>
      <c r="B1939" s="6" t="s">
        <v>21</v>
      </c>
      <c r="C1939" s="6" t="s">
        <v>8466</v>
      </c>
      <c r="D1939" s="8" t="s">
        <v>17</v>
      </c>
      <c r="E1939" s="6" t="s">
        <v>23</v>
      </c>
      <c r="F1939" s="6" t="s">
        <v>24</v>
      </c>
      <c r="G1939" s="6" t="s">
        <v>8467</v>
      </c>
      <c r="H1939" s="10">
        <v>45986</v>
      </c>
      <c r="I1939" s="6" t="s">
        <v>8468</v>
      </c>
      <c r="J1939" s="6" t="s">
        <v>8469</v>
      </c>
      <c r="K1939" s="6" t="s">
        <v>165</v>
      </c>
      <c r="L1939" s="6" t="s">
        <v>145</v>
      </c>
      <c r="M1939" s="6" t="s">
        <v>8470</v>
      </c>
    </row>
    <row r="1940" spans="1:13" ht="13" x14ac:dyDescent="0.15">
      <c r="A1940" s="21" t="str">
        <f>HYPERLINK("https://onemount.atlassian.net/browse/DBA-3191","DBA-3191")</f>
        <v>DBA-3191</v>
      </c>
      <c r="B1940" s="6" t="s">
        <v>21</v>
      </c>
      <c r="C1940" s="6" t="s">
        <v>8471</v>
      </c>
      <c r="D1940" s="8" t="s">
        <v>17</v>
      </c>
      <c r="E1940" s="6" t="s">
        <v>23</v>
      </c>
      <c r="F1940" s="6" t="s">
        <v>31</v>
      </c>
      <c r="G1940" s="6" t="s">
        <v>8472</v>
      </c>
      <c r="H1940" s="10">
        <v>45985</v>
      </c>
      <c r="I1940" s="6" t="s">
        <v>8473</v>
      </c>
      <c r="J1940" s="6" t="s">
        <v>655</v>
      </c>
      <c r="K1940" s="6" t="s">
        <v>46</v>
      </c>
      <c r="L1940" s="6" t="s">
        <v>655</v>
      </c>
      <c r="M1940" s="6" t="s">
        <v>8474</v>
      </c>
    </row>
    <row r="1941" spans="1:13" ht="13" x14ac:dyDescent="0.15">
      <c r="A1941" s="5" t="str">
        <f>HYPERLINK("https://onemount.atlassian.net/browse/DBA-3190","DBA-3190")</f>
        <v>DBA-3190</v>
      </c>
      <c r="B1941" s="6" t="s">
        <v>21</v>
      </c>
      <c r="C1941" s="6" t="s">
        <v>8475</v>
      </c>
      <c r="D1941" s="8" t="s">
        <v>17</v>
      </c>
      <c r="E1941" s="6" t="s">
        <v>23</v>
      </c>
      <c r="F1941" s="6" t="s">
        <v>41</v>
      </c>
      <c r="G1941" s="6" t="s">
        <v>8476</v>
      </c>
      <c r="H1941" s="10">
        <v>45993</v>
      </c>
      <c r="I1941" s="6" t="s">
        <v>8477</v>
      </c>
      <c r="J1941" s="6" t="s">
        <v>201</v>
      </c>
      <c r="K1941" s="6" t="s">
        <v>72</v>
      </c>
      <c r="L1941" s="6" t="s">
        <v>201</v>
      </c>
      <c r="M1941" s="6" t="s">
        <v>8478</v>
      </c>
    </row>
    <row r="1942" spans="1:13" ht="13" x14ac:dyDescent="0.15">
      <c r="A1942" s="5" t="str">
        <f>HYPERLINK("https://onemount.atlassian.net/browse/DBA-3189","DBA-3189")</f>
        <v>DBA-3189</v>
      </c>
      <c r="B1942" s="6" t="s">
        <v>21</v>
      </c>
      <c r="C1942" s="6" t="s">
        <v>8479</v>
      </c>
      <c r="D1942" s="8" t="s">
        <v>17</v>
      </c>
      <c r="E1942" s="6" t="s">
        <v>23</v>
      </c>
      <c r="F1942" s="6" t="s">
        <v>31</v>
      </c>
      <c r="G1942" s="6" t="s">
        <v>8480</v>
      </c>
      <c r="H1942" s="10">
        <v>45985</v>
      </c>
      <c r="I1942" s="6" t="s">
        <v>8481</v>
      </c>
      <c r="J1942" s="6" t="s">
        <v>55</v>
      </c>
      <c r="K1942" s="6" t="s">
        <v>55</v>
      </c>
      <c r="L1942" s="6" t="s">
        <v>956</v>
      </c>
      <c r="M1942" s="6" t="s">
        <v>8482</v>
      </c>
    </row>
    <row r="1943" spans="1:13" ht="13" x14ac:dyDescent="0.15">
      <c r="A1943" s="5" t="str">
        <f>HYPERLINK("https://onemount.atlassian.net/browse/DBA-3188","DBA-3188")</f>
        <v>DBA-3188</v>
      </c>
      <c r="B1943" s="6" t="s">
        <v>21</v>
      </c>
      <c r="C1943" s="6" t="s">
        <v>8483</v>
      </c>
      <c r="D1943" s="8" t="s">
        <v>17</v>
      </c>
      <c r="E1943" s="6" t="s">
        <v>23</v>
      </c>
      <c r="F1943" s="6" t="s">
        <v>31</v>
      </c>
      <c r="G1943" s="6" t="s">
        <v>8484</v>
      </c>
      <c r="H1943" s="10">
        <v>45986</v>
      </c>
      <c r="I1943" s="6" t="s">
        <v>8485</v>
      </c>
      <c r="J1943" s="6" t="s">
        <v>628</v>
      </c>
      <c r="K1943" s="6" t="s">
        <v>165</v>
      </c>
      <c r="L1943" s="6" t="s">
        <v>119</v>
      </c>
      <c r="M1943" s="6" t="s">
        <v>8486</v>
      </c>
    </row>
    <row r="1944" spans="1:13" ht="13" x14ac:dyDescent="0.15">
      <c r="A1944" s="5" t="str">
        <f>HYPERLINK("https://onemount.atlassian.net/browse/DBA-3187","DBA-3187")</f>
        <v>DBA-3187</v>
      </c>
      <c r="B1944" s="6" t="s">
        <v>21</v>
      </c>
      <c r="C1944" s="6" t="s">
        <v>8487</v>
      </c>
      <c r="D1944" s="8" t="s">
        <v>17</v>
      </c>
      <c r="E1944" s="6" t="s">
        <v>23</v>
      </c>
      <c r="F1944" s="6" t="s">
        <v>31</v>
      </c>
      <c r="G1944" s="6" t="s">
        <v>8488</v>
      </c>
      <c r="H1944" s="10">
        <v>45985</v>
      </c>
      <c r="I1944" s="6" t="s">
        <v>8489</v>
      </c>
      <c r="J1944" s="6" t="s">
        <v>7042</v>
      </c>
      <c r="K1944" s="6" t="s">
        <v>35</v>
      </c>
      <c r="L1944" s="6" t="s">
        <v>1238</v>
      </c>
      <c r="M1944" s="6" t="s">
        <v>8490</v>
      </c>
    </row>
    <row r="1945" spans="1:13" ht="13" x14ac:dyDescent="0.15">
      <c r="A1945" s="5" t="str">
        <f>HYPERLINK("https://onemount.atlassian.net/browse/DBA-3186","DBA-3186")</f>
        <v>DBA-3186</v>
      </c>
      <c r="B1945" s="6" t="s">
        <v>21</v>
      </c>
      <c r="C1945" s="6" t="s">
        <v>8491</v>
      </c>
      <c r="D1945" s="8" t="s">
        <v>17</v>
      </c>
      <c r="E1945" s="6" t="s">
        <v>23</v>
      </c>
      <c r="F1945" s="6" t="s">
        <v>31</v>
      </c>
      <c r="G1945" s="6" t="s">
        <v>8492</v>
      </c>
      <c r="H1945" s="10">
        <v>45985</v>
      </c>
      <c r="I1945" s="6" t="s">
        <v>8493</v>
      </c>
      <c r="J1945" s="6" t="s">
        <v>1217</v>
      </c>
      <c r="K1945" s="6" t="s">
        <v>35</v>
      </c>
      <c r="L1945" s="6" t="s">
        <v>1217</v>
      </c>
      <c r="M1945" s="6" t="s">
        <v>8494</v>
      </c>
    </row>
    <row r="1946" spans="1:13" ht="13" x14ac:dyDescent="0.15">
      <c r="A1946" s="5" t="str">
        <f>HYPERLINK("https://onemount.atlassian.net/browse/DBA-3185","DBA-3185")</f>
        <v>DBA-3185</v>
      </c>
      <c r="B1946" s="6" t="s">
        <v>21</v>
      </c>
      <c r="C1946" s="6" t="s">
        <v>8495</v>
      </c>
      <c r="D1946" s="8" t="s">
        <v>17</v>
      </c>
      <c r="E1946" s="6" t="s">
        <v>23</v>
      </c>
      <c r="F1946" s="6" t="s">
        <v>31</v>
      </c>
      <c r="G1946" s="6" t="s">
        <v>8496</v>
      </c>
      <c r="H1946" s="10">
        <v>45983</v>
      </c>
      <c r="I1946" s="6" t="s">
        <v>8497</v>
      </c>
      <c r="J1946" s="6" t="s">
        <v>478</v>
      </c>
      <c r="K1946" s="6" t="s">
        <v>35</v>
      </c>
      <c r="L1946" s="6" t="s">
        <v>129</v>
      </c>
      <c r="M1946" s="6" t="s">
        <v>8498</v>
      </c>
    </row>
    <row r="1947" spans="1:13" ht="13" x14ac:dyDescent="0.15">
      <c r="A1947" s="5" t="str">
        <f>HYPERLINK("https://onemount.atlassian.net/browse/DBA-3184","DBA-3184")</f>
        <v>DBA-3184</v>
      </c>
      <c r="B1947" s="6" t="s">
        <v>21</v>
      </c>
      <c r="C1947" s="6" t="s">
        <v>8499</v>
      </c>
      <c r="D1947" s="8" t="s">
        <v>17</v>
      </c>
      <c r="E1947" s="6" t="s">
        <v>23</v>
      </c>
      <c r="F1947" s="6" t="s">
        <v>31</v>
      </c>
      <c r="G1947" s="6" t="s">
        <v>8500</v>
      </c>
      <c r="H1947" s="10">
        <v>45984</v>
      </c>
      <c r="I1947" s="6" t="s">
        <v>8501</v>
      </c>
      <c r="J1947" s="6" t="s">
        <v>55</v>
      </c>
      <c r="K1947" s="6" t="s">
        <v>55</v>
      </c>
      <c r="L1947" s="6" t="s">
        <v>956</v>
      </c>
      <c r="M1947" s="6" t="s">
        <v>8502</v>
      </c>
    </row>
    <row r="1948" spans="1:13" ht="13" x14ac:dyDescent="0.15">
      <c r="A1948" s="5" t="str">
        <f>HYPERLINK("https://onemount.atlassian.net/browse/DBA-3183","DBA-3183")</f>
        <v>DBA-3183</v>
      </c>
      <c r="B1948" s="6" t="s">
        <v>21</v>
      </c>
      <c r="C1948" s="6" t="s">
        <v>8503</v>
      </c>
      <c r="D1948" s="8" t="s">
        <v>17</v>
      </c>
      <c r="E1948" s="6" t="s">
        <v>23</v>
      </c>
      <c r="F1948" s="6" t="s">
        <v>24</v>
      </c>
      <c r="G1948" s="6" t="s">
        <v>8504</v>
      </c>
      <c r="H1948" s="10">
        <v>45983</v>
      </c>
      <c r="I1948" s="6" t="s">
        <v>8505</v>
      </c>
      <c r="J1948" s="6" t="s">
        <v>8506</v>
      </c>
      <c r="K1948" s="6" t="s">
        <v>46</v>
      </c>
      <c r="L1948" s="6" t="s">
        <v>164</v>
      </c>
      <c r="M1948" s="6" t="s">
        <v>8507</v>
      </c>
    </row>
    <row r="1949" spans="1:13" ht="13" x14ac:dyDescent="0.15">
      <c r="A1949" s="5" t="str">
        <f>HYPERLINK("https://onemount.atlassian.net/browse/DBA-3182","DBA-3182")</f>
        <v>DBA-3182</v>
      </c>
      <c r="B1949" s="6" t="s">
        <v>21</v>
      </c>
      <c r="C1949" s="6" t="s">
        <v>8174</v>
      </c>
      <c r="D1949" s="8" t="s">
        <v>17</v>
      </c>
      <c r="E1949" s="6" t="s">
        <v>23</v>
      </c>
      <c r="F1949" s="6" t="s">
        <v>31</v>
      </c>
      <c r="G1949" s="6" t="s">
        <v>8508</v>
      </c>
      <c r="H1949" s="10">
        <v>45982</v>
      </c>
      <c r="I1949" s="6" t="s">
        <v>8509</v>
      </c>
      <c r="J1949" s="6" t="s">
        <v>6575</v>
      </c>
      <c r="K1949" s="6" t="s">
        <v>35</v>
      </c>
      <c r="L1949" s="6" t="s">
        <v>962</v>
      </c>
      <c r="M1949" s="6" t="s">
        <v>8510</v>
      </c>
    </row>
    <row r="1950" spans="1:13" ht="13" x14ac:dyDescent="0.15">
      <c r="A1950" s="5" t="str">
        <f>HYPERLINK("https://onemount.atlassian.net/browse/DBA-3181","DBA-3181")</f>
        <v>DBA-3181</v>
      </c>
      <c r="B1950" s="6" t="s">
        <v>21</v>
      </c>
      <c r="C1950" s="6" t="s">
        <v>8511</v>
      </c>
      <c r="D1950" s="8" t="s">
        <v>17</v>
      </c>
      <c r="E1950" s="6" t="s">
        <v>23</v>
      </c>
      <c r="F1950" s="6" t="s">
        <v>31</v>
      </c>
      <c r="G1950" s="6" t="s">
        <v>8512</v>
      </c>
      <c r="H1950" s="10">
        <v>45982</v>
      </c>
      <c r="I1950" s="6" t="s">
        <v>8513</v>
      </c>
      <c r="J1950" s="6" t="s">
        <v>85</v>
      </c>
      <c r="K1950" s="6" t="s">
        <v>55</v>
      </c>
      <c r="L1950" s="6" t="s">
        <v>85</v>
      </c>
      <c r="M1950" s="6" t="s">
        <v>8514</v>
      </c>
    </row>
    <row r="1951" spans="1:13" ht="13" x14ac:dyDescent="0.15">
      <c r="A1951" s="5" t="str">
        <f>HYPERLINK("https://onemount.atlassian.net/browse/DBA-3180","DBA-3180")</f>
        <v>DBA-3180</v>
      </c>
      <c r="B1951" s="6" t="s">
        <v>21</v>
      </c>
      <c r="C1951" s="6" t="s">
        <v>8515</v>
      </c>
      <c r="D1951" s="8" t="s">
        <v>17</v>
      </c>
      <c r="E1951" s="6" t="s">
        <v>23</v>
      </c>
      <c r="F1951" s="6" t="s">
        <v>31</v>
      </c>
      <c r="G1951" s="6" t="s">
        <v>8516</v>
      </c>
      <c r="H1951" s="10">
        <v>45982</v>
      </c>
      <c r="I1951" s="6" t="s">
        <v>8517</v>
      </c>
      <c r="J1951" s="6" t="s">
        <v>55</v>
      </c>
      <c r="K1951" s="6" t="s">
        <v>55</v>
      </c>
      <c r="L1951" s="6" t="s">
        <v>956</v>
      </c>
      <c r="M1951" s="6" t="s">
        <v>8518</v>
      </c>
    </row>
    <row r="1952" spans="1:13" ht="13" x14ac:dyDescent="0.15">
      <c r="A1952" s="5" t="str">
        <f>HYPERLINK("https://onemount.atlassian.net/browse/DBA-3179","DBA-3179")</f>
        <v>DBA-3179</v>
      </c>
      <c r="B1952" s="6" t="s">
        <v>21</v>
      </c>
      <c r="C1952" s="6" t="s">
        <v>8051</v>
      </c>
      <c r="D1952" s="8" t="s">
        <v>17</v>
      </c>
      <c r="E1952" s="6" t="s">
        <v>23</v>
      </c>
      <c r="F1952" s="6" t="s">
        <v>24</v>
      </c>
      <c r="G1952" s="6" t="s">
        <v>8519</v>
      </c>
      <c r="H1952" s="10">
        <v>45982</v>
      </c>
      <c r="I1952" s="6" t="s">
        <v>8520</v>
      </c>
      <c r="J1952" s="6" t="s">
        <v>1091</v>
      </c>
      <c r="K1952" s="6" t="s">
        <v>165</v>
      </c>
      <c r="L1952" s="6" t="s">
        <v>1091</v>
      </c>
      <c r="M1952" s="6" t="s">
        <v>8521</v>
      </c>
    </row>
    <row r="1953" spans="1:13" ht="13" x14ac:dyDescent="0.15">
      <c r="A1953" s="5" t="str">
        <f>HYPERLINK("https://onemount.atlassian.net/browse/DBA-3176","DBA-3176")</f>
        <v>DBA-3176</v>
      </c>
      <c r="B1953" s="6" t="s">
        <v>21</v>
      </c>
      <c r="C1953" s="6" t="s">
        <v>8522</v>
      </c>
      <c r="D1953" s="8" t="s">
        <v>17</v>
      </c>
      <c r="E1953" s="6" t="s">
        <v>23</v>
      </c>
      <c r="F1953" s="6" t="s">
        <v>41</v>
      </c>
      <c r="G1953" s="6" t="s">
        <v>8523</v>
      </c>
      <c r="H1953" s="10">
        <v>45982</v>
      </c>
      <c r="I1953" s="6" t="s">
        <v>8524</v>
      </c>
      <c r="J1953" s="6" t="s">
        <v>224</v>
      </c>
      <c r="K1953" s="6" t="s">
        <v>165</v>
      </c>
      <c r="L1953" s="6" t="s">
        <v>224</v>
      </c>
      <c r="M1953" s="6" t="s">
        <v>8525</v>
      </c>
    </row>
    <row r="1954" spans="1:13" ht="13" x14ac:dyDescent="0.15">
      <c r="A1954" s="5" t="str">
        <f>HYPERLINK("https://onemount.atlassian.net/browse/DBA-3174","DBA-3174")</f>
        <v>DBA-3174</v>
      </c>
      <c r="B1954" s="6" t="s">
        <v>21</v>
      </c>
      <c r="C1954" s="6" t="s">
        <v>8526</v>
      </c>
      <c r="D1954" s="8" t="s">
        <v>17</v>
      </c>
      <c r="E1954" s="6" t="s">
        <v>23</v>
      </c>
      <c r="F1954" s="6" t="s">
        <v>31</v>
      </c>
      <c r="G1954" s="6" t="s">
        <v>8527</v>
      </c>
      <c r="H1954" s="10">
        <v>45982</v>
      </c>
      <c r="I1954" s="6" t="s">
        <v>8528</v>
      </c>
      <c r="J1954" s="6" t="s">
        <v>1898</v>
      </c>
      <c r="K1954" s="6" t="s">
        <v>165</v>
      </c>
      <c r="L1954" s="6" t="s">
        <v>1097</v>
      </c>
      <c r="M1954" s="6" t="s">
        <v>8529</v>
      </c>
    </row>
    <row r="1955" spans="1:13" ht="13" x14ac:dyDescent="0.15">
      <c r="A1955" s="5" t="str">
        <f>HYPERLINK("https://onemount.atlassian.net/browse/DBA-3173","DBA-3173")</f>
        <v>DBA-3173</v>
      </c>
      <c r="B1955" s="6" t="s">
        <v>21</v>
      </c>
      <c r="C1955" s="6" t="s">
        <v>8372</v>
      </c>
      <c r="D1955" s="8" t="s">
        <v>17</v>
      </c>
      <c r="E1955" s="6" t="s">
        <v>23</v>
      </c>
      <c r="F1955" s="6" t="s">
        <v>31</v>
      </c>
      <c r="G1955" s="6" t="s">
        <v>8530</v>
      </c>
      <c r="H1955" s="10">
        <v>45982</v>
      </c>
      <c r="I1955" s="6" t="s">
        <v>8531</v>
      </c>
      <c r="J1955" s="6" t="s">
        <v>843</v>
      </c>
      <c r="K1955" s="6" t="s">
        <v>55</v>
      </c>
      <c r="L1955" s="6" t="s">
        <v>843</v>
      </c>
      <c r="M1955" s="6" t="s">
        <v>8532</v>
      </c>
    </row>
    <row r="1956" spans="1:13" ht="13" x14ac:dyDescent="0.15">
      <c r="A1956" s="5" t="str">
        <f>HYPERLINK("https://onemount.atlassian.net/browse/DBA-3172","DBA-3172")</f>
        <v>DBA-3172</v>
      </c>
      <c r="B1956" s="6" t="s">
        <v>21</v>
      </c>
      <c r="C1956" s="6" t="s">
        <v>8533</v>
      </c>
      <c r="D1956" s="8" t="s">
        <v>17</v>
      </c>
      <c r="E1956" s="6" t="s">
        <v>23</v>
      </c>
      <c r="F1956" s="6" t="s">
        <v>31</v>
      </c>
      <c r="G1956" s="6" t="s">
        <v>8534</v>
      </c>
      <c r="H1956" s="10">
        <v>45981</v>
      </c>
      <c r="I1956" s="6" t="s">
        <v>8535</v>
      </c>
      <c r="J1956" s="6" t="s">
        <v>715</v>
      </c>
      <c r="K1956" s="6" t="s">
        <v>55</v>
      </c>
      <c r="L1956" s="6" t="s">
        <v>715</v>
      </c>
      <c r="M1956" s="6" t="s">
        <v>8536</v>
      </c>
    </row>
    <row r="1957" spans="1:13" ht="13" x14ac:dyDescent="0.15">
      <c r="A1957" s="5" t="str">
        <f>HYPERLINK("https://onemount.atlassian.net/browse/DBA-3171","DBA-3171")</f>
        <v>DBA-3171</v>
      </c>
      <c r="B1957" s="6" t="s">
        <v>21</v>
      </c>
      <c r="C1957" s="6" t="s">
        <v>8537</v>
      </c>
      <c r="D1957" s="8" t="s">
        <v>17</v>
      </c>
      <c r="E1957" s="6" t="s">
        <v>23</v>
      </c>
      <c r="F1957" s="6" t="s">
        <v>31</v>
      </c>
      <c r="G1957" s="6" t="s">
        <v>8538</v>
      </c>
      <c r="H1957" s="10">
        <v>45981</v>
      </c>
      <c r="I1957" s="6" t="s">
        <v>8539</v>
      </c>
      <c r="J1957" s="6" t="s">
        <v>2687</v>
      </c>
      <c r="K1957" s="6" t="s">
        <v>46</v>
      </c>
      <c r="L1957" s="6" t="s">
        <v>404</v>
      </c>
      <c r="M1957" s="6" t="s">
        <v>8540</v>
      </c>
    </row>
    <row r="1958" spans="1:13" ht="13" x14ac:dyDescent="0.15">
      <c r="A1958" s="21" t="str">
        <f>HYPERLINK("https://onemount.atlassian.net/browse/DBA-3170","DBA-3170")</f>
        <v>DBA-3170</v>
      </c>
      <c r="B1958" s="6" t="s">
        <v>21</v>
      </c>
      <c r="C1958" s="6" t="s">
        <v>2684</v>
      </c>
      <c r="D1958" s="8" t="s">
        <v>17</v>
      </c>
      <c r="E1958" s="6" t="s">
        <v>23</v>
      </c>
      <c r="F1958" s="6" t="s">
        <v>31</v>
      </c>
      <c r="G1958" s="6" t="s">
        <v>8541</v>
      </c>
      <c r="H1958" s="10">
        <v>45981</v>
      </c>
      <c r="I1958" s="6" t="s">
        <v>8542</v>
      </c>
      <c r="J1958" s="6" t="s">
        <v>2687</v>
      </c>
      <c r="K1958" s="6" t="s">
        <v>46</v>
      </c>
      <c r="L1958" s="6" t="s">
        <v>404</v>
      </c>
      <c r="M1958" s="6" t="s">
        <v>6940</v>
      </c>
    </row>
    <row r="1959" spans="1:13" ht="13" x14ac:dyDescent="0.15">
      <c r="A1959" s="5" t="str">
        <f>HYPERLINK("https://onemount.atlassian.net/browse/DBA-3169","DBA-3169")</f>
        <v>DBA-3169</v>
      </c>
      <c r="B1959" s="6" t="s">
        <v>21</v>
      </c>
      <c r="C1959" s="6" t="s">
        <v>8355</v>
      </c>
      <c r="D1959" s="8" t="s">
        <v>17</v>
      </c>
      <c r="E1959" s="6" t="s">
        <v>23</v>
      </c>
      <c r="F1959" s="6" t="s">
        <v>41</v>
      </c>
      <c r="G1959" s="6" t="s">
        <v>8543</v>
      </c>
      <c r="H1959" s="10">
        <v>45981</v>
      </c>
      <c r="I1959" s="6" t="s">
        <v>8544</v>
      </c>
      <c r="J1959" s="6" t="s">
        <v>913</v>
      </c>
      <c r="K1959" s="6" t="s">
        <v>165</v>
      </c>
      <c r="L1959" s="6" t="s">
        <v>288</v>
      </c>
      <c r="M1959" s="6" t="s">
        <v>8545</v>
      </c>
    </row>
    <row r="1960" spans="1:13" ht="13" x14ac:dyDescent="0.15">
      <c r="A1960" s="5" t="str">
        <f>HYPERLINK("https://onemount.atlassian.net/browse/DBA-3168","DBA-3168")</f>
        <v>DBA-3168</v>
      </c>
      <c r="B1960" s="6" t="s">
        <v>21</v>
      </c>
      <c r="C1960" s="6" t="s">
        <v>8546</v>
      </c>
      <c r="D1960" s="8" t="s">
        <v>17</v>
      </c>
      <c r="E1960" s="6" t="s">
        <v>23</v>
      </c>
      <c r="F1960" s="6" t="s">
        <v>41</v>
      </c>
      <c r="G1960" s="6" t="s">
        <v>8547</v>
      </c>
      <c r="H1960" s="10">
        <v>46045</v>
      </c>
      <c r="I1960" s="6" t="s">
        <v>8548</v>
      </c>
      <c r="J1960" s="6" t="s">
        <v>65</v>
      </c>
      <c r="K1960" s="6" t="s">
        <v>59</v>
      </c>
      <c r="L1960" s="6" t="s">
        <v>65</v>
      </c>
      <c r="M1960" s="6" t="s">
        <v>8549</v>
      </c>
    </row>
    <row r="1961" spans="1:13" ht="13" x14ac:dyDescent="0.15">
      <c r="A1961" s="5" t="str">
        <f>HYPERLINK("https://onemount.atlassian.net/browse/DBA-3167","DBA-3167")</f>
        <v>DBA-3167</v>
      </c>
      <c r="B1961" s="6" t="s">
        <v>21</v>
      </c>
      <c r="C1961" s="6" t="s">
        <v>8550</v>
      </c>
      <c r="D1961" s="8" t="s">
        <v>17</v>
      </c>
      <c r="E1961" s="6" t="s">
        <v>23</v>
      </c>
      <c r="F1961" s="6" t="s">
        <v>31</v>
      </c>
      <c r="G1961" s="6" t="s">
        <v>8551</v>
      </c>
      <c r="H1961" s="10">
        <v>45982</v>
      </c>
      <c r="I1961" s="6" t="s">
        <v>8552</v>
      </c>
      <c r="J1961" s="6" t="s">
        <v>715</v>
      </c>
      <c r="K1961" s="6" t="s">
        <v>55</v>
      </c>
      <c r="L1961" s="6" t="s">
        <v>715</v>
      </c>
      <c r="M1961" s="6" t="s">
        <v>8553</v>
      </c>
    </row>
    <row r="1962" spans="1:13" ht="13" x14ac:dyDescent="0.15">
      <c r="A1962" s="5" t="str">
        <f>HYPERLINK("https://onemount.atlassian.net/browse/DBA-3166","DBA-3166")</f>
        <v>DBA-3166</v>
      </c>
      <c r="B1962" s="6" t="s">
        <v>21</v>
      </c>
      <c r="C1962" s="6" t="s">
        <v>8554</v>
      </c>
      <c r="D1962" s="8" t="s">
        <v>17</v>
      </c>
      <c r="E1962" s="6" t="s">
        <v>23</v>
      </c>
      <c r="F1962" s="6" t="s">
        <v>31</v>
      </c>
      <c r="G1962" s="6" t="s">
        <v>8555</v>
      </c>
      <c r="H1962" s="10">
        <v>45982</v>
      </c>
      <c r="I1962" s="6" t="s">
        <v>8556</v>
      </c>
      <c r="J1962" s="6" t="s">
        <v>2453</v>
      </c>
      <c r="K1962" s="6" t="s">
        <v>165</v>
      </c>
      <c r="L1962" s="6" t="s">
        <v>119</v>
      </c>
      <c r="M1962" s="6" t="s">
        <v>8557</v>
      </c>
    </row>
    <row r="1963" spans="1:13" ht="13" x14ac:dyDescent="0.15">
      <c r="A1963" s="5" t="str">
        <f>HYPERLINK("https://onemount.atlassian.net/browse/DBA-3165","DBA-3165")</f>
        <v>DBA-3165</v>
      </c>
      <c r="B1963" s="6" t="s">
        <v>21</v>
      </c>
      <c r="C1963" s="6" t="s">
        <v>8558</v>
      </c>
      <c r="D1963" s="8" t="s">
        <v>17</v>
      </c>
      <c r="E1963" s="6" t="s">
        <v>23</v>
      </c>
      <c r="F1963" s="6" t="s">
        <v>41</v>
      </c>
      <c r="G1963" s="6" t="s">
        <v>8559</v>
      </c>
      <c r="H1963" s="10">
        <v>45983</v>
      </c>
      <c r="I1963" s="6" t="s">
        <v>8560</v>
      </c>
      <c r="J1963" s="6" t="s">
        <v>8561</v>
      </c>
      <c r="K1963" s="6" t="s">
        <v>28</v>
      </c>
      <c r="L1963" s="6" t="s">
        <v>1127</v>
      </c>
      <c r="M1963" s="6" t="s">
        <v>8562</v>
      </c>
    </row>
    <row r="1964" spans="1:13" ht="13" x14ac:dyDescent="0.15">
      <c r="A1964" s="5" t="str">
        <f>HYPERLINK("https://onemount.atlassian.net/browse/DBA-3164","DBA-3164")</f>
        <v>DBA-3164</v>
      </c>
      <c r="B1964" s="6" t="s">
        <v>21</v>
      </c>
      <c r="C1964" s="6" t="s">
        <v>8563</v>
      </c>
      <c r="D1964" s="8" t="s">
        <v>17</v>
      </c>
      <c r="E1964" s="6" t="s">
        <v>23</v>
      </c>
      <c r="F1964" s="6" t="s">
        <v>24</v>
      </c>
      <c r="G1964" s="6" t="s">
        <v>8564</v>
      </c>
      <c r="H1964" s="10">
        <v>45982</v>
      </c>
      <c r="I1964" s="6" t="s">
        <v>8565</v>
      </c>
      <c r="J1964" s="6" t="s">
        <v>165</v>
      </c>
      <c r="K1964" s="6" t="s">
        <v>165</v>
      </c>
      <c r="L1964" s="6" t="s">
        <v>39</v>
      </c>
      <c r="M1964" s="6" t="s">
        <v>8566</v>
      </c>
    </row>
    <row r="1965" spans="1:13" ht="13" x14ac:dyDescent="0.15">
      <c r="A1965" s="5" t="str">
        <f>HYPERLINK("https://onemount.atlassian.net/browse/DBA-3163","DBA-3163")</f>
        <v>DBA-3163</v>
      </c>
      <c r="B1965" s="6" t="s">
        <v>21</v>
      </c>
      <c r="C1965" s="6" t="s">
        <v>3257</v>
      </c>
      <c r="D1965" s="8" t="s">
        <v>17</v>
      </c>
      <c r="E1965" s="6" t="s">
        <v>23</v>
      </c>
      <c r="F1965" s="6" t="s">
        <v>24</v>
      </c>
      <c r="G1965" s="6" t="s">
        <v>8567</v>
      </c>
      <c r="H1965" s="10">
        <v>45982</v>
      </c>
      <c r="I1965" s="6" t="s">
        <v>8568</v>
      </c>
      <c r="J1965" s="6" t="s">
        <v>55</v>
      </c>
      <c r="K1965" s="6" t="s">
        <v>55</v>
      </c>
      <c r="L1965" s="6" t="s">
        <v>55</v>
      </c>
      <c r="M1965" s="6" t="s">
        <v>8569</v>
      </c>
    </row>
    <row r="1966" spans="1:13" ht="13" x14ac:dyDescent="0.15">
      <c r="A1966" s="5" t="str">
        <f>HYPERLINK("https://onemount.atlassian.net/browse/DBA-3153","DBA-3153")</f>
        <v>DBA-3153</v>
      </c>
      <c r="B1966" s="23" t="str">
        <f>HYPERLINK("https://onemount.atlassian.net/browse/DBA-2062","DBA-2062")</f>
        <v>DBA-2062</v>
      </c>
      <c r="C1966" s="6" t="s">
        <v>8570</v>
      </c>
      <c r="D1966" s="8" t="s">
        <v>17</v>
      </c>
      <c r="E1966" s="6" t="s">
        <v>428</v>
      </c>
      <c r="F1966" s="6" t="s">
        <v>24</v>
      </c>
      <c r="G1966" s="6" t="s">
        <v>8571</v>
      </c>
      <c r="H1966" s="10">
        <v>45981</v>
      </c>
      <c r="I1966" s="6" t="s">
        <v>8572</v>
      </c>
      <c r="J1966" s="6" t="s">
        <v>8573</v>
      </c>
      <c r="K1966" s="6" t="s">
        <v>55</v>
      </c>
      <c r="L1966" s="6" t="s">
        <v>778</v>
      </c>
      <c r="M1966" s="6" t="s">
        <v>8574</v>
      </c>
    </row>
    <row r="1967" spans="1:13" ht="13" x14ac:dyDescent="0.15">
      <c r="A1967" s="5" t="str">
        <f>HYPERLINK("https://onemount.atlassian.net/browse/DBA-3152","DBA-3152")</f>
        <v>DBA-3152</v>
      </c>
      <c r="B1967" s="23" t="str">
        <f>HYPERLINK("https://onemount.atlassian.net/browse/DBA-1909","DBA-1909")</f>
        <v>DBA-1909</v>
      </c>
      <c r="C1967" s="6" t="s">
        <v>8575</v>
      </c>
      <c r="D1967" s="8" t="s">
        <v>17</v>
      </c>
      <c r="E1967" s="6" t="s">
        <v>428</v>
      </c>
      <c r="F1967" s="6" t="s">
        <v>31</v>
      </c>
      <c r="G1967" s="6" t="s">
        <v>8576</v>
      </c>
      <c r="H1967" s="10">
        <v>45984</v>
      </c>
      <c r="I1967" s="6" t="s">
        <v>8577</v>
      </c>
      <c r="J1967" s="6" t="s">
        <v>2924</v>
      </c>
      <c r="K1967" s="6" t="s">
        <v>165</v>
      </c>
      <c r="L1967" s="6" t="s">
        <v>1012</v>
      </c>
      <c r="M1967" s="6" t="s">
        <v>8578</v>
      </c>
    </row>
    <row r="1968" spans="1:13" ht="13" x14ac:dyDescent="0.15">
      <c r="A1968" s="5" t="str">
        <f>HYPERLINK("https://onemount.atlassian.net/browse/DBA-3151","DBA-3151")</f>
        <v>DBA-3151</v>
      </c>
      <c r="B1968" s="6" t="s">
        <v>21</v>
      </c>
      <c r="C1968" s="6" t="s">
        <v>8579</v>
      </c>
      <c r="D1968" s="8" t="s">
        <v>17</v>
      </c>
      <c r="E1968" s="6" t="s">
        <v>23</v>
      </c>
      <c r="F1968" s="6" t="s">
        <v>31</v>
      </c>
      <c r="G1968" s="6" t="s">
        <v>8580</v>
      </c>
      <c r="H1968" s="10">
        <v>45982</v>
      </c>
      <c r="I1968" s="6" t="s">
        <v>8581</v>
      </c>
      <c r="J1968" s="6" t="s">
        <v>478</v>
      </c>
      <c r="K1968" s="6" t="s">
        <v>35</v>
      </c>
      <c r="L1968" s="6" t="s">
        <v>129</v>
      </c>
      <c r="M1968" s="6" t="s">
        <v>8582</v>
      </c>
    </row>
    <row r="1969" spans="1:13" ht="13" x14ac:dyDescent="0.15">
      <c r="A1969" s="5" t="str">
        <f>HYPERLINK("https://onemount.atlassian.net/browse/DBA-3150","DBA-3150")</f>
        <v>DBA-3150</v>
      </c>
      <c r="B1969" s="6" t="s">
        <v>21</v>
      </c>
      <c r="C1969" s="6" t="s">
        <v>8583</v>
      </c>
      <c r="D1969" s="8" t="s">
        <v>17</v>
      </c>
      <c r="E1969" s="6" t="s">
        <v>23</v>
      </c>
      <c r="F1969" s="6" t="s">
        <v>41</v>
      </c>
      <c r="G1969" s="6" t="s">
        <v>8584</v>
      </c>
      <c r="H1969" s="10">
        <v>45982</v>
      </c>
      <c r="I1969" s="6" t="s">
        <v>8585</v>
      </c>
      <c r="J1969" s="6" t="s">
        <v>27</v>
      </c>
      <c r="K1969" s="6" t="s">
        <v>28</v>
      </c>
      <c r="L1969" s="6" t="s">
        <v>27</v>
      </c>
      <c r="M1969" s="6" t="s">
        <v>8586</v>
      </c>
    </row>
    <row r="1970" spans="1:13" ht="13" x14ac:dyDescent="0.15">
      <c r="A1970" s="5" t="str">
        <f>HYPERLINK("https://onemount.atlassian.net/browse/DBA-3148","DBA-3148")</f>
        <v>DBA-3148</v>
      </c>
      <c r="B1970" s="6" t="s">
        <v>21</v>
      </c>
      <c r="C1970" s="6" t="s">
        <v>8587</v>
      </c>
      <c r="D1970" s="8" t="s">
        <v>17</v>
      </c>
      <c r="E1970" s="6" t="s">
        <v>23</v>
      </c>
      <c r="F1970" s="6" t="s">
        <v>31</v>
      </c>
      <c r="G1970" s="6" t="s">
        <v>8588</v>
      </c>
      <c r="H1970" s="10">
        <v>45980</v>
      </c>
      <c r="I1970" s="6" t="s">
        <v>8589</v>
      </c>
      <c r="J1970" s="6" t="s">
        <v>843</v>
      </c>
      <c r="K1970" s="6" t="s">
        <v>55</v>
      </c>
      <c r="L1970" s="6" t="s">
        <v>843</v>
      </c>
      <c r="M1970" s="6" t="s">
        <v>8590</v>
      </c>
    </row>
    <row r="1971" spans="1:13" ht="13" x14ac:dyDescent="0.15">
      <c r="A1971" s="5" t="str">
        <f>HYPERLINK("https://onemount.atlassian.net/browse/DBA-3147","DBA-3147")</f>
        <v>DBA-3147</v>
      </c>
      <c r="B1971" s="6" t="s">
        <v>21</v>
      </c>
      <c r="C1971" s="6" t="s">
        <v>8416</v>
      </c>
      <c r="D1971" s="8" t="s">
        <v>17</v>
      </c>
      <c r="E1971" s="6" t="s">
        <v>23</v>
      </c>
      <c r="F1971" s="6" t="s">
        <v>31</v>
      </c>
      <c r="G1971" s="6" t="s">
        <v>8591</v>
      </c>
      <c r="H1971" s="10">
        <v>45980</v>
      </c>
      <c r="I1971" s="6" t="s">
        <v>8592</v>
      </c>
      <c r="J1971" s="6" t="s">
        <v>852</v>
      </c>
      <c r="K1971" s="6" t="s">
        <v>55</v>
      </c>
      <c r="L1971" s="6" t="s">
        <v>855</v>
      </c>
      <c r="M1971" s="6" t="s">
        <v>8593</v>
      </c>
    </row>
    <row r="1972" spans="1:13" ht="13" x14ac:dyDescent="0.15">
      <c r="A1972" s="5" t="str">
        <f>HYPERLINK("https://onemount.atlassian.net/browse/DBA-3145","DBA-3145")</f>
        <v>DBA-3145</v>
      </c>
      <c r="B1972" s="6" t="s">
        <v>21</v>
      </c>
      <c r="C1972" s="6" t="s">
        <v>8594</v>
      </c>
      <c r="D1972" s="8" t="s">
        <v>17</v>
      </c>
      <c r="E1972" s="6" t="s">
        <v>23</v>
      </c>
      <c r="F1972" s="6" t="s">
        <v>31</v>
      </c>
      <c r="G1972" s="6" t="s">
        <v>8595</v>
      </c>
      <c r="H1972" s="10">
        <v>45981</v>
      </c>
      <c r="I1972" s="6" t="s">
        <v>8596</v>
      </c>
      <c r="J1972" s="6" t="s">
        <v>1898</v>
      </c>
      <c r="K1972" s="6" t="s">
        <v>165</v>
      </c>
      <c r="L1972" s="6" t="s">
        <v>1097</v>
      </c>
      <c r="M1972" s="6" t="s">
        <v>8597</v>
      </c>
    </row>
    <row r="1973" spans="1:13" ht="13" x14ac:dyDescent="0.15">
      <c r="A1973" s="5" t="str">
        <f>HYPERLINK("https://onemount.atlassian.net/browse/DBA-3144","DBA-3144")</f>
        <v>DBA-3144</v>
      </c>
      <c r="B1973" s="6" t="s">
        <v>21</v>
      </c>
      <c r="C1973" s="6" t="s">
        <v>8598</v>
      </c>
      <c r="D1973" s="8" t="s">
        <v>17</v>
      </c>
      <c r="E1973" s="6" t="s">
        <v>23</v>
      </c>
      <c r="F1973" s="6" t="s">
        <v>31</v>
      </c>
      <c r="G1973" s="6" t="s">
        <v>8599</v>
      </c>
      <c r="H1973" s="10">
        <v>45981</v>
      </c>
      <c r="I1973" s="6" t="s">
        <v>8600</v>
      </c>
      <c r="J1973" s="6" t="s">
        <v>6218</v>
      </c>
      <c r="K1973" s="6" t="s">
        <v>165</v>
      </c>
      <c r="L1973" s="6" t="s">
        <v>165</v>
      </c>
      <c r="M1973" s="6" t="s">
        <v>8601</v>
      </c>
    </row>
    <row r="1974" spans="1:13" ht="13" x14ac:dyDescent="0.15">
      <c r="A1974" s="5" t="str">
        <f>HYPERLINK("https://onemount.atlassian.net/browse/DBA-3143","DBA-3143")</f>
        <v>DBA-3143</v>
      </c>
      <c r="B1974" s="6" t="s">
        <v>21</v>
      </c>
      <c r="C1974" s="6" t="s">
        <v>8602</v>
      </c>
      <c r="D1974" s="8" t="s">
        <v>17</v>
      </c>
      <c r="E1974" s="6" t="s">
        <v>23</v>
      </c>
      <c r="F1974" s="6" t="s">
        <v>31</v>
      </c>
      <c r="G1974" s="6" t="s">
        <v>8603</v>
      </c>
      <c r="H1974" s="10">
        <v>45981</v>
      </c>
      <c r="I1974" s="6" t="s">
        <v>8604</v>
      </c>
      <c r="J1974" s="6" t="s">
        <v>6218</v>
      </c>
      <c r="K1974" s="6" t="s">
        <v>165</v>
      </c>
      <c r="L1974" s="6" t="s">
        <v>165</v>
      </c>
      <c r="M1974" s="6" t="s">
        <v>8605</v>
      </c>
    </row>
    <row r="1975" spans="1:13" ht="13" x14ac:dyDescent="0.15">
      <c r="A1975" s="5" t="str">
        <f>HYPERLINK("https://onemount.atlassian.net/browse/DBA-3141","DBA-3141")</f>
        <v>DBA-3141</v>
      </c>
      <c r="B1975" s="6" t="s">
        <v>21</v>
      </c>
      <c r="C1975" s="6" t="s">
        <v>8606</v>
      </c>
      <c r="D1975" s="8" t="s">
        <v>17</v>
      </c>
      <c r="E1975" s="6" t="s">
        <v>23</v>
      </c>
      <c r="F1975" s="6" t="s">
        <v>31</v>
      </c>
      <c r="G1975" s="6" t="s">
        <v>8607</v>
      </c>
      <c r="H1975" s="10">
        <v>45980</v>
      </c>
      <c r="I1975" s="6" t="s">
        <v>8608</v>
      </c>
      <c r="J1975" s="6" t="s">
        <v>2153</v>
      </c>
      <c r="K1975" s="6" t="s">
        <v>55</v>
      </c>
      <c r="L1975" s="6" t="s">
        <v>254</v>
      </c>
      <c r="M1975" s="6" t="s">
        <v>8609</v>
      </c>
    </row>
    <row r="1976" spans="1:13" ht="13" x14ac:dyDescent="0.15">
      <c r="A1976" s="5" t="str">
        <f>HYPERLINK("https://onemount.atlassian.net/browse/DBA-3140","DBA-3140")</f>
        <v>DBA-3140</v>
      </c>
      <c r="B1976" s="6" t="s">
        <v>21</v>
      </c>
      <c r="C1976" s="6" t="s">
        <v>8610</v>
      </c>
      <c r="D1976" s="8" t="s">
        <v>17</v>
      </c>
      <c r="E1976" s="6" t="s">
        <v>23</v>
      </c>
      <c r="F1976" s="6" t="s">
        <v>24</v>
      </c>
      <c r="G1976" s="6" t="s">
        <v>8611</v>
      </c>
      <c r="H1976" s="10">
        <v>45979</v>
      </c>
      <c r="I1976" s="6" t="s">
        <v>8612</v>
      </c>
      <c r="J1976" s="6" t="s">
        <v>85</v>
      </c>
      <c r="K1976" s="6" t="s">
        <v>55</v>
      </c>
      <c r="L1976" s="6" t="s">
        <v>85</v>
      </c>
      <c r="M1976" s="6" t="s">
        <v>8613</v>
      </c>
    </row>
    <row r="1977" spans="1:13" ht="13" x14ac:dyDescent="0.15">
      <c r="A1977" s="5" t="str">
        <f>HYPERLINK("https://onemount.atlassian.net/browse/DBA-3139","DBA-3139")</f>
        <v>DBA-3139</v>
      </c>
      <c r="B1977" s="6" t="s">
        <v>21</v>
      </c>
      <c r="C1977" s="6" t="s">
        <v>8614</v>
      </c>
      <c r="D1977" s="8" t="s">
        <v>17</v>
      </c>
      <c r="E1977" s="6" t="s">
        <v>23</v>
      </c>
      <c r="F1977" s="6" t="s">
        <v>24</v>
      </c>
      <c r="G1977" s="6" t="s">
        <v>8615</v>
      </c>
      <c r="H1977" s="10">
        <v>45979</v>
      </c>
      <c r="I1977" s="6" t="s">
        <v>8616</v>
      </c>
      <c r="J1977" s="6" t="s">
        <v>85</v>
      </c>
      <c r="K1977" s="6" t="s">
        <v>55</v>
      </c>
      <c r="L1977" s="6" t="s">
        <v>85</v>
      </c>
      <c r="M1977" s="6" t="s">
        <v>8617</v>
      </c>
    </row>
    <row r="1978" spans="1:13" ht="13" x14ac:dyDescent="0.15">
      <c r="A1978" s="5" t="str">
        <f>HYPERLINK("https://onemount.atlassian.net/browse/DBA-3138","DBA-3138")</f>
        <v>DBA-3138</v>
      </c>
      <c r="B1978" s="6" t="s">
        <v>21</v>
      </c>
      <c r="C1978" s="6" t="s">
        <v>8558</v>
      </c>
      <c r="D1978" s="8" t="s">
        <v>17</v>
      </c>
      <c r="E1978" s="6" t="s">
        <v>23</v>
      </c>
      <c r="F1978" s="6" t="s">
        <v>41</v>
      </c>
      <c r="G1978" s="6" t="s">
        <v>8618</v>
      </c>
      <c r="H1978" s="10">
        <v>45979</v>
      </c>
      <c r="I1978" s="6" t="s">
        <v>8619</v>
      </c>
      <c r="J1978" s="6" t="s">
        <v>28</v>
      </c>
      <c r="K1978" s="6" t="s">
        <v>28</v>
      </c>
      <c r="L1978" s="6" t="s">
        <v>28</v>
      </c>
      <c r="M1978" s="6" t="s">
        <v>8620</v>
      </c>
    </row>
    <row r="1979" spans="1:13" ht="13" x14ac:dyDescent="0.15">
      <c r="A1979" s="5" t="str">
        <f>HYPERLINK("https://onemount.atlassian.net/browse/DBA-3137","DBA-3137")</f>
        <v>DBA-3137</v>
      </c>
      <c r="B1979" s="6" t="s">
        <v>21</v>
      </c>
      <c r="C1979" s="6" t="s">
        <v>8621</v>
      </c>
      <c r="D1979" s="8" t="s">
        <v>17</v>
      </c>
      <c r="E1979" s="6" t="s">
        <v>23</v>
      </c>
      <c r="F1979" s="6" t="s">
        <v>24</v>
      </c>
      <c r="G1979" s="6" t="s">
        <v>8622</v>
      </c>
      <c r="H1979" s="10">
        <v>46022</v>
      </c>
      <c r="I1979" s="6" t="s">
        <v>8623</v>
      </c>
      <c r="J1979" s="6" t="s">
        <v>4792</v>
      </c>
      <c r="K1979" s="6" t="s">
        <v>55</v>
      </c>
      <c r="L1979" s="6" t="s">
        <v>270</v>
      </c>
      <c r="M1979" s="6" t="s">
        <v>8624</v>
      </c>
    </row>
    <row r="1980" spans="1:13" ht="13" x14ac:dyDescent="0.15">
      <c r="A1980" s="5" t="str">
        <f>HYPERLINK("https://onemount.atlassian.net/browse/DBA-3136","DBA-3136")</f>
        <v>DBA-3136</v>
      </c>
      <c r="B1980" s="6" t="s">
        <v>21</v>
      </c>
      <c r="C1980" s="6" t="s">
        <v>8625</v>
      </c>
      <c r="D1980" s="8" t="s">
        <v>17</v>
      </c>
      <c r="E1980" s="6" t="s">
        <v>23</v>
      </c>
      <c r="F1980" s="6" t="s">
        <v>41</v>
      </c>
      <c r="G1980" s="6" t="s">
        <v>8626</v>
      </c>
      <c r="H1980" s="10">
        <v>45979</v>
      </c>
      <c r="I1980" s="6" t="s">
        <v>8627</v>
      </c>
      <c r="J1980" s="6" t="s">
        <v>201</v>
      </c>
      <c r="K1980" s="6" t="s">
        <v>46</v>
      </c>
      <c r="L1980" s="6" t="s">
        <v>201</v>
      </c>
      <c r="M1980" s="6" t="s">
        <v>8628</v>
      </c>
    </row>
    <row r="1981" spans="1:13" ht="13" x14ac:dyDescent="0.15">
      <c r="A1981" s="5" t="str">
        <f>HYPERLINK("https://onemount.atlassian.net/browse/DBA-3135","DBA-3135")</f>
        <v>DBA-3135</v>
      </c>
      <c r="B1981" s="6" t="s">
        <v>21</v>
      </c>
      <c r="C1981" s="6" t="s">
        <v>8629</v>
      </c>
      <c r="D1981" s="8" t="s">
        <v>17</v>
      </c>
      <c r="E1981" s="6" t="s">
        <v>23</v>
      </c>
      <c r="F1981" s="6" t="s">
        <v>24</v>
      </c>
      <c r="G1981" s="6" t="s">
        <v>8630</v>
      </c>
      <c r="H1981" s="10">
        <v>45979</v>
      </c>
      <c r="I1981" s="6" t="s">
        <v>8631</v>
      </c>
      <c r="J1981" s="6" t="s">
        <v>165</v>
      </c>
      <c r="K1981" s="6" t="s">
        <v>165</v>
      </c>
      <c r="L1981" s="6" t="s">
        <v>165</v>
      </c>
      <c r="M1981" s="6" t="s">
        <v>8632</v>
      </c>
    </row>
    <row r="1982" spans="1:13" ht="13" x14ac:dyDescent="0.15">
      <c r="A1982" s="5" t="str">
        <f>HYPERLINK("https://onemount.atlassian.net/browse/DBA-3134","DBA-3134")</f>
        <v>DBA-3134</v>
      </c>
      <c r="B1982" s="6" t="s">
        <v>21</v>
      </c>
      <c r="C1982" s="6" t="s">
        <v>8633</v>
      </c>
      <c r="D1982" s="8" t="s">
        <v>17</v>
      </c>
      <c r="E1982" s="6" t="s">
        <v>23</v>
      </c>
      <c r="F1982" s="6" t="s">
        <v>31</v>
      </c>
      <c r="G1982" s="6" t="s">
        <v>8634</v>
      </c>
      <c r="H1982" s="10">
        <v>45979</v>
      </c>
      <c r="I1982" s="6" t="s">
        <v>8635</v>
      </c>
      <c r="J1982" s="6" t="s">
        <v>85</v>
      </c>
      <c r="K1982" s="6" t="s">
        <v>55</v>
      </c>
      <c r="L1982" s="6" t="s">
        <v>85</v>
      </c>
      <c r="M1982" s="6" t="s">
        <v>8636</v>
      </c>
    </row>
    <row r="1983" spans="1:13" ht="13" x14ac:dyDescent="0.15">
      <c r="A1983" s="5" t="str">
        <f>HYPERLINK("https://onemount.atlassian.net/browse/DBA-3133","DBA-3133")</f>
        <v>DBA-3133</v>
      </c>
      <c r="B1983" s="6" t="s">
        <v>21</v>
      </c>
      <c r="C1983" s="6" t="s">
        <v>8637</v>
      </c>
      <c r="D1983" s="8" t="s">
        <v>17</v>
      </c>
      <c r="E1983" s="6" t="s">
        <v>23</v>
      </c>
      <c r="F1983" s="6" t="s">
        <v>31</v>
      </c>
      <c r="G1983" s="6" t="s">
        <v>8638</v>
      </c>
      <c r="H1983" s="10">
        <v>45978</v>
      </c>
      <c r="I1983" s="6" t="s">
        <v>8639</v>
      </c>
      <c r="J1983" s="6" t="s">
        <v>181</v>
      </c>
      <c r="K1983" s="6" t="s">
        <v>35</v>
      </c>
      <c r="L1983" s="6" t="s">
        <v>181</v>
      </c>
      <c r="M1983" s="6" t="s">
        <v>8640</v>
      </c>
    </row>
    <row r="1984" spans="1:13" ht="13" x14ac:dyDescent="0.15">
      <c r="A1984" s="5" t="str">
        <f>HYPERLINK("https://onemount.atlassian.net/browse/DBA-3132","DBA-3132")</f>
        <v>DBA-3132</v>
      </c>
      <c r="B1984" s="6" t="s">
        <v>21</v>
      </c>
      <c r="C1984" s="6" t="s">
        <v>8355</v>
      </c>
      <c r="D1984" s="8" t="s">
        <v>17</v>
      </c>
      <c r="E1984" s="6" t="s">
        <v>23</v>
      </c>
      <c r="F1984" s="6" t="s">
        <v>41</v>
      </c>
      <c r="G1984" s="6" t="s">
        <v>8641</v>
      </c>
      <c r="H1984" s="10">
        <v>45982</v>
      </c>
      <c r="I1984" s="6" t="s">
        <v>8642</v>
      </c>
      <c r="J1984" s="6" t="s">
        <v>913</v>
      </c>
      <c r="K1984" s="6" t="s">
        <v>165</v>
      </c>
      <c r="L1984" s="6" t="s">
        <v>288</v>
      </c>
      <c r="M1984" s="6" t="s">
        <v>8643</v>
      </c>
    </row>
    <row r="1985" spans="1:13" ht="13" x14ac:dyDescent="0.15">
      <c r="A1985" s="5" t="str">
        <f>HYPERLINK("https://onemount.atlassian.net/browse/DBA-3131","DBA-3131")</f>
        <v>DBA-3131</v>
      </c>
      <c r="B1985" s="6" t="s">
        <v>21</v>
      </c>
      <c r="C1985" s="6" t="s">
        <v>8644</v>
      </c>
      <c r="D1985" s="8" t="s">
        <v>17</v>
      </c>
      <c r="E1985" s="6" t="s">
        <v>23</v>
      </c>
      <c r="F1985" s="6" t="s">
        <v>24</v>
      </c>
      <c r="G1985" s="6" t="s">
        <v>8645</v>
      </c>
      <c r="H1985" s="10">
        <v>45985</v>
      </c>
      <c r="I1985" s="6" t="s">
        <v>8646</v>
      </c>
      <c r="J1985" s="6" t="s">
        <v>4792</v>
      </c>
      <c r="K1985" s="6" t="s">
        <v>55</v>
      </c>
      <c r="L1985" s="6" t="s">
        <v>270</v>
      </c>
      <c r="M1985" s="6" t="s">
        <v>8647</v>
      </c>
    </row>
    <row r="1986" spans="1:13" ht="13" x14ac:dyDescent="0.15">
      <c r="A1986" s="5" t="str">
        <f>HYPERLINK("https://onemount.atlassian.net/browse/DBA-3130","DBA-3130")</f>
        <v>DBA-3130</v>
      </c>
      <c r="B1986" s="6" t="s">
        <v>21</v>
      </c>
      <c r="C1986" s="6" t="s">
        <v>8648</v>
      </c>
      <c r="D1986" s="8" t="s">
        <v>17</v>
      </c>
      <c r="E1986" s="6" t="s">
        <v>23</v>
      </c>
      <c r="F1986" s="6" t="s">
        <v>24</v>
      </c>
      <c r="G1986" s="6" t="s">
        <v>8649</v>
      </c>
      <c r="H1986" s="10">
        <v>45979</v>
      </c>
      <c r="I1986" s="6" t="s">
        <v>8650</v>
      </c>
      <c r="J1986" s="6" t="s">
        <v>4792</v>
      </c>
      <c r="K1986" s="6" t="s">
        <v>55</v>
      </c>
      <c r="L1986" s="6" t="s">
        <v>270</v>
      </c>
      <c r="M1986" s="6" t="s">
        <v>8651</v>
      </c>
    </row>
    <row r="1987" spans="1:13" ht="13" x14ac:dyDescent="0.15">
      <c r="A1987" s="5" t="str">
        <f>HYPERLINK("https://onemount.atlassian.net/browse/DBA-3129","DBA-3129")</f>
        <v>DBA-3129</v>
      </c>
      <c r="B1987" s="6" t="s">
        <v>21</v>
      </c>
      <c r="C1987" s="6" t="s">
        <v>4105</v>
      </c>
      <c r="D1987" s="8" t="s">
        <v>17</v>
      </c>
      <c r="E1987" s="6" t="s">
        <v>23</v>
      </c>
      <c r="F1987" s="6" t="s">
        <v>24</v>
      </c>
      <c r="G1987" s="6" t="s">
        <v>8652</v>
      </c>
      <c r="H1987" s="10">
        <v>45982</v>
      </c>
      <c r="I1987" s="6" t="s">
        <v>8653</v>
      </c>
      <c r="J1987" s="6" t="s">
        <v>1107</v>
      </c>
      <c r="K1987" s="6" t="s">
        <v>28</v>
      </c>
      <c r="L1987" s="6" t="s">
        <v>1107</v>
      </c>
      <c r="M1987" s="6" t="s">
        <v>8654</v>
      </c>
    </row>
    <row r="1988" spans="1:13" ht="13" x14ac:dyDescent="0.15">
      <c r="A1988" s="5" t="str">
        <f>HYPERLINK("https://onemount.atlassian.net/browse/DBA-3128","DBA-3128")</f>
        <v>DBA-3128</v>
      </c>
      <c r="B1988" s="6" t="s">
        <v>21</v>
      </c>
      <c r="C1988" s="6" t="s">
        <v>8655</v>
      </c>
      <c r="D1988" s="8" t="s">
        <v>17</v>
      </c>
      <c r="E1988" s="6" t="s">
        <v>23</v>
      </c>
      <c r="F1988" s="6" t="s">
        <v>24</v>
      </c>
      <c r="G1988" s="6" t="s">
        <v>8656</v>
      </c>
      <c r="H1988" s="10">
        <v>45979</v>
      </c>
      <c r="I1988" s="6" t="s">
        <v>8657</v>
      </c>
      <c r="J1988" s="6" t="s">
        <v>4979</v>
      </c>
      <c r="K1988" s="6" t="s">
        <v>46</v>
      </c>
      <c r="L1988" s="6" t="s">
        <v>505</v>
      </c>
      <c r="M1988" s="6" t="s">
        <v>8658</v>
      </c>
    </row>
    <row r="1989" spans="1:13" ht="13" x14ac:dyDescent="0.15">
      <c r="A1989" s="5" t="str">
        <f>HYPERLINK("https://onemount.atlassian.net/browse/DBA-3127","DBA-3127")</f>
        <v>DBA-3127</v>
      </c>
      <c r="B1989" s="6" t="s">
        <v>21</v>
      </c>
      <c r="C1989" s="6" t="s">
        <v>8659</v>
      </c>
      <c r="D1989" s="8" t="s">
        <v>17</v>
      </c>
      <c r="E1989" s="6" t="s">
        <v>23</v>
      </c>
      <c r="F1989" s="6" t="s">
        <v>31</v>
      </c>
      <c r="G1989" s="6" t="s">
        <v>8660</v>
      </c>
      <c r="H1989" s="10">
        <v>45978</v>
      </c>
      <c r="I1989" s="6" t="s">
        <v>8661</v>
      </c>
      <c r="J1989" s="6" t="s">
        <v>478</v>
      </c>
      <c r="K1989" s="6" t="s">
        <v>35</v>
      </c>
      <c r="L1989" s="6" t="s">
        <v>129</v>
      </c>
      <c r="M1989" s="6" t="s">
        <v>8662</v>
      </c>
    </row>
    <row r="1990" spans="1:13" ht="13" x14ac:dyDescent="0.15">
      <c r="A1990" s="5" t="str">
        <f>HYPERLINK("https://onemount.atlassian.net/browse/DBA-3126","DBA-3126")</f>
        <v>DBA-3126</v>
      </c>
      <c r="B1990" s="6" t="s">
        <v>21</v>
      </c>
      <c r="C1990" s="6" t="s">
        <v>8663</v>
      </c>
      <c r="D1990" s="8" t="s">
        <v>17</v>
      </c>
      <c r="E1990" s="6" t="s">
        <v>23</v>
      </c>
      <c r="F1990" s="6" t="s">
        <v>31</v>
      </c>
      <c r="G1990" s="6" t="s">
        <v>8664</v>
      </c>
      <c r="H1990" s="10">
        <v>45978</v>
      </c>
      <c r="I1990" s="6" t="s">
        <v>8665</v>
      </c>
      <c r="J1990" s="6" t="s">
        <v>34</v>
      </c>
      <c r="K1990" s="6" t="s">
        <v>35</v>
      </c>
      <c r="L1990" s="6" t="s">
        <v>36</v>
      </c>
      <c r="M1990" s="6" t="s">
        <v>8666</v>
      </c>
    </row>
    <row r="1991" spans="1:13" ht="13" x14ac:dyDescent="0.15">
      <c r="A1991" s="5" t="str">
        <f>HYPERLINK("https://onemount.atlassian.net/browse/DBA-3123","DBA-3123")</f>
        <v>DBA-3123</v>
      </c>
      <c r="B1991" s="6" t="s">
        <v>21</v>
      </c>
      <c r="C1991" s="6" t="s">
        <v>8667</v>
      </c>
      <c r="D1991" s="8" t="s">
        <v>17</v>
      </c>
      <c r="E1991" s="6" t="s">
        <v>23</v>
      </c>
      <c r="F1991" s="6" t="s">
        <v>24</v>
      </c>
      <c r="G1991" s="6" t="s">
        <v>8668</v>
      </c>
      <c r="H1991" s="10">
        <v>45977</v>
      </c>
      <c r="I1991" s="6" t="s">
        <v>8669</v>
      </c>
      <c r="J1991" s="6" t="s">
        <v>49</v>
      </c>
      <c r="K1991" s="6" t="s">
        <v>38</v>
      </c>
      <c r="L1991" s="6" t="s">
        <v>49</v>
      </c>
      <c r="M1991" s="6" t="s">
        <v>8670</v>
      </c>
    </row>
    <row r="1992" spans="1:13" ht="13" x14ac:dyDescent="0.15">
      <c r="A1992" s="5" t="str">
        <f>HYPERLINK("https://onemount.atlassian.net/browse/DBA-3122","DBA-3122")</f>
        <v>DBA-3122</v>
      </c>
      <c r="B1992" s="6" t="s">
        <v>21</v>
      </c>
      <c r="C1992" s="6" t="s">
        <v>8671</v>
      </c>
      <c r="D1992" s="8" t="s">
        <v>17</v>
      </c>
      <c r="E1992" s="6" t="s">
        <v>23</v>
      </c>
      <c r="F1992" s="6" t="s">
        <v>31</v>
      </c>
      <c r="G1992" s="6" t="s">
        <v>8672</v>
      </c>
      <c r="H1992" s="10">
        <v>45977</v>
      </c>
      <c r="I1992" s="6" t="s">
        <v>8673</v>
      </c>
      <c r="J1992" s="6" t="s">
        <v>628</v>
      </c>
      <c r="K1992" s="6" t="s">
        <v>165</v>
      </c>
      <c r="L1992" s="6" t="s">
        <v>119</v>
      </c>
      <c r="M1992" s="6" t="s">
        <v>8674</v>
      </c>
    </row>
    <row r="1993" spans="1:13" ht="13" x14ac:dyDescent="0.15">
      <c r="A1993" s="5" t="str">
        <f>HYPERLINK("https://onemount.atlassian.net/browse/DBA-3120","DBA-3120")</f>
        <v>DBA-3120</v>
      </c>
      <c r="B1993" s="6" t="s">
        <v>21</v>
      </c>
      <c r="C1993" s="6" t="s">
        <v>8587</v>
      </c>
      <c r="D1993" s="8" t="s">
        <v>17</v>
      </c>
      <c r="E1993" s="6" t="s">
        <v>23</v>
      </c>
      <c r="F1993" s="6" t="s">
        <v>31</v>
      </c>
      <c r="G1993" s="6" t="s">
        <v>8675</v>
      </c>
      <c r="H1993" s="10">
        <v>45977</v>
      </c>
      <c r="I1993" s="6" t="s">
        <v>8676</v>
      </c>
      <c r="J1993" s="6" t="s">
        <v>843</v>
      </c>
      <c r="K1993" s="6" t="s">
        <v>55</v>
      </c>
      <c r="L1993" s="6" t="s">
        <v>843</v>
      </c>
      <c r="M1993" s="6" t="s">
        <v>8677</v>
      </c>
    </row>
    <row r="1994" spans="1:13" ht="13" x14ac:dyDescent="0.15">
      <c r="A1994" s="5" t="str">
        <f>HYPERLINK("https://onemount.atlassian.net/browse/DBA-3119","DBA-3119")</f>
        <v>DBA-3119</v>
      </c>
      <c r="B1994" s="6" t="s">
        <v>21</v>
      </c>
      <c r="C1994" s="6" t="s">
        <v>8499</v>
      </c>
      <c r="D1994" s="8" t="s">
        <v>17</v>
      </c>
      <c r="E1994" s="6" t="s">
        <v>23</v>
      </c>
      <c r="F1994" s="6" t="s">
        <v>24</v>
      </c>
      <c r="G1994" s="6" t="s">
        <v>8678</v>
      </c>
      <c r="H1994" s="10">
        <v>45976</v>
      </c>
      <c r="I1994" s="6" t="s">
        <v>8679</v>
      </c>
      <c r="J1994" s="6" t="s">
        <v>55</v>
      </c>
      <c r="K1994" s="6" t="s">
        <v>55</v>
      </c>
      <c r="L1994" s="6" t="s">
        <v>956</v>
      </c>
      <c r="M1994" s="6" t="s">
        <v>8680</v>
      </c>
    </row>
    <row r="1995" spans="1:13" ht="13" x14ac:dyDescent="0.15">
      <c r="A1995" s="5" t="str">
        <f>HYPERLINK("https://onemount.atlassian.net/browse/DBA-3118","DBA-3118")</f>
        <v>DBA-3118</v>
      </c>
      <c r="B1995" s="6" t="s">
        <v>21</v>
      </c>
      <c r="C1995" s="6" t="s">
        <v>8681</v>
      </c>
      <c r="D1995" s="8" t="s">
        <v>17</v>
      </c>
      <c r="E1995" s="6" t="s">
        <v>23</v>
      </c>
      <c r="F1995" s="6" t="s">
        <v>24</v>
      </c>
      <c r="G1995" s="6" t="s">
        <v>8682</v>
      </c>
      <c r="H1995" s="10">
        <v>45979</v>
      </c>
      <c r="I1995" s="6" t="s">
        <v>8683</v>
      </c>
      <c r="J1995" s="6" t="s">
        <v>1224</v>
      </c>
      <c r="K1995" s="6" t="s">
        <v>35</v>
      </c>
      <c r="L1995" s="6" t="s">
        <v>1224</v>
      </c>
      <c r="M1995" s="6" t="s">
        <v>8684</v>
      </c>
    </row>
    <row r="1996" spans="1:13" ht="13" x14ac:dyDescent="0.15">
      <c r="A1996" s="5" t="str">
        <f>HYPERLINK("https://onemount.atlassian.net/browse/DBA-3117","DBA-3117")</f>
        <v>DBA-3117</v>
      </c>
      <c r="B1996" s="6" t="s">
        <v>21</v>
      </c>
      <c r="C1996" s="6" t="s">
        <v>8685</v>
      </c>
      <c r="D1996" s="8" t="s">
        <v>17</v>
      </c>
      <c r="E1996" s="6" t="s">
        <v>23</v>
      </c>
      <c r="F1996" s="6" t="s">
        <v>24</v>
      </c>
      <c r="G1996" s="6" t="s">
        <v>8686</v>
      </c>
      <c r="H1996" s="10">
        <v>45979</v>
      </c>
      <c r="I1996" s="6" t="s">
        <v>8687</v>
      </c>
      <c r="J1996" s="6" t="s">
        <v>55</v>
      </c>
      <c r="K1996" s="6" t="s">
        <v>55</v>
      </c>
      <c r="L1996" s="6" t="s">
        <v>55</v>
      </c>
      <c r="M1996" s="6" t="s">
        <v>8688</v>
      </c>
    </row>
    <row r="1997" spans="1:13" ht="13" x14ac:dyDescent="0.15">
      <c r="A1997" s="5" t="str">
        <f>HYPERLINK("https://onemount.atlassian.net/browse/DBA-3116","DBA-3116")</f>
        <v>DBA-3116</v>
      </c>
      <c r="B1997" s="6" t="s">
        <v>21</v>
      </c>
      <c r="C1997" s="6" t="s">
        <v>8689</v>
      </c>
      <c r="D1997" s="8" t="s">
        <v>17</v>
      </c>
      <c r="E1997" s="6" t="s">
        <v>23</v>
      </c>
      <c r="F1997" s="6" t="s">
        <v>31</v>
      </c>
      <c r="G1997" s="6" t="s">
        <v>8690</v>
      </c>
      <c r="H1997" s="10">
        <v>45976</v>
      </c>
      <c r="I1997" s="6" t="s">
        <v>8691</v>
      </c>
      <c r="J1997" s="6" t="s">
        <v>46</v>
      </c>
      <c r="K1997" s="6" t="s">
        <v>46</v>
      </c>
      <c r="L1997" s="6" t="s">
        <v>46</v>
      </c>
      <c r="M1997" s="6" t="s">
        <v>8692</v>
      </c>
    </row>
    <row r="1998" spans="1:13" ht="13" x14ac:dyDescent="0.15">
      <c r="A1998" s="5" t="str">
        <f>HYPERLINK("https://onemount.atlassian.net/browse/DBA-3113","DBA-3113")</f>
        <v>DBA-3113</v>
      </c>
      <c r="B1998" s="6" t="s">
        <v>21</v>
      </c>
      <c r="C1998" s="6" t="s">
        <v>8693</v>
      </c>
      <c r="D1998" s="8" t="s">
        <v>17</v>
      </c>
      <c r="E1998" s="6" t="s">
        <v>23</v>
      </c>
      <c r="F1998" s="6" t="s">
        <v>24</v>
      </c>
      <c r="G1998" s="6" t="s">
        <v>8694</v>
      </c>
      <c r="H1998" s="10">
        <v>45979</v>
      </c>
      <c r="I1998" s="6" t="s">
        <v>8695</v>
      </c>
      <c r="J1998" s="6" t="s">
        <v>8696</v>
      </c>
      <c r="K1998" s="6" t="s">
        <v>59</v>
      </c>
      <c r="L1998" s="6" t="s">
        <v>88</v>
      </c>
      <c r="M1998" s="6" t="s">
        <v>8697</v>
      </c>
    </row>
    <row r="1999" spans="1:13" ht="13" x14ac:dyDescent="0.15">
      <c r="A1999" s="21" t="str">
        <f>HYPERLINK("https://onemount.atlassian.net/browse/DBA-3112","DBA-3112")</f>
        <v>DBA-3112</v>
      </c>
      <c r="B1999" s="6" t="s">
        <v>21</v>
      </c>
      <c r="C1999" s="6" t="s">
        <v>8698</v>
      </c>
      <c r="D1999" s="8" t="s">
        <v>17</v>
      </c>
      <c r="E1999" s="6" t="s">
        <v>23</v>
      </c>
      <c r="F1999" s="6" t="s">
        <v>31</v>
      </c>
      <c r="G1999" s="6" t="s">
        <v>8699</v>
      </c>
      <c r="H1999" s="10">
        <v>45975</v>
      </c>
      <c r="I1999" s="6" t="s">
        <v>8700</v>
      </c>
      <c r="J1999" s="6" t="s">
        <v>715</v>
      </c>
      <c r="K1999" s="6" t="s">
        <v>55</v>
      </c>
      <c r="L1999" s="6" t="s">
        <v>715</v>
      </c>
      <c r="M1999" s="6" t="s">
        <v>8701</v>
      </c>
    </row>
    <row r="2000" spans="1:13" ht="13" x14ac:dyDescent="0.15">
      <c r="A2000" s="5" t="str">
        <f>HYPERLINK("https://onemount.atlassian.net/browse/DBA-3110","DBA-3110")</f>
        <v>DBA-3110</v>
      </c>
      <c r="B2000" s="6" t="s">
        <v>21</v>
      </c>
      <c r="C2000" s="6" t="s">
        <v>8702</v>
      </c>
      <c r="D2000" s="8" t="s">
        <v>17</v>
      </c>
      <c r="E2000" s="6" t="s">
        <v>23</v>
      </c>
      <c r="F2000" s="6" t="s">
        <v>41</v>
      </c>
      <c r="G2000" s="6" t="s">
        <v>8703</v>
      </c>
      <c r="H2000" s="10">
        <v>45975</v>
      </c>
      <c r="I2000" s="6" t="s">
        <v>8704</v>
      </c>
      <c r="J2000" s="6" t="s">
        <v>6269</v>
      </c>
      <c r="K2000" s="6" t="s">
        <v>28</v>
      </c>
      <c r="L2000" s="6" t="s">
        <v>1000</v>
      </c>
      <c r="M2000" s="6" t="s">
        <v>8705</v>
      </c>
    </row>
    <row r="2001" spans="1:13" ht="13" x14ac:dyDescent="0.15">
      <c r="A2001" s="5" t="str">
        <f>HYPERLINK("https://onemount.atlassian.net/browse/DBA-3109","DBA-3109")</f>
        <v>DBA-3109</v>
      </c>
      <c r="B2001" s="6" t="s">
        <v>21</v>
      </c>
      <c r="C2001" s="6" t="s">
        <v>8706</v>
      </c>
      <c r="D2001" s="8" t="s">
        <v>17</v>
      </c>
      <c r="E2001" s="6" t="s">
        <v>23</v>
      </c>
      <c r="F2001" s="6" t="s">
        <v>41</v>
      </c>
      <c r="G2001" s="6" t="s">
        <v>8707</v>
      </c>
      <c r="H2001" s="10">
        <v>45976</v>
      </c>
      <c r="I2001" s="6" t="s">
        <v>8708</v>
      </c>
      <c r="J2001" s="6" t="s">
        <v>27</v>
      </c>
      <c r="K2001" s="6" t="s">
        <v>28</v>
      </c>
      <c r="L2001" s="6" t="s">
        <v>27</v>
      </c>
      <c r="M2001" s="6" t="s">
        <v>8709</v>
      </c>
    </row>
    <row r="2002" spans="1:13" ht="13" x14ac:dyDescent="0.15">
      <c r="A2002" s="5" t="str">
        <f>HYPERLINK("https://onemount.atlassian.net/browse/DBA-3108","DBA-3108")</f>
        <v>DBA-3108</v>
      </c>
      <c r="B2002" s="6" t="s">
        <v>21</v>
      </c>
      <c r="C2002" s="6" t="s">
        <v>8710</v>
      </c>
      <c r="D2002" s="8" t="s">
        <v>17</v>
      </c>
      <c r="E2002" s="6" t="s">
        <v>23</v>
      </c>
      <c r="F2002" s="6" t="s">
        <v>87</v>
      </c>
      <c r="G2002" s="6" t="s">
        <v>8711</v>
      </c>
      <c r="H2002" s="10">
        <v>45979</v>
      </c>
      <c r="I2002" s="6" t="s">
        <v>8712</v>
      </c>
      <c r="J2002" s="6" t="s">
        <v>1091</v>
      </c>
      <c r="K2002" s="6" t="s">
        <v>165</v>
      </c>
      <c r="L2002" s="6" t="s">
        <v>1091</v>
      </c>
      <c r="M2002" s="6" t="s">
        <v>8713</v>
      </c>
    </row>
    <row r="2003" spans="1:13" ht="13" x14ac:dyDescent="0.15">
      <c r="A2003" s="5" t="str">
        <f>HYPERLINK("https://onemount.atlassian.net/browse/DBA-3107","DBA-3107")</f>
        <v>DBA-3107</v>
      </c>
      <c r="B2003" s="6" t="s">
        <v>21</v>
      </c>
      <c r="C2003" s="6" t="s">
        <v>8714</v>
      </c>
      <c r="D2003" s="8" t="s">
        <v>17</v>
      </c>
      <c r="E2003" s="6" t="s">
        <v>23</v>
      </c>
      <c r="F2003" s="6" t="s">
        <v>31</v>
      </c>
      <c r="G2003" s="6" t="s">
        <v>8715</v>
      </c>
      <c r="H2003" s="10">
        <v>45976</v>
      </c>
      <c r="I2003" s="6" t="s">
        <v>8716</v>
      </c>
      <c r="J2003" s="6" t="s">
        <v>374</v>
      </c>
      <c r="K2003" s="6" t="s">
        <v>35</v>
      </c>
      <c r="L2003" s="6" t="s">
        <v>374</v>
      </c>
      <c r="M2003" s="6" t="s">
        <v>8717</v>
      </c>
    </row>
    <row r="2004" spans="1:13" ht="13" x14ac:dyDescent="0.15">
      <c r="A2004" s="5" t="str">
        <f>HYPERLINK("https://onemount.atlassian.net/browse/DBA-3106","DBA-3106")</f>
        <v>DBA-3106</v>
      </c>
      <c r="B2004" s="6" t="s">
        <v>21</v>
      </c>
      <c r="C2004" s="6" t="s">
        <v>8718</v>
      </c>
      <c r="D2004" s="8" t="s">
        <v>17</v>
      </c>
      <c r="E2004" s="6" t="s">
        <v>23</v>
      </c>
      <c r="F2004" s="6" t="s">
        <v>31</v>
      </c>
      <c r="G2004" s="6" t="s">
        <v>8719</v>
      </c>
      <c r="H2004" s="10">
        <v>45976</v>
      </c>
      <c r="I2004" s="6" t="s">
        <v>8720</v>
      </c>
      <c r="J2004" s="6" t="s">
        <v>181</v>
      </c>
      <c r="K2004" s="6" t="s">
        <v>35</v>
      </c>
      <c r="L2004" s="6" t="s">
        <v>181</v>
      </c>
      <c r="M2004" s="6" t="s">
        <v>8721</v>
      </c>
    </row>
    <row r="2005" spans="1:13" ht="13" x14ac:dyDescent="0.15">
      <c r="A2005" s="5" t="str">
        <f>HYPERLINK("https://onemount.atlassian.net/browse/DBA-3105","DBA-3105")</f>
        <v>DBA-3105</v>
      </c>
      <c r="B2005" s="6" t="s">
        <v>21</v>
      </c>
      <c r="C2005" s="6" t="s">
        <v>8722</v>
      </c>
      <c r="D2005" s="8" t="s">
        <v>17</v>
      </c>
      <c r="E2005" s="6" t="s">
        <v>23</v>
      </c>
      <c r="F2005" s="6" t="s">
        <v>31</v>
      </c>
      <c r="G2005" s="6" t="s">
        <v>8723</v>
      </c>
      <c r="H2005" s="10">
        <v>45974</v>
      </c>
      <c r="I2005" s="6" t="s">
        <v>8724</v>
      </c>
      <c r="J2005" s="6" t="s">
        <v>913</v>
      </c>
      <c r="K2005" s="6" t="s">
        <v>165</v>
      </c>
      <c r="L2005" s="6" t="s">
        <v>288</v>
      </c>
      <c r="M2005" s="6" t="s">
        <v>8725</v>
      </c>
    </row>
    <row r="2006" spans="1:13" ht="13" x14ac:dyDescent="0.15">
      <c r="A2006" s="5" t="str">
        <f>HYPERLINK("https://onemount.atlassian.net/browse/DBA-3104","DBA-3104")</f>
        <v>DBA-3104</v>
      </c>
      <c r="B2006" s="6" t="s">
        <v>21</v>
      </c>
      <c r="C2006" s="6" t="s">
        <v>8726</v>
      </c>
      <c r="D2006" s="8" t="s">
        <v>17</v>
      </c>
      <c r="E2006" s="6" t="s">
        <v>23</v>
      </c>
      <c r="F2006" s="6" t="s">
        <v>31</v>
      </c>
      <c r="G2006" s="6" t="s">
        <v>8727</v>
      </c>
      <c r="H2006" s="10">
        <v>45975</v>
      </c>
      <c r="I2006" s="6" t="s">
        <v>8728</v>
      </c>
      <c r="J2006" s="6" t="s">
        <v>463</v>
      </c>
      <c r="K2006" s="6" t="s">
        <v>55</v>
      </c>
      <c r="L2006" s="6" t="s">
        <v>254</v>
      </c>
      <c r="M2006" s="6" t="s">
        <v>8729</v>
      </c>
    </row>
    <row r="2007" spans="1:13" ht="13" x14ac:dyDescent="0.15">
      <c r="A2007" s="5" t="str">
        <f>HYPERLINK("https://onemount.atlassian.net/browse/DBA-3103","DBA-3103")</f>
        <v>DBA-3103</v>
      </c>
      <c r="B2007" s="6" t="s">
        <v>21</v>
      </c>
      <c r="C2007" s="6" t="s">
        <v>8730</v>
      </c>
      <c r="D2007" s="8" t="s">
        <v>17</v>
      </c>
      <c r="E2007" s="6" t="s">
        <v>23</v>
      </c>
      <c r="F2007" s="6" t="s">
        <v>24</v>
      </c>
      <c r="G2007" s="6" t="s">
        <v>8731</v>
      </c>
      <c r="H2007" s="10">
        <v>45974</v>
      </c>
      <c r="I2007" s="6" t="s">
        <v>8732</v>
      </c>
      <c r="J2007" s="6" t="s">
        <v>1898</v>
      </c>
      <c r="K2007" s="6" t="s">
        <v>165</v>
      </c>
      <c r="L2007" s="6" t="s">
        <v>1097</v>
      </c>
      <c r="M2007" s="6" t="s">
        <v>8733</v>
      </c>
    </row>
    <row r="2008" spans="1:13" ht="13" x14ac:dyDescent="0.15">
      <c r="A2008" s="5" t="str">
        <f>HYPERLINK("https://onemount.atlassian.net/browse/DBA-3101","DBA-3101")</f>
        <v>DBA-3101</v>
      </c>
      <c r="B2008" s="23" t="str">
        <f>HYPERLINK("https://onemount.atlassian.net/browse/DBA-2062","DBA-2062")</f>
        <v>DBA-2062</v>
      </c>
      <c r="C2008" s="6" t="s">
        <v>8734</v>
      </c>
      <c r="D2008" s="8" t="s">
        <v>17</v>
      </c>
      <c r="E2008" s="6" t="s">
        <v>428</v>
      </c>
      <c r="F2008" s="6" t="s">
        <v>24</v>
      </c>
      <c r="G2008" s="6" t="s">
        <v>8735</v>
      </c>
      <c r="H2008" s="10">
        <v>45975</v>
      </c>
      <c r="I2008" s="6" t="s">
        <v>8736</v>
      </c>
      <c r="J2008" s="6" t="s">
        <v>8737</v>
      </c>
      <c r="K2008" s="6" t="s">
        <v>55</v>
      </c>
      <c r="L2008" s="6" t="s">
        <v>778</v>
      </c>
      <c r="M2008" s="6" t="s">
        <v>8738</v>
      </c>
    </row>
    <row r="2009" spans="1:13" ht="13" x14ac:dyDescent="0.15">
      <c r="A2009" s="5" t="str">
        <f>HYPERLINK("https://onemount.atlassian.net/browse/DBA-3100","DBA-3100")</f>
        <v>DBA-3100</v>
      </c>
      <c r="B2009" s="6" t="s">
        <v>21</v>
      </c>
      <c r="C2009" s="6" t="s">
        <v>8739</v>
      </c>
      <c r="D2009" s="8" t="s">
        <v>17</v>
      </c>
      <c r="E2009" s="6" t="s">
        <v>23</v>
      </c>
      <c r="F2009" s="6" t="s">
        <v>31</v>
      </c>
      <c r="G2009" s="6" t="s">
        <v>8740</v>
      </c>
      <c r="H2009" s="10">
        <v>45974</v>
      </c>
      <c r="I2009" s="6" t="s">
        <v>8741</v>
      </c>
      <c r="J2009" s="6" t="s">
        <v>478</v>
      </c>
      <c r="K2009" s="6" t="s">
        <v>35</v>
      </c>
      <c r="L2009" s="6" t="s">
        <v>129</v>
      </c>
      <c r="M2009" s="6" t="s">
        <v>8742</v>
      </c>
    </row>
    <row r="2010" spans="1:13" ht="13" x14ac:dyDescent="0.15">
      <c r="A2010" s="21" t="str">
        <f>HYPERLINK("https://onemount.atlassian.net/browse/DBA-3099","DBA-3099")</f>
        <v>DBA-3099</v>
      </c>
      <c r="B2010" s="6" t="s">
        <v>21</v>
      </c>
      <c r="C2010" s="6" t="s">
        <v>8698</v>
      </c>
      <c r="D2010" s="8" t="s">
        <v>17</v>
      </c>
      <c r="E2010" s="6" t="s">
        <v>23</v>
      </c>
      <c r="F2010" s="6" t="s">
        <v>31</v>
      </c>
      <c r="G2010" s="6" t="s">
        <v>8743</v>
      </c>
      <c r="H2010" s="10">
        <v>45974</v>
      </c>
      <c r="I2010" s="6" t="s">
        <v>8744</v>
      </c>
      <c r="J2010" s="6" t="s">
        <v>715</v>
      </c>
      <c r="K2010" s="6" t="s">
        <v>55</v>
      </c>
      <c r="L2010" s="6" t="s">
        <v>715</v>
      </c>
      <c r="M2010" s="6" t="s">
        <v>8701</v>
      </c>
    </row>
    <row r="2011" spans="1:13" ht="13" x14ac:dyDescent="0.15">
      <c r="A2011" s="5" t="str">
        <f>HYPERLINK("https://onemount.atlassian.net/browse/DBA-3097","DBA-3097")</f>
        <v>DBA-3097</v>
      </c>
      <c r="B2011" s="6" t="s">
        <v>21</v>
      </c>
      <c r="C2011" s="6" t="s">
        <v>8745</v>
      </c>
      <c r="D2011" s="8" t="s">
        <v>17</v>
      </c>
      <c r="E2011" s="6" t="s">
        <v>23</v>
      </c>
      <c r="F2011" s="6" t="s">
        <v>24</v>
      </c>
      <c r="G2011" s="6" t="s">
        <v>8746</v>
      </c>
      <c r="H2011" s="10">
        <v>45975</v>
      </c>
      <c r="I2011" s="6" t="s">
        <v>8747</v>
      </c>
      <c r="J2011" s="6" t="s">
        <v>55</v>
      </c>
      <c r="K2011" s="6" t="s">
        <v>55</v>
      </c>
      <c r="L2011" s="6" t="s">
        <v>55</v>
      </c>
      <c r="M2011" s="6" t="s">
        <v>8748</v>
      </c>
    </row>
    <row r="2012" spans="1:13" ht="13" x14ac:dyDescent="0.15">
      <c r="A2012" s="5" t="str">
        <f>HYPERLINK("https://onemount.atlassian.net/browse/DBA-3096","DBA-3096")</f>
        <v>DBA-3096</v>
      </c>
      <c r="B2012" s="6" t="s">
        <v>21</v>
      </c>
      <c r="C2012" s="6" t="s">
        <v>8749</v>
      </c>
      <c r="D2012" s="8" t="s">
        <v>17</v>
      </c>
      <c r="E2012" s="6" t="s">
        <v>23</v>
      </c>
      <c r="F2012" s="6" t="s">
        <v>31</v>
      </c>
      <c r="G2012" s="6" t="s">
        <v>8750</v>
      </c>
      <c r="H2012" s="10">
        <v>45974</v>
      </c>
      <c r="I2012" s="6" t="s">
        <v>8751</v>
      </c>
      <c r="J2012" s="6" t="s">
        <v>478</v>
      </c>
      <c r="K2012" s="6" t="s">
        <v>35</v>
      </c>
      <c r="L2012" s="6" t="s">
        <v>129</v>
      </c>
      <c r="M2012" s="6" t="s">
        <v>8752</v>
      </c>
    </row>
    <row r="2013" spans="1:13" ht="13" x14ac:dyDescent="0.15">
      <c r="A2013" s="5" t="str">
        <f>HYPERLINK("https://onemount.atlassian.net/browse/DBA-3094","DBA-3094")</f>
        <v>DBA-3094</v>
      </c>
      <c r="B2013" s="6" t="s">
        <v>21</v>
      </c>
      <c r="C2013" s="6" t="s">
        <v>8753</v>
      </c>
      <c r="D2013" s="8" t="s">
        <v>17</v>
      </c>
      <c r="E2013" s="6" t="s">
        <v>23</v>
      </c>
      <c r="F2013" s="6" t="s">
        <v>41</v>
      </c>
      <c r="G2013" s="6" t="s">
        <v>8754</v>
      </c>
      <c r="H2013" s="10">
        <v>45976</v>
      </c>
      <c r="I2013" s="6" t="s">
        <v>8755</v>
      </c>
      <c r="J2013" s="6" t="s">
        <v>913</v>
      </c>
      <c r="K2013" s="6" t="s">
        <v>165</v>
      </c>
      <c r="L2013" s="6" t="s">
        <v>288</v>
      </c>
      <c r="M2013" s="6" t="s">
        <v>8756</v>
      </c>
    </row>
    <row r="2014" spans="1:13" ht="13" x14ac:dyDescent="0.15">
      <c r="A2014" s="5" t="str">
        <f>HYPERLINK("https://onemount.atlassian.net/browse/DBA-3093","DBA-3093")</f>
        <v>DBA-3093</v>
      </c>
      <c r="B2014" s="6" t="s">
        <v>21</v>
      </c>
      <c r="C2014" s="6" t="s">
        <v>8757</v>
      </c>
      <c r="D2014" s="8" t="s">
        <v>17</v>
      </c>
      <c r="E2014" s="6" t="s">
        <v>23</v>
      </c>
      <c r="F2014" s="6" t="s">
        <v>31</v>
      </c>
      <c r="G2014" s="6" t="s">
        <v>8758</v>
      </c>
      <c r="H2014" s="10">
        <v>45974</v>
      </c>
      <c r="I2014" s="6" t="s">
        <v>8759</v>
      </c>
      <c r="J2014" s="6" t="s">
        <v>8760</v>
      </c>
      <c r="K2014" s="6" t="s">
        <v>165</v>
      </c>
      <c r="L2014" s="6" t="s">
        <v>119</v>
      </c>
      <c r="M2014" s="6" t="s">
        <v>8761</v>
      </c>
    </row>
    <row r="2015" spans="1:13" ht="13" x14ac:dyDescent="0.15">
      <c r="A2015" s="5" t="str">
        <f>HYPERLINK("https://onemount.atlassian.net/browse/DBA-3090","DBA-3090")</f>
        <v>DBA-3090</v>
      </c>
      <c r="B2015" s="6" t="s">
        <v>21</v>
      </c>
      <c r="C2015" s="6" t="s">
        <v>8762</v>
      </c>
      <c r="D2015" s="8" t="s">
        <v>17</v>
      </c>
      <c r="E2015" s="6" t="s">
        <v>23</v>
      </c>
      <c r="F2015" s="6" t="s">
        <v>41</v>
      </c>
      <c r="G2015" s="6" t="s">
        <v>8763</v>
      </c>
      <c r="H2015" s="10">
        <v>46045</v>
      </c>
      <c r="I2015" s="6" t="s">
        <v>8764</v>
      </c>
      <c r="J2015" s="6" t="s">
        <v>65</v>
      </c>
      <c r="K2015" s="6" t="s">
        <v>59</v>
      </c>
      <c r="L2015" s="6" t="s">
        <v>65</v>
      </c>
      <c r="M2015" s="6" t="s">
        <v>8765</v>
      </c>
    </row>
    <row r="2016" spans="1:13" ht="13" x14ac:dyDescent="0.15">
      <c r="A2016" s="5" t="str">
        <f>HYPERLINK("https://onemount.atlassian.net/browse/DBA-3085","DBA-3085")</f>
        <v>DBA-3085</v>
      </c>
      <c r="B2016" s="6" t="s">
        <v>21</v>
      </c>
      <c r="C2016" s="6" t="s">
        <v>8766</v>
      </c>
      <c r="D2016" s="8" t="s">
        <v>17</v>
      </c>
      <c r="E2016" s="6" t="s">
        <v>23</v>
      </c>
      <c r="F2016" s="6" t="s">
        <v>31</v>
      </c>
      <c r="G2016" s="6" t="s">
        <v>8767</v>
      </c>
      <c r="H2016" s="10">
        <v>45973</v>
      </c>
      <c r="I2016" s="6" t="s">
        <v>8768</v>
      </c>
      <c r="J2016" s="6" t="s">
        <v>478</v>
      </c>
      <c r="K2016" s="6" t="s">
        <v>35</v>
      </c>
      <c r="L2016" s="6" t="s">
        <v>129</v>
      </c>
      <c r="M2016" s="6" t="s">
        <v>8769</v>
      </c>
    </row>
    <row r="2017" spans="1:13" ht="13" x14ac:dyDescent="0.15">
      <c r="A2017" s="5" t="str">
        <f>HYPERLINK("https://onemount.atlassian.net/browse/DBA-3084","DBA-3084")</f>
        <v>DBA-3084</v>
      </c>
      <c r="B2017" s="6" t="s">
        <v>21</v>
      </c>
      <c r="C2017" s="6" t="s">
        <v>8770</v>
      </c>
      <c r="D2017" s="8" t="s">
        <v>17</v>
      </c>
      <c r="E2017" s="6" t="s">
        <v>23</v>
      </c>
      <c r="F2017" s="6" t="s">
        <v>31</v>
      </c>
      <c r="G2017" s="6" t="s">
        <v>8771</v>
      </c>
      <c r="H2017" s="10">
        <v>45973</v>
      </c>
      <c r="I2017" s="6" t="s">
        <v>8772</v>
      </c>
      <c r="J2017" s="6" t="s">
        <v>8773</v>
      </c>
      <c r="K2017" s="6" t="s">
        <v>165</v>
      </c>
      <c r="L2017" s="6" t="s">
        <v>1076</v>
      </c>
      <c r="M2017" s="6" t="s">
        <v>8774</v>
      </c>
    </row>
    <row r="2018" spans="1:13" ht="13" x14ac:dyDescent="0.15">
      <c r="A2018" s="5" t="str">
        <f>HYPERLINK("https://onemount.atlassian.net/browse/DBA-3083","DBA-3083")</f>
        <v>DBA-3083</v>
      </c>
      <c r="B2018" s="6" t="s">
        <v>21</v>
      </c>
      <c r="C2018" s="6" t="s">
        <v>8775</v>
      </c>
      <c r="D2018" s="8" t="s">
        <v>17</v>
      </c>
      <c r="E2018" s="6" t="s">
        <v>23</v>
      </c>
      <c r="F2018" s="6" t="s">
        <v>31</v>
      </c>
      <c r="G2018" s="6" t="s">
        <v>8776</v>
      </c>
      <c r="H2018" s="10">
        <v>45973</v>
      </c>
      <c r="I2018" s="6" t="s">
        <v>8777</v>
      </c>
      <c r="J2018" s="6" t="s">
        <v>8778</v>
      </c>
      <c r="K2018" s="6" t="s">
        <v>165</v>
      </c>
      <c r="L2018" s="6" t="s">
        <v>996</v>
      </c>
      <c r="M2018" s="6" t="s">
        <v>8779</v>
      </c>
    </row>
    <row r="2019" spans="1:13" ht="13" x14ac:dyDescent="0.15">
      <c r="A2019" s="5" t="str">
        <f>HYPERLINK("https://onemount.atlassian.net/browse/DBA-3079","DBA-3079")</f>
        <v>DBA-3079</v>
      </c>
      <c r="B2019" s="6" t="s">
        <v>21</v>
      </c>
      <c r="C2019" s="6" t="s">
        <v>8780</v>
      </c>
      <c r="D2019" s="8" t="s">
        <v>17</v>
      </c>
      <c r="E2019" s="6" t="s">
        <v>23</v>
      </c>
      <c r="F2019" s="6" t="s">
        <v>24</v>
      </c>
      <c r="G2019" s="6" t="s">
        <v>8781</v>
      </c>
      <c r="H2019" s="10">
        <v>45972</v>
      </c>
      <c r="I2019" s="6" t="s">
        <v>8782</v>
      </c>
      <c r="J2019" s="6" t="s">
        <v>8783</v>
      </c>
      <c r="K2019" s="6" t="s">
        <v>55</v>
      </c>
      <c r="L2019" s="6" t="s">
        <v>906</v>
      </c>
      <c r="M2019" s="6" t="s">
        <v>8784</v>
      </c>
    </row>
    <row r="2020" spans="1:13" ht="13" x14ac:dyDescent="0.15">
      <c r="A2020" s="5" t="str">
        <f>HYPERLINK("https://onemount.atlassian.net/browse/DBA-3078","DBA-3078")</f>
        <v>DBA-3078</v>
      </c>
      <c r="B2020" s="6" t="s">
        <v>21</v>
      </c>
      <c r="C2020" s="6" t="s">
        <v>8785</v>
      </c>
      <c r="D2020" s="8" t="s">
        <v>17</v>
      </c>
      <c r="E2020" s="6" t="s">
        <v>23</v>
      </c>
      <c r="F2020" s="6" t="s">
        <v>24</v>
      </c>
      <c r="G2020" s="6" t="s">
        <v>8786</v>
      </c>
      <c r="H2020" s="10">
        <v>45974</v>
      </c>
      <c r="I2020" s="6" t="s">
        <v>8787</v>
      </c>
      <c r="J2020" s="6" t="s">
        <v>144</v>
      </c>
      <c r="K2020" s="6" t="s">
        <v>165</v>
      </c>
      <c r="L2020" s="6" t="s">
        <v>145</v>
      </c>
      <c r="M2020" s="6" t="s">
        <v>8788</v>
      </c>
    </row>
    <row r="2021" spans="1:13" ht="13" x14ac:dyDescent="0.15">
      <c r="A2021" s="5" t="str">
        <f>HYPERLINK("https://onemount.atlassian.net/browse/DBA-3074","DBA-3074")</f>
        <v>DBA-3074</v>
      </c>
      <c r="B2021" s="6" t="s">
        <v>21</v>
      </c>
      <c r="C2021" s="6" t="s">
        <v>8789</v>
      </c>
      <c r="D2021" s="8" t="s">
        <v>17</v>
      </c>
      <c r="E2021" s="6" t="s">
        <v>23</v>
      </c>
      <c r="F2021" s="6" t="s">
        <v>41</v>
      </c>
      <c r="G2021" s="6" t="s">
        <v>8790</v>
      </c>
      <c r="H2021" s="10">
        <v>45972</v>
      </c>
      <c r="I2021" s="6" t="s">
        <v>8791</v>
      </c>
      <c r="J2021" s="6" t="s">
        <v>2261</v>
      </c>
      <c r="K2021" s="6" t="s">
        <v>28</v>
      </c>
      <c r="L2021" s="6" t="s">
        <v>27</v>
      </c>
      <c r="M2021" s="6" t="s">
        <v>8792</v>
      </c>
    </row>
    <row r="2022" spans="1:13" ht="13" x14ac:dyDescent="0.15">
      <c r="A2022" s="5" t="str">
        <f>HYPERLINK("https://onemount.atlassian.net/browse/DBA-3073","DBA-3073")</f>
        <v>DBA-3073</v>
      </c>
      <c r="B2022" s="6" t="s">
        <v>21</v>
      </c>
      <c r="C2022" s="6" t="s">
        <v>8793</v>
      </c>
      <c r="D2022" s="8" t="s">
        <v>17</v>
      </c>
      <c r="E2022" s="6" t="s">
        <v>23</v>
      </c>
      <c r="F2022" s="6" t="s">
        <v>24</v>
      </c>
      <c r="G2022" s="6" t="s">
        <v>8794</v>
      </c>
      <c r="H2022" s="10">
        <v>45973</v>
      </c>
      <c r="I2022" s="6" t="s">
        <v>8795</v>
      </c>
      <c r="J2022" s="6" t="s">
        <v>308</v>
      </c>
      <c r="K2022" s="6" t="s">
        <v>55</v>
      </c>
      <c r="L2022" s="6" t="s">
        <v>922</v>
      </c>
      <c r="M2022" s="6" t="s">
        <v>8796</v>
      </c>
    </row>
    <row r="2023" spans="1:13" ht="13" x14ac:dyDescent="0.15">
      <c r="A2023" s="5" t="str">
        <f>HYPERLINK("https://onemount.atlassian.net/browse/DBA-3072","DBA-3072")</f>
        <v>DBA-3072</v>
      </c>
      <c r="B2023" s="6" t="s">
        <v>21</v>
      </c>
      <c r="C2023" s="6" t="s">
        <v>8797</v>
      </c>
      <c r="D2023" s="8" t="s">
        <v>17</v>
      </c>
      <c r="E2023" s="6" t="s">
        <v>23</v>
      </c>
      <c r="F2023" s="6" t="s">
        <v>31</v>
      </c>
      <c r="G2023" s="6" t="s">
        <v>8798</v>
      </c>
      <c r="H2023" s="10">
        <v>45973</v>
      </c>
      <c r="I2023" s="6" t="s">
        <v>8799</v>
      </c>
      <c r="J2023" s="6" t="s">
        <v>55</v>
      </c>
      <c r="K2023" s="6" t="s">
        <v>55</v>
      </c>
      <c r="L2023" s="6" t="s">
        <v>956</v>
      </c>
      <c r="M2023" s="6" t="s">
        <v>8800</v>
      </c>
    </row>
    <row r="2024" spans="1:13" ht="13" x14ac:dyDescent="0.15">
      <c r="A2024" s="5" t="str">
        <f>HYPERLINK("https://onemount.atlassian.net/browse/DBA-3071","DBA-3071")</f>
        <v>DBA-3071</v>
      </c>
      <c r="B2024" s="6" t="s">
        <v>21</v>
      </c>
      <c r="C2024" s="6" t="s">
        <v>8801</v>
      </c>
      <c r="D2024" s="8" t="s">
        <v>17</v>
      </c>
      <c r="E2024" s="6" t="s">
        <v>23</v>
      </c>
      <c r="F2024" s="6" t="s">
        <v>31</v>
      </c>
      <c r="G2024" s="6" t="s">
        <v>8802</v>
      </c>
      <c r="H2024" s="10">
        <v>45973</v>
      </c>
      <c r="I2024" s="6" t="s">
        <v>8803</v>
      </c>
      <c r="J2024" s="6" t="s">
        <v>165</v>
      </c>
      <c r="K2024" s="6" t="s">
        <v>165</v>
      </c>
      <c r="L2024" s="6" t="s">
        <v>715</v>
      </c>
      <c r="M2024" s="6" t="s">
        <v>8804</v>
      </c>
    </row>
    <row r="2025" spans="1:13" ht="13" x14ac:dyDescent="0.15">
      <c r="A2025" s="5" t="str">
        <f>HYPERLINK("https://onemount.atlassian.net/browse/DBA-3070","DBA-3070")</f>
        <v>DBA-3070</v>
      </c>
      <c r="B2025" s="6" t="s">
        <v>21</v>
      </c>
      <c r="C2025" s="6" t="s">
        <v>8805</v>
      </c>
      <c r="D2025" s="8" t="s">
        <v>17</v>
      </c>
      <c r="E2025" s="6" t="s">
        <v>23</v>
      </c>
      <c r="F2025" s="6" t="s">
        <v>31</v>
      </c>
      <c r="G2025" s="6" t="s">
        <v>8806</v>
      </c>
      <c r="H2025" s="10">
        <v>45972</v>
      </c>
      <c r="I2025" s="6" t="s">
        <v>8807</v>
      </c>
      <c r="J2025" s="6" t="s">
        <v>8808</v>
      </c>
      <c r="K2025" s="6" t="s">
        <v>165</v>
      </c>
      <c r="L2025" s="6" t="s">
        <v>996</v>
      </c>
      <c r="M2025" s="6" t="s">
        <v>8809</v>
      </c>
    </row>
    <row r="2026" spans="1:13" ht="13" x14ac:dyDescent="0.15">
      <c r="A2026" s="5" t="str">
        <f>HYPERLINK("https://onemount.atlassian.net/browse/DBA-3069","DBA-3069")</f>
        <v>DBA-3069</v>
      </c>
      <c r="B2026" s="6" t="s">
        <v>21</v>
      </c>
      <c r="C2026" s="6" t="s">
        <v>8810</v>
      </c>
      <c r="D2026" s="8" t="s">
        <v>17</v>
      </c>
      <c r="E2026" s="6" t="s">
        <v>23</v>
      </c>
      <c r="F2026" s="6" t="s">
        <v>31</v>
      </c>
      <c r="G2026" s="6" t="s">
        <v>8811</v>
      </c>
      <c r="H2026" s="10">
        <v>45971</v>
      </c>
      <c r="I2026" s="6" t="s">
        <v>8812</v>
      </c>
      <c r="J2026" s="6" t="s">
        <v>181</v>
      </c>
      <c r="K2026" s="6" t="s">
        <v>35</v>
      </c>
      <c r="L2026" s="6" t="s">
        <v>638</v>
      </c>
      <c r="M2026" s="6" t="s">
        <v>8813</v>
      </c>
    </row>
    <row r="2027" spans="1:13" ht="13" x14ac:dyDescent="0.15">
      <c r="A2027" s="21" t="str">
        <f>HYPERLINK("https://onemount.atlassian.net/browse/DBA-3068","DBA-3068")</f>
        <v>DBA-3068</v>
      </c>
      <c r="B2027" s="6" t="s">
        <v>21</v>
      </c>
      <c r="C2027" s="6" t="s">
        <v>8355</v>
      </c>
      <c r="D2027" s="8" t="s">
        <v>17</v>
      </c>
      <c r="E2027" s="6" t="s">
        <v>23</v>
      </c>
      <c r="F2027" s="6" t="s">
        <v>41</v>
      </c>
      <c r="G2027" s="6" t="s">
        <v>8814</v>
      </c>
      <c r="H2027" s="10">
        <v>45974</v>
      </c>
      <c r="I2027" s="6" t="s">
        <v>8815</v>
      </c>
      <c r="J2027" s="6" t="s">
        <v>913</v>
      </c>
      <c r="K2027" s="6" t="s">
        <v>165</v>
      </c>
      <c r="L2027" s="6" t="s">
        <v>288</v>
      </c>
      <c r="M2027" s="6" t="s">
        <v>8816</v>
      </c>
    </row>
    <row r="2028" spans="1:13" ht="13" x14ac:dyDescent="0.15">
      <c r="A2028" s="5" t="str">
        <f>HYPERLINK("https://onemount.atlassian.net/browse/DBA-3062","DBA-3062")</f>
        <v>DBA-3062</v>
      </c>
      <c r="B2028" s="6" t="s">
        <v>21</v>
      </c>
      <c r="C2028" s="6" t="s">
        <v>8817</v>
      </c>
      <c r="D2028" s="8" t="s">
        <v>17</v>
      </c>
      <c r="E2028" s="6" t="s">
        <v>23</v>
      </c>
      <c r="F2028" s="6" t="s">
        <v>24</v>
      </c>
      <c r="G2028" s="6" t="s">
        <v>8818</v>
      </c>
      <c r="H2028" s="10">
        <v>45971</v>
      </c>
      <c r="I2028" s="6" t="s">
        <v>8819</v>
      </c>
      <c r="J2028" s="6" t="s">
        <v>8820</v>
      </c>
      <c r="K2028" s="6" t="s">
        <v>165</v>
      </c>
      <c r="L2028" s="6" t="s">
        <v>145</v>
      </c>
      <c r="M2028" s="6" t="s">
        <v>8821</v>
      </c>
    </row>
    <row r="2029" spans="1:13" ht="13" x14ac:dyDescent="0.15">
      <c r="A2029" s="5" t="str">
        <f>HYPERLINK("https://onemount.atlassian.net/browse/DBA-3060","DBA-3060")</f>
        <v>DBA-3060</v>
      </c>
      <c r="B2029" s="6" t="s">
        <v>21</v>
      </c>
      <c r="C2029" s="6" t="s">
        <v>8822</v>
      </c>
      <c r="D2029" s="8" t="s">
        <v>17</v>
      </c>
      <c r="E2029" s="6" t="s">
        <v>23</v>
      </c>
      <c r="F2029" s="6" t="s">
        <v>31</v>
      </c>
      <c r="G2029" s="6" t="s">
        <v>8823</v>
      </c>
      <c r="H2029" s="10">
        <v>45968</v>
      </c>
      <c r="I2029" s="6" t="s">
        <v>8824</v>
      </c>
      <c r="J2029" s="6" t="s">
        <v>55</v>
      </c>
      <c r="K2029" s="6" t="s">
        <v>55</v>
      </c>
      <c r="L2029" s="6" t="s">
        <v>956</v>
      </c>
      <c r="M2029" s="6" t="s">
        <v>8825</v>
      </c>
    </row>
    <row r="2030" spans="1:13" ht="13" x14ac:dyDescent="0.15">
      <c r="A2030" s="5" t="str">
        <f>HYPERLINK("https://onemount.atlassian.net/browse/DBA-3059","DBA-3059")</f>
        <v>DBA-3059</v>
      </c>
      <c r="B2030" s="6" t="s">
        <v>21</v>
      </c>
      <c r="C2030" s="6" t="s">
        <v>8826</v>
      </c>
      <c r="D2030" s="8" t="s">
        <v>17</v>
      </c>
      <c r="E2030" s="6" t="s">
        <v>23</v>
      </c>
      <c r="F2030" s="6" t="s">
        <v>24</v>
      </c>
      <c r="G2030" s="6" t="s">
        <v>8827</v>
      </c>
      <c r="H2030" s="10">
        <v>45969</v>
      </c>
      <c r="I2030" s="6" t="s">
        <v>8828</v>
      </c>
      <c r="J2030" s="6" t="s">
        <v>4792</v>
      </c>
      <c r="K2030" s="6" t="s">
        <v>55</v>
      </c>
      <c r="L2030" s="6" t="s">
        <v>270</v>
      </c>
      <c r="M2030" s="6" t="s">
        <v>8829</v>
      </c>
    </row>
    <row r="2031" spans="1:13" ht="13" x14ac:dyDescent="0.15">
      <c r="A2031" s="5" t="str">
        <f>HYPERLINK("https://onemount.atlassian.net/browse/DBA-3058","DBA-3058")</f>
        <v>DBA-3058</v>
      </c>
      <c r="B2031" s="6" t="s">
        <v>21</v>
      </c>
      <c r="C2031" s="6" t="s">
        <v>8830</v>
      </c>
      <c r="D2031" s="8" t="s">
        <v>17</v>
      </c>
      <c r="E2031" s="6" t="s">
        <v>23</v>
      </c>
      <c r="F2031" s="6" t="s">
        <v>41</v>
      </c>
      <c r="G2031" s="6" t="s">
        <v>8831</v>
      </c>
      <c r="H2031" s="10">
        <v>45969</v>
      </c>
      <c r="I2031" s="6" t="s">
        <v>8832</v>
      </c>
      <c r="J2031" s="6" t="s">
        <v>56</v>
      </c>
      <c r="K2031" s="6" t="s">
        <v>55</v>
      </c>
      <c r="L2031" s="6" t="s">
        <v>56</v>
      </c>
      <c r="M2031" s="6" t="s">
        <v>8833</v>
      </c>
    </row>
    <row r="2032" spans="1:13" ht="13" x14ac:dyDescent="0.15">
      <c r="A2032" s="5" t="str">
        <f>HYPERLINK("https://onemount.atlassian.net/browse/DBA-3055","DBA-3055")</f>
        <v>DBA-3055</v>
      </c>
      <c r="B2032" s="6" t="s">
        <v>21</v>
      </c>
      <c r="C2032" s="6" t="s">
        <v>8834</v>
      </c>
      <c r="D2032" s="8" t="s">
        <v>17</v>
      </c>
      <c r="E2032" s="6" t="s">
        <v>23</v>
      </c>
      <c r="F2032" s="6" t="s">
        <v>31</v>
      </c>
      <c r="G2032" s="6" t="s">
        <v>8835</v>
      </c>
      <c r="H2032" s="10">
        <v>45968</v>
      </c>
      <c r="I2032" s="6" t="s">
        <v>8836</v>
      </c>
      <c r="J2032" s="6" t="s">
        <v>181</v>
      </c>
      <c r="K2032" s="6" t="s">
        <v>35</v>
      </c>
      <c r="L2032" s="6" t="s">
        <v>638</v>
      </c>
      <c r="M2032" s="6" t="s">
        <v>8837</v>
      </c>
    </row>
    <row r="2033" spans="1:13" ht="13" x14ac:dyDescent="0.15">
      <c r="A2033" s="5" t="str">
        <f>HYPERLINK("https://onemount.atlassian.net/browse/DBA-3054","DBA-3054")</f>
        <v>DBA-3054</v>
      </c>
      <c r="B2033" s="6" t="s">
        <v>21</v>
      </c>
      <c r="C2033" s="6" t="s">
        <v>8838</v>
      </c>
      <c r="D2033" s="8" t="s">
        <v>17</v>
      </c>
      <c r="E2033" s="6" t="s">
        <v>23</v>
      </c>
      <c r="F2033" s="6" t="s">
        <v>31</v>
      </c>
      <c r="G2033" s="6" t="s">
        <v>8839</v>
      </c>
      <c r="H2033" s="10">
        <v>45968</v>
      </c>
      <c r="I2033" s="6" t="s">
        <v>8840</v>
      </c>
      <c r="J2033" s="6" t="s">
        <v>128</v>
      </c>
      <c r="K2033" s="6" t="s">
        <v>35</v>
      </c>
      <c r="L2033" s="6" t="s">
        <v>129</v>
      </c>
      <c r="M2033" s="6" t="s">
        <v>8841</v>
      </c>
    </row>
    <row r="2034" spans="1:13" ht="13" x14ac:dyDescent="0.15">
      <c r="A2034" s="5" t="str">
        <f>HYPERLINK("https://onemount.atlassian.net/browse/DBA-3053","DBA-3053")</f>
        <v>DBA-3053</v>
      </c>
      <c r="B2034" s="6" t="s">
        <v>21</v>
      </c>
      <c r="C2034" s="6" t="s">
        <v>8842</v>
      </c>
      <c r="D2034" s="8" t="s">
        <v>17</v>
      </c>
      <c r="E2034" s="6" t="s">
        <v>23</v>
      </c>
      <c r="F2034" s="6" t="s">
        <v>41</v>
      </c>
      <c r="G2034" s="6" t="s">
        <v>8843</v>
      </c>
      <c r="H2034" s="10">
        <v>45969</v>
      </c>
      <c r="I2034" s="6" t="s">
        <v>8844</v>
      </c>
      <c r="J2034" s="6" t="s">
        <v>99</v>
      </c>
      <c r="K2034" s="6" t="s">
        <v>59</v>
      </c>
      <c r="L2034" s="6" t="s">
        <v>99</v>
      </c>
      <c r="M2034" s="6" t="s">
        <v>8845</v>
      </c>
    </row>
    <row r="2035" spans="1:13" ht="13" x14ac:dyDescent="0.15">
      <c r="A2035" s="5" t="str">
        <f>HYPERLINK("https://onemount.atlassian.net/browse/DBA-3052","DBA-3052")</f>
        <v>DBA-3052</v>
      </c>
      <c r="B2035" s="6" t="s">
        <v>21</v>
      </c>
      <c r="C2035" s="6" t="s">
        <v>1466</v>
      </c>
      <c r="D2035" s="8" t="s">
        <v>17</v>
      </c>
      <c r="E2035" s="6" t="s">
        <v>23</v>
      </c>
      <c r="F2035" s="6" t="s">
        <v>31</v>
      </c>
      <c r="G2035" s="6" t="s">
        <v>8846</v>
      </c>
      <c r="H2035" s="10">
        <v>45969</v>
      </c>
      <c r="I2035" s="6" t="s">
        <v>8847</v>
      </c>
      <c r="J2035" s="6" t="s">
        <v>852</v>
      </c>
      <c r="K2035" s="6" t="s">
        <v>55</v>
      </c>
      <c r="L2035" s="6" t="s">
        <v>843</v>
      </c>
      <c r="M2035" s="6" t="s">
        <v>8848</v>
      </c>
    </row>
    <row r="2036" spans="1:13" ht="13" x14ac:dyDescent="0.15">
      <c r="A2036" s="5" t="str">
        <f>HYPERLINK("https://onemount.atlassian.net/browse/DBA-3051","DBA-3051")</f>
        <v>DBA-3051</v>
      </c>
      <c r="B2036" s="6" t="s">
        <v>21</v>
      </c>
      <c r="C2036" s="6" t="s">
        <v>8849</v>
      </c>
      <c r="D2036" s="8" t="s">
        <v>17</v>
      </c>
      <c r="E2036" s="6" t="s">
        <v>23</v>
      </c>
      <c r="F2036" s="6" t="s">
        <v>24</v>
      </c>
      <c r="G2036" s="6" t="s">
        <v>8850</v>
      </c>
      <c r="H2036" s="10">
        <v>45967</v>
      </c>
      <c r="I2036" s="6" t="s">
        <v>8851</v>
      </c>
      <c r="J2036" s="6" t="s">
        <v>85</v>
      </c>
      <c r="K2036" s="6" t="s">
        <v>55</v>
      </c>
      <c r="L2036" s="6" t="s">
        <v>85</v>
      </c>
      <c r="M2036" s="6" t="s">
        <v>8852</v>
      </c>
    </row>
    <row r="2037" spans="1:13" ht="13" x14ac:dyDescent="0.15">
      <c r="A2037" s="21" t="str">
        <f>HYPERLINK("https://onemount.atlassian.net/browse/DBA-3050","DBA-3050")</f>
        <v>DBA-3050</v>
      </c>
      <c r="B2037" s="6" t="s">
        <v>21</v>
      </c>
      <c r="C2037" s="6" t="s">
        <v>8355</v>
      </c>
      <c r="D2037" s="8" t="s">
        <v>17</v>
      </c>
      <c r="E2037" s="6" t="s">
        <v>23</v>
      </c>
      <c r="F2037" s="6" t="s">
        <v>41</v>
      </c>
      <c r="G2037" s="6" t="s">
        <v>8853</v>
      </c>
      <c r="H2037" s="10">
        <v>45969</v>
      </c>
      <c r="I2037" s="6" t="s">
        <v>8854</v>
      </c>
      <c r="J2037" s="6" t="s">
        <v>913</v>
      </c>
      <c r="K2037" s="6" t="s">
        <v>165</v>
      </c>
      <c r="L2037" s="6" t="s">
        <v>288</v>
      </c>
      <c r="M2037" s="6" t="s">
        <v>8816</v>
      </c>
    </row>
    <row r="2038" spans="1:13" ht="13" x14ac:dyDescent="0.15">
      <c r="A2038" s="5" t="str">
        <f>HYPERLINK("https://onemount.atlassian.net/browse/DBA-3049","DBA-3049")</f>
        <v>DBA-3049</v>
      </c>
      <c r="B2038" s="6" t="s">
        <v>21</v>
      </c>
      <c r="C2038" s="6" t="s">
        <v>6266</v>
      </c>
      <c r="D2038" s="8" t="s">
        <v>17</v>
      </c>
      <c r="E2038" s="6" t="s">
        <v>23</v>
      </c>
      <c r="F2038" s="6" t="s">
        <v>41</v>
      </c>
      <c r="G2038" s="6" t="s">
        <v>8855</v>
      </c>
      <c r="H2038" s="10">
        <v>45967</v>
      </c>
      <c r="I2038" s="6" t="s">
        <v>8856</v>
      </c>
      <c r="J2038" s="6" t="s">
        <v>6269</v>
      </c>
      <c r="K2038" s="6" t="s">
        <v>28</v>
      </c>
      <c r="L2038" s="6" t="s">
        <v>1000</v>
      </c>
      <c r="M2038" s="6" t="s">
        <v>8857</v>
      </c>
    </row>
    <row r="2039" spans="1:13" ht="13" x14ac:dyDescent="0.15">
      <c r="A2039" s="5" t="str">
        <f>HYPERLINK("https://onemount.atlassian.net/browse/DBA-3047","DBA-3047")</f>
        <v>DBA-3047</v>
      </c>
      <c r="B2039" s="6" t="s">
        <v>21</v>
      </c>
      <c r="C2039" s="6" t="s">
        <v>8339</v>
      </c>
      <c r="D2039" s="8" t="s">
        <v>17</v>
      </c>
      <c r="E2039" s="6" t="s">
        <v>23</v>
      </c>
      <c r="F2039" s="6" t="s">
        <v>31</v>
      </c>
      <c r="G2039" s="6" t="s">
        <v>8858</v>
      </c>
      <c r="H2039" s="10">
        <v>45967</v>
      </c>
      <c r="I2039" s="6" t="s">
        <v>8859</v>
      </c>
      <c r="J2039" s="6" t="s">
        <v>4461</v>
      </c>
      <c r="K2039" s="6" t="s">
        <v>35</v>
      </c>
      <c r="L2039" s="6" t="s">
        <v>129</v>
      </c>
      <c r="M2039" s="6" t="s">
        <v>8860</v>
      </c>
    </row>
    <row r="2040" spans="1:13" ht="13" x14ac:dyDescent="0.15">
      <c r="A2040" s="5" t="str">
        <f>HYPERLINK("https://onemount.atlassian.net/browse/DBA-3046","DBA-3046")</f>
        <v>DBA-3046</v>
      </c>
      <c r="B2040" s="6" t="s">
        <v>21</v>
      </c>
      <c r="C2040" s="6" t="s">
        <v>8861</v>
      </c>
      <c r="D2040" s="8" t="s">
        <v>17</v>
      </c>
      <c r="E2040" s="6" t="s">
        <v>23</v>
      </c>
      <c r="F2040" s="6" t="s">
        <v>31</v>
      </c>
      <c r="G2040" s="6" t="s">
        <v>8862</v>
      </c>
      <c r="H2040" s="10">
        <v>45967</v>
      </c>
      <c r="I2040" s="6" t="s">
        <v>8863</v>
      </c>
      <c r="J2040" s="6" t="s">
        <v>478</v>
      </c>
      <c r="K2040" s="6" t="s">
        <v>35</v>
      </c>
      <c r="L2040" s="6" t="s">
        <v>129</v>
      </c>
      <c r="M2040" s="6" t="s">
        <v>8864</v>
      </c>
    </row>
    <row r="2041" spans="1:13" ht="13" x14ac:dyDescent="0.15">
      <c r="A2041" s="5" t="str">
        <f>HYPERLINK("https://onemount.atlassian.net/browse/DBA-3045","DBA-3045")</f>
        <v>DBA-3045</v>
      </c>
      <c r="B2041" s="23" t="str">
        <f>HYPERLINK("https://onemount.atlassian.net/browse/DBA-2688","DBA-2688")</f>
        <v>DBA-2688</v>
      </c>
      <c r="C2041" s="6" t="s">
        <v>8865</v>
      </c>
      <c r="D2041" s="8" t="s">
        <v>17</v>
      </c>
      <c r="E2041" s="6" t="s">
        <v>428</v>
      </c>
      <c r="F2041" s="6" t="s">
        <v>41</v>
      </c>
      <c r="G2041" s="6" t="s">
        <v>8866</v>
      </c>
      <c r="H2041" s="10">
        <v>45974</v>
      </c>
      <c r="I2041" s="6" t="s">
        <v>8867</v>
      </c>
      <c r="J2041" s="6" t="s">
        <v>72</v>
      </c>
      <c r="K2041" s="6" t="s">
        <v>72</v>
      </c>
      <c r="L2041" s="6" t="s">
        <v>72</v>
      </c>
      <c r="M2041" s="6" t="s">
        <v>8868</v>
      </c>
    </row>
    <row r="2042" spans="1:13" ht="13" x14ac:dyDescent="0.15">
      <c r="A2042" s="5" t="str">
        <f>HYPERLINK("https://onemount.atlassian.net/browse/DBA-3043","DBA-3043")</f>
        <v>DBA-3043</v>
      </c>
      <c r="B2042" s="23" t="str">
        <f>HYPERLINK("https://onemount.atlassian.net/browse/DBA-2634","DBA-2634")</f>
        <v>DBA-2634</v>
      </c>
      <c r="C2042" s="6" t="s">
        <v>8869</v>
      </c>
      <c r="D2042" s="8" t="s">
        <v>17</v>
      </c>
      <c r="E2042" s="6" t="s">
        <v>428</v>
      </c>
      <c r="F2042" s="6" t="s">
        <v>41</v>
      </c>
      <c r="G2042" s="6" t="s">
        <v>8870</v>
      </c>
      <c r="H2042" s="10">
        <v>45968</v>
      </c>
      <c r="I2042" s="6" t="s">
        <v>8871</v>
      </c>
      <c r="J2042" s="6" t="s">
        <v>72</v>
      </c>
      <c r="K2042" s="6" t="s">
        <v>59</v>
      </c>
      <c r="L2042" s="6" t="s">
        <v>59</v>
      </c>
      <c r="M2042" s="6" t="s">
        <v>8872</v>
      </c>
    </row>
    <row r="2043" spans="1:13" ht="13" x14ac:dyDescent="0.15">
      <c r="A2043" s="5" t="str">
        <f>HYPERLINK("https://onemount.atlassian.net/browse/DBA-3042","DBA-3042")</f>
        <v>DBA-3042</v>
      </c>
      <c r="B2043" s="6" t="s">
        <v>21</v>
      </c>
      <c r="C2043" s="6" t="s">
        <v>8873</v>
      </c>
      <c r="D2043" s="8" t="s">
        <v>17</v>
      </c>
      <c r="E2043" s="6" t="s">
        <v>23</v>
      </c>
      <c r="F2043" s="6" t="s">
        <v>31</v>
      </c>
      <c r="G2043" s="6" t="s">
        <v>8874</v>
      </c>
      <c r="H2043" s="10">
        <v>45968</v>
      </c>
      <c r="I2043" s="6" t="s">
        <v>8875</v>
      </c>
      <c r="J2043" s="6" t="s">
        <v>55</v>
      </c>
      <c r="K2043" s="6" t="s">
        <v>55</v>
      </c>
      <c r="L2043" s="6" t="s">
        <v>956</v>
      </c>
      <c r="M2043" s="6" t="s">
        <v>8876</v>
      </c>
    </row>
    <row r="2044" spans="1:13" ht="13" x14ac:dyDescent="0.15">
      <c r="A2044" s="5" t="str">
        <f>HYPERLINK("https://onemount.atlassian.net/browse/DBA-3041","DBA-3041")</f>
        <v>DBA-3041</v>
      </c>
      <c r="B2044" s="6" t="s">
        <v>21</v>
      </c>
      <c r="C2044" s="6" t="s">
        <v>8877</v>
      </c>
      <c r="D2044" s="8" t="s">
        <v>17</v>
      </c>
      <c r="E2044" s="6" t="s">
        <v>23</v>
      </c>
      <c r="F2044" s="6" t="s">
        <v>31</v>
      </c>
      <c r="G2044" s="6" t="s">
        <v>8878</v>
      </c>
      <c r="H2044" s="10">
        <v>45967</v>
      </c>
      <c r="I2044" s="6" t="s">
        <v>8879</v>
      </c>
      <c r="J2044" s="6" t="s">
        <v>55</v>
      </c>
      <c r="K2044" s="6" t="s">
        <v>55</v>
      </c>
      <c r="L2044" s="6" t="s">
        <v>956</v>
      </c>
      <c r="M2044" s="6" t="s">
        <v>8880</v>
      </c>
    </row>
    <row r="2045" spans="1:13" ht="13" x14ac:dyDescent="0.15">
      <c r="A2045" s="5" t="str">
        <f>HYPERLINK("https://onemount.atlassian.net/browse/DBA-3040","DBA-3040")</f>
        <v>DBA-3040</v>
      </c>
      <c r="B2045" s="6" t="s">
        <v>21</v>
      </c>
      <c r="C2045" s="6" t="s">
        <v>8881</v>
      </c>
      <c r="D2045" s="8" t="s">
        <v>17</v>
      </c>
      <c r="E2045" s="6" t="s">
        <v>23</v>
      </c>
      <c r="F2045" s="6" t="s">
        <v>24</v>
      </c>
      <c r="G2045" s="6" t="s">
        <v>8882</v>
      </c>
      <c r="H2045" s="10">
        <v>45968</v>
      </c>
      <c r="I2045" s="6" t="s">
        <v>8883</v>
      </c>
      <c r="J2045" s="6" t="s">
        <v>28</v>
      </c>
      <c r="K2045" s="6" t="s">
        <v>28</v>
      </c>
      <c r="L2045" s="6" t="s">
        <v>1138</v>
      </c>
      <c r="M2045" s="6" t="s">
        <v>8884</v>
      </c>
    </row>
    <row r="2046" spans="1:13" ht="13" x14ac:dyDescent="0.15">
      <c r="A2046" s="5" t="str">
        <f>HYPERLINK("https://onemount.atlassian.net/browse/DBA-3036","DBA-3036")</f>
        <v>DBA-3036</v>
      </c>
      <c r="B2046" s="6" t="s">
        <v>21</v>
      </c>
      <c r="C2046" s="6" t="s">
        <v>8885</v>
      </c>
      <c r="D2046" s="8" t="s">
        <v>17</v>
      </c>
      <c r="E2046" s="6" t="s">
        <v>23</v>
      </c>
      <c r="F2046" s="6" t="s">
        <v>24</v>
      </c>
      <c r="G2046" s="6" t="s">
        <v>8886</v>
      </c>
      <c r="H2046" s="10">
        <v>45968</v>
      </c>
      <c r="I2046" s="6" t="s">
        <v>8887</v>
      </c>
      <c r="J2046" s="6" t="s">
        <v>8317</v>
      </c>
      <c r="K2046" s="6" t="s">
        <v>55</v>
      </c>
      <c r="L2046" s="6" t="s">
        <v>906</v>
      </c>
      <c r="M2046" s="6" t="s">
        <v>8888</v>
      </c>
    </row>
    <row r="2047" spans="1:13" ht="13" x14ac:dyDescent="0.15">
      <c r="A2047" s="5" t="str">
        <f>HYPERLINK("https://onemount.atlassian.net/browse/DBA-3035","DBA-3035")</f>
        <v>DBA-3035</v>
      </c>
      <c r="B2047" s="6" t="s">
        <v>21</v>
      </c>
      <c r="C2047" s="6" t="s">
        <v>8889</v>
      </c>
      <c r="D2047" s="8" t="s">
        <v>17</v>
      </c>
      <c r="E2047" s="6" t="s">
        <v>23</v>
      </c>
      <c r="F2047" s="6" t="s">
        <v>24</v>
      </c>
      <c r="G2047" s="6" t="s">
        <v>8890</v>
      </c>
      <c r="H2047" s="10">
        <v>45969</v>
      </c>
      <c r="I2047" s="6" t="s">
        <v>8891</v>
      </c>
      <c r="J2047" s="6" t="s">
        <v>270</v>
      </c>
      <c r="K2047" s="6" t="s">
        <v>55</v>
      </c>
      <c r="L2047" s="6" t="s">
        <v>270</v>
      </c>
      <c r="M2047" s="6" t="s">
        <v>8892</v>
      </c>
    </row>
    <row r="2048" spans="1:13" ht="13" x14ac:dyDescent="0.15">
      <c r="A2048" s="5" t="str">
        <f>HYPERLINK("https://onemount.atlassian.net/browse/DBA-3034","DBA-3034")</f>
        <v>DBA-3034</v>
      </c>
      <c r="B2048" s="6" t="s">
        <v>21</v>
      </c>
      <c r="C2048" s="6" t="s">
        <v>8893</v>
      </c>
      <c r="D2048" s="8" t="s">
        <v>17</v>
      </c>
      <c r="E2048" s="6" t="s">
        <v>23</v>
      </c>
      <c r="F2048" s="6" t="s">
        <v>24</v>
      </c>
      <c r="G2048" s="6" t="s">
        <v>8894</v>
      </c>
      <c r="H2048" s="10">
        <v>45966</v>
      </c>
      <c r="I2048" s="6" t="s">
        <v>8895</v>
      </c>
      <c r="J2048" s="6" t="s">
        <v>478</v>
      </c>
      <c r="K2048" s="6" t="s">
        <v>35</v>
      </c>
      <c r="L2048" s="6" t="s">
        <v>129</v>
      </c>
      <c r="M2048" s="6" t="s">
        <v>8896</v>
      </c>
    </row>
    <row r="2049" spans="1:13" ht="13" x14ac:dyDescent="0.15">
      <c r="A2049" s="21" t="str">
        <f>HYPERLINK("https://onemount.atlassian.net/browse/DBA-3033","DBA-3033")</f>
        <v>DBA-3033</v>
      </c>
      <c r="B2049" s="6" t="s">
        <v>21</v>
      </c>
      <c r="C2049" s="6" t="s">
        <v>8698</v>
      </c>
      <c r="D2049" s="8" t="s">
        <v>17</v>
      </c>
      <c r="E2049" s="6" t="s">
        <v>23</v>
      </c>
      <c r="F2049" s="6" t="s">
        <v>31</v>
      </c>
      <c r="G2049" s="6" t="s">
        <v>8897</v>
      </c>
      <c r="H2049" s="10">
        <v>45966</v>
      </c>
      <c r="I2049" s="6" t="s">
        <v>8898</v>
      </c>
      <c r="J2049" s="6" t="s">
        <v>715</v>
      </c>
      <c r="K2049" s="6" t="s">
        <v>55</v>
      </c>
      <c r="L2049" s="6" t="s">
        <v>715</v>
      </c>
      <c r="M2049" s="6" t="s">
        <v>8899</v>
      </c>
    </row>
    <row r="2050" spans="1:13" ht="13" x14ac:dyDescent="0.15">
      <c r="A2050" s="5" t="str">
        <f>HYPERLINK("https://onemount.atlassian.net/browse/DBA-3032","DBA-3032")</f>
        <v>DBA-3032</v>
      </c>
      <c r="B2050" s="6" t="s">
        <v>21</v>
      </c>
      <c r="C2050" s="6" t="s">
        <v>8900</v>
      </c>
      <c r="D2050" s="8" t="s">
        <v>17</v>
      </c>
      <c r="E2050" s="6" t="s">
        <v>23</v>
      </c>
      <c r="F2050" s="6" t="s">
        <v>31</v>
      </c>
      <c r="G2050" s="6" t="s">
        <v>8901</v>
      </c>
      <c r="H2050" s="10">
        <v>46023</v>
      </c>
      <c r="I2050" s="6" t="s">
        <v>8902</v>
      </c>
      <c r="J2050" s="6" t="s">
        <v>478</v>
      </c>
      <c r="K2050" s="6" t="s">
        <v>35</v>
      </c>
      <c r="L2050" s="6" t="s">
        <v>129</v>
      </c>
      <c r="M2050" s="6" t="s">
        <v>8903</v>
      </c>
    </row>
    <row r="2051" spans="1:13" ht="13" x14ac:dyDescent="0.15">
      <c r="A2051" s="5" t="str">
        <f>HYPERLINK("https://onemount.atlassian.net/browse/DBA-3031","DBA-3031")</f>
        <v>DBA-3031</v>
      </c>
      <c r="B2051" s="6" t="s">
        <v>21</v>
      </c>
      <c r="C2051" s="6" t="s">
        <v>8904</v>
      </c>
      <c r="D2051" s="8" t="s">
        <v>17</v>
      </c>
      <c r="E2051" s="6" t="s">
        <v>23</v>
      </c>
      <c r="F2051" s="6" t="s">
        <v>31</v>
      </c>
      <c r="G2051" s="6" t="s">
        <v>8905</v>
      </c>
      <c r="H2051" s="10">
        <v>45967</v>
      </c>
      <c r="I2051" s="6" t="s">
        <v>8906</v>
      </c>
      <c r="J2051" s="6" t="s">
        <v>8907</v>
      </c>
      <c r="K2051" s="6" t="s">
        <v>55</v>
      </c>
      <c r="L2051" s="6" t="s">
        <v>254</v>
      </c>
      <c r="M2051" s="6" t="s">
        <v>8908</v>
      </c>
    </row>
    <row r="2052" spans="1:13" ht="13" x14ac:dyDescent="0.15">
      <c r="A2052" s="5" t="str">
        <f>HYPERLINK("https://onemount.atlassian.net/browse/DBA-3030","DBA-3030")</f>
        <v>DBA-3030</v>
      </c>
      <c r="B2052" s="6" t="s">
        <v>21</v>
      </c>
      <c r="C2052" s="6" t="s">
        <v>8909</v>
      </c>
      <c r="D2052" s="8" t="s">
        <v>17</v>
      </c>
      <c r="E2052" s="6" t="s">
        <v>23</v>
      </c>
      <c r="F2052" s="6" t="s">
        <v>31</v>
      </c>
      <c r="G2052" s="6" t="s">
        <v>8910</v>
      </c>
      <c r="H2052" s="10">
        <v>45966</v>
      </c>
      <c r="I2052" s="6" t="s">
        <v>8911</v>
      </c>
      <c r="J2052" s="6" t="s">
        <v>478</v>
      </c>
      <c r="K2052" s="6" t="s">
        <v>35</v>
      </c>
      <c r="L2052" s="6" t="s">
        <v>129</v>
      </c>
      <c r="M2052" s="6" t="s">
        <v>8912</v>
      </c>
    </row>
    <row r="2053" spans="1:13" ht="13" x14ac:dyDescent="0.15">
      <c r="A2053" s="5" t="str">
        <f>HYPERLINK("https://onemount.atlassian.net/browse/DBA-3029","DBA-3029")</f>
        <v>DBA-3029</v>
      </c>
      <c r="B2053" s="6" t="s">
        <v>21</v>
      </c>
      <c r="C2053" s="6" t="s">
        <v>8913</v>
      </c>
      <c r="D2053" s="8" t="s">
        <v>17</v>
      </c>
      <c r="E2053" s="6" t="s">
        <v>23</v>
      </c>
      <c r="F2053" s="6" t="s">
        <v>31</v>
      </c>
      <c r="G2053" s="6" t="s">
        <v>8914</v>
      </c>
      <c r="H2053" s="10">
        <v>45966</v>
      </c>
      <c r="I2053" s="6" t="s">
        <v>8915</v>
      </c>
      <c r="J2053" s="6" t="s">
        <v>7807</v>
      </c>
      <c r="K2053" s="6" t="s">
        <v>55</v>
      </c>
      <c r="L2053" s="6" t="s">
        <v>843</v>
      </c>
      <c r="M2053" s="6" t="s">
        <v>8916</v>
      </c>
    </row>
    <row r="2054" spans="1:13" ht="13" x14ac:dyDescent="0.15">
      <c r="A2054" s="5" t="str">
        <f>HYPERLINK("https://onemount.atlassian.net/browse/DBA-3028","DBA-3028")</f>
        <v>DBA-3028</v>
      </c>
      <c r="B2054" s="6" t="s">
        <v>21</v>
      </c>
      <c r="C2054" s="6" t="s">
        <v>8917</v>
      </c>
      <c r="D2054" s="8" t="s">
        <v>17</v>
      </c>
      <c r="E2054" s="6" t="s">
        <v>23</v>
      </c>
      <c r="F2054" s="6" t="s">
        <v>31</v>
      </c>
      <c r="G2054" s="6" t="s">
        <v>8918</v>
      </c>
      <c r="H2054" s="10">
        <v>45966</v>
      </c>
      <c r="I2054" s="6" t="s">
        <v>8919</v>
      </c>
      <c r="J2054" s="6" t="s">
        <v>85</v>
      </c>
      <c r="K2054" s="6" t="s">
        <v>55</v>
      </c>
      <c r="L2054" s="6" t="s">
        <v>85</v>
      </c>
      <c r="M2054" s="6" t="s">
        <v>8920</v>
      </c>
    </row>
    <row r="2055" spans="1:13" ht="13" x14ac:dyDescent="0.15">
      <c r="A2055" s="5" t="str">
        <f>HYPERLINK("https://onemount.atlassian.net/browse/DBA-3027","DBA-3027")</f>
        <v>DBA-3027</v>
      </c>
      <c r="B2055" s="6" t="s">
        <v>21</v>
      </c>
      <c r="C2055" s="6" t="s">
        <v>8921</v>
      </c>
      <c r="D2055" s="8" t="s">
        <v>17</v>
      </c>
      <c r="E2055" s="6" t="s">
        <v>23</v>
      </c>
      <c r="F2055" s="6" t="s">
        <v>24</v>
      </c>
      <c r="G2055" s="6" t="s">
        <v>8922</v>
      </c>
      <c r="H2055" s="10">
        <v>45966</v>
      </c>
      <c r="I2055" s="6" t="s">
        <v>8923</v>
      </c>
      <c r="J2055" s="6" t="s">
        <v>8924</v>
      </c>
      <c r="K2055" s="6" t="s">
        <v>55</v>
      </c>
      <c r="L2055" s="6" t="s">
        <v>270</v>
      </c>
      <c r="M2055" s="6" t="s">
        <v>8925</v>
      </c>
    </row>
    <row r="2056" spans="1:13" ht="13" x14ac:dyDescent="0.15">
      <c r="A2056" s="5" t="str">
        <f>HYPERLINK("https://onemount.atlassian.net/browse/DBA-3026","DBA-3026")</f>
        <v>DBA-3026</v>
      </c>
      <c r="B2056" s="6" t="s">
        <v>21</v>
      </c>
      <c r="C2056" s="6" t="s">
        <v>8926</v>
      </c>
      <c r="D2056" s="8" t="s">
        <v>17</v>
      </c>
      <c r="E2056" s="6" t="s">
        <v>23</v>
      </c>
      <c r="F2056" s="6" t="s">
        <v>31</v>
      </c>
      <c r="G2056" s="6" t="s">
        <v>8927</v>
      </c>
      <c r="H2056" s="10">
        <v>45966</v>
      </c>
      <c r="I2056" s="6" t="s">
        <v>8928</v>
      </c>
      <c r="J2056" s="6" t="s">
        <v>85</v>
      </c>
      <c r="K2056" s="6" t="s">
        <v>55</v>
      </c>
      <c r="L2056" s="6" t="s">
        <v>85</v>
      </c>
      <c r="M2056" s="6" t="s">
        <v>8929</v>
      </c>
    </row>
    <row r="2057" spans="1:13" ht="13" x14ac:dyDescent="0.15">
      <c r="A2057" s="5" t="str">
        <f>HYPERLINK("https://onemount.atlassian.net/browse/DBA-3025","DBA-3025")</f>
        <v>DBA-3025</v>
      </c>
      <c r="B2057" s="6" t="s">
        <v>21</v>
      </c>
      <c r="C2057" s="6" t="s">
        <v>8930</v>
      </c>
      <c r="D2057" s="8" t="s">
        <v>17</v>
      </c>
      <c r="E2057" s="6" t="s">
        <v>23</v>
      </c>
      <c r="F2057" s="6" t="s">
        <v>31</v>
      </c>
      <c r="G2057" s="6" t="s">
        <v>8931</v>
      </c>
      <c r="H2057" s="10">
        <v>45967</v>
      </c>
      <c r="I2057" s="6" t="s">
        <v>8932</v>
      </c>
      <c r="J2057" s="6" t="s">
        <v>628</v>
      </c>
      <c r="K2057" s="6" t="s">
        <v>165</v>
      </c>
      <c r="L2057" s="6" t="s">
        <v>119</v>
      </c>
      <c r="M2057" s="6" t="s">
        <v>8933</v>
      </c>
    </row>
    <row r="2058" spans="1:13" ht="13" x14ac:dyDescent="0.15">
      <c r="A2058" s="5" t="str">
        <f>HYPERLINK("https://onemount.atlassian.net/browse/DBA-3024","DBA-3024")</f>
        <v>DBA-3024</v>
      </c>
      <c r="B2058" s="6" t="s">
        <v>21</v>
      </c>
      <c r="C2058" s="6" t="s">
        <v>8934</v>
      </c>
      <c r="D2058" s="8" t="s">
        <v>17</v>
      </c>
      <c r="E2058" s="6" t="s">
        <v>23</v>
      </c>
      <c r="F2058" s="6" t="s">
        <v>24</v>
      </c>
      <c r="G2058" s="6" t="s">
        <v>8935</v>
      </c>
      <c r="H2058" s="10">
        <v>45969</v>
      </c>
      <c r="I2058" s="6" t="s">
        <v>8936</v>
      </c>
      <c r="J2058" s="6" t="s">
        <v>254</v>
      </c>
      <c r="K2058" s="6" t="s">
        <v>55</v>
      </c>
      <c r="L2058" s="6" t="s">
        <v>254</v>
      </c>
      <c r="M2058" s="6" t="s">
        <v>8937</v>
      </c>
    </row>
    <row r="2059" spans="1:13" ht="13" x14ac:dyDescent="0.15">
      <c r="A2059" s="5" t="str">
        <f>HYPERLINK("https://onemount.atlassian.net/browse/DBA-3023","DBA-3023")</f>
        <v>DBA-3023</v>
      </c>
      <c r="B2059" s="6" t="s">
        <v>21</v>
      </c>
      <c r="C2059" s="6" t="s">
        <v>8938</v>
      </c>
      <c r="D2059" s="8" t="s">
        <v>17</v>
      </c>
      <c r="E2059" s="6" t="s">
        <v>23</v>
      </c>
      <c r="F2059" s="6" t="s">
        <v>24</v>
      </c>
      <c r="G2059" s="6" t="s">
        <v>8939</v>
      </c>
      <c r="H2059" s="10">
        <v>45969</v>
      </c>
      <c r="I2059" s="6" t="s">
        <v>8940</v>
      </c>
      <c r="J2059" s="6" t="s">
        <v>55</v>
      </c>
      <c r="K2059" s="6" t="s">
        <v>55</v>
      </c>
      <c r="L2059" s="6" t="s">
        <v>55</v>
      </c>
      <c r="M2059" s="6" t="s">
        <v>8941</v>
      </c>
    </row>
    <row r="2060" spans="1:13" ht="13" x14ac:dyDescent="0.15">
      <c r="A2060" s="5" t="str">
        <f>HYPERLINK("https://onemount.atlassian.net/browse/DBA-3022","DBA-3022")</f>
        <v>DBA-3022</v>
      </c>
      <c r="B2060" s="6" t="s">
        <v>21</v>
      </c>
      <c r="C2060" s="6" t="s">
        <v>8942</v>
      </c>
      <c r="D2060" s="8" t="s">
        <v>17</v>
      </c>
      <c r="E2060" s="6" t="s">
        <v>23</v>
      </c>
      <c r="F2060" s="6" t="s">
        <v>24</v>
      </c>
      <c r="G2060" s="6" t="s">
        <v>8943</v>
      </c>
      <c r="H2060" s="10">
        <v>45968</v>
      </c>
      <c r="I2060" s="6" t="s">
        <v>8944</v>
      </c>
      <c r="J2060" s="6" t="s">
        <v>144</v>
      </c>
      <c r="K2060" s="6" t="s">
        <v>165</v>
      </c>
      <c r="L2060" s="6" t="s">
        <v>145</v>
      </c>
      <c r="M2060" s="6" t="s">
        <v>8945</v>
      </c>
    </row>
    <row r="2061" spans="1:13" ht="13" x14ac:dyDescent="0.15">
      <c r="A2061" s="5" t="str">
        <f>HYPERLINK("https://onemount.atlassian.net/browse/DBA-3021","DBA-3021")</f>
        <v>DBA-3021</v>
      </c>
      <c r="B2061" s="6" t="s">
        <v>21</v>
      </c>
      <c r="C2061" s="6" t="s">
        <v>8946</v>
      </c>
      <c r="D2061" s="8" t="s">
        <v>17</v>
      </c>
      <c r="E2061" s="6" t="s">
        <v>23</v>
      </c>
      <c r="F2061" s="6" t="s">
        <v>31</v>
      </c>
      <c r="G2061" s="6" t="s">
        <v>8947</v>
      </c>
      <c r="H2061" s="10">
        <v>45969</v>
      </c>
      <c r="I2061" s="6" t="s">
        <v>8948</v>
      </c>
      <c r="J2061" s="6" t="s">
        <v>55</v>
      </c>
      <c r="K2061" s="6" t="s">
        <v>55</v>
      </c>
      <c r="L2061" s="6" t="s">
        <v>956</v>
      </c>
      <c r="M2061" s="6" t="s">
        <v>8949</v>
      </c>
    </row>
    <row r="2062" spans="1:13" ht="13" x14ac:dyDescent="0.15">
      <c r="A2062" s="5" t="str">
        <f>HYPERLINK("https://onemount.atlassian.net/browse/DBA-3020","DBA-3020")</f>
        <v>DBA-3020</v>
      </c>
      <c r="B2062" s="6" t="s">
        <v>21</v>
      </c>
      <c r="C2062" s="6" t="s">
        <v>8950</v>
      </c>
      <c r="D2062" s="8" t="s">
        <v>17</v>
      </c>
      <c r="E2062" s="6" t="s">
        <v>23</v>
      </c>
      <c r="F2062" s="6" t="s">
        <v>24</v>
      </c>
      <c r="G2062" s="6" t="s">
        <v>8951</v>
      </c>
      <c r="H2062" s="10">
        <v>45966</v>
      </c>
      <c r="I2062" s="6" t="s">
        <v>8952</v>
      </c>
      <c r="J2062" s="6" t="s">
        <v>8317</v>
      </c>
      <c r="K2062" s="6" t="s">
        <v>55</v>
      </c>
      <c r="L2062" s="6" t="s">
        <v>906</v>
      </c>
      <c r="M2062" s="6" t="s">
        <v>8953</v>
      </c>
    </row>
    <row r="2063" spans="1:13" ht="13" x14ac:dyDescent="0.15">
      <c r="A2063" s="5" t="str">
        <f>HYPERLINK("https://onemount.atlassian.net/browse/DBA-3015","DBA-3015")</f>
        <v>DBA-3015</v>
      </c>
      <c r="B2063" s="6" t="s">
        <v>21</v>
      </c>
      <c r="C2063" s="6" t="s">
        <v>8954</v>
      </c>
      <c r="D2063" s="8" t="s">
        <v>17</v>
      </c>
      <c r="E2063" s="6" t="s">
        <v>23</v>
      </c>
      <c r="F2063" s="6" t="s">
        <v>31</v>
      </c>
      <c r="G2063" s="6" t="s">
        <v>8955</v>
      </c>
      <c r="H2063" s="10">
        <v>45966</v>
      </c>
      <c r="I2063" s="6" t="s">
        <v>8956</v>
      </c>
      <c r="J2063" s="6" t="s">
        <v>55</v>
      </c>
      <c r="K2063" s="6" t="s">
        <v>55</v>
      </c>
      <c r="L2063" s="6" t="s">
        <v>956</v>
      </c>
      <c r="M2063" s="6" t="s">
        <v>8957</v>
      </c>
    </row>
    <row r="2064" spans="1:13" ht="13" x14ac:dyDescent="0.15">
      <c r="A2064" s="5" t="str">
        <f>HYPERLINK("https://onemount.atlassian.net/browse/DBA-3014","DBA-3014")</f>
        <v>DBA-3014</v>
      </c>
      <c r="B2064" s="6" t="s">
        <v>21</v>
      </c>
      <c r="C2064" s="6" t="s">
        <v>8958</v>
      </c>
      <c r="D2064" s="8" t="s">
        <v>17</v>
      </c>
      <c r="E2064" s="6" t="s">
        <v>23</v>
      </c>
      <c r="F2064" s="6" t="s">
        <v>31</v>
      </c>
      <c r="G2064" s="6" t="s">
        <v>8959</v>
      </c>
      <c r="H2064" s="10">
        <v>45966</v>
      </c>
      <c r="I2064" s="6" t="s">
        <v>8960</v>
      </c>
      <c r="J2064" s="6" t="s">
        <v>628</v>
      </c>
      <c r="K2064" s="6" t="s">
        <v>165</v>
      </c>
      <c r="L2064" s="6" t="s">
        <v>119</v>
      </c>
      <c r="M2064" s="6" t="s">
        <v>8961</v>
      </c>
    </row>
    <row r="2065" spans="1:13" ht="13" x14ac:dyDescent="0.15">
      <c r="A2065" s="5" t="str">
        <f>HYPERLINK("https://onemount.atlassian.net/browse/DBA-3013","DBA-3013")</f>
        <v>DBA-3013</v>
      </c>
      <c r="B2065" s="6" t="s">
        <v>21</v>
      </c>
      <c r="C2065" s="6" t="s">
        <v>8962</v>
      </c>
      <c r="D2065" s="8" t="s">
        <v>17</v>
      </c>
      <c r="E2065" s="6" t="s">
        <v>23</v>
      </c>
      <c r="F2065" s="6" t="s">
        <v>31</v>
      </c>
      <c r="G2065" s="6" t="s">
        <v>8963</v>
      </c>
      <c r="H2065" s="10">
        <v>45965</v>
      </c>
      <c r="I2065" s="6" t="s">
        <v>8964</v>
      </c>
      <c r="J2065" s="6" t="s">
        <v>913</v>
      </c>
      <c r="K2065" s="6" t="s">
        <v>165</v>
      </c>
      <c r="L2065" s="6" t="s">
        <v>288</v>
      </c>
      <c r="M2065" s="6" t="s">
        <v>8965</v>
      </c>
    </row>
    <row r="2066" spans="1:13" ht="13" x14ac:dyDescent="0.15">
      <c r="A2066" s="5" t="str">
        <f>HYPERLINK("https://onemount.atlassian.net/browse/DBA-3012","DBA-3012")</f>
        <v>DBA-3012</v>
      </c>
      <c r="B2066" s="6" t="s">
        <v>21</v>
      </c>
      <c r="C2066" s="6" t="s">
        <v>8966</v>
      </c>
      <c r="D2066" s="8" t="s">
        <v>17</v>
      </c>
      <c r="E2066" s="6" t="s">
        <v>23</v>
      </c>
      <c r="F2066" s="6" t="s">
        <v>41</v>
      </c>
      <c r="G2066" s="6" t="s">
        <v>8967</v>
      </c>
      <c r="H2066" s="10">
        <v>45966</v>
      </c>
      <c r="I2066" s="6" t="s">
        <v>8968</v>
      </c>
      <c r="J2066" s="6" t="s">
        <v>99</v>
      </c>
      <c r="K2066" s="6" t="s">
        <v>59</v>
      </c>
      <c r="L2066" s="6" t="s">
        <v>99</v>
      </c>
      <c r="M2066" s="6" t="s">
        <v>8969</v>
      </c>
    </row>
    <row r="2067" spans="1:13" ht="13" x14ac:dyDescent="0.15">
      <c r="A2067" s="5" t="str">
        <f>HYPERLINK("https://onemount.atlassian.net/browse/DBA-3010","DBA-3010")</f>
        <v>DBA-3010</v>
      </c>
      <c r="B2067" s="23" t="str">
        <f t="shared" ref="B2067:B2069" si="25">HYPERLINK("https://onemount.atlassian.net/browse/DBA-3007","DBA-3007")</f>
        <v>DBA-3007</v>
      </c>
      <c r="C2067" s="6" t="s">
        <v>8970</v>
      </c>
      <c r="D2067" s="8" t="s">
        <v>17</v>
      </c>
      <c r="E2067" s="6" t="s">
        <v>428</v>
      </c>
      <c r="F2067" s="6" t="s">
        <v>24</v>
      </c>
      <c r="G2067" s="6" t="s">
        <v>8971</v>
      </c>
      <c r="H2067" s="10">
        <v>45980</v>
      </c>
      <c r="I2067" s="6" t="s">
        <v>8972</v>
      </c>
      <c r="J2067" s="6" t="s">
        <v>2796</v>
      </c>
      <c r="K2067" s="6" t="s">
        <v>55</v>
      </c>
      <c r="L2067" s="6" t="s">
        <v>425</v>
      </c>
      <c r="M2067" s="6" t="s">
        <v>8973</v>
      </c>
    </row>
    <row r="2068" spans="1:13" ht="13" x14ac:dyDescent="0.15">
      <c r="A2068" s="5" t="str">
        <f>HYPERLINK("https://onemount.atlassian.net/browse/DBA-3009","DBA-3009")</f>
        <v>DBA-3009</v>
      </c>
      <c r="B2068" s="23" t="str">
        <f t="shared" si="25"/>
        <v>DBA-3007</v>
      </c>
      <c r="C2068" s="6" t="s">
        <v>8974</v>
      </c>
      <c r="D2068" s="8" t="s">
        <v>17</v>
      </c>
      <c r="E2068" s="6" t="s">
        <v>428</v>
      </c>
      <c r="F2068" s="6" t="s">
        <v>24</v>
      </c>
      <c r="G2068" s="6" t="s">
        <v>8975</v>
      </c>
      <c r="H2068" s="10">
        <v>45980</v>
      </c>
      <c r="I2068" s="6" t="s">
        <v>8976</v>
      </c>
      <c r="J2068" s="6" t="s">
        <v>2796</v>
      </c>
      <c r="K2068" s="6" t="s">
        <v>55</v>
      </c>
      <c r="L2068" s="6" t="s">
        <v>835</v>
      </c>
      <c r="M2068" s="6" t="s">
        <v>8977</v>
      </c>
    </row>
    <row r="2069" spans="1:13" ht="13" x14ac:dyDescent="0.15">
      <c r="A2069" s="21" t="str">
        <f>HYPERLINK("https://onemount.atlassian.net/browse/DBA-3008","DBA-3008")</f>
        <v>DBA-3008</v>
      </c>
      <c r="B2069" s="23" t="str">
        <f t="shared" si="25"/>
        <v>DBA-3007</v>
      </c>
      <c r="C2069" s="6" t="s">
        <v>8978</v>
      </c>
      <c r="D2069" s="8" t="s">
        <v>17</v>
      </c>
      <c r="E2069" s="6" t="s">
        <v>428</v>
      </c>
      <c r="F2069" s="6" t="s">
        <v>24</v>
      </c>
      <c r="G2069" s="6" t="s">
        <v>8979</v>
      </c>
      <c r="H2069" s="10">
        <v>45980</v>
      </c>
      <c r="I2069" s="6" t="s">
        <v>8980</v>
      </c>
      <c r="J2069" s="6" t="s">
        <v>2796</v>
      </c>
      <c r="K2069" s="6" t="s">
        <v>55</v>
      </c>
      <c r="L2069" s="6" t="s">
        <v>835</v>
      </c>
      <c r="M2069" s="6" t="s">
        <v>6194</v>
      </c>
    </row>
    <row r="2070" spans="1:13" ht="13" x14ac:dyDescent="0.15">
      <c r="A2070" s="5" t="str">
        <f>HYPERLINK("https://onemount.atlassian.net/browse/DBA-3007","DBA-3007")</f>
        <v>DBA-3007</v>
      </c>
      <c r="B2070" s="23" t="str">
        <f>HYPERLINK("https://onemount.atlassian.net/browse/DBA-3006","DBA-3006")</f>
        <v>DBA-3006</v>
      </c>
      <c r="C2070" s="6" t="s">
        <v>8981</v>
      </c>
      <c r="D2070" s="8" t="s">
        <v>17</v>
      </c>
      <c r="E2070" s="6" t="s">
        <v>23</v>
      </c>
      <c r="F2070" s="6" t="s">
        <v>24</v>
      </c>
      <c r="G2070" s="6" t="s">
        <v>8982</v>
      </c>
      <c r="H2070" s="10">
        <v>45980</v>
      </c>
      <c r="I2070" s="6" t="s">
        <v>8983</v>
      </c>
      <c r="J2070" s="6" t="s">
        <v>2796</v>
      </c>
      <c r="K2070" s="6" t="s">
        <v>55</v>
      </c>
      <c r="L2070" s="6" t="s">
        <v>835</v>
      </c>
      <c r="M2070" s="6" t="s">
        <v>8984</v>
      </c>
    </row>
    <row r="2071" spans="1:13" ht="13" x14ac:dyDescent="0.15">
      <c r="A2071" s="5" t="str">
        <f>HYPERLINK("https://onemount.atlassian.net/browse/DBA-3006","DBA-3006")</f>
        <v>DBA-3006</v>
      </c>
      <c r="B2071" s="6" t="s">
        <v>21</v>
      </c>
      <c r="C2071" s="6" t="s">
        <v>8985</v>
      </c>
      <c r="D2071" s="24" t="s">
        <v>18</v>
      </c>
      <c r="E2071" s="6" t="s">
        <v>8986</v>
      </c>
      <c r="F2071" s="6" t="s">
        <v>24</v>
      </c>
      <c r="G2071" s="6" t="s">
        <v>8987</v>
      </c>
      <c r="H2071" s="10">
        <v>46387</v>
      </c>
      <c r="I2071" s="6" t="s">
        <v>44</v>
      </c>
      <c r="J2071" s="6" t="s">
        <v>8988</v>
      </c>
      <c r="K2071" s="6" t="s">
        <v>55</v>
      </c>
      <c r="L2071" s="6" t="s">
        <v>835</v>
      </c>
      <c r="M2071" s="6" t="s">
        <v>8989</v>
      </c>
    </row>
    <row r="2072" spans="1:13" ht="13" x14ac:dyDescent="0.15">
      <c r="A2072" s="5" t="str">
        <f>HYPERLINK("https://onemount.atlassian.net/browse/DBA-3005","DBA-3005")</f>
        <v>DBA-3005</v>
      </c>
      <c r="B2072" s="6" t="s">
        <v>21</v>
      </c>
      <c r="C2072" s="6" t="s">
        <v>8990</v>
      </c>
      <c r="D2072" s="8" t="s">
        <v>17</v>
      </c>
      <c r="E2072" s="6" t="s">
        <v>23</v>
      </c>
      <c r="F2072" s="6" t="s">
        <v>31</v>
      </c>
      <c r="G2072" s="6" t="s">
        <v>8991</v>
      </c>
      <c r="H2072" s="10">
        <v>45966</v>
      </c>
      <c r="I2072" s="6" t="s">
        <v>8992</v>
      </c>
      <c r="J2072" s="6" t="s">
        <v>7506</v>
      </c>
      <c r="K2072" s="6" t="s">
        <v>165</v>
      </c>
      <c r="L2072" s="6" t="s">
        <v>996</v>
      </c>
      <c r="M2072" s="6" t="s">
        <v>8993</v>
      </c>
    </row>
    <row r="2073" spans="1:13" ht="13" x14ac:dyDescent="0.15">
      <c r="A2073" s="5" t="str">
        <f>HYPERLINK("https://onemount.atlassian.net/browse/DBA-3003","DBA-3003")</f>
        <v>DBA-3003</v>
      </c>
      <c r="B2073" s="6" t="s">
        <v>21</v>
      </c>
      <c r="C2073" s="6" t="s">
        <v>8994</v>
      </c>
      <c r="D2073" s="8" t="s">
        <v>17</v>
      </c>
      <c r="E2073" s="6" t="s">
        <v>23</v>
      </c>
      <c r="F2073" s="6" t="s">
        <v>31</v>
      </c>
      <c r="G2073" s="6" t="s">
        <v>8995</v>
      </c>
      <c r="H2073" s="10">
        <v>45965</v>
      </c>
      <c r="I2073" s="6" t="s">
        <v>8996</v>
      </c>
      <c r="J2073" s="6" t="s">
        <v>1898</v>
      </c>
      <c r="K2073" s="6" t="s">
        <v>165</v>
      </c>
      <c r="L2073" s="6" t="s">
        <v>1097</v>
      </c>
      <c r="M2073" s="6" t="s">
        <v>8997</v>
      </c>
    </row>
    <row r="2074" spans="1:13" ht="13" x14ac:dyDescent="0.15">
      <c r="A2074" s="5" t="str">
        <f>HYPERLINK("https://onemount.atlassian.net/browse/DBA-3002","DBA-3002")</f>
        <v>DBA-3002</v>
      </c>
      <c r="B2074" s="6" t="s">
        <v>21</v>
      </c>
      <c r="C2074" s="6" t="s">
        <v>8998</v>
      </c>
      <c r="D2074" s="8" t="s">
        <v>17</v>
      </c>
      <c r="E2074" s="6" t="s">
        <v>23</v>
      </c>
      <c r="F2074" s="6" t="s">
        <v>31</v>
      </c>
      <c r="G2074" s="6" t="s">
        <v>8999</v>
      </c>
      <c r="H2074" s="10">
        <v>45967</v>
      </c>
      <c r="I2074" s="6" t="s">
        <v>9000</v>
      </c>
      <c r="J2074" s="6" t="s">
        <v>9001</v>
      </c>
      <c r="K2074" s="6" t="s">
        <v>165</v>
      </c>
      <c r="L2074" s="6" t="s">
        <v>1037</v>
      </c>
      <c r="M2074" s="6" t="s">
        <v>9002</v>
      </c>
    </row>
    <row r="2075" spans="1:13" ht="13" x14ac:dyDescent="0.15">
      <c r="A2075" s="5" t="str">
        <f>HYPERLINK("https://onemount.atlassian.net/browse/DBA-3001","DBA-3001")</f>
        <v>DBA-3001</v>
      </c>
      <c r="B2075" s="6" t="s">
        <v>21</v>
      </c>
      <c r="C2075" s="6" t="s">
        <v>9003</v>
      </c>
      <c r="D2075" s="8" t="s">
        <v>17</v>
      </c>
      <c r="E2075" s="6" t="s">
        <v>23</v>
      </c>
      <c r="F2075" s="6" t="s">
        <v>24</v>
      </c>
      <c r="G2075" s="6" t="s">
        <v>9004</v>
      </c>
      <c r="H2075" s="10">
        <v>45966</v>
      </c>
      <c r="I2075" s="6" t="s">
        <v>9005</v>
      </c>
      <c r="J2075" s="6" t="s">
        <v>3443</v>
      </c>
      <c r="K2075" s="6" t="s">
        <v>55</v>
      </c>
      <c r="L2075" s="6" t="s">
        <v>55</v>
      </c>
      <c r="M2075" s="6" t="s">
        <v>9006</v>
      </c>
    </row>
    <row r="2076" spans="1:13" ht="13" x14ac:dyDescent="0.15">
      <c r="A2076" s="5" t="str">
        <f>HYPERLINK("https://onemount.atlassian.net/browse/DBA-3000","DBA-3000")</f>
        <v>DBA-3000</v>
      </c>
      <c r="B2076" s="6" t="s">
        <v>21</v>
      </c>
      <c r="C2076" s="6" t="s">
        <v>9007</v>
      </c>
      <c r="D2076" s="8" t="s">
        <v>17</v>
      </c>
      <c r="E2076" s="6" t="s">
        <v>23</v>
      </c>
      <c r="F2076" s="6" t="s">
        <v>31</v>
      </c>
      <c r="G2076" s="6" t="s">
        <v>9008</v>
      </c>
      <c r="H2076" s="10">
        <v>45972</v>
      </c>
      <c r="I2076" s="6" t="s">
        <v>9009</v>
      </c>
      <c r="J2076" s="6" t="s">
        <v>85</v>
      </c>
      <c r="K2076" s="6" t="s">
        <v>55</v>
      </c>
      <c r="L2076" s="6" t="s">
        <v>85</v>
      </c>
      <c r="M2076" s="6" t="s">
        <v>9010</v>
      </c>
    </row>
    <row r="2077" spans="1:13" ht="13" x14ac:dyDescent="0.15">
      <c r="A2077" s="5" t="str">
        <f>HYPERLINK("https://onemount.atlassian.net/browse/DBA-2999","DBA-2999")</f>
        <v>DBA-2999</v>
      </c>
      <c r="B2077" s="6" t="s">
        <v>21</v>
      </c>
      <c r="C2077" s="6" t="s">
        <v>8994</v>
      </c>
      <c r="D2077" s="8" t="s">
        <v>17</v>
      </c>
      <c r="E2077" s="6" t="s">
        <v>23</v>
      </c>
      <c r="F2077" s="6" t="s">
        <v>31</v>
      </c>
      <c r="G2077" s="6" t="s">
        <v>9011</v>
      </c>
      <c r="H2077" s="10">
        <v>45966</v>
      </c>
      <c r="I2077" s="6" t="s">
        <v>9012</v>
      </c>
      <c r="J2077" s="6" t="s">
        <v>1898</v>
      </c>
      <c r="K2077" s="6" t="s">
        <v>165</v>
      </c>
      <c r="L2077" s="6" t="s">
        <v>1097</v>
      </c>
      <c r="M2077" s="6" t="s">
        <v>9013</v>
      </c>
    </row>
    <row r="2078" spans="1:13" ht="13" x14ac:dyDescent="0.15">
      <c r="A2078" s="5" t="str">
        <f>HYPERLINK("https://onemount.atlassian.net/browse/DBA-2998","DBA-2998")</f>
        <v>DBA-2998</v>
      </c>
      <c r="B2078" s="6" t="s">
        <v>21</v>
      </c>
      <c r="C2078" s="6" t="s">
        <v>9014</v>
      </c>
      <c r="D2078" s="8" t="s">
        <v>17</v>
      </c>
      <c r="E2078" s="6" t="s">
        <v>23</v>
      </c>
      <c r="F2078" s="6" t="s">
        <v>24</v>
      </c>
      <c r="G2078" s="6" t="s">
        <v>9015</v>
      </c>
      <c r="H2078" s="10">
        <v>45964</v>
      </c>
      <c r="I2078" s="6" t="s">
        <v>9016</v>
      </c>
      <c r="J2078" s="6" t="s">
        <v>8317</v>
      </c>
      <c r="K2078" s="6" t="s">
        <v>55</v>
      </c>
      <c r="L2078" s="6" t="s">
        <v>906</v>
      </c>
      <c r="M2078" s="6" t="s">
        <v>9017</v>
      </c>
    </row>
    <row r="2079" spans="1:13" ht="13" x14ac:dyDescent="0.15">
      <c r="A2079" s="5" t="str">
        <f>HYPERLINK("https://onemount.atlassian.net/browse/DBA-2997","DBA-2997")</f>
        <v>DBA-2997</v>
      </c>
      <c r="B2079" s="6" t="s">
        <v>21</v>
      </c>
      <c r="C2079" s="6" t="s">
        <v>9018</v>
      </c>
      <c r="D2079" s="8" t="s">
        <v>17</v>
      </c>
      <c r="E2079" s="6" t="s">
        <v>23</v>
      </c>
      <c r="F2079" s="6" t="s">
        <v>41</v>
      </c>
      <c r="G2079" s="6" t="s">
        <v>9019</v>
      </c>
      <c r="H2079" s="10">
        <v>45964</v>
      </c>
      <c r="I2079" s="6" t="s">
        <v>9020</v>
      </c>
      <c r="J2079" s="6" t="s">
        <v>61</v>
      </c>
      <c r="K2079" s="6" t="s">
        <v>59</v>
      </c>
      <c r="L2079" s="6" t="s">
        <v>61</v>
      </c>
      <c r="M2079" s="6" t="s">
        <v>9021</v>
      </c>
    </row>
    <row r="2080" spans="1:13" ht="13" x14ac:dyDescent="0.15">
      <c r="A2080" s="5" t="str">
        <f>HYPERLINK("https://onemount.atlassian.net/browse/DBA-2996","DBA-2996")</f>
        <v>DBA-2996</v>
      </c>
      <c r="B2080" s="6" t="s">
        <v>21</v>
      </c>
      <c r="C2080" s="6" t="s">
        <v>9022</v>
      </c>
      <c r="D2080" s="8" t="s">
        <v>17</v>
      </c>
      <c r="E2080" s="6" t="s">
        <v>23</v>
      </c>
      <c r="F2080" s="6" t="s">
        <v>24</v>
      </c>
      <c r="G2080" s="6" t="s">
        <v>9023</v>
      </c>
      <c r="H2080" s="10">
        <v>45965</v>
      </c>
      <c r="I2080" s="6" t="s">
        <v>9024</v>
      </c>
      <c r="J2080" s="6" t="s">
        <v>85</v>
      </c>
      <c r="K2080" s="6" t="s">
        <v>55</v>
      </c>
      <c r="L2080" s="6" t="s">
        <v>85</v>
      </c>
      <c r="M2080" s="6" t="s">
        <v>9025</v>
      </c>
    </row>
    <row r="2081" spans="1:13" ht="13" x14ac:dyDescent="0.15">
      <c r="A2081" s="5" t="str">
        <f>HYPERLINK("https://onemount.atlassian.net/browse/DBA-2995","DBA-2995")</f>
        <v>DBA-2995</v>
      </c>
      <c r="B2081" s="6" t="s">
        <v>21</v>
      </c>
      <c r="C2081" s="6" t="s">
        <v>9026</v>
      </c>
      <c r="D2081" s="8" t="s">
        <v>17</v>
      </c>
      <c r="E2081" s="6" t="s">
        <v>23</v>
      </c>
      <c r="F2081" s="6" t="s">
        <v>31</v>
      </c>
      <c r="G2081" s="6" t="s">
        <v>9027</v>
      </c>
      <c r="H2081" s="10">
        <v>45965</v>
      </c>
      <c r="I2081" s="6" t="s">
        <v>9028</v>
      </c>
      <c r="J2081" s="6" t="s">
        <v>852</v>
      </c>
      <c r="K2081" s="6" t="s">
        <v>55</v>
      </c>
      <c r="L2081" s="6" t="s">
        <v>855</v>
      </c>
      <c r="M2081" s="6" t="s">
        <v>9029</v>
      </c>
    </row>
    <row r="2082" spans="1:13" ht="13" x14ac:dyDescent="0.15">
      <c r="A2082" s="5" t="str">
        <f>HYPERLINK("https://onemount.atlassian.net/browse/DBA-2994","DBA-2994")</f>
        <v>DBA-2994</v>
      </c>
      <c r="B2082" s="6" t="s">
        <v>21</v>
      </c>
      <c r="C2082" s="6" t="s">
        <v>9030</v>
      </c>
      <c r="D2082" s="8" t="s">
        <v>17</v>
      </c>
      <c r="E2082" s="6" t="s">
        <v>23</v>
      </c>
      <c r="F2082" s="6" t="s">
        <v>31</v>
      </c>
      <c r="G2082" s="6" t="s">
        <v>9031</v>
      </c>
      <c r="H2082" s="10">
        <v>45972</v>
      </c>
      <c r="I2082" s="6" t="s">
        <v>9032</v>
      </c>
      <c r="J2082" s="6" t="s">
        <v>55</v>
      </c>
      <c r="K2082" s="6" t="s">
        <v>55</v>
      </c>
      <c r="L2082" s="6" t="s">
        <v>956</v>
      </c>
      <c r="M2082" s="6" t="s">
        <v>9033</v>
      </c>
    </row>
    <row r="2083" spans="1:13" ht="13" x14ac:dyDescent="0.15">
      <c r="A2083" s="5" t="str">
        <f>HYPERLINK("https://onemount.atlassian.net/browse/DBA-2993","DBA-2993")</f>
        <v>DBA-2993</v>
      </c>
      <c r="B2083" s="6" t="s">
        <v>21</v>
      </c>
      <c r="C2083" s="6" t="s">
        <v>9034</v>
      </c>
      <c r="D2083" s="8" t="s">
        <v>17</v>
      </c>
      <c r="E2083" s="6" t="s">
        <v>23</v>
      </c>
      <c r="F2083" s="6" t="s">
        <v>24</v>
      </c>
      <c r="G2083" s="6" t="s">
        <v>9035</v>
      </c>
      <c r="H2083" s="10">
        <v>45962</v>
      </c>
      <c r="I2083" s="6" t="s">
        <v>9036</v>
      </c>
      <c r="J2083" s="6" t="s">
        <v>56</v>
      </c>
      <c r="K2083" s="6" t="s">
        <v>55</v>
      </c>
      <c r="L2083" s="6" t="s">
        <v>56</v>
      </c>
      <c r="M2083" s="6" t="s">
        <v>9037</v>
      </c>
    </row>
    <row r="2084" spans="1:13" ht="13" x14ac:dyDescent="0.15">
      <c r="A2084" s="5" t="str">
        <f>HYPERLINK("https://onemount.atlassian.net/browse/DBA-2992","DBA-2992")</f>
        <v>DBA-2992</v>
      </c>
      <c r="B2084" s="6" t="s">
        <v>21</v>
      </c>
      <c r="C2084" s="6" t="s">
        <v>9038</v>
      </c>
      <c r="D2084" s="8" t="s">
        <v>17</v>
      </c>
      <c r="E2084" s="6" t="s">
        <v>23</v>
      </c>
      <c r="F2084" s="6" t="s">
        <v>31</v>
      </c>
      <c r="G2084" s="6" t="s">
        <v>9039</v>
      </c>
      <c r="H2084" s="10">
        <v>45963</v>
      </c>
      <c r="I2084" s="6" t="s">
        <v>9040</v>
      </c>
      <c r="J2084" s="6" t="s">
        <v>478</v>
      </c>
      <c r="K2084" s="6" t="s">
        <v>35</v>
      </c>
      <c r="L2084" s="6" t="s">
        <v>129</v>
      </c>
      <c r="M2084" s="6" t="s">
        <v>9041</v>
      </c>
    </row>
    <row r="2085" spans="1:13" ht="13" x14ac:dyDescent="0.15">
      <c r="A2085" s="5" t="str">
        <f>HYPERLINK("https://onemount.atlassian.net/browse/DBA-2991","DBA-2991")</f>
        <v>DBA-2991</v>
      </c>
      <c r="B2085" s="6" t="s">
        <v>21</v>
      </c>
      <c r="C2085" s="6" t="s">
        <v>9042</v>
      </c>
      <c r="D2085" s="8" t="s">
        <v>17</v>
      </c>
      <c r="E2085" s="6" t="s">
        <v>23</v>
      </c>
      <c r="F2085" s="6" t="s">
        <v>31</v>
      </c>
      <c r="G2085" s="6" t="s">
        <v>9043</v>
      </c>
      <c r="H2085" s="10">
        <v>45963</v>
      </c>
      <c r="I2085" s="6" t="s">
        <v>9044</v>
      </c>
      <c r="J2085" s="6" t="s">
        <v>4033</v>
      </c>
      <c r="K2085" s="6" t="s">
        <v>165</v>
      </c>
      <c r="L2085" s="6" t="s">
        <v>119</v>
      </c>
      <c r="M2085" s="6" t="s">
        <v>9045</v>
      </c>
    </row>
    <row r="2086" spans="1:13" ht="13" x14ac:dyDescent="0.15">
      <c r="A2086" s="5" t="str">
        <f>HYPERLINK("https://onemount.atlassian.net/browse/DBA-2990","DBA-2990")</f>
        <v>DBA-2990</v>
      </c>
      <c r="B2086" s="6" t="s">
        <v>21</v>
      </c>
      <c r="C2086" s="6" t="s">
        <v>9046</v>
      </c>
      <c r="D2086" s="8" t="s">
        <v>17</v>
      </c>
      <c r="E2086" s="6" t="s">
        <v>23</v>
      </c>
      <c r="F2086" s="6" t="s">
        <v>24</v>
      </c>
      <c r="G2086" s="6" t="s">
        <v>9047</v>
      </c>
      <c r="H2086" s="10">
        <v>45965</v>
      </c>
      <c r="I2086" s="6" t="s">
        <v>9048</v>
      </c>
      <c r="J2086" s="6" t="s">
        <v>9049</v>
      </c>
      <c r="K2086" s="6" t="s">
        <v>165</v>
      </c>
      <c r="L2086" s="6" t="s">
        <v>119</v>
      </c>
      <c r="M2086" s="6" t="s">
        <v>9050</v>
      </c>
    </row>
    <row r="2087" spans="1:13" ht="13" x14ac:dyDescent="0.15">
      <c r="A2087" s="5" t="str">
        <f>HYPERLINK("https://onemount.atlassian.net/browse/DBA-2989","DBA-2989")</f>
        <v>DBA-2989</v>
      </c>
      <c r="B2087" s="6" t="s">
        <v>21</v>
      </c>
      <c r="C2087" s="6" t="s">
        <v>9051</v>
      </c>
      <c r="D2087" s="8" t="s">
        <v>17</v>
      </c>
      <c r="E2087" s="6" t="s">
        <v>23</v>
      </c>
      <c r="F2087" s="6" t="s">
        <v>24</v>
      </c>
      <c r="G2087" s="6" t="s">
        <v>9052</v>
      </c>
      <c r="H2087" s="10">
        <v>45963</v>
      </c>
      <c r="I2087" s="6" t="s">
        <v>9053</v>
      </c>
      <c r="J2087" s="6" t="s">
        <v>56</v>
      </c>
      <c r="K2087" s="6" t="s">
        <v>55</v>
      </c>
      <c r="L2087" s="6" t="s">
        <v>56</v>
      </c>
      <c r="M2087" s="6" t="s">
        <v>9054</v>
      </c>
    </row>
    <row r="2088" spans="1:13" ht="13" x14ac:dyDescent="0.15">
      <c r="A2088" s="5" t="str">
        <f>HYPERLINK("https://onemount.atlassian.net/browse/DBA-2988","DBA-2988")</f>
        <v>DBA-2988</v>
      </c>
      <c r="B2088" s="6" t="s">
        <v>21</v>
      </c>
      <c r="C2088" s="6" t="s">
        <v>8450</v>
      </c>
      <c r="D2088" s="8" t="s">
        <v>17</v>
      </c>
      <c r="E2088" s="6" t="s">
        <v>23</v>
      </c>
      <c r="F2088" s="6" t="s">
        <v>31</v>
      </c>
      <c r="G2088" s="6" t="s">
        <v>9055</v>
      </c>
      <c r="H2088" s="10">
        <v>45962</v>
      </c>
      <c r="I2088" s="6" t="s">
        <v>9056</v>
      </c>
      <c r="J2088" s="6" t="s">
        <v>55</v>
      </c>
      <c r="K2088" s="6" t="s">
        <v>55</v>
      </c>
      <c r="L2088" s="6" t="s">
        <v>956</v>
      </c>
      <c r="M2088" s="6" t="s">
        <v>9057</v>
      </c>
    </row>
    <row r="2089" spans="1:13" ht="13" x14ac:dyDescent="0.15">
      <c r="A2089" s="5" t="str">
        <f>HYPERLINK("https://onemount.atlassian.net/browse/DBA-2987","DBA-2987")</f>
        <v>DBA-2987</v>
      </c>
      <c r="B2089" s="6" t="s">
        <v>21</v>
      </c>
      <c r="C2089" s="6" t="s">
        <v>9058</v>
      </c>
      <c r="D2089" s="8" t="s">
        <v>17</v>
      </c>
      <c r="E2089" s="6" t="s">
        <v>23</v>
      </c>
      <c r="F2089" s="6" t="s">
        <v>24</v>
      </c>
      <c r="G2089" s="6" t="s">
        <v>9059</v>
      </c>
      <c r="H2089" s="10">
        <v>45962</v>
      </c>
      <c r="I2089" s="6" t="s">
        <v>9060</v>
      </c>
      <c r="J2089" s="6" t="s">
        <v>4792</v>
      </c>
      <c r="K2089" s="6" t="s">
        <v>55</v>
      </c>
      <c r="L2089" s="6" t="s">
        <v>270</v>
      </c>
      <c r="M2089" s="6" t="s">
        <v>9061</v>
      </c>
    </row>
    <row r="2090" spans="1:13" ht="13" x14ac:dyDescent="0.15">
      <c r="A2090" s="5" t="str">
        <f>HYPERLINK("https://onemount.atlassian.net/browse/DBA-2986","DBA-2986")</f>
        <v>DBA-2986</v>
      </c>
      <c r="B2090" s="6" t="s">
        <v>21</v>
      </c>
      <c r="C2090" s="6" t="s">
        <v>9062</v>
      </c>
      <c r="D2090" s="8" t="s">
        <v>17</v>
      </c>
      <c r="E2090" s="6" t="s">
        <v>23</v>
      </c>
      <c r="F2090" s="6" t="s">
        <v>31</v>
      </c>
      <c r="G2090" s="6" t="s">
        <v>9063</v>
      </c>
      <c r="H2090" s="10">
        <v>45963</v>
      </c>
      <c r="I2090" s="6" t="s">
        <v>9064</v>
      </c>
      <c r="J2090" s="6" t="s">
        <v>4033</v>
      </c>
      <c r="K2090" s="6" t="s">
        <v>165</v>
      </c>
      <c r="L2090" s="6" t="s">
        <v>119</v>
      </c>
      <c r="M2090" s="6" t="s">
        <v>9065</v>
      </c>
    </row>
    <row r="2091" spans="1:13" ht="13" x14ac:dyDescent="0.15">
      <c r="A2091" s="5" t="str">
        <f>HYPERLINK("https://onemount.atlassian.net/browse/DBA-2985","DBA-2985")</f>
        <v>DBA-2985</v>
      </c>
      <c r="B2091" s="6" t="s">
        <v>21</v>
      </c>
      <c r="C2091" s="6" t="s">
        <v>9066</v>
      </c>
      <c r="D2091" s="8" t="s">
        <v>17</v>
      </c>
      <c r="E2091" s="6" t="s">
        <v>23</v>
      </c>
      <c r="F2091" s="6" t="s">
        <v>31</v>
      </c>
      <c r="G2091" s="6" t="s">
        <v>9067</v>
      </c>
      <c r="H2091" s="10">
        <v>45962</v>
      </c>
      <c r="I2091" s="6" t="s">
        <v>9068</v>
      </c>
      <c r="J2091" s="6" t="s">
        <v>1898</v>
      </c>
      <c r="K2091" s="6" t="s">
        <v>165</v>
      </c>
      <c r="L2091" s="6" t="s">
        <v>1097</v>
      </c>
      <c r="M2091" s="6" t="s">
        <v>9069</v>
      </c>
    </row>
    <row r="2092" spans="1:13" ht="13" x14ac:dyDescent="0.15">
      <c r="A2092" s="5" t="str">
        <f>HYPERLINK("https://onemount.atlassian.net/browse/DBA-2984","DBA-2984")</f>
        <v>DBA-2984</v>
      </c>
      <c r="B2092" s="6" t="s">
        <v>21</v>
      </c>
      <c r="C2092" s="6" t="s">
        <v>9070</v>
      </c>
      <c r="D2092" s="8" t="s">
        <v>17</v>
      </c>
      <c r="E2092" s="6" t="s">
        <v>23</v>
      </c>
      <c r="F2092" s="6" t="s">
        <v>31</v>
      </c>
      <c r="G2092" s="6" t="s">
        <v>9071</v>
      </c>
      <c r="H2092" s="10">
        <v>45961</v>
      </c>
      <c r="I2092" s="6" t="s">
        <v>9072</v>
      </c>
      <c r="J2092" s="6" t="s">
        <v>55</v>
      </c>
      <c r="K2092" s="6" t="s">
        <v>55</v>
      </c>
      <c r="L2092" s="6" t="s">
        <v>956</v>
      </c>
      <c r="M2092" s="6" t="s">
        <v>9073</v>
      </c>
    </row>
    <row r="2093" spans="1:13" ht="13" x14ac:dyDescent="0.15">
      <c r="A2093" s="5" t="str">
        <f>HYPERLINK("https://onemount.atlassian.net/browse/DBA-2983","DBA-2983")</f>
        <v>DBA-2983</v>
      </c>
      <c r="B2093" s="6" t="s">
        <v>21</v>
      </c>
      <c r="C2093" s="6" t="s">
        <v>9074</v>
      </c>
      <c r="D2093" s="8" t="s">
        <v>17</v>
      </c>
      <c r="E2093" s="6" t="s">
        <v>23</v>
      </c>
      <c r="F2093" s="6" t="s">
        <v>31</v>
      </c>
      <c r="G2093" s="6" t="s">
        <v>9075</v>
      </c>
      <c r="H2093" s="10">
        <v>45961</v>
      </c>
      <c r="I2093" s="6" t="s">
        <v>9076</v>
      </c>
      <c r="J2093" s="6" t="s">
        <v>2687</v>
      </c>
      <c r="K2093" s="6" t="s">
        <v>46</v>
      </c>
      <c r="L2093" s="6" t="s">
        <v>404</v>
      </c>
      <c r="M2093" s="6" t="s">
        <v>9077</v>
      </c>
    </row>
    <row r="2094" spans="1:13" ht="13" x14ac:dyDescent="0.15">
      <c r="A2094" s="21" t="str">
        <f>HYPERLINK("https://onemount.atlassian.net/browse/DBA-2982","DBA-2982")</f>
        <v>DBA-2982</v>
      </c>
      <c r="B2094" s="6" t="s">
        <v>21</v>
      </c>
      <c r="C2094" s="6" t="s">
        <v>2684</v>
      </c>
      <c r="D2094" s="8" t="s">
        <v>17</v>
      </c>
      <c r="E2094" s="6" t="s">
        <v>23</v>
      </c>
      <c r="F2094" s="6" t="s">
        <v>31</v>
      </c>
      <c r="G2094" s="6" t="s">
        <v>9078</v>
      </c>
      <c r="H2094" s="10">
        <v>45961</v>
      </c>
      <c r="I2094" s="6" t="s">
        <v>9079</v>
      </c>
      <c r="J2094" s="6" t="s">
        <v>2687</v>
      </c>
      <c r="K2094" s="6" t="s">
        <v>46</v>
      </c>
      <c r="L2094" s="6" t="s">
        <v>404</v>
      </c>
      <c r="M2094" s="6" t="s">
        <v>9080</v>
      </c>
    </row>
    <row r="2095" spans="1:13" ht="13" x14ac:dyDescent="0.15">
      <c r="A2095" s="5" t="str">
        <f>HYPERLINK("https://onemount.atlassian.net/browse/DBA-2981","DBA-2981")</f>
        <v>DBA-2981</v>
      </c>
      <c r="B2095" s="6" t="s">
        <v>21</v>
      </c>
      <c r="C2095" s="6" t="s">
        <v>9081</v>
      </c>
      <c r="D2095" s="8" t="s">
        <v>17</v>
      </c>
      <c r="E2095" s="6" t="s">
        <v>23</v>
      </c>
      <c r="F2095" s="6" t="s">
        <v>41</v>
      </c>
      <c r="G2095" s="6" t="s">
        <v>9082</v>
      </c>
      <c r="H2095" s="10">
        <v>45961</v>
      </c>
      <c r="I2095" s="6" t="s">
        <v>9083</v>
      </c>
      <c r="J2095" s="6" t="s">
        <v>9084</v>
      </c>
      <c r="K2095" s="6" t="s">
        <v>28</v>
      </c>
      <c r="L2095" s="6" t="s">
        <v>27</v>
      </c>
      <c r="M2095" s="6" t="s">
        <v>9085</v>
      </c>
    </row>
    <row r="2096" spans="1:13" ht="13" x14ac:dyDescent="0.15">
      <c r="A2096" s="5" t="str">
        <f>HYPERLINK("https://onemount.atlassian.net/browse/DBA-2980","DBA-2980")</f>
        <v>DBA-2980</v>
      </c>
      <c r="B2096" s="6" t="s">
        <v>21</v>
      </c>
      <c r="C2096" s="6" t="s">
        <v>9086</v>
      </c>
      <c r="D2096" s="8" t="s">
        <v>17</v>
      </c>
      <c r="E2096" s="6" t="s">
        <v>23</v>
      </c>
      <c r="F2096" s="6" t="s">
        <v>24</v>
      </c>
      <c r="G2096" s="6" t="s">
        <v>9087</v>
      </c>
      <c r="H2096" s="10">
        <v>45961</v>
      </c>
      <c r="I2096" s="6" t="s">
        <v>9088</v>
      </c>
      <c r="J2096" s="6" t="s">
        <v>8783</v>
      </c>
      <c r="K2096" s="6" t="s">
        <v>55</v>
      </c>
      <c r="L2096" s="6" t="s">
        <v>906</v>
      </c>
      <c r="M2096" s="6" t="s">
        <v>9089</v>
      </c>
    </row>
    <row r="2097" spans="1:13" ht="13" x14ac:dyDescent="0.15">
      <c r="A2097" s="5" t="str">
        <f>HYPERLINK("https://onemount.atlassian.net/browse/DBA-2979","DBA-2979")</f>
        <v>DBA-2979</v>
      </c>
      <c r="B2097" s="6" t="s">
        <v>21</v>
      </c>
      <c r="C2097" s="6" t="s">
        <v>9090</v>
      </c>
      <c r="D2097" s="8" t="s">
        <v>17</v>
      </c>
      <c r="E2097" s="6" t="s">
        <v>23</v>
      </c>
      <c r="F2097" s="6" t="s">
        <v>41</v>
      </c>
      <c r="G2097" s="6" t="s">
        <v>9091</v>
      </c>
      <c r="H2097" s="10">
        <v>46045</v>
      </c>
      <c r="I2097" s="6" t="s">
        <v>9092</v>
      </c>
      <c r="J2097" s="6" t="s">
        <v>27</v>
      </c>
      <c r="K2097" s="6" t="s">
        <v>28</v>
      </c>
      <c r="L2097" s="6" t="s">
        <v>27</v>
      </c>
      <c r="M2097" s="6" t="s">
        <v>9093</v>
      </c>
    </row>
    <row r="2098" spans="1:13" ht="13" x14ac:dyDescent="0.15">
      <c r="A2098" s="5" t="str">
        <f>HYPERLINK("https://onemount.atlassian.net/browse/DBA-2978","DBA-2978")</f>
        <v>DBA-2978</v>
      </c>
      <c r="B2098" s="6" t="s">
        <v>21</v>
      </c>
      <c r="C2098" s="6" t="s">
        <v>9094</v>
      </c>
      <c r="D2098" s="8" t="s">
        <v>17</v>
      </c>
      <c r="E2098" s="6" t="s">
        <v>23</v>
      </c>
      <c r="F2098" s="6" t="s">
        <v>31</v>
      </c>
      <c r="G2098" s="6" t="s">
        <v>9095</v>
      </c>
      <c r="H2098" s="10">
        <v>45962</v>
      </c>
      <c r="I2098" s="6" t="s">
        <v>9096</v>
      </c>
      <c r="J2098" s="6" t="s">
        <v>628</v>
      </c>
      <c r="K2098" s="6" t="s">
        <v>165</v>
      </c>
      <c r="L2098" s="6" t="s">
        <v>119</v>
      </c>
      <c r="M2098" s="6" t="s">
        <v>9097</v>
      </c>
    </row>
    <row r="2099" spans="1:13" ht="13" x14ac:dyDescent="0.15">
      <c r="A2099" s="5" t="str">
        <f>HYPERLINK("https://onemount.atlassian.net/browse/DBA-2977","DBA-2977")</f>
        <v>DBA-2977</v>
      </c>
      <c r="B2099" s="6" t="s">
        <v>21</v>
      </c>
      <c r="C2099" s="6" t="s">
        <v>8384</v>
      </c>
      <c r="D2099" s="8" t="s">
        <v>17</v>
      </c>
      <c r="E2099" s="6" t="s">
        <v>23</v>
      </c>
      <c r="F2099" s="6" t="s">
        <v>41</v>
      </c>
      <c r="G2099" s="6" t="s">
        <v>9098</v>
      </c>
      <c r="H2099" s="10">
        <v>45961</v>
      </c>
      <c r="I2099" s="6" t="s">
        <v>9099</v>
      </c>
      <c r="J2099" s="6" t="s">
        <v>2427</v>
      </c>
      <c r="K2099" s="6" t="s">
        <v>28</v>
      </c>
      <c r="L2099" s="6" t="s">
        <v>1000</v>
      </c>
      <c r="M2099" s="6" t="s">
        <v>9100</v>
      </c>
    </row>
    <row r="2100" spans="1:13" ht="13" x14ac:dyDescent="0.15">
      <c r="A2100" s="5" t="str">
        <f>HYPERLINK("https://onemount.atlassian.net/browse/DBA-2976","DBA-2976")</f>
        <v>DBA-2976</v>
      </c>
      <c r="B2100" s="6" t="s">
        <v>21</v>
      </c>
      <c r="C2100" s="6" t="s">
        <v>9101</v>
      </c>
      <c r="D2100" s="8" t="s">
        <v>17</v>
      </c>
      <c r="E2100" s="6" t="s">
        <v>23</v>
      </c>
      <c r="F2100" s="6" t="s">
        <v>31</v>
      </c>
      <c r="G2100" s="6" t="s">
        <v>9102</v>
      </c>
      <c r="H2100" s="10">
        <v>45961</v>
      </c>
      <c r="I2100" s="6" t="s">
        <v>9103</v>
      </c>
      <c r="J2100" s="6" t="s">
        <v>85</v>
      </c>
      <c r="K2100" s="6" t="s">
        <v>55</v>
      </c>
      <c r="L2100" s="6" t="s">
        <v>85</v>
      </c>
      <c r="M2100" s="6" t="s">
        <v>9104</v>
      </c>
    </row>
    <row r="2101" spans="1:13" ht="13" x14ac:dyDescent="0.15">
      <c r="A2101" s="5" t="str">
        <f>HYPERLINK("https://onemount.atlassian.net/browse/DBA-2975","DBA-2975")</f>
        <v>DBA-2975</v>
      </c>
      <c r="B2101" s="6" t="s">
        <v>21</v>
      </c>
      <c r="C2101" s="6" t="s">
        <v>9105</v>
      </c>
      <c r="D2101" s="8" t="s">
        <v>17</v>
      </c>
      <c r="E2101" s="6" t="s">
        <v>23</v>
      </c>
      <c r="F2101" s="6" t="s">
        <v>31</v>
      </c>
      <c r="G2101" s="6" t="s">
        <v>9106</v>
      </c>
      <c r="H2101" s="10">
        <v>45962</v>
      </c>
      <c r="I2101" s="6" t="s">
        <v>9107</v>
      </c>
      <c r="J2101" s="6" t="s">
        <v>715</v>
      </c>
      <c r="K2101" s="6" t="s">
        <v>55</v>
      </c>
      <c r="L2101" s="6" t="s">
        <v>715</v>
      </c>
      <c r="M2101" s="6" t="s">
        <v>9108</v>
      </c>
    </row>
    <row r="2102" spans="1:13" ht="13" x14ac:dyDescent="0.15">
      <c r="A2102" s="5" t="str">
        <f>HYPERLINK("https://onemount.atlassian.net/browse/DBA-2974","DBA-2974")</f>
        <v>DBA-2974</v>
      </c>
      <c r="B2102" s="6" t="s">
        <v>21</v>
      </c>
      <c r="C2102" s="6" t="s">
        <v>9109</v>
      </c>
      <c r="D2102" s="8" t="s">
        <v>17</v>
      </c>
      <c r="E2102" s="6" t="s">
        <v>23</v>
      </c>
      <c r="F2102" s="6" t="s">
        <v>31</v>
      </c>
      <c r="G2102" s="6" t="s">
        <v>9110</v>
      </c>
      <c r="H2102" s="10">
        <v>45961</v>
      </c>
      <c r="I2102" s="6" t="s">
        <v>9111</v>
      </c>
      <c r="J2102" s="6" t="s">
        <v>55</v>
      </c>
      <c r="K2102" s="6" t="s">
        <v>55</v>
      </c>
      <c r="L2102" s="6" t="s">
        <v>956</v>
      </c>
      <c r="M2102" s="6" t="s">
        <v>9112</v>
      </c>
    </row>
    <row r="2103" spans="1:13" ht="13" x14ac:dyDescent="0.15">
      <c r="A2103" s="5" t="str">
        <f>HYPERLINK("https://onemount.atlassian.net/browse/DBA-2973","DBA-2973")</f>
        <v>DBA-2973</v>
      </c>
      <c r="B2103" s="6" t="s">
        <v>21</v>
      </c>
      <c r="C2103" s="6" t="s">
        <v>9113</v>
      </c>
      <c r="D2103" s="8" t="s">
        <v>17</v>
      </c>
      <c r="E2103" s="6" t="s">
        <v>23</v>
      </c>
      <c r="F2103" s="6" t="s">
        <v>24</v>
      </c>
      <c r="G2103" s="6" t="s">
        <v>9114</v>
      </c>
      <c r="H2103" s="10">
        <v>45962</v>
      </c>
      <c r="I2103" s="6" t="s">
        <v>9115</v>
      </c>
      <c r="J2103" s="6" t="s">
        <v>638</v>
      </c>
      <c r="K2103" s="6" t="s">
        <v>35</v>
      </c>
      <c r="L2103" s="6" t="s">
        <v>638</v>
      </c>
      <c r="M2103" s="6" t="s">
        <v>9116</v>
      </c>
    </row>
    <row r="2104" spans="1:13" ht="13" x14ac:dyDescent="0.15">
      <c r="A2104" s="5" t="str">
        <f>HYPERLINK("https://onemount.atlassian.net/browse/DBA-2972","DBA-2972")</f>
        <v>DBA-2972</v>
      </c>
      <c r="B2104" s="23" t="str">
        <f t="shared" ref="B2104:B2105" si="26">HYPERLINK("https://onemount.atlassian.net/browse/DBA-2062","DBA-2062")</f>
        <v>DBA-2062</v>
      </c>
      <c r="C2104" s="6" t="s">
        <v>9117</v>
      </c>
      <c r="D2104" s="8" t="s">
        <v>17</v>
      </c>
      <c r="E2104" s="6" t="s">
        <v>428</v>
      </c>
      <c r="F2104" s="6" t="s">
        <v>24</v>
      </c>
      <c r="G2104" s="6" t="s">
        <v>9118</v>
      </c>
      <c r="H2104" s="10">
        <v>45961</v>
      </c>
      <c r="I2104" s="6" t="s">
        <v>9119</v>
      </c>
      <c r="J2104" s="6" t="s">
        <v>7825</v>
      </c>
      <c r="K2104" s="6" t="s">
        <v>55</v>
      </c>
      <c r="L2104" s="6" t="s">
        <v>772</v>
      </c>
      <c r="M2104" s="6" t="s">
        <v>9120</v>
      </c>
    </row>
    <row r="2105" spans="1:13" ht="13" x14ac:dyDescent="0.15">
      <c r="A2105" s="5" t="str">
        <f>HYPERLINK("https://onemount.atlassian.net/browse/DBA-2971","DBA-2971")</f>
        <v>DBA-2971</v>
      </c>
      <c r="B2105" s="23" t="str">
        <f t="shared" si="26"/>
        <v>DBA-2062</v>
      </c>
      <c r="C2105" s="6" t="s">
        <v>9121</v>
      </c>
      <c r="D2105" s="8" t="s">
        <v>17</v>
      </c>
      <c r="E2105" s="6" t="s">
        <v>428</v>
      </c>
      <c r="F2105" s="6" t="s">
        <v>31</v>
      </c>
      <c r="G2105" s="6" t="s">
        <v>9122</v>
      </c>
      <c r="H2105" s="10">
        <v>45966</v>
      </c>
      <c r="I2105" s="6" t="s">
        <v>9123</v>
      </c>
      <c r="J2105" s="6" t="s">
        <v>7825</v>
      </c>
      <c r="K2105" s="6" t="s">
        <v>55</v>
      </c>
      <c r="L2105" s="6" t="s">
        <v>772</v>
      </c>
      <c r="M2105" s="6" t="s">
        <v>9124</v>
      </c>
    </row>
    <row r="2106" spans="1:13" ht="13" x14ac:dyDescent="0.15">
      <c r="A2106" s="5" t="str">
        <f>HYPERLINK("https://onemount.atlassian.net/browse/DBA-2970","DBA-2970")</f>
        <v>DBA-2970</v>
      </c>
      <c r="B2106" s="6" t="s">
        <v>21</v>
      </c>
      <c r="C2106" s="6" t="s">
        <v>9125</v>
      </c>
      <c r="D2106" s="8" t="s">
        <v>17</v>
      </c>
      <c r="E2106" s="6" t="s">
        <v>23</v>
      </c>
      <c r="F2106" s="6" t="s">
        <v>41</v>
      </c>
      <c r="G2106" s="6" t="s">
        <v>9126</v>
      </c>
      <c r="H2106" s="10">
        <v>45961</v>
      </c>
      <c r="I2106" s="6" t="s">
        <v>9127</v>
      </c>
      <c r="J2106" s="6" t="s">
        <v>9084</v>
      </c>
      <c r="K2106" s="6" t="s">
        <v>28</v>
      </c>
      <c r="L2106" s="6" t="s">
        <v>27</v>
      </c>
      <c r="M2106" s="6" t="s">
        <v>9128</v>
      </c>
    </row>
    <row r="2107" spans="1:13" ht="13" x14ac:dyDescent="0.15">
      <c r="A2107" s="5" t="str">
        <f>HYPERLINK("https://onemount.atlassian.net/browse/DBA-2965","DBA-2965")</f>
        <v>DBA-2965</v>
      </c>
      <c r="B2107" s="6" t="s">
        <v>21</v>
      </c>
      <c r="C2107" s="6" t="s">
        <v>9129</v>
      </c>
      <c r="D2107" s="8" t="s">
        <v>17</v>
      </c>
      <c r="E2107" s="6" t="s">
        <v>23</v>
      </c>
      <c r="F2107" s="6" t="s">
        <v>31</v>
      </c>
      <c r="G2107" s="6" t="s">
        <v>9130</v>
      </c>
      <c r="H2107" s="10">
        <v>45961</v>
      </c>
      <c r="I2107" s="6" t="s">
        <v>9131</v>
      </c>
      <c r="J2107" s="6" t="s">
        <v>843</v>
      </c>
      <c r="K2107" s="6" t="s">
        <v>55</v>
      </c>
      <c r="L2107" s="6" t="s">
        <v>843</v>
      </c>
      <c r="M2107" s="6" t="s">
        <v>9132</v>
      </c>
    </row>
    <row r="2108" spans="1:13" ht="13" x14ac:dyDescent="0.15">
      <c r="A2108" s="5" t="str">
        <f>HYPERLINK("https://onemount.atlassian.net/browse/DBA-2964","DBA-2964")</f>
        <v>DBA-2964</v>
      </c>
      <c r="B2108" s="6" t="s">
        <v>21</v>
      </c>
      <c r="C2108" s="6" t="s">
        <v>9117</v>
      </c>
      <c r="D2108" s="8" t="s">
        <v>17</v>
      </c>
      <c r="E2108" s="6" t="s">
        <v>23</v>
      </c>
      <c r="F2108" s="6" t="s">
        <v>24</v>
      </c>
      <c r="G2108" s="6" t="s">
        <v>9133</v>
      </c>
      <c r="H2108" s="10">
        <v>45960</v>
      </c>
      <c r="I2108" s="6" t="s">
        <v>9134</v>
      </c>
      <c r="J2108" s="6" t="s">
        <v>9135</v>
      </c>
      <c r="K2108" s="6" t="s">
        <v>55</v>
      </c>
      <c r="L2108" s="6" t="s">
        <v>793</v>
      </c>
      <c r="M2108" s="6" t="s">
        <v>9136</v>
      </c>
    </row>
    <row r="2109" spans="1:13" ht="13" x14ac:dyDescent="0.15">
      <c r="A2109" s="5" t="str">
        <f>HYPERLINK("https://onemount.atlassian.net/browse/DBA-2963","DBA-2963")</f>
        <v>DBA-2963</v>
      </c>
      <c r="B2109" s="6" t="s">
        <v>21</v>
      </c>
      <c r="C2109" s="6" t="s">
        <v>9137</v>
      </c>
      <c r="D2109" s="8" t="s">
        <v>17</v>
      </c>
      <c r="E2109" s="6" t="s">
        <v>23</v>
      </c>
      <c r="F2109" s="6" t="s">
        <v>24</v>
      </c>
      <c r="G2109" s="6" t="s">
        <v>9138</v>
      </c>
      <c r="H2109" s="10">
        <v>45962</v>
      </c>
      <c r="I2109" s="6" t="s">
        <v>9139</v>
      </c>
      <c r="J2109" s="6" t="s">
        <v>165</v>
      </c>
      <c r="K2109" s="6" t="s">
        <v>165</v>
      </c>
      <c r="L2109" s="6" t="s">
        <v>39</v>
      </c>
      <c r="M2109" s="6" t="s">
        <v>9140</v>
      </c>
    </row>
    <row r="2110" spans="1:13" ht="13" x14ac:dyDescent="0.15">
      <c r="A2110" s="5" t="str">
        <f>HYPERLINK("https://onemount.atlassian.net/browse/DBA-2962","DBA-2962")</f>
        <v>DBA-2962</v>
      </c>
      <c r="B2110" s="6" t="s">
        <v>21</v>
      </c>
      <c r="C2110" s="6" t="s">
        <v>9141</v>
      </c>
      <c r="D2110" s="8" t="s">
        <v>17</v>
      </c>
      <c r="E2110" s="6" t="s">
        <v>23</v>
      </c>
      <c r="F2110" s="6" t="s">
        <v>24</v>
      </c>
      <c r="G2110" s="6" t="s">
        <v>9142</v>
      </c>
      <c r="H2110" s="10">
        <v>45960</v>
      </c>
      <c r="I2110" s="6" t="s">
        <v>9143</v>
      </c>
      <c r="J2110" s="6" t="s">
        <v>165</v>
      </c>
      <c r="K2110" s="6" t="s">
        <v>165</v>
      </c>
      <c r="L2110" s="6" t="s">
        <v>39</v>
      </c>
      <c r="M2110" s="6" t="s">
        <v>9144</v>
      </c>
    </row>
    <row r="2111" spans="1:13" ht="13" x14ac:dyDescent="0.15">
      <c r="A2111" s="5" t="str">
        <f>HYPERLINK("https://onemount.atlassian.net/browse/DBA-2961","DBA-2961")</f>
        <v>DBA-2961</v>
      </c>
      <c r="B2111" s="6" t="s">
        <v>21</v>
      </c>
      <c r="C2111" s="6" t="s">
        <v>9145</v>
      </c>
      <c r="D2111" s="8" t="s">
        <v>17</v>
      </c>
      <c r="E2111" s="6" t="s">
        <v>23</v>
      </c>
      <c r="F2111" s="6" t="s">
        <v>96</v>
      </c>
      <c r="G2111" s="6" t="s">
        <v>9146</v>
      </c>
      <c r="H2111" s="10">
        <v>45959</v>
      </c>
      <c r="I2111" s="6" t="s">
        <v>9147</v>
      </c>
      <c r="J2111" s="6" t="s">
        <v>1091</v>
      </c>
      <c r="K2111" s="6" t="s">
        <v>165</v>
      </c>
      <c r="L2111" s="6" t="s">
        <v>1091</v>
      </c>
      <c r="M2111" s="6" t="s">
        <v>9148</v>
      </c>
    </row>
    <row r="2112" spans="1:13" ht="13" x14ac:dyDescent="0.15">
      <c r="A2112" s="5" t="str">
        <f>HYPERLINK("https://onemount.atlassian.net/browse/DBA-2960","DBA-2960")</f>
        <v>DBA-2960</v>
      </c>
      <c r="B2112" s="6" t="s">
        <v>21</v>
      </c>
      <c r="C2112" s="6" t="s">
        <v>9149</v>
      </c>
      <c r="D2112" s="8" t="s">
        <v>17</v>
      </c>
      <c r="E2112" s="6" t="s">
        <v>23</v>
      </c>
      <c r="F2112" s="6" t="s">
        <v>31</v>
      </c>
      <c r="G2112" s="6" t="s">
        <v>9150</v>
      </c>
      <c r="H2112" s="10">
        <v>45959</v>
      </c>
      <c r="I2112" s="6" t="s">
        <v>9151</v>
      </c>
      <c r="J2112" s="6" t="s">
        <v>478</v>
      </c>
      <c r="K2112" s="6" t="s">
        <v>35</v>
      </c>
      <c r="L2112" s="6" t="s">
        <v>478</v>
      </c>
      <c r="M2112" s="6" t="s">
        <v>9152</v>
      </c>
    </row>
    <row r="2113" spans="1:13" ht="13" x14ac:dyDescent="0.15">
      <c r="A2113" s="5" t="str">
        <f>HYPERLINK("https://onemount.atlassian.net/browse/DBA-2959","DBA-2959")</f>
        <v>DBA-2959</v>
      </c>
      <c r="B2113" s="6" t="s">
        <v>21</v>
      </c>
      <c r="C2113" s="6" t="s">
        <v>8384</v>
      </c>
      <c r="D2113" s="8" t="s">
        <v>17</v>
      </c>
      <c r="E2113" s="6" t="s">
        <v>23</v>
      </c>
      <c r="F2113" s="6" t="s">
        <v>41</v>
      </c>
      <c r="G2113" s="6" t="s">
        <v>9153</v>
      </c>
      <c r="H2113" s="10">
        <v>45959</v>
      </c>
      <c r="I2113" s="6" t="s">
        <v>9154</v>
      </c>
      <c r="J2113" s="6" t="s">
        <v>9155</v>
      </c>
      <c r="K2113" s="6" t="s">
        <v>28</v>
      </c>
      <c r="L2113" s="6" t="s">
        <v>1000</v>
      </c>
      <c r="M2113" s="6" t="s">
        <v>9156</v>
      </c>
    </row>
    <row r="2114" spans="1:13" ht="13" x14ac:dyDescent="0.15">
      <c r="A2114" s="5" t="str">
        <f>HYPERLINK("https://onemount.atlassian.net/browse/DBA-2958","DBA-2958")</f>
        <v>DBA-2958</v>
      </c>
      <c r="B2114" s="6" t="s">
        <v>21</v>
      </c>
      <c r="C2114" s="6" t="s">
        <v>8384</v>
      </c>
      <c r="D2114" s="8" t="s">
        <v>17</v>
      </c>
      <c r="E2114" s="6" t="s">
        <v>23</v>
      </c>
      <c r="F2114" s="6" t="s">
        <v>41</v>
      </c>
      <c r="G2114" s="6" t="s">
        <v>9157</v>
      </c>
      <c r="H2114" s="10">
        <v>45959</v>
      </c>
      <c r="I2114" s="6" t="s">
        <v>9158</v>
      </c>
      <c r="J2114" s="6" t="s">
        <v>2427</v>
      </c>
      <c r="K2114" s="6" t="s">
        <v>28</v>
      </c>
      <c r="L2114" s="6" t="s">
        <v>1000</v>
      </c>
      <c r="M2114" s="6" t="s">
        <v>9159</v>
      </c>
    </row>
    <row r="2115" spans="1:13" ht="13" x14ac:dyDescent="0.15">
      <c r="A2115" s="5" t="str">
        <f>HYPERLINK("https://onemount.atlassian.net/browse/DBA-2957","DBA-2957")</f>
        <v>DBA-2957</v>
      </c>
      <c r="B2115" s="6" t="s">
        <v>21</v>
      </c>
      <c r="C2115" s="6" t="s">
        <v>8563</v>
      </c>
      <c r="D2115" s="8" t="s">
        <v>17</v>
      </c>
      <c r="E2115" s="6" t="s">
        <v>23</v>
      </c>
      <c r="F2115" s="6" t="s">
        <v>24</v>
      </c>
      <c r="G2115" s="6" t="s">
        <v>9160</v>
      </c>
      <c r="H2115" s="10">
        <v>45960</v>
      </c>
      <c r="I2115" s="6" t="s">
        <v>9161</v>
      </c>
      <c r="J2115" s="6" t="s">
        <v>165</v>
      </c>
      <c r="K2115" s="6" t="s">
        <v>165</v>
      </c>
      <c r="L2115" s="6" t="s">
        <v>39</v>
      </c>
      <c r="M2115" s="6" t="s">
        <v>9162</v>
      </c>
    </row>
    <row r="2116" spans="1:13" ht="13" x14ac:dyDescent="0.15">
      <c r="A2116" s="5" t="str">
        <f>HYPERLINK("https://onemount.atlassian.net/browse/DBA-2956","DBA-2956")</f>
        <v>DBA-2956</v>
      </c>
      <c r="B2116" s="6" t="s">
        <v>21</v>
      </c>
      <c r="C2116" s="6" t="s">
        <v>9163</v>
      </c>
      <c r="D2116" s="8" t="s">
        <v>17</v>
      </c>
      <c r="E2116" s="6" t="s">
        <v>23</v>
      </c>
      <c r="F2116" s="6" t="s">
        <v>31</v>
      </c>
      <c r="G2116" s="6" t="s">
        <v>9164</v>
      </c>
      <c r="H2116" s="10">
        <v>45959</v>
      </c>
      <c r="I2116" s="6" t="s">
        <v>9165</v>
      </c>
      <c r="J2116" s="6" t="s">
        <v>8783</v>
      </c>
      <c r="K2116" s="6" t="s">
        <v>55</v>
      </c>
      <c r="L2116" s="6" t="s">
        <v>906</v>
      </c>
      <c r="M2116" s="6" t="s">
        <v>9166</v>
      </c>
    </row>
    <row r="2117" spans="1:13" ht="13" x14ac:dyDescent="0.15">
      <c r="A2117" s="5" t="str">
        <f>HYPERLINK("https://onemount.atlassian.net/browse/DBA-2955","DBA-2955")</f>
        <v>DBA-2955</v>
      </c>
      <c r="B2117" s="6" t="s">
        <v>21</v>
      </c>
      <c r="C2117" s="6" t="s">
        <v>9167</v>
      </c>
      <c r="D2117" s="8" t="s">
        <v>17</v>
      </c>
      <c r="E2117" s="6" t="s">
        <v>23</v>
      </c>
      <c r="F2117" s="6" t="s">
        <v>24</v>
      </c>
      <c r="G2117" s="6" t="s">
        <v>9168</v>
      </c>
      <c r="H2117" s="10">
        <v>45960</v>
      </c>
      <c r="I2117" s="6" t="s">
        <v>9169</v>
      </c>
      <c r="J2117" s="6" t="s">
        <v>4792</v>
      </c>
      <c r="K2117" s="6" t="s">
        <v>55</v>
      </c>
      <c r="L2117" s="6" t="s">
        <v>270</v>
      </c>
      <c r="M2117" s="6" t="s">
        <v>9170</v>
      </c>
    </row>
    <row r="2118" spans="1:13" ht="13" x14ac:dyDescent="0.15">
      <c r="A2118" s="5" t="str">
        <f>HYPERLINK("https://onemount.atlassian.net/browse/DBA-2954","DBA-2954")</f>
        <v>DBA-2954</v>
      </c>
      <c r="B2118" s="6" t="s">
        <v>21</v>
      </c>
      <c r="C2118" s="6" t="s">
        <v>9171</v>
      </c>
      <c r="D2118" s="8" t="s">
        <v>17</v>
      </c>
      <c r="E2118" s="6" t="s">
        <v>23</v>
      </c>
      <c r="F2118" s="6" t="s">
        <v>96</v>
      </c>
      <c r="G2118" s="6" t="s">
        <v>9172</v>
      </c>
      <c r="H2118" s="10">
        <v>45959</v>
      </c>
      <c r="I2118" s="6" t="s">
        <v>9173</v>
      </c>
      <c r="J2118" s="6" t="s">
        <v>8362</v>
      </c>
      <c r="K2118" s="6" t="s">
        <v>165</v>
      </c>
      <c r="L2118" s="6" t="s">
        <v>145</v>
      </c>
      <c r="M2118" s="6" t="s">
        <v>9174</v>
      </c>
    </row>
    <row r="2119" spans="1:13" ht="13" x14ac:dyDescent="0.15">
      <c r="A2119" s="5" t="str">
        <f>HYPERLINK("https://onemount.atlassian.net/browse/DBA-2952","DBA-2952")</f>
        <v>DBA-2952</v>
      </c>
      <c r="B2119" s="6" t="s">
        <v>21</v>
      </c>
      <c r="C2119" s="6" t="s">
        <v>9175</v>
      </c>
      <c r="D2119" s="8" t="s">
        <v>17</v>
      </c>
      <c r="E2119" s="6" t="s">
        <v>23</v>
      </c>
      <c r="F2119" s="6" t="s">
        <v>31</v>
      </c>
      <c r="G2119" s="6" t="s">
        <v>9176</v>
      </c>
      <c r="H2119" s="10">
        <v>45959</v>
      </c>
      <c r="I2119" s="6" t="s">
        <v>9177</v>
      </c>
      <c r="J2119" s="6" t="s">
        <v>85</v>
      </c>
      <c r="K2119" s="6" t="s">
        <v>55</v>
      </c>
      <c r="L2119" s="6" t="s">
        <v>85</v>
      </c>
      <c r="M2119" s="6" t="s">
        <v>9178</v>
      </c>
    </row>
    <row r="2120" spans="1:13" ht="13" x14ac:dyDescent="0.15">
      <c r="A2120" s="5" t="str">
        <f>HYPERLINK("https://onemount.atlassian.net/browse/DBA-2951","DBA-2951")</f>
        <v>DBA-2951</v>
      </c>
      <c r="B2120" s="6" t="s">
        <v>21</v>
      </c>
      <c r="C2120" s="6" t="s">
        <v>9179</v>
      </c>
      <c r="D2120" s="8" t="s">
        <v>17</v>
      </c>
      <c r="E2120" s="6" t="s">
        <v>23</v>
      </c>
      <c r="F2120" s="6" t="s">
        <v>31</v>
      </c>
      <c r="G2120" s="6" t="s">
        <v>9180</v>
      </c>
      <c r="H2120" s="10">
        <v>45959</v>
      </c>
      <c r="I2120" s="6" t="s">
        <v>9181</v>
      </c>
      <c r="J2120" s="6" t="s">
        <v>8561</v>
      </c>
      <c r="K2120" s="6" t="s">
        <v>35</v>
      </c>
      <c r="L2120" s="6" t="s">
        <v>36</v>
      </c>
      <c r="M2120" s="6" t="s">
        <v>9182</v>
      </c>
    </row>
    <row r="2121" spans="1:13" ht="13" x14ac:dyDescent="0.15">
      <c r="A2121" s="5" t="str">
        <f>HYPERLINK("https://onemount.atlassian.net/browse/DBA-2950","DBA-2950")</f>
        <v>DBA-2950</v>
      </c>
      <c r="B2121" s="6" t="s">
        <v>21</v>
      </c>
      <c r="C2121" s="6" t="s">
        <v>9183</v>
      </c>
      <c r="D2121" s="8" t="s">
        <v>17</v>
      </c>
      <c r="E2121" s="6" t="s">
        <v>23</v>
      </c>
      <c r="F2121" s="6" t="s">
        <v>96</v>
      </c>
      <c r="G2121" s="6" t="s">
        <v>9184</v>
      </c>
      <c r="H2121" s="10">
        <v>45959</v>
      </c>
      <c r="I2121" s="6" t="s">
        <v>9185</v>
      </c>
      <c r="J2121" s="6" t="s">
        <v>165</v>
      </c>
      <c r="K2121" s="6" t="s">
        <v>165</v>
      </c>
      <c r="L2121" s="6" t="s">
        <v>998</v>
      </c>
      <c r="M2121" s="6" t="s">
        <v>9186</v>
      </c>
    </row>
    <row r="2122" spans="1:13" ht="13" x14ac:dyDescent="0.15">
      <c r="A2122" s="5" t="str">
        <f>HYPERLINK("https://onemount.atlassian.net/browse/DBA-2949","DBA-2949")</f>
        <v>DBA-2949</v>
      </c>
      <c r="B2122" s="6" t="s">
        <v>21</v>
      </c>
      <c r="C2122" s="6" t="s">
        <v>9187</v>
      </c>
      <c r="D2122" s="8" t="s">
        <v>17</v>
      </c>
      <c r="E2122" s="6" t="s">
        <v>23</v>
      </c>
      <c r="F2122" s="6" t="s">
        <v>96</v>
      </c>
      <c r="G2122" s="6" t="s">
        <v>9188</v>
      </c>
      <c r="H2122" s="10">
        <v>45959</v>
      </c>
      <c r="I2122" s="6" t="s">
        <v>9189</v>
      </c>
      <c r="J2122" s="6" t="s">
        <v>85</v>
      </c>
      <c r="K2122" s="6" t="s">
        <v>55</v>
      </c>
      <c r="L2122" s="6" t="s">
        <v>85</v>
      </c>
      <c r="M2122" s="6" t="s">
        <v>9190</v>
      </c>
    </row>
    <row r="2123" spans="1:13" ht="13" x14ac:dyDescent="0.15">
      <c r="A2123" s="5" t="str">
        <f>HYPERLINK("https://onemount.atlassian.net/browse/DBA-2948","DBA-2948")</f>
        <v>DBA-2948</v>
      </c>
      <c r="B2123" s="6" t="s">
        <v>21</v>
      </c>
      <c r="C2123" s="6" t="s">
        <v>9191</v>
      </c>
      <c r="D2123" s="8" t="s">
        <v>17</v>
      </c>
      <c r="E2123" s="6" t="s">
        <v>23</v>
      </c>
      <c r="F2123" s="6" t="s">
        <v>96</v>
      </c>
      <c r="G2123" s="6" t="s">
        <v>9192</v>
      </c>
      <c r="H2123" s="10">
        <v>45959</v>
      </c>
      <c r="I2123" s="6" t="s">
        <v>9193</v>
      </c>
      <c r="J2123" s="6" t="s">
        <v>628</v>
      </c>
      <c r="K2123" s="6" t="s">
        <v>165</v>
      </c>
      <c r="L2123" s="6" t="s">
        <v>119</v>
      </c>
      <c r="M2123" s="6" t="s">
        <v>9194</v>
      </c>
    </row>
    <row r="2124" spans="1:13" ht="13" x14ac:dyDescent="0.15">
      <c r="A2124" s="5" t="str">
        <f>HYPERLINK("https://onemount.atlassian.net/browse/DBA-2947","DBA-2947")</f>
        <v>DBA-2947</v>
      </c>
      <c r="B2124" s="6" t="s">
        <v>21</v>
      </c>
      <c r="C2124" s="6" t="s">
        <v>9195</v>
      </c>
      <c r="D2124" s="8" t="s">
        <v>17</v>
      </c>
      <c r="E2124" s="6" t="s">
        <v>23</v>
      </c>
      <c r="F2124" s="6" t="s">
        <v>24</v>
      </c>
      <c r="G2124" s="6" t="s">
        <v>9196</v>
      </c>
      <c r="H2124" s="10">
        <v>45961</v>
      </c>
      <c r="I2124" s="6" t="s">
        <v>9197</v>
      </c>
      <c r="J2124" s="6" t="s">
        <v>9198</v>
      </c>
      <c r="K2124" s="6" t="s">
        <v>55</v>
      </c>
      <c r="L2124" s="6" t="s">
        <v>906</v>
      </c>
      <c r="M2124" s="6" t="s">
        <v>9199</v>
      </c>
    </row>
    <row r="2125" spans="1:13" ht="13" x14ac:dyDescent="0.15">
      <c r="A2125" s="5" t="str">
        <f>HYPERLINK("https://onemount.atlassian.net/browse/DBA-2946","DBA-2946")</f>
        <v>DBA-2946</v>
      </c>
      <c r="B2125" s="6" t="s">
        <v>21</v>
      </c>
      <c r="C2125" s="6" t="s">
        <v>9200</v>
      </c>
      <c r="D2125" s="8" t="s">
        <v>17</v>
      </c>
      <c r="E2125" s="6" t="s">
        <v>23</v>
      </c>
      <c r="F2125" s="6" t="s">
        <v>31</v>
      </c>
      <c r="G2125" s="6" t="s">
        <v>9201</v>
      </c>
      <c r="H2125" s="10">
        <v>45959</v>
      </c>
      <c r="I2125" s="6" t="s">
        <v>9202</v>
      </c>
      <c r="J2125" s="6" t="s">
        <v>358</v>
      </c>
      <c r="K2125" s="6" t="s">
        <v>46</v>
      </c>
      <c r="L2125" s="6" t="s">
        <v>358</v>
      </c>
      <c r="M2125" s="6" t="s">
        <v>9203</v>
      </c>
    </row>
    <row r="2126" spans="1:13" ht="13" x14ac:dyDescent="0.15">
      <c r="A2126" s="5" t="str">
        <f>HYPERLINK("https://onemount.atlassian.net/browse/DBA-2945","DBA-2945")</f>
        <v>DBA-2945</v>
      </c>
      <c r="B2126" s="6" t="s">
        <v>21</v>
      </c>
      <c r="C2126" s="6" t="s">
        <v>9204</v>
      </c>
      <c r="D2126" s="8" t="s">
        <v>17</v>
      </c>
      <c r="E2126" s="6" t="s">
        <v>23</v>
      </c>
      <c r="F2126" s="6" t="s">
        <v>96</v>
      </c>
      <c r="G2126" s="6" t="s">
        <v>9205</v>
      </c>
      <c r="H2126" s="10">
        <v>45959</v>
      </c>
      <c r="I2126" s="6" t="s">
        <v>9206</v>
      </c>
      <c r="J2126" s="6" t="s">
        <v>165</v>
      </c>
      <c r="K2126" s="6" t="s">
        <v>165</v>
      </c>
      <c r="L2126" s="6" t="s">
        <v>165</v>
      </c>
      <c r="M2126" s="6" t="s">
        <v>9207</v>
      </c>
    </row>
    <row r="2127" spans="1:13" ht="13" x14ac:dyDescent="0.15">
      <c r="A2127" s="5" t="str">
        <f>HYPERLINK("https://onemount.atlassian.net/browse/DBA-2944","DBA-2944")</f>
        <v>DBA-2944</v>
      </c>
      <c r="B2127" s="6" t="s">
        <v>21</v>
      </c>
      <c r="C2127" s="6" t="s">
        <v>9208</v>
      </c>
      <c r="D2127" s="8" t="s">
        <v>17</v>
      </c>
      <c r="E2127" s="6" t="s">
        <v>23</v>
      </c>
      <c r="F2127" s="6" t="s">
        <v>96</v>
      </c>
      <c r="G2127" s="6" t="s">
        <v>9209</v>
      </c>
      <c r="H2127" s="10">
        <v>45958</v>
      </c>
      <c r="I2127" s="6" t="s">
        <v>9210</v>
      </c>
      <c r="J2127" s="6" t="s">
        <v>1898</v>
      </c>
      <c r="K2127" s="6" t="s">
        <v>165</v>
      </c>
      <c r="L2127" s="6" t="s">
        <v>1097</v>
      </c>
      <c r="M2127" s="6" t="s">
        <v>9211</v>
      </c>
    </row>
    <row r="2128" spans="1:13" ht="13" x14ac:dyDescent="0.15">
      <c r="A2128" s="5" t="str">
        <f>HYPERLINK("https://onemount.atlassian.net/browse/DBA-2942","DBA-2942")</f>
        <v>DBA-2942</v>
      </c>
      <c r="B2128" s="6" t="s">
        <v>21</v>
      </c>
      <c r="C2128" s="6" t="s">
        <v>9212</v>
      </c>
      <c r="D2128" s="8" t="s">
        <v>17</v>
      </c>
      <c r="E2128" s="6" t="s">
        <v>23</v>
      </c>
      <c r="F2128" s="6" t="s">
        <v>24</v>
      </c>
      <c r="G2128" s="6" t="s">
        <v>9213</v>
      </c>
      <c r="H2128" s="10">
        <v>45957</v>
      </c>
      <c r="I2128" s="6" t="s">
        <v>9214</v>
      </c>
      <c r="J2128" s="6" t="s">
        <v>55</v>
      </c>
      <c r="K2128" s="6" t="s">
        <v>55</v>
      </c>
      <c r="L2128" s="6" t="s">
        <v>956</v>
      </c>
      <c r="M2128" s="6" t="s">
        <v>9215</v>
      </c>
    </row>
    <row r="2129" spans="1:13" ht="13" x14ac:dyDescent="0.15">
      <c r="A2129" s="5" t="str">
        <f>HYPERLINK("https://onemount.atlassian.net/browse/DBA-2941","DBA-2941")</f>
        <v>DBA-2941</v>
      </c>
      <c r="B2129" s="6" t="s">
        <v>21</v>
      </c>
      <c r="C2129" s="6" t="s">
        <v>9216</v>
      </c>
      <c r="D2129" s="8" t="s">
        <v>17</v>
      </c>
      <c r="E2129" s="6" t="s">
        <v>23</v>
      </c>
      <c r="F2129" s="6" t="s">
        <v>31</v>
      </c>
      <c r="G2129" s="6" t="s">
        <v>9217</v>
      </c>
      <c r="H2129" s="10">
        <v>45957</v>
      </c>
      <c r="I2129" s="6" t="s">
        <v>9218</v>
      </c>
      <c r="J2129" s="6" t="s">
        <v>707</v>
      </c>
      <c r="K2129" s="6" t="s">
        <v>35</v>
      </c>
      <c r="L2129" s="6" t="s">
        <v>707</v>
      </c>
      <c r="M2129" s="6" t="s">
        <v>9219</v>
      </c>
    </row>
    <row r="2130" spans="1:13" ht="13" x14ac:dyDescent="0.15">
      <c r="A2130" s="5" t="str">
        <f>HYPERLINK("https://onemount.atlassian.net/browse/DBA-2940","DBA-2940")</f>
        <v>DBA-2940</v>
      </c>
      <c r="B2130" s="6" t="s">
        <v>21</v>
      </c>
      <c r="C2130" s="6" t="s">
        <v>9220</v>
      </c>
      <c r="D2130" s="8" t="s">
        <v>17</v>
      </c>
      <c r="E2130" s="6" t="s">
        <v>23</v>
      </c>
      <c r="F2130" s="6" t="s">
        <v>41</v>
      </c>
      <c r="G2130" s="6" t="s">
        <v>9221</v>
      </c>
      <c r="H2130" s="10">
        <v>45962</v>
      </c>
      <c r="I2130" s="6" t="s">
        <v>9222</v>
      </c>
      <c r="J2130" s="6" t="s">
        <v>9223</v>
      </c>
      <c r="K2130" s="6" t="s">
        <v>28</v>
      </c>
      <c r="L2130" s="6" t="s">
        <v>27</v>
      </c>
      <c r="M2130" s="6" t="s">
        <v>9224</v>
      </c>
    </row>
    <row r="2131" spans="1:13" ht="13" x14ac:dyDescent="0.15">
      <c r="A2131" s="5" t="str">
        <f>HYPERLINK("https://onemount.atlassian.net/browse/DBA-2939","DBA-2939")</f>
        <v>DBA-2939</v>
      </c>
      <c r="B2131" s="6" t="s">
        <v>21</v>
      </c>
      <c r="C2131" s="6" t="s">
        <v>9225</v>
      </c>
      <c r="D2131" s="8" t="s">
        <v>17</v>
      </c>
      <c r="E2131" s="6" t="s">
        <v>23</v>
      </c>
      <c r="F2131" s="6" t="s">
        <v>96</v>
      </c>
      <c r="G2131" s="6" t="s">
        <v>9226</v>
      </c>
      <c r="H2131" s="10">
        <v>45959</v>
      </c>
      <c r="I2131" s="6" t="s">
        <v>9227</v>
      </c>
      <c r="J2131" s="6" t="s">
        <v>1898</v>
      </c>
      <c r="K2131" s="6" t="s">
        <v>165</v>
      </c>
      <c r="L2131" s="6" t="s">
        <v>1097</v>
      </c>
      <c r="M2131" s="6" t="s">
        <v>9228</v>
      </c>
    </row>
    <row r="2132" spans="1:13" ht="13" x14ac:dyDescent="0.15">
      <c r="A2132" s="5" t="str">
        <f>HYPERLINK("https://onemount.atlassian.net/browse/DBA-2938","DBA-2938")</f>
        <v>DBA-2938</v>
      </c>
      <c r="B2132" s="6" t="s">
        <v>21</v>
      </c>
      <c r="C2132" s="6" t="s">
        <v>9229</v>
      </c>
      <c r="D2132" s="8" t="s">
        <v>17</v>
      </c>
      <c r="E2132" s="6" t="s">
        <v>23</v>
      </c>
      <c r="F2132" s="6" t="s">
        <v>41</v>
      </c>
      <c r="G2132" s="6" t="s">
        <v>9230</v>
      </c>
      <c r="H2132" s="10">
        <v>45962</v>
      </c>
      <c r="I2132" s="6" t="s">
        <v>9231</v>
      </c>
      <c r="J2132" s="6" t="s">
        <v>27</v>
      </c>
      <c r="K2132" s="6" t="s">
        <v>28</v>
      </c>
      <c r="L2132" s="6" t="s">
        <v>27</v>
      </c>
      <c r="M2132" s="6" t="s">
        <v>9232</v>
      </c>
    </row>
    <row r="2133" spans="1:13" ht="13" x14ac:dyDescent="0.15">
      <c r="A2133" s="5" t="str">
        <f>HYPERLINK("https://onemount.atlassian.net/browse/DBA-2937","DBA-2937")</f>
        <v>DBA-2937</v>
      </c>
      <c r="B2133" s="6" t="s">
        <v>21</v>
      </c>
      <c r="C2133" s="6" t="s">
        <v>9233</v>
      </c>
      <c r="D2133" s="8" t="s">
        <v>17</v>
      </c>
      <c r="E2133" s="6" t="s">
        <v>23</v>
      </c>
      <c r="F2133" s="6" t="s">
        <v>31</v>
      </c>
      <c r="G2133" s="6" t="s">
        <v>9234</v>
      </c>
      <c r="H2133" s="10">
        <v>45957</v>
      </c>
      <c r="I2133" s="6" t="s">
        <v>9235</v>
      </c>
      <c r="J2133" s="6" t="s">
        <v>1187</v>
      </c>
      <c r="K2133" s="6" t="s">
        <v>35</v>
      </c>
      <c r="L2133" s="6" t="s">
        <v>1187</v>
      </c>
      <c r="M2133" s="6" t="s">
        <v>9236</v>
      </c>
    </row>
    <row r="2134" spans="1:13" ht="13" x14ac:dyDescent="0.15">
      <c r="A2134" s="5" t="str">
        <f>HYPERLINK("https://onemount.atlassian.net/browse/DBA-2932","DBA-2932")</f>
        <v>DBA-2932</v>
      </c>
      <c r="B2134" s="6" t="s">
        <v>21</v>
      </c>
      <c r="C2134" s="6" t="s">
        <v>9237</v>
      </c>
      <c r="D2134" s="8" t="s">
        <v>17</v>
      </c>
      <c r="E2134" s="6" t="s">
        <v>23</v>
      </c>
      <c r="F2134" s="6" t="s">
        <v>96</v>
      </c>
      <c r="G2134" s="6" t="s">
        <v>9238</v>
      </c>
      <c r="H2134" s="10">
        <v>45957</v>
      </c>
      <c r="I2134" s="6" t="s">
        <v>9239</v>
      </c>
      <c r="J2134" s="6" t="s">
        <v>1898</v>
      </c>
      <c r="K2134" s="6" t="s">
        <v>165</v>
      </c>
      <c r="L2134" s="6" t="s">
        <v>1097</v>
      </c>
      <c r="M2134" s="6" t="s">
        <v>9240</v>
      </c>
    </row>
    <row r="2135" spans="1:13" ht="13" x14ac:dyDescent="0.15">
      <c r="A2135" s="5" t="str">
        <f>HYPERLINK("https://onemount.atlassian.net/browse/DBA-2930","DBA-2930")</f>
        <v>DBA-2930</v>
      </c>
      <c r="B2135" s="6" t="s">
        <v>21</v>
      </c>
      <c r="C2135" s="6" t="s">
        <v>9241</v>
      </c>
      <c r="D2135" s="8" t="s">
        <v>17</v>
      </c>
      <c r="E2135" s="6" t="s">
        <v>23</v>
      </c>
      <c r="F2135" s="6" t="s">
        <v>24</v>
      </c>
      <c r="G2135" s="6" t="s">
        <v>9242</v>
      </c>
      <c r="H2135" s="10">
        <v>45958</v>
      </c>
      <c r="I2135" s="6" t="s">
        <v>9243</v>
      </c>
      <c r="J2135" s="6" t="s">
        <v>56</v>
      </c>
      <c r="K2135" s="6" t="s">
        <v>55</v>
      </c>
      <c r="L2135" s="6" t="s">
        <v>56</v>
      </c>
      <c r="M2135" s="6" t="s">
        <v>9244</v>
      </c>
    </row>
    <row r="2136" spans="1:13" ht="13" x14ac:dyDescent="0.15">
      <c r="A2136" s="5" t="str">
        <f>HYPERLINK("https://onemount.atlassian.net/browse/DBA-2929","DBA-2929")</f>
        <v>DBA-2929</v>
      </c>
      <c r="B2136" s="6" t="s">
        <v>21</v>
      </c>
      <c r="C2136" s="6" t="s">
        <v>9245</v>
      </c>
      <c r="D2136" s="8" t="s">
        <v>17</v>
      </c>
      <c r="E2136" s="6" t="s">
        <v>23</v>
      </c>
      <c r="F2136" s="6" t="s">
        <v>41</v>
      </c>
      <c r="G2136" s="6" t="s">
        <v>9246</v>
      </c>
      <c r="H2136" s="10">
        <v>45957</v>
      </c>
      <c r="I2136" s="6" t="s">
        <v>9247</v>
      </c>
      <c r="J2136" s="6" t="s">
        <v>27</v>
      </c>
      <c r="K2136" s="6" t="s">
        <v>28</v>
      </c>
      <c r="L2136" s="6" t="s">
        <v>27</v>
      </c>
      <c r="M2136" s="6" t="s">
        <v>9248</v>
      </c>
    </row>
    <row r="2137" spans="1:13" ht="13" x14ac:dyDescent="0.15">
      <c r="A2137" s="5" t="str">
        <f>HYPERLINK("https://onemount.atlassian.net/browse/DBA-2928","DBA-2928")</f>
        <v>DBA-2928</v>
      </c>
      <c r="B2137" s="6" t="s">
        <v>21</v>
      </c>
      <c r="C2137" s="6" t="s">
        <v>9249</v>
      </c>
      <c r="D2137" s="8" t="s">
        <v>17</v>
      </c>
      <c r="E2137" s="6" t="s">
        <v>23</v>
      </c>
      <c r="F2137" s="6" t="s">
        <v>24</v>
      </c>
      <c r="G2137" s="6" t="s">
        <v>9250</v>
      </c>
      <c r="H2137" s="10">
        <v>45958</v>
      </c>
      <c r="I2137" s="6" t="s">
        <v>9251</v>
      </c>
      <c r="J2137" s="6" t="s">
        <v>56</v>
      </c>
      <c r="K2137" s="6" t="s">
        <v>55</v>
      </c>
      <c r="L2137" s="6" t="s">
        <v>56</v>
      </c>
      <c r="M2137" s="6" t="s">
        <v>9252</v>
      </c>
    </row>
    <row r="2138" spans="1:13" ht="13" x14ac:dyDescent="0.15">
      <c r="A2138" s="5" t="str">
        <f>HYPERLINK("https://onemount.atlassian.net/browse/DBA-2927","DBA-2927")</f>
        <v>DBA-2927</v>
      </c>
      <c r="B2138" s="6" t="s">
        <v>21</v>
      </c>
      <c r="C2138" s="6" t="s">
        <v>9253</v>
      </c>
      <c r="D2138" s="8" t="s">
        <v>17</v>
      </c>
      <c r="E2138" s="6" t="s">
        <v>23</v>
      </c>
      <c r="F2138" s="6" t="s">
        <v>31</v>
      </c>
      <c r="G2138" s="6" t="s">
        <v>9254</v>
      </c>
      <c r="H2138" s="10">
        <v>45958</v>
      </c>
      <c r="I2138" s="6" t="s">
        <v>9255</v>
      </c>
      <c r="J2138" s="6" t="s">
        <v>6575</v>
      </c>
      <c r="K2138" s="6" t="s">
        <v>35</v>
      </c>
      <c r="L2138" s="6" t="s">
        <v>962</v>
      </c>
      <c r="M2138" s="6" t="s">
        <v>9256</v>
      </c>
    </row>
    <row r="2139" spans="1:13" ht="13" x14ac:dyDescent="0.15">
      <c r="A2139" s="5" t="str">
        <f>HYPERLINK("https://onemount.atlassian.net/browse/DBA-2922","DBA-2922")</f>
        <v>DBA-2922</v>
      </c>
      <c r="B2139" s="6" t="s">
        <v>21</v>
      </c>
      <c r="C2139" s="6" t="s">
        <v>9257</v>
      </c>
      <c r="D2139" s="8" t="s">
        <v>17</v>
      </c>
      <c r="E2139" s="6" t="s">
        <v>23</v>
      </c>
      <c r="F2139" s="6" t="s">
        <v>96</v>
      </c>
      <c r="G2139" s="6" t="s">
        <v>9258</v>
      </c>
      <c r="H2139" s="10">
        <v>45955</v>
      </c>
      <c r="I2139" s="6" t="s">
        <v>9259</v>
      </c>
      <c r="J2139" s="6" t="s">
        <v>8317</v>
      </c>
      <c r="K2139" s="6" t="s">
        <v>55</v>
      </c>
      <c r="L2139" s="6" t="s">
        <v>906</v>
      </c>
      <c r="M2139" s="6" t="s">
        <v>9260</v>
      </c>
    </row>
    <row r="2140" spans="1:13" ht="13" x14ac:dyDescent="0.15">
      <c r="A2140" s="5" t="str">
        <f>HYPERLINK("https://onemount.atlassian.net/browse/DBA-2921","DBA-2921")</f>
        <v>DBA-2921</v>
      </c>
      <c r="B2140" s="6" t="s">
        <v>21</v>
      </c>
      <c r="C2140" s="6" t="s">
        <v>9261</v>
      </c>
      <c r="D2140" s="8" t="s">
        <v>17</v>
      </c>
      <c r="E2140" s="6" t="s">
        <v>23</v>
      </c>
      <c r="F2140" s="6" t="s">
        <v>96</v>
      </c>
      <c r="G2140" s="6" t="s">
        <v>9262</v>
      </c>
      <c r="H2140" s="10">
        <v>45955</v>
      </c>
      <c r="I2140" s="6" t="s">
        <v>9263</v>
      </c>
      <c r="J2140" s="6" t="s">
        <v>85</v>
      </c>
      <c r="K2140" s="6" t="s">
        <v>55</v>
      </c>
      <c r="L2140" s="6" t="s">
        <v>85</v>
      </c>
      <c r="M2140" s="6" t="s">
        <v>9264</v>
      </c>
    </row>
    <row r="2141" spans="1:13" ht="13" x14ac:dyDescent="0.15">
      <c r="A2141" s="5" t="str">
        <f>HYPERLINK("https://onemount.atlassian.net/browse/DBA-2920","DBA-2920")</f>
        <v>DBA-2920</v>
      </c>
      <c r="B2141" s="6" t="s">
        <v>21</v>
      </c>
      <c r="C2141" s="6" t="s">
        <v>9265</v>
      </c>
      <c r="D2141" s="8" t="s">
        <v>17</v>
      </c>
      <c r="E2141" s="6" t="s">
        <v>23</v>
      </c>
      <c r="F2141" s="6" t="s">
        <v>24</v>
      </c>
      <c r="G2141" s="6" t="s">
        <v>9266</v>
      </c>
      <c r="H2141" s="10">
        <v>45955</v>
      </c>
      <c r="I2141" s="6" t="s">
        <v>9267</v>
      </c>
      <c r="J2141" s="6" t="s">
        <v>55</v>
      </c>
      <c r="K2141" s="6" t="s">
        <v>55</v>
      </c>
      <c r="L2141" s="6" t="s">
        <v>956</v>
      </c>
      <c r="M2141" s="6" t="s">
        <v>9268</v>
      </c>
    </row>
    <row r="2142" spans="1:13" ht="13" x14ac:dyDescent="0.15">
      <c r="A2142" s="5" t="str">
        <f>HYPERLINK("https://onemount.atlassian.net/browse/DBA-2919","DBA-2919")</f>
        <v>DBA-2919</v>
      </c>
      <c r="B2142" s="6" t="s">
        <v>21</v>
      </c>
      <c r="C2142" s="6" t="s">
        <v>9269</v>
      </c>
      <c r="D2142" s="8" t="s">
        <v>17</v>
      </c>
      <c r="E2142" s="6" t="s">
        <v>23</v>
      </c>
      <c r="F2142" s="6" t="s">
        <v>31</v>
      </c>
      <c r="G2142" s="6" t="s">
        <v>9270</v>
      </c>
      <c r="H2142" s="10">
        <v>45955</v>
      </c>
      <c r="I2142" s="6" t="s">
        <v>9271</v>
      </c>
      <c r="J2142" s="6" t="s">
        <v>9272</v>
      </c>
      <c r="K2142" s="6" t="s">
        <v>28</v>
      </c>
      <c r="L2142" s="6" t="s">
        <v>1140</v>
      </c>
      <c r="M2142" s="6" t="s">
        <v>9273</v>
      </c>
    </row>
    <row r="2143" spans="1:13" ht="13" x14ac:dyDescent="0.15">
      <c r="A2143" s="5" t="str">
        <f>HYPERLINK("https://onemount.atlassian.net/browse/DBA-2918","DBA-2918")</f>
        <v>DBA-2918</v>
      </c>
      <c r="B2143" s="6" t="s">
        <v>21</v>
      </c>
      <c r="C2143" s="6" t="s">
        <v>9274</v>
      </c>
      <c r="D2143" s="8" t="s">
        <v>17</v>
      </c>
      <c r="E2143" s="6" t="s">
        <v>23</v>
      </c>
      <c r="F2143" s="6" t="s">
        <v>96</v>
      </c>
      <c r="G2143" s="6" t="s">
        <v>9275</v>
      </c>
      <c r="H2143" s="10">
        <v>45955</v>
      </c>
      <c r="I2143" s="6" t="s">
        <v>9276</v>
      </c>
      <c r="J2143" s="6" t="s">
        <v>85</v>
      </c>
      <c r="K2143" s="6" t="s">
        <v>55</v>
      </c>
      <c r="L2143" s="6" t="s">
        <v>85</v>
      </c>
      <c r="M2143" s="6" t="s">
        <v>9277</v>
      </c>
    </row>
    <row r="2144" spans="1:13" ht="13" x14ac:dyDescent="0.15">
      <c r="A2144" s="5" t="str">
        <f>HYPERLINK("https://onemount.atlassian.net/browse/DBA-2917","DBA-2917")</f>
        <v>DBA-2917</v>
      </c>
      <c r="B2144" s="6" t="s">
        <v>21</v>
      </c>
      <c r="C2144" s="6" t="s">
        <v>9278</v>
      </c>
      <c r="D2144" s="8" t="s">
        <v>17</v>
      </c>
      <c r="E2144" s="6" t="s">
        <v>23</v>
      </c>
      <c r="F2144" s="6" t="s">
        <v>96</v>
      </c>
      <c r="G2144" s="6" t="s">
        <v>9279</v>
      </c>
      <c r="H2144" s="10">
        <v>45955</v>
      </c>
      <c r="I2144" s="6" t="s">
        <v>9280</v>
      </c>
      <c r="J2144" s="6" t="s">
        <v>165</v>
      </c>
      <c r="K2144" s="6" t="s">
        <v>165</v>
      </c>
      <c r="L2144" s="6" t="s">
        <v>1091</v>
      </c>
      <c r="M2144" s="6" t="s">
        <v>9281</v>
      </c>
    </row>
    <row r="2145" spans="1:13" ht="13" x14ac:dyDescent="0.15">
      <c r="A2145" s="5" t="str">
        <f>HYPERLINK("https://onemount.atlassian.net/browse/DBA-2914","DBA-2914")</f>
        <v>DBA-2914</v>
      </c>
      <c r="B2145" s="6" t="s">
        <v>21</v>
      </c>
      <c r="C2145" s="6" t="s">
        <v>9282</v>
      </c>
      <c r="D2145" s="8" t="s">
        <v>17</v>
      </c>
      <c r="E2145" s="6" t="s">
        <v>23</v>
      </c>
      <c r="F2145" s="6" t="s">
        <v>41</v>
      </c>
      <c r="G2145" s="6" t="s">
        <v>9283</v>
      </c>
      <c r="H2145" s="10">
        <v>46006</v>
      </c>
      <c r="I2145" s="6" t="s">
        <v>9284</v>
      </c>
      <c r="J2145" s="6" t="s">
        <v>28</v>
      </c>
      <c r="K2145" s="6" t="s">
        <v>28</v>
      </c>
      <c r="L2145" s="6" t="s">
        <v>28</v>
      </c>
      <c r="M2145" s="6" t="s">
        <v>9285</v>
      </c>
    </row>
    <row r="2146" spans="1:13" ht="13" x14ac:dyDescent="0.15">
      <c r="A2146" s="5" t="str">
        <f>HYPERLINK("https://onemount.atlassian.net/browse/DBA-2913","DBA-2913")</f>
        <v>DBA-2913</v>
      </c>
      <c r="B2146" s="6" t="s">
        <v>21</v>
      </c>
      <c r="C2146" s="6" t="s">
        <v>8550</v>
      </c>
      <c r="D2146" s="8" t="s">
        <v>17</v>
      </c>
      <c r="E2146" s="6" t="s">
        <v>23</v>
      </c>
      <c r="F2146" s="6" t="s">
        <v>96</v>
      </c>
      <c r="G2146" s="6" t="s">
        <v>9286</v>
      </c>
      <c r="H2146" s="10">
        <v>45955</v>
      </c>
      <c r="I2146" s="6" t="s">
        <v>9287</v>
      </c>
      <c r="J2146" s="6" t="s">
        <v>715</v>
      </c>
      <c r="K2146" s="6" t="s">
        <v>55</v>
      </c>
      <c r="L2146" s="6" t="s">
        <v>715</v>
      </c>
      <c r="M2146" s="6" t="s">
        <v>9288</v>
      </c>
    </row>
    <row r="2147" spans="1:13" ht="13" x14ac:dyDescent="0.15">
      <c r="A2147" s="5" t="str">
        <f>HYPERLINK("https://onemount.atlassian.net/browse/DBA-2912","DBA-2912")</f>
        <v>DBA-2912</v>
      </c>
      <c r="B2147" s="6" t="s">
        <v>21</v>
      </c>
      <c r="C2147" s="6" t="s">
        <v>9289</v>
      </c>
      <c r="D2147" s="8" t="s">
        <v>17</v>
      </c>
      <c r="E2147" s="6" t="s">
        <v>23</v>
      </c>
      <c r="F2147" s="6" t="s">
        <v>41</v>
      </c>
      <c r="G2147" s="6" t="s">
        <v>9290</v>
      </c>
      <c r="H2147" s="10">
        <v>45954</v>
      </c>
      <c r="I2147" s="6" t="s">
        <v>9291</v>
      </c>
      <c r="J2147" s="6" t="s">
        <v>27</v>
      </c>
      <c r="K2147" s="6" t="s">
        <v>28</v>
      </c>
      <c r="L2147" s="6" t="s">
        <v>27</v>
      </c>
      <c r="M2147" s="6" t="s">
        <v>9292</v>
      </c>
    </row>
    <row r="2148" spans="1:13" ht="13" x14ac:dyDescent="0.15">
      <c r="A2148" s="5" t="str">
        <f>HYPERLINK("https://onemount.atlassian.net/browse/DBA-2911","DBA-2911")</f>
        <v>DBA-2911</v>
      </c>
      <c r="B2148" s="6" t="s">
        <v>21</v>
      </c>
      <c r="C2148" s="6" t="s">
        <v>9293</v>
      </c>
      <c r="D2148" s="8" t="s">
        <v>17</v>
      </c>
      <c r="E2148" s="6" t="s">
        <v>23</v>
      </c>
      <c r="F2148" s="6" t="s">
        <v>96</v>
      </c>
      <c r="G2148" s="6" t="s">
        <v>9294</v>
      </c>
      <c r="H2148" s="10">
        <v>45954</v>
      </c>
      <c r="I2148" s="6" t="s">
        <v>9295</v>
      </c>
      <c r="J2148" s="6" t="s">
        <v>85</v>
      </c>
      <c r="K2148" s="6" t="s">
        <v>55</v>
      </c>
      <c r="L2148" s="6" t="s">
        <v>85</v>
      </c>
      <c r="M2148" s="6" t="s">
        <v>9296</v>
      </c>
    </row>
    <row r="2149" spans="1:13" ht="13" x14ac:dyDescent="0.15">
      <c r="A2149" s="5" t="str">
        <f>HYPERLINK("https://onemount.atlassian.net/browse/DBA-2910","DBA-2910")</f>
        <v>DBA-2910</v>
      </c>
      <c r="B2149" s="6" t="s">
        <v>21</v>
      </c>
      <c r="C2149" s="6" t="s">
        <v>9297</v>
      </c>
      <c r="D2149" s="8" t="s">
        <v>17</v>
      </c>
      <c r="E2149" s="6" t="s">
        <v>23</v>
      </c>
      <c r="F2149" s="6" t="s">
        <v>96</v>
      </c>
      <c r="G2149" s="6" t="s">
        <v>9298</v>
      </c>
      <c r="H2149" s="10">
        <v>45957</v>
      </c>
      <c r="I2149" s="6" t="s">
        <v>9299</v>
      </c>
      <c r="J2149" s="6" t="s">
        <v>165</v>
      </c>
      <c r="K2149" s="6" t="s">
        <v>165</v>
      </c>
      <c r="L2149" s="6" t="s">
        <v>319</v>
      </c>
      <c r="M2149" s="6" t="s">
        <v>9300</v>
      </c>
    </row>
    <row r="2150" spans="1:13" ht="13" x14ac:dyDescent="0.15">
      <c r="A2150" s="21" t="str">
        <f>HYPERLINK("https://onemount.atlassian.net/browse/DBA-2909","DBA-2909")</f>
        <v>DBA-2909</v>
      </c>
      <c r="B2150" s="6" t="s">
        <v>21</v>
      </c>
      <c r="C2150" s="6" t="s">
        <v>9301</v>
      </c>
      <c r="D2150" s="8" t="s">
        <v>17</v>
      </c>
      <c r="E2150" s="6" t="s">
        <v>23</v>
      </c>
      <c r="F2150" s="6" t="s">
        <v>96</v>
      </c>
      <c r="G2150" s="6" t="s">
        <v>9302</v>
      </c>
      <c r="H2150" s="10">
        <v>45955</v>
      </c>
      <c r="I2150" s="6" t="s">
        <v>9303</v>
      </c>
      <c r="J2150" s="6" t="s">
        <v>165</v>
      </c>
      <c r="K2150" s="6" t="s">
        <v>165</v>
      </c>
      <c r="L2150" s="6" t="s">
        <v>998</v>
      </c>
      <c r="M2150" s="6" t="s">
        <v>9304</v>
      </c>
    </row>
    <row r="2151" spans="1:13" ht="13" x14ac:dyDescent="0.15">
      <c r="A2151" s="21" t="str">
        <f>HYPERLINK("https://onemount.atlassian.net/browse/DBA-2908","DBA-2908")</f>
        <v>DBA-2908</v>
      </c>
      <c r="B2151" s="6" t="s">
        <v>21</v>
      </c>
      <c r="C2151" s="6" t="s">
        <v>9305</v>
      </c>
      <c r="D2151" s="8" t="s">
        <v>17</v>
      </c>
      <c r="E2151" s="6" t="s">
        <v>23</v>
      </c>
      <c r="F2151" s="6" t="s">
        <v>96</v>
      </c>
      <c r="G2151" s="6" t="s">
        <v>9306</v>
      </c>
      <c r="H2151" s="10">
        <v>45955</v>
      </c>
      <c r="I2151" s="6" t="s">
        <v>9307</v>
      </c>
      <c r="J2151" s="6" t="s">
        <v>165</v>
      </c>
      <c r="K2151" s="6" t="s">
        <v>165</v>
      </c>
      <c r="L2151" s="6" t="s">
        <v>998</v>
      </c>
      <c r="M2151" s="6" t="s">
        <v>9304</v>
      </c>
    </row>
    <row r="2152" spans="1:13" ht="13" x14ac:dyDescent="0.15">
      <c r="A2152" s="5" t="str">
        <f>HYPERLINK("https://onemount.atlassian.net/browse/DBA-2906","DBA-2906")</f>
        <v>DBA-2906</v>
      </c>
      <c r="B2152" s="6" t="s">
        <v>21</v>
      </c>
      <c r="C2152" s="6" t="s">
        <v>9308</v>
      </c>
      <c r="D2152" s="8" t="s">
        <v>17</v>
      </c>
      <c r="E2152" s="6" t="s">
        <v>23</v>
      </c>
      <c r="F2152" s="6" t="s">
        <v>96</v>
      </c>
      <c r="G2152" s="6" t="s">
        <v>9309</v>
      </c>
      <c r="H2152" s="10">
        <v>45954</v>
      </c>
      <c r="I2152" s="6" t="s">
        <v>9310</v>
      </c>
      <c r="J2152" s="6" t="s">
        <v>55</v>
      </c>
      <c r="K2152" s="6" t="s">
        <v>55</v>
      </c>
      <c r="L2152" s="6" t="s">
        <v>55</v>
      </c>
      <c r="M2152" s="6" t="s">
        <v>9311</v>
      </c>
    </row>
    <row r="2153" spans="1:13" ht="13" x14ac:dyDescent="0.15">
      <c r="A2153" s="5" t="str">
        <f>HYPERLINK("https://onemount.atlassian.net/browse/DBA-2905","DBA-2905")</f>
        <v>DBA-2905</v>
      </c>
      <c r="B2153" s="6" t="s">
        <v>21</v>
      </c>
      <c r="C2153" s="6" t="s">
        <v>9312</v>
      </c>
      <c r="D2153" s="8" t="s">
        <v>17</v>
      </c>
      <c r="E2153" s="6" t="s">
        <v>23</v>
      </c>
      <c r="F2153" s="6" t="s">
        <v>41</v>
      </c>
      <c r="G2153" s="6" t="s">
        <v>9313</v>
      </c>
      <c r="H2153" s="10">
        <v>45961</v>
      </c>
      <c r="I2153" s="6" t="s">
        <v>9314</v>
      </c>
      <c r="J2153" s="6" t="s">
        <v>4163</v>
      </c>
      <c r="K2153" s="6" t="s">
        <v>28</v>
      </c>
      <c r="L2153" s="6" t="s">
        <v>27</v>
      </c>
      <c r="M2153" s="6" t="s">
        <v>9315</v>
      </c>
    </row>
    <row r="2154" spans="1:13" ht="13" x14ac:dyDescent="0.15">
      <c r="A2154" s="5" t="str">
        <f>HYPERLINK("https://onemount.atlassian.net/browse/DBA-2904","DBA-2904")</f>
        <v>DBA-2904</v>
      </c>
      <c r="B2154" s="6" t="s">
        <v>21</v>
      </c>
      <c r="C2154" s="6" t="s">
        <v>9316</v>
      </c>
      <c r="D2154" s="8" t="s">
        <v>17</v>
      </c>
      <c r="E2154" s="6" t="s">
        <v>23</v>
      </c>
      <c r="F2154" s="6" t="s">
        <v>31</v>
      </c>
      <c r="G2154" s="6" t="s">
        <v>9317</v>
      </c>
      <c r="H2154" s="10">
        <v>45955</v>
      </c>
      <c r="I2154" s="6" t="s">
        <v>9318</v>
      </c>
      <c r="J2154" s="6" t="s">
        <v>715</v>
      </c>
      <c r="K2154" s="6" t="s">
        <v>55</v>
      </c>
      <c r="L2154" s="6" t="s">
        <v>715</v>
      </c>
      <c r="M2154" s="6" t="s">
        <v>9319</v>
      </c>
    </row>
    <row r="2155" spans="1:13" ht="13" x14ac:dyDescent="0.15">
      <c r="A2155" s="5" t="str">
        <f>HYPERLINK("https://onemount.atlassian.net/browse/DBA-2903","DBA-2903")</f>
        <v>DBA-2903</v>
      </c>
      <c r="B2155" s="6" t="s">
        <v>21</v>
      </c>
      <c r="C2155" s="6" t="s">
        <v>9320</v>
      </c>
      <c r="D2155" s="8" t="s">
        <v>17</v>
      </c>
      <c r="E2155" s="6" t="s">
        <v>23</v>
      </c>
      <c r="F2155" s="6" t="s">
        <v>96</v>
      </c>
      <c r="G2155" s="6" t="s">
        <v>9321</v>
      </c>
      <c r="H2155" s="10">
        <v>45954</v>
      </c>
      <c r="I2155" s="6" t="s">
        <v>9322</v>
      </c>
      <c r="J2155" s="6" t="s">
        <v>1898</v>
      </c>
      <c r="K2155" s="6" t="s">
        <v>165</v>
      </c>
      <c r="L2155" s="6" t="s">
        <v>1097</v>
      </c>
      <c r="M2155" s="6" t="s">
        <v>9323</v>
      </c>
    </row>
    <row r="2156" spans="1:13" ht="13" x14ac:dyDescent="0.15">
      <c r="A2156" s="5" t="str">
        <f>HYPERLINK("https://onemount.atlassian.net/browse/DBA-2902","DBA-2902")</f>
        <v>DBA-2902</v>
      </c>
      <c r="B2156" s="6" t="s">
        <v>21</v>
      </c>
      <c r="C2156" s="6" t="s">
        <v>9324</v>
      </c>
      <c r="D2156" s="8" t="s">
        <v>17</v>
      </c>
      <c r="E2156" s="6" t="s">
        <v>23</v>
      </c>
      <c r="F2156" s="6" t="s">
        <v>96</v>
      </c>
      <c r="G2156" s="6" t="s">
        <v>9325</v>
      </c>
      <c r="H2156" s="10">
        <v>45955</v>
      </c>
      <c r="I2156" s="6" t="s">
        <v>9326</v>
      </c>
      <c r="J2156" s="6" t="s">
        <v>49</v>
      </c>
      <c r="K2156" s="6" t="s">
        <v>38</v>
      </c>
      <c r="L2156" s="6" t="s">
        <v>49</v>
      </c>
      <c r="M2156" s="6" t="s">
        <v>9327</v>
      </c>
    </row>
    <row r="2157" spans="1:13" ht="13" x14ac:dyDescent="0.15">
      <c r="A2157" s="5" t="str">
        <f>HYPERLINK("https://onemount.atlassian.net/browse/DBA-2901","DBA-2901")</f>
        <v>DBA-2901</v>
      </c>
      <c r="B2157" s="6" t="s">
        <v>21</v>
      </c>
      <c r="C2157" s="6" t="s">
        <v>9328</v>
      </c>
      <c r="D2157" s="8" t="s">
        <v>17</v>
      </c>
      <c r="E2157" s="6" t="s">
        <v>23</v>
      </c>
      <c r="F2157" s="6" t="s">
        <v>24</v>
      </c>
      <c r="G2157" s="6" t="s">
        <v>9329</v>
      </c>
      <c r="H2157" s="10">
        <v>45955</v>
      </c>
      <c r="I2157" s="6" t="s">
        <v>9330</v>
      </c>
      <c r="J2157" s="6" t="s">
        <v>4163</v>
      </c>
      <c r="K2157" s="6" t="s">
        <v>28</v>
      </c>
      <c r="L2157" s="6" t="s">
        <v>27</v>
      </c>
      <c r="M2157" s="6" t="s">
        <v>9331</v>
      </c>
    </row>
    <row r="2158" spans="1:13" ht="13" x14ac:dyDescent="0.15">
      <c r="A2158" s="21" t="str">
        <f>HYPERLINK("https://onemount.atlassian.net/browse/DBA-2897","DBA-2897")</f>
        <v>DBA-2897</v>
      </c>
      <c r="B2158" s="6" t="s">
        <v>21</v>
      </c>
      <c r="C2158" s="6" t="s">
        <v>9332</v>
      </c>
      <c r="D2158" s="8" t="s">
        <v>17</v>
      </c>
      <c r="E2158" s="6" t="s">
        <v>23</v>
      </c>
      <c r="F2158" s="6" t="s">
        <v>24</v>
      </c>
      <c r="G2158" s="6" t="s">
        <v>9333</v>
      </c>
      <c r="H2158" s="10">
        <v>45956</v>
      </c>
      <c r="I2158" s="6" t="s">
        <v>9334</v>
      </c>
      <c r="J2158" s="6" t="s">
        <v>128</v>
      </c>
      <c r="K2158" s="6" t="s">
        <v>35</v>
      </c>
      <c r="L2158" s="6" t="s">
        <v>129</v>
      </c>
      <c r="M2158" s="6" t="s">
        <v>9335</v>
      </c>
    </row>
    <row r="2159" spans="1:13" ht="13" x14ac:dyDescent="0.15">
      <c r="A2159" s="5" t="str">
        <f>HYPERLINK("https://onemount.atlassian.net/browse/DBA-2896","DBA-2896")</f>
        <v>DBA-2896</v>
      </c>
      <c r="B2159" s="6" t="s">
        <v>21</v>
      </c>
      <c r="C2159" s="6" t="s">
        <v>9336</v>
      </c>
      <c r="D2159" s="8" t="s">
        <v>17</v>
      </c>
      <c r="E2159" s="6" t="s">
        <v>23</v>
      </c>
      <c r="F2159" s="6" t="s">
        <v>96</v>
      </c>
      <c r="G2159" s="6" t="s">
        <v>9337</v>
      </c>
      <c r="H2159" s="10">
        <v>45953</v>
      </c>
      <c r="I2159" s="6" t="s">
        <v>9338</v>
      </c>
      <c r="J2159" s="6" t="s">
        <v>1898</v>
      </c>
      <c r="K2159" s="6" t="s">
        <v>165</v>
      </c>
      <c r="L2159" s="6" t="s">
        <v>1097</v>
      </c>
      <c r="M2159" s="6" t="s">
        <v>9339</v>
      </c>
    </row>
    <row r="2160" spans="1:13" ht="13" x14ac:dyDescent="0.15">
      <c r="A2160" s="5" t="str">
        <f>HYPERLINK("https://onemount.atlassian.net/browse/DBA-2864","DBA-2864")</f>
        <v>DBA-2864</v>
      </c>
      <c r="B2160" s="6" t="s">
        <v>21</v>
      </c>
      <c r="C2160" s="6" t="s">
        <v>9225</v>
      </c>
      <c r="D2160" s="8" t="s">
        <v>17</v>
      </c>
      <c r="E2160" s="6" t="s">
        <v>23</v>
      </c>
      <c r="F2160" s="6" t="s">
        <v>96</v>
      </c>
      <c r="G2160" s="6" t="s">
        <v>9340</v>
      </c>
      <c r="H2160" s="10">
        <v>45953</v>
      </c>
      <c r="I2160" s="6" t="s">
        <v>9341</v>
      </c>
      <c r="J2160" s="6" t="s">
        <v>1898</v>
      </c>
      <c r="K2160" s="6" t="s">
        <v>165</v>
      </c>
      <c r="L2160" s="6" t="s">
        <v>1097</v>
      </c>
      <c r="M2160" s="6" t="s">
        <v>9342</v>
      </c>
    </row>
    <row r="2161" spans="1:13" ht="13" x14ac:dyDescent="0.15">
      <c r="A2161" s="5" t="str">
        <f>HYPERLINK("https://onemount.atlassian.net/browse/DBA-2863","DBA-2863")</f>
        <v>DBA-2863</v>
      </c>
      <c r="B2161" s="6" t="s">
        <v>21</v>
      </c>
      <c r="C2161" s="6" t="s">
        <v>9343</v>
      </c>
      <c r="D2161" s="8" t="s">
        <v>17</v>
      </c>
      <c r="E2161" s="6" t="s">
        <v>23</v>
      </c>
      <c r="F2161" s="6" t="s">
        <v>31</v>
      </c>
      <c r="G2161" s="6" t="s">
        <v>9344</v>
      </c>
      <c r="H2161" s="10">
        <v>45953</v>
      </c>
      <c r="I2161" s="6" t="s">
        <v>9345</v>
      </c>
      <c r="J2161" s="6" t="s">
        <v>128</v>
      </c>
      <c r="K2161" s="6" t="s">
        <v>35</v>
      </c>
      <c r="L2161" s="6" t="s">
        <v>478</v>
      </c>
      <c r="M2161" s="6" t="s">
        <v>9346</v>
      </c>
    </row>
    <row r="2162" spans="1:13" ht="13" x14ac:dyDescent="0.15">
      <c r="A2162" s="5" t="str">
        <f>HYPERLINK("https://onemount.atlassian.net/browse/DBA-2862","DBA-2862")</f>
        <v>DBA-2862</v>
      </c>
      <c r="B2162" s="6" t="s">
        <v>21</v>
      </c>
      <c r="C2162" s="6" t="s">
        <v>9347</v>
      </c>
      <c r="D2162" s="8" t="s">
        <v>17</v>
      </c>
      <c r="E2162" s="6" t="s">
        <v>23</v>
      </c>
      <c r="F2162" s="6" t="s">
        <v>96</v>
      </c>
      <c r="G2162" s="6" t="s">
        <v>9348</v>
      </c>
      <c r="H2162" s="10">
        <v>45953</v>
      </c>
      <c r="I2162" s="6" t="s">
        <v>9349</v>
      </c>
      <c r="J2162" s="6" t="s">
        <v>165</v>
      </c>
      <c r="K2162" s="6" t="s">
        <v>165</v>
      </c>
      <c r="L2162" s="6" t="s">
        <v>165</v>
      </c>
      <c r="M2162" s="6" t="s">
        <v>9350</v>
      </c>
    </row>
    <row r="2163" spans="1:13" ht="13" x14ac:dyDescent="0.15">
      <c r="A2163" s="5" t="str">
        <f>HYPERLINK("https://onemount.atlassian.net/browse/DBA-2861","DBA-2861")</f>
        <v>DBA-2861</v>
      </c>
      <c r="B2163" s="6" t="s">
        <v>21</v>
      </c>
      <c r="C2163" s="6" t="s">
        <v>9351</v>
      </c>
      <c r="D2163" s="8" t="s">
        <v>17</v>
      </c>
      <c r="E2163" s="6" t="s">
        <v>23</v>
      </c>
      <c r="F2163" s="6" t="s">
        <v>96</v>
      </c>
      <c r="G2163" s="6" t="s">
        <v>9352</v>
      </c>
      <c r="H2163" s="10">
        <v>45954</v>
      </c>
      <c r="I2163" s="6" t="s">
        <v>9353</v>
      </c>
      <c r="J2163" s="6" t="s">
        <v>715</v>
      </c>
      <c r="K2163" s="6" t="s">
        <v>165</v>
      </c>
      <c r="L2163" s="6" t="s">
        <v>715</v>
      </c>
      <c r="M2163" s="6" t="s">
        <v>9354</v>
      </c>
    </row>
    <row r="2164" spans="1:13" ht="13" x14ac:dyDescent="0.15">
      <c r="A2164" s="5" t="str">
        <f>HYPERLINK("https://onemount.atlassian.net/browse/DBA-2860","DBA-2860")</f>
        <v>DBA-2860</v>
      </c>
      <c r="B2164" s="6" t="s">
        <v>21</v>
      </c>
      <c r="C2164" s="6" t="s">
        <v>9355</v>
      </c>
      <c r="D2164" s="8" t="s">
        <v>17</v>
      </c>
      <c r="E2164" s="6" t="s">
        <v>23</v>
      </c>
      <c r="F2164" s="6" t="s">
        <v>96</v>
      </c>
      <c r="G2164" s="6" t="s">
        <v>9356</v>
      </c>
      <c r="H2164" s="10">
        <v>45953</v>
      </c>
      <c r="I2164" s="6" t="s">
        <v>9357</v>
      </c>
      <c r="J2164" s="6" t="s">
        <v>1030</v>
      </c>
      <c r="K2164" s="6" t="s">
        <v>165</v>
      </c>
      <c r="L2164" s="6" t="s">
        <v>1032</v>
      </c>
      <c r="M2164" s="6" t="s">
        <v>9358</v>
      </c>
    </row>
    <row r="2165" spans="1:13" ht="13" x14ac:dyDescent="0.15">
      <c r="A2165" s="5" t="str">
        <f>HYPERLINK("https://onemount.atlassian.net/browse/DBA-2859","DBA-2859")</f>
        <v>DBA-2859</v>
      </c>
      <c r="B2165" s="6" t="s">
        <v>21</v>
      </c>
      <c r="C2165" s="6" t="s">
        <v>9359</v>
      </c>
      <c r="D2165" s="8" t="s">
        <v>17</v>
      </c>
      <c r="E2165" s="6" t="s">
        <v>23</v>
      </c>
      <c r="F2165" s="6" t="s">
        <v>24</v>
      </c>
      <c r="G2165" s="6" t="s">
        <v>9360</v>
      </c>
      <c r="H2165" s="10">
        <v>45954</v>
      </c>
      <c r="I2165" s="6" t="s">
        <v>9361</v>
      </c>
      <c r="J2165" s="6" t="s">
        <v>55</v>
      </c>
      <c r="K2165" s="6" t="s">
        <v>55</v>
      </c>
      <c r="L2165" s="6" t="s">
        <v>55</v>
      </c>
      <c r="M2165" s="6" t="s">
        <v>9362</v>
      </c>
    </row>
    <row r="2166" spans="1:13" ht="13" x14ac:dyDescent="0.15">
      <c r="A2166" s="5" t="str">
        <f>HYPERLINK("https://onemount.atlassian.net/browse/DBA-2858","DBA-2858")</f>
        <v>DBA-2858</v>
      </c>
      <c r="B2166" s="6" t="s">
        <v>21</v>
      </c>
      <c r="C2166" s="6" t="s">
        <v>9225</v>
      </c>
      <c r="D2166" s="8" t="s">
        <v>17</v>
      </c>
      <c r="E2166" s="6" t="s">
        <v>23</v>
      </c>
      <c r="F2166" s="6" t="s">
        <v>96</v>
      </c>
      <c r="G2166" s="6" t="s">
        <v>9363</v>
      </c>
      <c r="H2166" s="10">
        <v>45953</v>
      </c>
      <c r="I2166" s="6" t="s">
        <v>9364</v>
      </c>
      <c r="J2166" s="6" t="s">
        <v>1898</v>
      </c>
      <c r="K2166" s="6" t="s">
        <v>165</v>
      </c>
      <c r="L2166" s="6" t="s">
        <v>1097</v>
      </c>
      <c r="M2166" s="6" t="s">
        <v>9365</v>
      </c>
    </row>
    <row r="2167" spans="1:13" ht="13" x14ac:dyDescent="0.15">
      <c r="A2167" s="5" t="str">
        <f>HYPERLINK("https://onemount.atlassian.net/browse/DBA-2857","DBA-2857")</f>
        <v>DBA-2857</v>
      </c>
      <c r="B2167" s="6" t="s">
        <v>21</v>
      </c>
      <c r="C2167" s="6" t="s">
        <v>9366</v>
      </c>
      <c r="D2167" s="8" t="s">
        <v>17</v>
      </c>
      <c r="E2167" s="6" t="s">
        <v>23</v>
      </c>
      <c r="F2167" s="6" t="s">
        <v>31</v>
      </c>
      <c r="G2167" s="6" t="s">
        <v>9367</v>
      </c>
      <c r="H2167" s="10">
        <v>45953</v>
      </c>
      <c r="I2167" s="6" t="s">
        <v>9368</v>
      </c>
      <c r="J2167" s="6" t="s">
        <v>5746</v>
      </c>
      <c r="K2167" s="6" t="s">
        <v>35</v>
      </c>
      <c r="L2167" s="6" t="s">
        <v>962</v>
      </c>
      <c r="M2167" s="6" t="s">
        <v>9369</v>
      </c>
    </row>
    <row r="2168" spans="1:13" ht="13" x14ac:dyDescent="0.15">
      <c r="A2168" s="5" t="str">
        <f>HYPERLINK("https://onemount.atlassian.net/browse/DBA-2856","DBA-2856")</f>
        <v>DBA-2856</v>
      </c>
      <c r="B2168" s="6" t="s">
        <v>21</v>
      </c>
      <c r="C2168" s="6" t="s">
        <v>9370</v>
      </c>
      <c r="D2168" s="8" t="s">
        <v>17</v>
      </c>
      <c r="E2168" s="6" t="s">
        <v>23</v>
      </c>
      <c r="F2168" s="6" t="s">
        <v>24</v>
      </c>
      <c r="G2168" s="6" t="s">
        <v>9371</v>
      </c>
      <c r="H2168" s="10">
        <v>45953</v>
      </c>
      <c r="I2168" s="6" t="s">
        <v>9372</v>
      </c>
      <c r="J2168" s="6" t="s">
        <v>55</v>
      </c>
      <c r="K2168" s="6" t="s">
        <v>55</v>
      </c>
      <c r="L2168" s="6" t="s">
        <v>956</v>
      </c>
      <c r="M2168" s="6" t="s">
        <v>9373</v>
      </c>
    </row>
    <row r="2169" spans="1:13" ht="13" x14ac:dyDescent="0.15">
      <c r="A2169" s="5" t="str">
        <f>HYPERLINK("https://onemount.atlassian.net/browse/DBA-2853","DBA-2853")</f>
        <v>DBA-2853</v>
      </c>
      <c r="B2169" s="6" t="s">
        <v>21</v>
      </c>
      <c r="C2169" s="6" t="s">
        <v>9374</v>
      </c>
      <c r="D2169" s="8" t="s">
        <v>17</v>
      </c>
      <c r="E2169" s="6" t="s">
        <v>23</v>
      </c>
      <c r="F2169" s="6" t="s">
        <v>31</v>
      </c>
      <c r="G2169" s="6" t="s">
        <v>9375</v>
      </c>
      <c r="H2169" s="10">
        <v>45953</v>
      </c>
      <c r="I2169" s="6" t="s">
        <v>9376</v>
      </c>
      <c r="J2169" s="6" t="s">
        <v>1224</v>
      </c>
      <c r="K2169" s="6" t="s">
        <v>35</v>
      </c>
      <c r="L2169" s="6" t="s">
        <v>1224</v>
      </c>
      <c r="M2169" s="6" t="s">
        <v>9377</v>
      </c>
    </row>
    <row r="2170" spans="1:13" ht="13" x14ac:dyDescent="0.15">
      <c r="A2170" s="5" t="str">
        <f>HYPERLINK("https://onemount.atlassian.net/browse/DBA-2851","DBA-2851")</f>
        <v>DBA-2851</v>
      </c>
      <c r="B2170" s="6" t="s">
        <v>21</v>
      </c>
      <c r="C2170" s="6" t="s">
        <v>9378</v>
      </c>
      <c r="D2170" s="8" t="s">
        <v>17</v>
      </c>
      <c r="E2170" s="6" t="s">
        <v>23</v>
      </c>
      <c r="F2170" s="6" t="s">
        <v>24</v>
      </c>
      <c r="G2170" s="6" t="s">
        <v>9379</v>
      </c>
      <c r="H2170" s="10">
        <v>45952</v>
      </c>
      <c r="I2170" s="6" t="s">
        <v>9380</v>
      </c>
      <c r="J2170" s="6" t="s">
        <v>8317</v>
      </c>
      <c r="K2170" s="6" t="s">
        <v>55</v>
      </c>
      <c r="L2170" s="6" t="s">
        <v>906</v>
      </c>
      <c r="M2170" s="6" t="s">
        <v>9381</v>
      </c>
    </row>
    <row r="2171" spans="1:13" ht="13" x14ac:dyDescent="0.15">
      <c r="A2171" s="5" t="str">
        <f>HYPERLINK("https://onemount.atlassian.net/browse/DBA-2850","DBA-2850")</f>
        <v>DBA-2850</v>
      </c>
      <c r="B2171" s="6" t="s">
        <v>21</v>
      </c>
      <c r="C2171" s="6" t="s">
        <v>9382</v>
      </c>
      <c r="D2171" s="8" t="s">
        <v>17</v>
      </c>
      <c r="E2171" s="6" t="s">
        <v>23</v>
      </c>
      <c r="F2171" s="6" t="s">
        <v>31</v>
      </c>
      <c r="G2171" s="6" t="s">
        <v>9383</v>
      </c>
      <c r="H2171" s="10">
        <v>45952</v>
      </c>
      <c r="I2171" s="6" t="s">
        <v>9384</v>
      </c>
      <c r="J2171" s="6" t="s">
        <v>246</v>
      </c>
      <c r="K2171" s="6" t="s">
        <v>35</v>
      </c>
      <c r="L2171" s="6" t="s">
        <v>638</v>
      </c>
      <c r="M2171" s="6" t="s">
        <v>9385</v>
      </c>
    </row>
    <row r="2172" spans="1:13" ht="13" x14ac:dyDescent="0.15">
      <c r="A2172" s="5" t="str">
        <f>HYPERLINK("https://onemount.atlassian.net/browse/DBA-2849","DBA-2849")</f>
        <v>DBA-2849</v>
      </c>
      <c r="B2172" s="6" t="s">
        <v>21</v>
      </c>
      <c r="C2172" s="6" t="s">
        <v>9386</v>
      </c>
      <c r="D2172" s="8" t="s">
        <v>17</v>
      </c>
      <c r="E2172" s="6" t="s">
        <v>23</v>
      </c>
      <c r="F2172" s="6" t="s">
        <v>96</v>
      </c>
      <c r="G2172" s="6" t="s">
        <v>9387</v>
      </c>
      <c r="H2172" s="10">
        <v>45955</v>
      </c>
      <c r="I2172" s="6" t="s">
        <v>9388</v>
      </c>
      <c r="J2172" s="6" t="s">
        <v>85</v>
      </c>
      <c r="K2172" s="6" t="s">
        <v>55</v>
      </c>
      <c r="L2172" s="6" t="s">
        <v>85</v>
      </c>
      <c r="M2172" s="6" t="s">
        <v>9389</v>
      </c>
    </row>
    <row r="2173" spans="1:13" ht="13" x14ac:dyDescent="0.15">
      <c r="A2173" s="5" t="str">
        <f>HYPERLINK("https://onemount.atlassian.net/browse/DBA-2848","DBA-2848")</f>
        <v>DBA-2848</v>
      </c>
      <c r="B2173" s="6" t="s">
        <v>21</v>
      </c>
      <c r="C2173" s="6" t="s">
        <v>9390</v>
      </c>
      <c r="D2173" s="8" t="s">
        <v>17</v>
      </c>
      <c r="E2173" s="6" t="s">
        <v>23</v>
      </c>
      <c r="F2173" s="6" t="s">
        <v>31</v>
      </c>
      <c r="G2173" s="6" t="s">
        <v>9391</v>
      </c>
      <c r="H2173" s="10">
        <v>45952</v>
      </c>
      <c r="I2173" s="6" t="s">
        <v>9392</v>
      </c>
      <c r="J2173" s="6" t="s">
        <v>85</v>
      </c>
      <c r="K2173" s="6" t="s">
        <v>55</v>
      </c>
      <c r="L2173" s="6" t="s">
        <v>85</v>
      </c>
      <c r="M2173" s="6" t="s">
        <v>9393</v>
      </c>
    </row>
    <row r="2174" spans="1:13" ht="13" x14ac:dyDescent="0.15">
      <c r="A2174" s="5" t="str">
        <f>HYPERLINK("https://onemount.atlassian.net/browse/DBA-2847","DBA-2847")</f>
        <v>DBA-2847</v>
      </c>
      <c r="B2174" s="6" t="s">
        <v>21</v>
      </c>
      <c r="C2174" s="6" t="s">
        <v>9394</v>
      </c>
      <c r="D2174" s="8" t="s">
        <v>17</v>
      </c>
      <c r="E2174" s="6" t="s">
        <v>23</v>
      </c>
      <c r="F2174" s="6" t="s">
        <v>31</v>
      </c>
      <c r="G2174" s="6" t="s">
        <v>9395</v>
      </c>
      <c r="H2174" s="10">
        <v>45952</v>
      </c>
      <c r="I2174" s="6" t="s">
        <v>9396</v>
      </c>
      <c r="J2174" s="6" t="s">
        <v>246</v>
      </c>
      <c r="K2174" s="6" t="s">
        <v>35</v>
      </c>
      <c r="L2174" s="6" t="s">
        <v>129</v>
      </c>
      <c r="M2174" s="6" t="s">
        <v>9397</v>
      </c>
    </row>
    <row r="2175" spans="1:13" ht="13" x14ac:dyDescent="0.15">
      <c r="A2175" s="5" t="str">
        <f>HYPERLINK("https://onemount.atlassian.net/browse/DBA-2846","DBA-2846")</f>
        <v>DBA-2846</v>
      </c>
      <c r="B2175" s="6" t="s">
        <v>21</v>
      </c>
      <c r="C2175" s="6" t="s">
        <v>9398</v>
      </c>
      <c r="D2175" s="8" t="s">
        <v>17</v>
      </c>
      <c r="E2175" s="6" t="s">
        <v>23</v>
      </c>
      <c r="F2175" s="6" t="s">
        <v>96</v>
      </c>
      <c r="G2175" s="6" t="s">
        <v>9399</v>
      </c>
      <c r="H2175" s="10">
        <v>45952</v>
      </c>
      <c r="I2175" s="6" t="s">
        <v>9400</v>
      </c>
      <c r="J2175" s="6" t="s">
        <v>55</v>
      </c>
      <c r="K2175" s="6" t="s">
        <v>55</v>
      </c>
      <c r="L2175" s="6" t="s">
        <v>956</v>
      </c>
      <c r="M2175" s="6" t="s">
        <v>9401</v>
      </c>
    </row>
    <row r="2176" spans="1:13" ht="13" x14ac:dyDescent="0.15">
      <c r="A2176" s="5" t="str">
        <f>HYPERLINK("https://onemount.atlassian.net/browse/DBA-2845","DBA-2845")</f>
        <v>DBA-2845</v>
      </c>
      <c r="B2176" s="6" t="s">
        <v>21</v>
      </c>
      <c r="C2176" s="6" t="s">
        <v>9402</v>
      </c>
      <c r="D2176" s="8" t="s">
        <v>17</v>
      </c>
      <c r="E2176" s="6" t="s">
        <v>23</v>
      </c>
      <c r="F2176" s="6" t="s">
        <v>31</v>
      </c>
      <c r="G2176" s="6" t="s">
        <v>9403</v>
      </c>
      <c r="H2176" s="10">
        <v>45953</v>
      </c>
      <c r="I2176" s="6" t="s">
        <v>9404</v>
      </c>
      <c r="J2176" s="6" t="s">
        <v>715</v>
      </c>
      <c r="K2176" s="6" t="s">
        <v>55</v>
      </c>
      <c r="L2176" s="6" t="s">
        <v>715</v>
      </c>
      <c r="M2176" s="6" t="s">
        <v>9405</v>
      </c>
    </row>
    <row r="2177" spans="1:13" ht="13" x14ac:dyDescent="0.15">
      <c r="A2177" s="5" t="str">
        <f>HYPERLINK("https://onemount.atlassian.net/browse/DBA-2844","DBA-2844")</f>
        <v>DBA-2844</v>
      </c>
      <c r="B2177" s="6" t="s">
        <v>21</v>
      </c>
      <c r="C2177" s="6" t="s">
        <v>9406</v>
      </c>
      <c r="D2177" s="8" t="s">
        <v>17</v>
      </c>
      <c r="E2177" s="6" t="s">
        <v>23</v>
      </c>
      <c r="F2177" s="6" t="s">
        <v>31</v>
      </c>
      <c r="G2177" s="6" t="s">
        <v>9407</v>
      </c>
      <c r="H2177" s="10">
        <v>45953</v>
      </c>
      <c r="I2177" s="6" t="s">
        <v>9408</v>
      </c>
      <c r="J2177" s="6" t="s">
        <v>55</v>
      </c>
      <c r="K2177" s="6" t="s">
        <v>55</v>
      </c>
      <c r="L2177" s="6" t="s">
        <v>956</v>
      </c>
      <c r="M2177" s="6" t="s">
        <v>9409</v>
      </c>
    </row>
    <row r="2178" spans="1:13" ht="13" x14ac:dyDescent="0.15">
      <c r="A2178" s="5" t="str">
        <f>HYPERLINK("https://onemount.atlassian.net/browse/DBA-2841","DBA-2841")</f>
        <v>DBA-2841</v>
      </c>
      <c r="B2178" s="6" t="s">
        <v>21</v>
      </c>
      <c r="C2178" s="6" t="s">
        <v>9410</v>
      </c>
      <c r="D2178" s="8" t="s">
        <v>17</v>
      </c>
      <c r="E2178" s="6" t="s">
        <v>23</v>
      </c>
      <c r="F2178" s="6" t="s">
        <v>96</v>
      </c>
      <c r="G2178" s="6" t="s">
        <v>9411</v>
      </c>
      <c r="H2178" s="10">
        <v>45952</v>
      </c>
      <c r="I2178" s="6" t="s">
        <v>9412</v>
      </c>
      <c r="J2178" s="6" t="s">
        <v>85</v>
      </c>
      <c r="K2178" s="6" t="s">
        <v>55</v>
      </c>
      <c r="L2178" s="6" t="s">
        <v>85</v>
      </c>
      <c r="M2178" s="6" t="s">
        <v>9413</v>
      </c>
    </row>
    <row r="2179" spans="1:13" ht="13" x14ac:dyDescent="0.15">
      <c r="A2179" s="5" t="str">
        <f>HYPERLINK("https://onemount.atlassian.net/browse/DBA-2831","DBA-2831")</f>
        <v>DBA-2831</v>
      </c>
      <c r="B2179" s="6" t="s">
        <v>21</v>
      </c>
      <c r="C2179" s="6" t="s">
        <v>9414</v>
      </c>
      <c r="D2179" s="8" t="s">
        <v>17</v>
      </c>
      <c r="E2179" s="6" t="s">
        <v>23</v>
      </c>
      <c r="F2179" s="6" t="s">
        <v>41</v>
      </c>
      <c r="G2179" s="6" t="s">
        <v>9415</v>
      </c>
      <c r="H2179" s="10">
        <v>45953</v>
      </c>
      <c r="I2179" s="6" t="s">
        <v>9416</v>
      </c>
      <c r="J2179" s="6" t="s">
        <v>6387</v>
      </c>
      <c r="K2179" s="6" t="s">
        <v>28</v>
      </c>
      <c r="L2179" s="6" t="s">
        <v>27</v>
      </c>
      <c r="M2179" s="6" t="s">
        <v>9417</v>
      </c>
    </row>
    <row r="2180" spans="1:13" ht="13" x14ac:dyDescent="0.15">
      <c r="A2180" s="5" t="str">
        <f>HYPERLINK("https://onemount.atlassian.net/browse/DBA-2830","DBA-2830")</f>
        <v>DBA-2830</v>
      </c>
      <c r="B2180" s="6" t="s">
        <v>21</v>
      </c>
      <c r="C2180" s="6" t="s">
        <v>9418</v>
      </c>
      <c r="D2180" s="8" t="s">
        <v>17</v>
      </c>
      <c r="E2180" s="6" t="s">
        <v>23</v>
      </c>
      <c r="F2180" s="6" t="s">
        <v>96</v>
      </c>
      <c r="G2180" s="6" t="s">
        <v>9419</v>
      </c>
      <c r="H2180" s="10">
        <v>45951</v>
      </c>
      <c r="I2180" s="6" t="s">
        <v>9420</v>
      </c>
      <c r="J2180" s="6" t="s">
        <v>715</v>
      </c>
      <c r="K2180" s="6" t="s">
        <v>165</v>
      </c>
      <c r="L2180" s="6" t="s">
        <v>715</v>
      </c>
      <c r="M2180" s="6" t="s">
        <v>9421</v>
      </c>
    </row>
    <row r="2181" spans="1:13" ht="13" x14ac:dyDescent="0.15">
      <c r="A2181" s="5" t="str">
        <f>HYPERLINK("https://onemount.atlassian.net/browse/DBA-2829","DBA-2829")</f>
        <v>DBA-2829</v>
      </c>
      <c r="B2181" s="6" t="s">
        <v>21</v>
      </c>
      <c r="C2181" s="6" t="s">
        <v>9422</v>
      </c>
      <c r="D2181" s="8" t="s">
        <v>17</v>
      </c>
      <c r="E2181" s="6" t="s">
        <v>23</v>
      </c>
      <c r="F2181" s="6" t="s">
        <v>31</v>
      </c>
      <c r="G2181" s="6" t="s">
        <v>9423</v>
      </c>
      <c r="H2181" s="10">
        <v>45951</v>
      </c>
      <c r="I2181" s="6" t="s">
        <v>9424</v>
      </c>
      <c r="J2181" s="6" t="s">
        <v>55</v>
      </c>
      <c r="K2181" s="6" t="s">
        <v>55</v>
      </c>
      <c r="L2181" s="6" t="s">
        <v>956</v>
      </c>
      <c r="M2181" s="6" t="s">
        <v>9425</v>
      </c>
    </row>
    <row r="2182" spans="1:13" ht="13" x14ac:dyDescent="0.15">
      <c r="A2182" s="5" t="str">
        <f>HYPERLINK("https://onemount.atlassian.net/browse/DBA-2828","DBA-2828")</f>
        <v>DBA-2828</v>
      </c>
      <c r="B2182" s="6" t="s">
        <v>21</v>
      </c>
      <c r="C2182" s="6" t="s">
        <v>9426</v>
      </c>
      <c r="D2182" s="8" t="s">
        <v>17</v>
      </c>
      <c r="E2182" s="6" t="s">
        <v>23</v>
      </c>
      <c r="F2182" s="6" t="s">
        <v>31</v>
      </c>
      <c r="G2182" s="6" t="s">
        <v>9427</v>
      </c>
      <c r="H2182" s="10">
        <v>45951</v>
      </c>
      <c r="I2182" s="6" t="s">
        <v>9428</v>
      </c>
      <c r="J2182" s="6" t="s">
        <v>55</v>
      </c>
      <c r="K2182" s="6" t="s">
        <v>55</v>
      </c>
      <c r="L2182" s="6" t="s">
        <v>55</v>
      </c>
      <c r="M2182" s="6" t="s">
        <v>9429</v>
      </c>
    </row>
    <row r="2183" spans="1:13" ht="13" x14ac:dyDescent="0.15">
      <c r="A2183" s="5" t="str">
        <f>HYPERLINK("https://onemount.atlassian.net/browse/DBA-2827","DBA-2827")</f>
        <v>DBA-2827</v>
      </c>
      <c r="B2183" s="6" t="s">
        <v>21</v>
      </c>
      <c r="C2183" s="6" t="s">
        <v>9430</v>
      </c>
      <c r="D2183" s="8" t="s">
        <v>17</v>
      </c>
      <c r="E2183" s="6" t="s">
        <v>23</v>
      </c>
      <c r="F2183" s="6" t="s">
        <v>31</v>
      </c>
      <c r="G2183" s="6" t="s">
        <v>9431</v>
      </c>
      <c r="H2183" s="10">
        <v>45951</v>
      </c>
      <c r="I2183" s="6" t="s">
        <v>9432</v>
      </c>
      <c r="J2183" s="6" t="s">
        <v>478</v>
      </c>
      <c r="K2183" s="6" t="s">
        <v>35</v>
      </c>
      <c r="L2183" s="6" t="s">
        <v>478</v>
      </c>
      <c r="M2183" s="6" t="s">
        <v>9433</v>
      </c>
    </row>
    <row r="2184" spans="1:13" ht="13" x14ac:dyDescent="0.15">
      <c r="A2184" s="5" t="str">
        <f>HYPERLINK("https://onemount.atlassian.net/browse/DBA-2826","DBA-2826")</f>
        <v>DBA-2826</v>
      </c>
      <c r="B2184" s="6" t="s">
        <v>21</v>
      </c>
      <c r="C2184" s="6" t="s">
        <v>9434</v>
      </c>
      <c r="D2184" s="8" t="s">
        <v>17</v>
      </c>
      <c r="E2184" s="6" t="s">
        <v>23</v>
      </c>
      <c r="F2184" s="6" t="s">
        <v>31</v>
      </c>
      <c r="G2184" s="6" t="s">
        <v>9435</v>
      </c>
      <c r="H2184" s="10">
        <v>45951</v>
      </c>
      <c r="I2184" s="6" t="s">
        <v>9436</v>
      </c>
      <c r="J2184" s="6" t="s">
        <v>478</v>
      </c>
      <c r="K2184" s="6" t="s">
        <v>35</v>
      </c>
      <c r="L2184" s="6" t="s">
        <v>129</v>
      </c>
      <c r="M2184" s="6" t="s">
        <v>9437</v>
      </c>
    </row>
    <row r="2185" spans="1:13" ht="13" x14ac:dyDescent="0.15">
      <c r="A2185" s="5" t="str">
        <f>HYPERLINK("https://onemount.atlassian.net/browse/DBA-2825","DBA-2825")</f>
        <v>DBA-2825</v>
      </c>
      <c r="B2185" s="6" t="s">
        <v>21</v>
      </c>
      <c r="C2185" s="6" t="s">
        <v>9438</v>
      </c>
      <c r="D2185" s="8" t="s">
        <v>17</v>
      </c>
      <c r="E2185" s="6" t="s">
        <v>23</v>
      </c>
      <c r="F2185" s="6" t="s">
        <v>96</v>
      </c>
      <c r="G2185" s="6" t="s">
        <v>9439</v>
      </c>
      <c r="H2185" s="10">
        <v>45951</v>
      </c>
      <c r="I2185" s="6" t="s">
        <v>9440</v>
      </c>
      <c r="J2185" s="6" t="s">
        <v>9441</v>
      </c>
      <c r="K2185" s="6" t="s">
        <v>46</v>
      </c>
      <c r="L2185" s="6" t="s">
        <v>164</v>
      </c>
      <c r="M2185" s="6" t="s">
        <v>9442</v>
      </c>
    </row>
    <row r="2186" spans="1:13" ht="13" x14ac:dyDescent="0.15">
      <c r="A2186" s="5" t="str">
        <f>HYPERLINK("https://onemount.atlassian.net/browse/DBA-2823","DBA-2823")</f>
        <v>DBA-2823</v>
      </c>
      <c r="B2186" s="23" t="str">
        <f t="shared" ref="B2186:B2187" si="27">HYPERLINK("https://onemount.atlassian.net/browse/DBA-2635","DBA-2635")</f>
        <v>DBA-2635</v>
      </c>
      <c r="C2186" s="6" t="s">
        <v>9443</v>
      </c>
      <c r="D2186" s="8" t="s">
        <v>17</v>
      </c>
      <c r="E2186" s="6" t="s">
        <v>428</v>
      </c>
      <c r="F2186" s="6" t="s">
        <v>41</v>
      </c>
      <c r="G2186" s="6" t="s">
        <v>9444</v>
      </c>
      <c r="H2186" s="10">
        <v>45958</v>
      </c>
      <c r="I2186" s="6" t="s">
        <v>9445</v>
      </c>
      <c r="J2186" s="6" t="s">
        <v>72</v>
      </c>
      <c r="K2186" s="6" t="s">
        <v>72</v>
      </c>
      <c r="L2186" s="6" t="s">
        <v>72</v>
      </c>
      <c r="M2186" s="6" t="s">
        <v>9446</v>
      </c>
    </row>
    <row r="2187" spans="1:13" ht="13" x14ac:dyDescent="0.15">
      <c r="A2187" s="5" t="str">
        <f>HYPERLINK("https://onemount.atlassian.net/browse/DBA-2822","DBA-2822")</f>
        <v>DBA-2822</v>
      </c>
      <c r="B2187" s="23" t="str">
        <f t="shared" si="27"/>
        <v>DBA-2635</v>
      </c>
      <c r="C2187" s="6" t="s">
        <v>9447</v>
      </c>
      <c r="D2187" s="8" t="s">
        <v>17</v>
      </c>
      <c r="E2187" s="6" t="s">
        <v>428</v>
      </c>
      <c r="F2187" s="6" t="s">
        <v>41</v>
      </c>
      <c r="G2187" s="6" t="s">
        <v>9448</v>
      </c>
      <c r="H2187" s="10">
        <v>45958</v>
      </c>
      <c r="I2187" s="6" t="s">
        <v>9449</v>
      </c>
      <c r="J2187" s="6" t="s">
        <v>72</v>
      </c>
      <c r="K2187" s="6" t="s">
        <v>72</v>
      </c>
      <c r="L2187" s="6" t="s">
        <v>72</v>
      </c>
      <c r="M2187" s="6" t="s">
        <v>9450</v>
      </c>
    </row>
    <row r="2188" spans="1:13" ht="13" x14ac:dyDescent="0.15">
      <c r="A2188" s="5" t="str">
        <f>HYPERLINK("https://onemount.atlassian.net/browse/DBA-2821","DBA-2821")</f>
        <v>DBA-2821</v>
      </c>
      <c r="B2188" s="6" t="s">
        <v>21</v>
      </c>
      <c r="C2188" s="6" t="s">
        <v>9451</v>
      </c>
      <c r="D2188" s="8" t="s">
        <v>17</v>
      </c>
      <c r="E2188" s="6" t="s">
        <v>23</v>
      </c>
      <c r="F2188" s="6" t="s">
        <v>24</v>
      </c>
      <c r="G2188" s="6" t="s">
        <v>9452</v>
      </c>
      <c r="H2188" s="10">
        <v>45968</v>
      </c>
      <c r="I2188" s="6" t="s">
        <v>9453</v>
      </c>
      <c r="J2188" s="6" t="s">
        <v>8317</v>
      </c>
      <c r="K2188" s="6" t="s">
        <v>55</v>
      </c>
      <c r="L2188" s="6" t="s">
        <v>85</v>
      </c>
      <c r="M2188" s="6" t="s">
        <v>9454</v>
      </c>
    </row>
    <row r="2189" spans="1:13" ht="13" x14ac:dyDescent="0.15">
      <c r="A2189" s="5" t="str">
        <f>HYPERLINK("https://onemount.atlassian.net/browse/DBA-2820","DBA-2820")</f>
        <v>DBA-2820</v>
      </c>
      <c r="B2189" s="6" t="s">
        <v>21</v>
      </c>
      <c r="C2189" s="6" t="s">
        <v>9455</v>
      </c>
      <c r="D2189" s="8" t="s">
        <v>17</v>
      </c>
      <c r="E2189" s="6" t="s">
        <v>23</v>
      </c>
      <c r="F2189" s="6" t="s">
        <v>24</v>
      </c>
      <c r="G2189" s="6" t="s">
        <v>9456</v>
      </c>
      <c r="H2189" s="10">
        <v>45952</v>
      </c>
      <c r="I2189" s="6" t="s">
        <v>9457</v>
      </c>
      <c r="J2189" s="6" t="s">
        <v>8317</v>
      </c>
      <c r="K2189" s="6" t="s">
        <v>55</v>
      </c>
      <c r="L2189" s="6" t="s">
        <v>906</v>
      </c>
      <c r="M2189" s="6" t="s">
        <v>9458</v>
      </c>
    </row>
    <row r="2190" spans="1:13" ht="13" x14ac:dyDescent="0.15">
      <c r="A2190" s="5" t="str">
        <f>HYPERLINK("https://onemount.atlassian.net/browse/DBA-2819","DBA-2819")</f>
        <v>DBA-2819</v>
      </c>
      <c r="B2190" s="6" t="s">
        <v>21</v>
      </c>
      <c r="C2190" s="6" t="s">
        <v>9459</v>
      </c>
      <c r="D2190" s="8" t="s">
        <v>17</v>
      </c>
      <c r="E2190" s="6" t="s">
        <v>23</v>
      </c>
      <c r="F2190" s="6" t="s">
        <v>24</v>
      </c>
      <c r="G2190" s="6" t="s">
        <v>9460</v>
      </c>
      <c r="H2190" s="10">
        <v>45951</v>
      </c>
      <c r="I2190" s="6" t="s">
        <v>9461</v>
      </c>
      <c r="J2190" s="6" t="s">
        <v>270</v>
      </c>
      <c r="K2190" s="6" t="s">
        <v>55</v>
      </c>
      <c r="L2190" s="6" t="s">
        <v>270</v>
      </c>
      <c r="M2190" s="6" t="s">
        <v>9462</v>
      </c>
    </row>
    <row r="2191" spans="1:13" ht="13" x14ac:dyDescent="0.15">
      <c r="A2191" s="5" t="str">
        <f>HYPERLINK("https://onemount.atlassian.net/browse/DBA-2818","DBA-2818")</f>
        <v>DBA-2818</v>
      </c>
      <c r="B2191" s="6" t="s">
        <v>21</v>
      </c>
      <c r="C2191" s="6" t="s">
        <v>9463</v>
      </c>
      <c r="D2191" s="8" t="s">
        <v>17</v>
      </c>
      <c r="E2191" s="6" t="s">
        <v>23</v>
      </c>
      <c r="F2191" s="6" t="s">
        <v>24</v>
      </c>
      <c r="G2191" s="6" t="s">
        <v>9464</v>
      </c>
      <c r="H2191" s="10">
        <v>45951</v>
      </c>
      <c r="I2191" s="6" t="s">
        <v>9465</v>
      </c>
      <c r="J2191" s="6" t="s">
        <v>270</v>
      </c>
      <c r="K2191" s="6" t="s">
        <v>55</v>
      </c>
      <c r="L2191" s="6" t="s">
        <v>270</v>
      </c>
      <c r="M2191" s="6" t="s">
        <v>9466</v>
      </c>
    </row>
    <row r="2192" spans="1:13" ht="13" x14ac:dyDescent="0.15">
      <c r="A2192" s="5" t="str">
        <f>HYPERLINK("https://onemount.atlassian.net/browse/DBA-2817","DBA-2817")</f>
        <v>DBA-2817</v>
      </c>
      <c r="B2192" s="6" t="s">
        <v>21</v>
      </c>
      <c r="C2192" s="6" t="s">
        <v>9467</v>
      </c>
      <c r="D2192" s="8" t="s">
        <v>17</v>
      </c>
      <c r="E2192" s="6" t="s">
        <v>23</v>
      </c>
      <c r="F2192" s="6" t="s">
        <v>24</v>
      </c>
      <c r="G2192" s="6" t="s">
        <v>9468</v>
      </c>
      <c r="H2192" s="10">
        <v>45950</v>
      </c>
      <c r="I2192" s="6" t="s">
        <v>9469</v>
      </c>
      <c r="J2192" s="6" t="s">
        <v>7598</v>
      </c>
      <c r="K2192" s="6" t="s">
        <v>28</v>
      </c>
      <c r="L2192" s="6" t="s">
        <v>27</v>
      </c>
      <c r="M2192" s="6" t="s">
        <v>9470</v>
      </c>
    </row>
    <row r="2193" spans="1:13" ht="13" x14ac:dyDescent="0.15">
      <c r="A2193" s="5" t="str">
        <f>HYPERLINK("https://onemount.atlassian.net/browse/DBA-2816","DBA-2816")</f>
        <v>DBA-2816</v>
      </c>
      <c r="B2193" s="6" t="s">
        <v>21</v>
      </c>
      <c r="C2193" s="6" t="s">
        <v>9471</v>
      </c>
      <c r="D2193" s="8" t="s">
        <v>17</v>
      </c>
      <c r="E2193" s="6" t="s">
        <v>23</v>
      </c>
      <c r="F2193" s="6" t="s">
        <v>24</v>
      </c>
      <c r="G2193" s="6" t="s">
        <v>9472</v>
      </c>
      <c r="H2193" s="10">
        <v>45951</v>
      </c>
      <c r="I2193" s="6" t="s">
        <v>9473</v>
      </c>
      <c r="J2193" s="6" t="s">
        <v>165</v>
      </c>
      <c r="K2193" s="6" t="s">
        <v>165</v>
      </c>
      <c r="L2193" s="6" t="s">
        <v>39</v>
      </c>
      <c r="M2193" s="6" t="s">
        <v>9474</v>
      </c>
    </row>
    <row r="2194" spans="1:13" ht="13" x14ac:dyDescent="0.15">
      <c r="A2194" s="5" t="str">
        <f>HYPERLINK("https://onemount.atlassian.net/browse/DBA-2815","DBA-2815")</f>
        <v>DBA-2815</v>
      </c>
      <c r="B2194" s="6" t="s">
        <v>21</v>
      </c>
      <c r="C2194" s="6" t="s">
        <v>9475</v>
      </c>
      <c r="D2194" s="8" t="s">
        <v>17</v>
      </c>
      <c r="E2194" s="6" t="s">
        <v>23</v>
      </c>
      <c r="F2194" s="6" t="s">
        <v>24</v>
      </c>
      <c r="G2194" s="6" t="s">
        <v>9476</v>
      </c>
      <c r="H2194" s="10">
        <v>45951</v>
      </c>
      <c r="I2194" s="6" t="s">
        <v>9477</v>
      </c>
      <c r="J2194" s="6" t="s">
        <v>1107</v>
      </c>
      <c r="K2194" s="6" t="s">
        <v>28</v>
      </c>
      <c r="L2194" s="6" t="s">
        <v>1107</v>
      </c>
      <c r="M2194" s="6" t="s">
        <v>9478</v>
      </c>
    </row>
    <row r="2195" spans="1:13" ht="13" x14ac:dyDescent="0.15">
      <c r="A2195" s="21" t="str">
        <f>HYPERLINK("https://onemount.atlassian.net/browse/DBA-2814","DBA-2814")</f>
        <v>DBA-2814</v>
      </c>
      <c r="B2195" s="6" t="s">
        <v>21</v>
      </c>
      <c r="C2195" s="6" t="s">
        <v>9479</v>
      </c>
      <c r="D2195" s="8" t="s">
        <v>17</v>
      </c>
      <c r="E2195" s="6" t="s">
        <v>23</v>
      </c>
      <c r="F2195" s="6" t="s">
        <v>96</v>
      </c>
      <c r="G2195" s="6" t="s">
        <v>9480</v>
      </c>
      <c r="H2195" s="10">
        <v>45952</v>
      </c>
      <c r="I2195" s="6" t="s">
        <v>9481</v>
      </c>
      <c r="J2195" s="6" t="s">
        <v>8065</v>
      </c>
      <c r="K2195" s="6" t="s">
        <v>165</v>
      </c>
      <c r="L2195" s="6" t="s">
        <v>1084</v>
      </c>
      <c r="M2195" s="6" t="s">
        <v>9482</v>
      </c>
    </row>
    <row r="2196" spans="1:13" ht="13" x14ac:dyDescent="0.15">
      <c r="A2196" s="21" t="str">
        <f>HYPERLINK("https://onemount.atlassian.net/browse/DBA-2813","DBA-2813")</f>
        <v>DBA-2813</v>
      </c>
      <c r="B2196" s="6" t="s">
        <v>21</v>
      </c>
      <c r="C2196" s="6" t="s">
        <v>9479</v>
      </c>
      <c r="D2196" s="8" t="s">
        <v>17</v>
      </c>
      <c r="E2196" s="6" t="s">
        <v>23</v>
      </c>
      <c r="F2196" s="6" t="s">
        <v>96</v>
      </c>
      <c r="G2196" s="6" t="s">
        <v>9483</v>
      </c>
      <c r="H2196" s="10">
        <v>45952</v>
      </c>
      <c r="I2196" s="6" t="s">
        <v>9484</v>
      </c>
      <c r="J2196" s="6" t="s">
        <v>8065</v>
      </c>
      <c r="K2196" s="6" t="s">
        <v>165</v>
      </c>
      <c r="L2196" s="6" t="s">
        <v>1084</v>
      </c>
      <c r="M2196" s="6" t="s">
        <v>9482</v>
      </c>
    </row>
    <row r="2197" spans="1:13" ht="13" x14ac:dyDescent="0.15">
      <c r="A2197" s="5" t="str">
        <f>HYPERLINK("https://onemount.atlassian.net/browse/DBA-2812","DBA-2812")</f>
        <v>DBA-2812</v>
      </c>
      <c r="B2197" s="6" t="s">
        <v>21</v>
      </c>
      <c r="C2197" s="6" t="s">
        <v>9366</v>
      </c>
      <c r="D2197" s="8" t="s">
        <v>17</v>
      </c>
      <c r="E2197" s="6" t="s">
        <v>23</v>
      </c>
      <c r="F2197" s="6" t="s">
        <v>31</v>
      </c>
      <c r="G2197" s="6" t="s">
        <v>9485</v>
      </c>
      <c r="H2197" s="10">
        <v>45954</v>
      </c>
      <c r="I2197" s="6" t="s">
        <v>9486</v>
      </c>
      <c r="J2197" s="6" t="s">
        <v>6575</v>
      </c>
      <c r="K2197" s="6" t="s">
        <v>35</v>
      </c>
      <c r="L2197" s="6" t="s">
        <v>36</v>
      </c>
      <c r="M2197" s="6" t="s">
        <v>9487</v>
      </c>
    </row>
    <row r="2198" spans="1:13" ht="13" x14ac:dyDescent="0.15">
      <c r="A2198" s="21" t="str">
        <f>HYPERLINK("https://onemount.atlassian.net/browse/DBA-2811","DBA-2811")</f>
        <v>DBA-2811</v>
      </c>
      <c r="B2198" s="6" t="s">
        <v>21</v>
      </c>
      <c r="C2198" s="6" t="s">
        <v>9479</v>
      </c>
      <c r="D2198" s="8" t="s">
        <v>17</v>
      </c>
      <c r="E2198" s="6" t="s">
        <v>23</v>
      </c>
      <c r="F2198" s="6" t="s">
        <v>96</v>
      </c>
      <c r="G2198" s="6" t="s">
        <v>9488</v>
      </c>
      <c r="H2198" s="10">
        <v>45950</v>
      </c>
      <c r="I2198" s="6" t="s">
        <v>9489</v>
      </c>
      <c r="J2198" s="6" t="s">
        <v>8065</v>
      </c>
      <c r="K2198" s="6" t="s">
        <v>165</v>
      </c>
      <c r="L2198" s="6" t="s">
        <v>1084</v>
      </c>
      <c r="M2198" s="6" t="s">
        <v>9482</v>
      </c>
    </row>
    <row r="2199" spans="1:13" ht="13" x14ac:dyDescent="0.15">
      <c r="A2199" s="5" t="str">
        <f>HYPERLINK("https://onemount.atlassian.net/browse/DBA-2810","DBA-2810")</f>
        <v>DBA-2810</v>
      </c>
      <c r="B2199" s="23" t="str">
        <f>HYPERLINK("https://onemount.atlassian.net/browse/DBA-2635","DBA-2635")</f>
        <v>DBA-2635</v>
      </c>
      <c r="C2199" s="6" t="s">
        <v>9490</v>
      </c>
      <c r="D2199" s="8" t="s">
        <v>17</v>
      </c>
      <c r="E2199" s="6" t="s">
        <v>428</v>
      </c>
      <c r="F2199" s="6" t="s">
        <v>41</v>
      </c>
      <c r="G2199" s="6" t="s">
        <v>9491</v>
      </c>
      <c r="H2199" s="10">
        <v>45952</v>
      </c>
      <c r="I2199" s="6" t="s">
        <v>9492</v>
      </c>
      <c r="J2199" s="6" t="s">
        <v>72</v>
      </c>
      <c r="K2199" s="6" t="s">
        <v>72</v>
      </c>
      <c r="L2199" s="6" t="s">
        <v>72</v>
      </c>
      <c r="M2199" s="6" t="s">
        <v>9493</v>
      </c>
    </row>
    <row r="2200" spans="1:13" ht="13" x14ac:dyDescent="0.15">
      <c r="A2200" s="5" t="str">
        <f>HYPERLINK("https://onemount.atlassian.net/browse/DBA-2808","DBA-2808")</f>
        <v>DBA-2808</v>
      </c>
      <c r="B2200" s="6" t="s">
        <v>21</v>
      </c>
      <c r="C2200" s="6" t="s">
        <v>9494</v>
      </c>
      <c r="D2200" s="8" t="s">
        <v>17</v>
      </c>
      <c r="E2200" s="6" t="s">
        <v>23</v>
      </c>
      <c r="F2200" s="6" t="s">
        <v>96</v>
      </c>
      <c r="G2200" s="6" t="s">
        <v>9495</v>
      </c>
      <c r="H2200" s="10">
        <v>45950</v>
      </c>
      <c r="I2200" s="6" t="s">
        <v>9496</v>
      </c>
      <c r="J2200" s="6" t="s">
        <v>8065</v>
      </c>
      <c r="K2200" s="6" t="s">
        <v>165</v>
      </c>
      <c r="L2200" s="6" t="s">
        <v>1084</v>
      </c>
      <c r="M2200" s="6" t="s">
        <v>9497</v>
      </c>
    </row>
    <row r="2201" spans="1:13" ht="13" x14ac:dyDescent="0.15">
      <c r="A2201" s="5" t="str">
        <f>HYPERLINK("https://onemount.atlassian.net/browse/DBA-2807","DBA-2807")</f>
        <v>DBA-2807</v>
      </c>
      <c r="B2201" s="6" t="s">
        <v>21</v>
      </c>
      <c r="C2201" s="6" t="s">
        <v>9498</v>
      </c>
      <c r="D2201" s="8" t="s">
        <v>17</v>
      </c>
      <c r="E2201" s="6" t="s">
        <v>23</v>
      </c>
      <c r="F2201" s="6" t="s">
        <v>24</v>
      </c>
      <c r="G2201" s="6" t="s">
        <v>9499</v>
      </c>
      <c r="H2201" s="10">
        <v>45950</v>
      </c>
      <c r="I2201" s="6" t="s">
        <v>9500</v>
      </c>
      <c r="J2201" s="6" t="s">
        <v>128</v>
      </c>
      <c r="K2201" s="6" t="s">
        <v>35</v>
      </c>
      <c r="L2201" s="6" t="s">
        <v>129</v>
      </c>
      <c r="M2201" s="6" t="s">
        <v>9501</v>
      </c>
    </row>
    <row r="2202" spans="1:13" ht="13" x14ac:dyDescent="0.15">
      <c r="A2202" s="5" t="str">
        <f>HYPERLINK("https://onemount.atlassian.net/browse/DBA-2806","DBA-2806")</f>
        <v>DBA-2806</v>
      </c>
      <c r="B2202" s="6" t="s">
        <v>21</v>
      </c>
      <c r="C2202" s="6" t="s">
        <v>9502</v>
      </c>
      <c r="D2202" s="8" t="s">
        <v>17</v>
      </c>
      <c r="E2202" s="6" t="s">
        <v>23</v>
      </c>
      <c r="F2202" s="6" t="s">
        <v>96</v>
      </c>
      <c r="G2202" s="6" t="s">
        <v>9503</v>
      </c>
      <c r="H2202" s="10">
        <v>45951</v>
      </c>
      <c r="I2202" s="6" t="s">
        <v>9504</v>
      </c>
      <c r="J2202" s="6" t="s">
        <v>628</v>
      </c>
      <c r="K2202" s="6" t="s">
        <v>165</v>
      </c>
      <c r="L2202" s="6" t="s">
        <v>119</v>
      </c>
      <c r="M2202" s="6" t="s">
        <v>9505</v>
      </c>
    </row>
    <row r="2203" spans="1:13" ht="13" x14ac:dyDescent="0.15">
      <c r="A2203" s="5" t="str">
        <f>HYPERLINK("https://onemount.atlassian.net/browse/DBA-2805","DBA-2805")</f>
        <v>DBA-2805</v>
      </c>
      <c r="B2203" s="6" t="s">
        <v>21</v>
      </c>
      <c r="C2203" s="6" t="s">
        <v>9506</v>
      </c>
      <c r="D2203" s="8" t="s">
        <v>17</v>
      </c>
      <c r="E2203" s="6" t="s">
        <v>23</v>
      </c>
      <c r="F2203" s="6" t="s">
        <v>41</v>
      </c>
      <c r="G2203" s="6" t="s">
        <v>9507</v>
      </c>
      <c r="H2203" s="10">
        <v>45953</v>
      </c>
      <c r="I2203" s="6" t="s">
        <v>9508</v>
      </c>
      <c r="J2203" s="6" t="s">
        <v>27</v>
      </c>
      <c r="K2203" s="6" t="s">
        <v>28</v>
      </c>
      <c r="L2203" s="6" t="s">
        <v>27</v>
      </c>
      <c r="M2203" s="6" t="s">
        <v>9509</v>
      </c>
    </row>
    <row r="2204" spans="1:13" ht="13" x14ac:dyDescent="0.15">
      <c r="A2204" s="5" t="str">
        <f>HYPERLINK("https://onemount.atlassian.net/browse/DBA-2804","DBA-2804")</f>
        <v>DBA-2804</v>
      </c>
      <c r="B2204" s="23" t="str">
        <f>HYPERLINK("https://onemount.atlassian.net/browse/DBA-2688","DBA-2688")</f>
        <v>DBA-2688</v>
      </c>
      <c r="C2204" s="6" t="s">
        <v>9510</v>
      </c>
      <c r="D2204" s="8" t="s">
        <v>17</v>
      </c>
      <c r="E2204" s="6" t="s">
        <v>428</v>
      </c>
      <c r="F2204" s="6" t="s">
        <v>41</v>
      </c>
      <c r="G2204" s="6" t="s">
        <v>9511</v>
      </c>
      <c r="H2204" s="10">
        <v>45958</v>
      </c>
      <c r="I2204" s="6" t="s">
        <v>9512</v>
      </c>
      <c r="J2204" s="6" t="s">
        <v>72</v>
      </c>
      <c r="K2204" s="6" t="s">
        <v>72</v>
      </c>
      <c r="L2204" s="6" t="s">
        <v>72</v>
      </c>
      <c r="M2204" s="6" t="s">
        <v>9510</v>
      </c>
    </row>
    <row r="2205" spans="1:13" ht="13" x14ac:dyDescent="0.15">
      <c r="A2205" s="5" t="str">
        <f>HYPERLINK("https://onemount.atlassian.net/browse/DBA-2803","DBA-2803")</f>
        <v>DBA-2803</v>
      </c>
      <c r="B2205" s="6" t="s">
        <v>21</v>
      </c>
      <c r="C2205" s="6" t="s">
        <v>9513</v>
      </c>
      <c r="D2205" s="8" t="s">
        <v>17</v>
      </c>
      <c r="E2205" s="6" t="s">
        <v>23</v>
      </c>
      <c r="F2205" s="6" t="s">
        <v>96</v>
      </c>
      <c r="G2205" s="6" t="s">
        <v>9514</v>
      </c>
      <c r="H2205" s="10">
        <v>45950</v>
      </c>
      <c r="I2205" s="6" t="s">
        <v>9515</v>
      </c>
      <c r="J2205" s="6" t="s">
        <v>55</v>
      </c>
      <c r="K2205" s="6" t="s">
        <v>55</v>
      </c>
      <c r="L2205" s="6" t="s">
        <v>956</v>
      </c>
      <c r="M2205" s="6" t="s">
        <v>9516</v>
      </c>
    </row>
    <row r="2206" spans="1:13" ht="13" x14ac:dyDescent="0.15">
      <c r="A2206" s="5" t="str">
        <f>HYPERLINK("https://onemount.atlassian.net/browse/DBA-2801","DBA-2801")</f>
        <v>DBA-2801</v>
      </c>
      <c r="B2206" s="6" t="s">
        <v>21</v>
      </c>
      <c r="C2206" s="6" t="s">
        <v>9517</v>
      </c>
      <c r="D2206" s="8" t="s">
        <v>17</v>
      </c>
      <c r="E2206" s="6" t="s">
        <v>23</v>
      </c>
      <c r="F2206" s="6" t="s">
        <v>31</v>
      </c>
      <c r="G2206" s="6" t="s">
        <v>9518</v>
      </c>
      <c r="H2206" s="10">
        <v>45950</v>
      </c>
      <c r="I2206" s="6" t="s">
        <v>9519</v>
      </c>
      <c r="J2206" s="6" t="s">
        <v>2119</v>
      </c>
      <c r="K2206" s="6" t="s">
        <v>35</v>
      </c>
      <c r="L2206" s="6" t="s">
        <v>638</v>
      </c>
      <c r="M2206" s="6" t="s">
        <v>9520</v>
      </c>
    </row>
    <row r="2207" spans="1:13" ht="13" x14ac:dyDescent="0.15">
      <c r="A2207" s="5" t="str">
        <f>HYPERLINK("https://onemount.atlassian.net/browse/DBA-2800","DBA-2800")</f>
        <v>DBA-2800</v>
      </c>
      <c r="B2207" s="6" t="s">
        <v>21</v>
      </c>
      <c r="C2207" s="6" t="s">
        <v>9521</v>
      </c>
      <c r="D2207" s="8" t="s">
        <v>17</v>
      </c>
      <c r="E2207" s="6" t="s">
        <v>23</v>
      </c>
      <c r="F2207" s="6" t="s">
        <v>31</v>
      </c>
      <c r="G2207" s="6" t="s">
        <v>9522</v>
      </c>
      <c r="H2207" s="10">
        <v>45950</v>
      </c>
      <c r="I2207" s="6" t="s">
        <v>9523</v>
      </c>
      <c r="J2207" s="6" t="s">
        <v>46</v>
      </c>
      <c r="K2207" s="6" t="s">
        <v>46</v>
      </c>
      <c r="L2207" s="6" t="s">
        <v>571</v>
      </c>
      <c r="M2207" s="6" t="s">
        <v>9524</v>
      </c>
    </row>
    <row r="2208" spans="1:13" ht="13" x14ac:dyDescent="0.15">
      <c r="A2208" s="5" t="str">
        <f>HYPERLINK("https://onemount.atlassian.net/browse/DBA-2799","DBA-2799")</f>
        <v>DBA-2799</v>
      </c>
      <c r="B2208" s="6" t="s">
        <v>21</v>
      </c>
      <c r="C2208" s="6" t="s">
        <v>9525</v>
      </c>
      <c r="D2208" s="8" t="s">
        <v>17</v>
      </c>
      <c r="E2208" s="6" t="s">
        <v>23</v>
      </c>
      <c r="F2208" s="6" t="s">
        <v>31</v>
      </c>
      <c r="G2208" s="6" t="s">
        <v>9526</v>
      </c>
      <c r="H2208" s="10">
        <v>45950</v>
      </c>
      <c r="I2208" s="6" t="s">
        <v>9527</v>
      </c>
      <c r="J2208" s="6" t="s">
        <v>478</v>
      </c>
      <c r="K2208" s="6" t="s">
        <v>35</v>
      </c>
      <c r="L2208" s="6" t="s">
        <v>478</v>
      </c>
      <c r="M2208" s="6" t="s">
        <v>9528</v>
      </c>
    </row>
    <row r="2209" spans="1:13" ht="13" x14ac:dyDescent="0.15">
      <c r="A2209" s="5" t="str">
        <f>HYPERLINK("https://onemount.atlassian.net/browse/DBA-2797","DBA-2797")</f>
        <v>DBA-2797</v>
      </c>
      <c r="B2209" s="6" t="s">
        <v>21</v>
      </c>
      <c r="C2209" s="6" t="s">
        <v>9529</v>
      </c>
      <c r="D2209" s="8" t="s">
        <v>17</v>
      </c>
      <c r="E2209" s="6" t="s">
        <v>23</v>
      </c>
      <c r="F2209" s="6" t="s">
        <v>96</v>
      </c>
      <c r="G2209" s="6" t="s">
        <v>9530</v>
      </c>
      <c r="H2209" s="10">
        <v>45948</v>
      </c>
      <c r="I2209" s="6" t="s">
        <v>9531</v>
      </c>
      <c r="J2209" s="6" t="s">
        <v>9532</v>
      </c>
      <c r="K2209" s="6" t="s">
        <v>165</v>
      </c>
      <c r="L2209" s="6" t="s">
        <v>1071</v>
      </c>
      <c r="M2209" s="6" t="s">
        <v>9533</v>
      </c>
    </row>
    <row r="2210" spans="1:13" ht="13" x14ac:dyDescent="0.15">
      <c r="A2210" s="5" t="str">
        <f>HYPERLINK("https://onemount.atlassian.net/browse/DBA-2796","DBA-2796")</f>
        <v>DBA-2796</v>
      </c>
      <c r="B2210" s="6" t="s">
        <v>21</v>
      </c>
      <c r="C2210" s="6" t="s">
        <v>9534</v>
      </c>
      <c r="D2210" s="8" t="s">
        <v>17</v>
      </c>
      <c r="E2210" s="6" t="s">
        <v>23</v>
      </c>
      <c r="F2210" s="6" t="s">
        <v>96</v>
      </c>
      <c r="G2210" s="6" t="s">
        <v>9535</v>
      </c>
      <c r="H2210" s="10">
        <v>45948</v>
      </c>
      <c r="I2210" s="6" t="s">
        <v>9536</v>
      </c>
      <c r="J2210" s="6" t="s">
        <v>55</v>
      </c>
      <c r="K2210" s="6" t="s">
        <v>55</v>
      </c>
      <c r="L2210" s="6" t="s">
        <v>956</v>
      </c>
      <c r="M2210" s="6" t="s">
        <v>9537</v>
      </c>
    </row>
    <row r="2211" spans="1:13" ht="13" x14ac:dyDescent="0.15">
      <c r="A2211" s="5" t="str">
        <f>HYPERLINK("https://onemount.atlassian.net/browse/DBA-2794","DBA-2794")</f>
        <v>DBA-2794</v>
      </c>
      <c r="B2211" s="6" t="s">
        <v>21</v>
      </c>
      <c r="C2211" s="6" t="s">
        <v>9538</v>
      </c>
      <c r="D2211" s="8" t="s">
        <v>17</v>
      </c>
      <c r="E2211" s="6" t="s">
        <v>23</v>
      </c>
      <c r="F2211" s="6" t="s">
        <v>96</v>
      </c>
      <c r="G2211" s="6" t="s">
        <v>9539</v>
      </c>
      <c r="H2211" s="10">
        <v>45969</v>
      </c>
      <c r="I2211" s="6" t="s">
        <v>9540</v>
      </c>
      <c r="J2211" s="6" t="s">
        <v>2504</v>
      </c>
      <c r="K2211" s="6" t="s">
        <v>165</v>
      </c>
      <c r="L2211" s="6" t="s">
        <v>160</v>
      </c>
      <c r="M2211" s="6" t="s">
        <v>9541</v>
      </c>
    </row>
    <row r="2212" spans="1:13" ht="13" x14ac:dyDescent="0.15">
      <c r="A2212" s="5" t="str">
        <f>HYPERLINK("https://onemount.atlassian.net/browse/DBA-2793","DBA-2793")</f>
        <v>DBA-2793</v>
      </c>
      <c r="B2212" s="6" t="s">
        <v>21</v>
      </c>
      <c r="C2212" s="6" t="s">
        <v>9542</v>
      </c>
      <c r="D2212" s="8" t="s">
        <v>17</v>
      </c>
      <c r="E2212" s="6" t="s">
        <v>23</v>
      </c>
      <c r="F2212" s="6" t="s">
        <v>41</v>
      </c>
      <c r="G2212" s="6" t="s">
        <v>9543</v>
      </c>
      <c r="H2212" s="10">
        <v>45951</v>
      </c>
      <c r="I2212" s="6" t="s">
        <v>9544</v>
      </c>
      <c r="J2212" s="6" t="s">
        <v>6387</v>
      </c>
      <c r="K2212" s="6" t="s">
        <v>28</v>
      </c>
      <c r="L2212" s="6" t="s">
        <v>27</v>
      </c>
      <c r="M2212" s="6" t="s">
        <v>9545</v>
      </c>
    </row>
    <row r="2213" spans="1:13" ht="13" x14ac:dyDescent="0.15">
      <c r="A2213" s="5" t="str">
        <f>HYPERLINK("https://onemount.atlassian.net/browse/DBA-2792","DBA-2792")</f>
        <v>DBA-2792</v>
      </c>
      <c r="B2213" s="6" t="s">
        <v>21</v>
      </c>
      <c r="C2213" s="6" t="s">
        <v>9546</v>
      </c>
      <c r="D2213" s="8" t="s">
        <v>17</v>
      </c>
      <c r="E2213" s="6" t="s">
        <v>23</v>
      </c>
      <c r="F2213" s="6" t="s">
        <v>96</v>
      </c>
      <c r="G2213" s="6" t="s">
        <v>9547</v>
      </c>
      <c r="H2213" s="10">
        <v>45969</v>
      </c>
      <c r="I2213" s="6" t="s">
        <v>9548</v>
      </c>
      <c r="J2213" s="6" t="s">
        <v>502</v>
      </c>
      <c r="K2213" s="6" t="s">
        <v>46</v>
      </c>
      <c r="L2213" s="6" t="s">
        <v>502</v>
      </c>
      <c r="M2213" s="6" t="s">
        <v>9549</v>
      </c>
    </row>
    <row r="2214" spans="1:13" ht="13" x14ac:dyDescent="0.15">
      <c r="A2214" s="5" t="str">
        <f>HYPERLINK("https://onemount.atlassian.net/browse/DBA-2791","DBA-2791")</f>
        <v>DBA-2791</v>
      </c>
      <c r="B2214" s="6" t="s">
        <v>21</v>
      </c>
      <c r="C2214" s="6" t="s">
        <v>7491</v>
      </c>
      <c r="D2214" s="8" t="s">
        <v>17</v>
      </c>
      <c r="E2214" s="6" t="s">
        <v>23</v>
      </c>
      <c r="F2214" s="6" t="s">
        <v>31</v>
      </c>
      <c r="G2214" s="6" t="s">
        <v>9550</v>
      </c>
      <c r="H2214" s="10">
        <v>45947</v>
      </c>
      <c r="I2214" s="6" t="s">
        <v>9551</v>
      </c>
      <c r="J2214" s="6" t="s">
        <v>128</v>
      </c>
      <c r="K2214" s="6" t="s">
        <v>35</v>
      </c>
      <c r="L2214" s="6" t="s">
        <v>129</v>
      </c>
      <c r="M2214" s="6" t="s">
        <v>9552</v>
      </c>
    </row>
    <row r="2215" spans="1:13" ht="13" x14ac:dyDescent="0.15">
      <c r="A2215" s="5" t="str">
        <f>HYPERLINK("https://onemount.atlassian.net/browse/DBA-2788","DBA-2788")</f>
        <v>DBA-2788</v>
      </c>
      <c r="B2215" s="6" t="s">
        <v>21</v>
      </c>
      <c r="C2215" s="6" t="s">
        <v>9553</v>
      </c>
      <c r="D2215" s="8" t="s">
        <v>17</v>
      </c>
      <c r="E2215" s="6" t="s">
        <v>23</v>
      </c>
      <c r="F2215" s="6" t="s">
        <v>96</v>
      </c>
      <c r="G2215" s="6" t="s">
        <v>9554</v>
      </c>
      <c r="H2215" s="10">
        <v>45947</v>
      </c>
      <c r="I2215" s="6" t="s">
        <v>9555</v>
      </c>
      <c r="J2215" s="6" t="s">
        <v>628</v>
      </c>
      <c r="K2215" s="6" t="s">
        <v>165</v>
      </c>
      <c r="L2215" s="6" t="s">
        <v>119</v>
      </c>
      <c r="M2215" s="6" t="s">
        <v>9556</v>
      </c>
    </row>
    <row r="2216" spans="1:13" ht="13" x14ac:dyDescent="0.15">
      <c r="A2216" s="5" t="str">
        <f>HYPERLINK("https://onemount.atlassian.net/browse/DBA-2787","DBA-2787")</f>
        <v>DBA-2787</v>
      </c>
      <c r="B2216" s="6" t="s">
        <v>21</v>
      </c>
      <c r="C2216" s="6" t="s">
        <v>9557</v>
      </c>
      <c r="D2216" s="8" t="s">
        <v>17</v>
      </c>
      <c r="E2216" s="6" t="s">
        <v>23</v>
      </c>
      <c r="F2216" s="6" t="s">
        <v>24</v>
      </c>
      <c r="G2216" s="6" t="s">
        <v>9558</v>
      </c>
      <c r="H2216" s="10">
        <v>45947</v>
      </c>
      <c r="I2216" s="6" t="s">
        <v>9559</v>
      </c>
      <c r="J2216" s="6" t="s">
        <v>8317</v>
      </c>
      <c r="K2216" s="6" t="s">
        <v>55</v>
      </c>
      <c r="L2216" s="6" t="s">
        <v>85</v>
      </c>
      <c r="M2216" s="6" t="s">
        <v>9560</v>
      </c>
    </row>
    <row r="2217" spans="1:13" ht="13" x14ac:dyDescent="0.15">
      <c r="A2217" s="5" t="str">
        <f>HYPERLINK("https://onemount.atlassian.net/browse/DBA-2786","DBA-2786")</f>
        <v>DBA-2786</v>
      </c>
      <c r="B2217" s="6" t="s">
        <v>21</v>
      </c>
      <c r="C2217" s="6" t="s">
        <v>9561</v>
      </c>
      <c r="D2217" s="8" t="s">
        <v>17</v>
      </c>
      <c r="E2217" s="6" t="s">
        <v>23</v>
      </c>
      <c r="F2217" s="6" t="s">
        <v>24</v>
      </c>
      <c r="G2217" s="6" t="s">
        <v>9562</v>
      </c>
      <c r="H2217" s="10">
        <v>45947</v>
      </c>
      <c r="I2217" s="6" t="s">
        <v>9563</v>
      </c>
      <c r="J2217" s="6" t="s">
        <v>8065</v>
      </c>
      <c r="K2217" s="6" t="s">
        <v>165</v>
      </c>
      <c r="L2217" s="6" t="s">
        <v>1086</v>
      </c>
      <c r="M2217" s="6" t="s">
        <v>9564</v>
      </c>
    </row>
    <row r="2218" spans="1:13" ht="13" x14ac:dyDescent="0.15">
      <c r="A2218" s="5" t="str">
        <f>HYPERLINK("https://onemount.atlassian.net/browse/DBA-2784","DBA-2784")</f>
        <v>DBA-2784</v>
      </c>
      <c r="B2218" s="6" t="s">
        <v>21</v>
      </c>
      <c r="C2218" s="6" t="s">
        <v>9565</v>
      </c>
      <c r="D2218" s="8" t="s">
        <v>17</v>
      </c>
      <c r="E2218" s="6" t="s">
        <v>23</v>
      </c>
      <c r="F2218" s="6" t="s">
        <v>96</v>
      </c>
      <c r="G2218" s="6" t="s">
        <v>9566</v>
      </c>
      <c r="H2218" s="10">
        <v>45947</v>
      </c>
      <c r="I2218" s="6" t="s">
        <v>9567</v>
      </c>
      <c r="J2218" s="6" t="s">
        <v>55</v>
      </c>
      <c r="K2218" s="6" t="s">
        <v>55</v>
      </c>
      <c r="L2218" s="6" t="s">
        <v>956</v>
      </c>
      <c r="M2218" s="6" t="s">
        <v>9568</v>
      </c>
    </row>
    <row r="2219" spans="1:13" ht="13" x14ac:dyDescent="0.15">
      <c r="A2219" s="5" t="str">
        <f>HYPERLINK("https://onemount.atlassian.net/browse/DBA-2783","DBA-2783")</f>
        <v>DBA-2783</v>
      </c>
      <c r="B2219" s="6" t="s">
        <v>21</v>
      </c>
      <c r="C2219" s="6" t="s">
        <v>9569</v>
      </c>
      <c r="D2219" s="8" t="s">
        <v>17</v>
      </c>
      <c r="E2219" s="6" t="s">
        <v>23</v>
      </c>
      <c r="F2219" s="6" t="s">
        <v>31</v>
      </c>
      <c r="G2219" s="6" t="s">
        <v>9570</v>
      </c>
      <c r="H2219" s="10">
        <v>45948</v>
      </c>
      <c r="I2219" s="6" t="s">
        <v>9571</v>
      </c>
      <c r="J2219" s="6" t="s">
        <v>4979</v>
      </c>
      <c r="K2219" s="6" t="s">
        <v>46</v>
      </c>
      <c r="L2219" s="6" t="s">
        <v>623</v>
      </c>
      <c r="M2219" s="6" t="s">
        <v>9572</v>
      </c>
    </row>
    <row r="2220" spans="1:13" ht="13" x14ac:dyDescent="0.15">
      <c r="A2220" s="5" t="str">
        <f>HYPERLINK("https://onemount.atlassian.net/browse/DBA-2781","DBA-2781")</f>
        <v>DBA-2781</v>
      </c>
      <c r="B2220" s="6" t="s">
        <v>21</v>
      </c>
      <c r="C2220" s="6" t="s">
        <v>9573</v>
      </c>
      <c r="D2220" s="8" t="s">
        <v>17</v>
      </c>
      <c r="E2220" s="6" t="s">
        <v>23</v>
      </c>
      <c r="F2220" s="6" t="s">
        <v>24</v>
      </c>
      <c r="G2220" s="6" t="s">
        <v>9574</v>
      </c>
      <c r="H2220" s="10">
        <v>45948</v>
      </c>
      <c r="I2220" s="6" t="s">
        <v>9575</v>
      </c>
      <c r="J2220" s="6" t="s">
        <v>56</v>
      </c>
      <c r="K2220" s="6" t="s">
        <v>55</v>
      </c>
      <c r="L2220" s="6" t="s">
        <v>56</v>
      </c>
      <c r="M2220" s="6" t="s">
        <v>9576</v>
      </c>
    </row>
    <row r="2221" spans="1:13" ht="13" x14ac:dyDescent="0.15">
      <c r="A2221" s="5" t="str">
        <f>HYPERLINK("https://onemount.atlassian.net/browse/DBA-2780","DBA-2780")</f>
        <v>DBA-2780</v>
      </c>
      <c r="B2221" s="6" t="s">
        <v>21</v>
      </c>
      <c r="C2221" s="6" t="s">
        <v>9577</v>
      </c>
      <c r="D2221" s="8" t="s">
        <v>17</v>
      </c>
      <c r="E2221" s="6" t="s">
        <v>23</v>
      </c>
      <c r="F2221" s="6" t="s">
        <v>31</v>
      </c>
      <c r="G2221" s="6" t="s">
        <v>9578</v>
      </c>
      <c r="H2221" s="10">
        <v>45948</v>
      </c>
      <c r="I2221" s="6" t="s">
        <v>9579</v>
      </c>
      <c r="J2221" s="6" t="s">
        <v>843</v>
      </c>
      <c r="K2221" s="6" t="s">
        <v>55</v>
      </c>
      <c r="L2221" s="6" t="s">
        <v>843</v>
      </c>
      <c r="M2221" s="6" t="s">
        <v>9580</v>
      </c>
    </row>
    <row r="2222" spans="1:13" ht="13" x14ac:dyDescent="0.15">
      <c r="A2222" s="21" t="str">
        <f>HYPERLINK("https://onemount.atlassian.net/browse/DBA-2779","DBA-2779")</f>
        <v>DBA-2779</v>
      </c>
      <c r="B2222" s="6" t="s">
        <v>21</v>
      </c>
      <c r="C2222" s="6" t="s">
        <v>9581</v>
      </c>
      <c r="D2222" s="8" t="s">
        <v>17</v>
      </c>
      <c r="E2222" s="6" t="s">
        <v>23</v>
      </c>
      <c r="F2222" s="6" t="s">
        <v>96</v>
      </c>
      <c r="G2222" s="6" t="s">
        <v>9582</v>
      </c>
      <c r="H2222" s="10">
        <v>45946</v>
      </c>
      <c r="I2222" s="6" t="s">
        <v>9583</v>
      </c>
      <c r="J2222" s="6" t="s">
        <v>8065</v>
      </c>
      <c r="K2222" s="6" t="s">
        <v>165</v>
      </c>
      <c r="L2222" s="6" t="s">
        <v>1084</v>
      </c>
      <c r="M2222" s="6" t="s">
        <v>9584</v>
      </c>
    </row>
    <row r="2223" spans="1:13" ht="13" x14ac:dyDescent="0.15">
      <c r="A2223" s="5" t="str">
        <f>HYPERLINK("https://onemount.atlassian.net/browse/DBA-2778","DBA-2778")</f>
        <v>DBA-2778</v>
      </c>
      <c r="B2223" s="6" t="s">
        <v>21</v>
      </c>
      <c r="C2223" s="6" t="s">
        <v>9585</v>
      </c>
      <c r="D2223" s="8" t="s">
        <v>17</v>
      </c>
      <c r="E2223" s="6" t="s">
        <v>23</v>
      </c>
      <c r="F2223" s="6" t="s">
        <v>96</v>
      </c>
      <c r="G2223" s="6" t="s">
        <v>9586</v>
      </c>
      <c r="H2223" s="10">
        <v>45946</v>
      </c>
      <c r="I2223" s="6" t="s">
        <v>9587</v>
      </c>
      <c r="J2223" s="6" t="s">
        <v>597</v>
      </c>
      <c r="K2223" s="6" t="s">
        <v>165</v>
      </c>
      <c r="L2223" s="6" t="s">
        <v>597</v>
      </c>
      <c r="M2223" s="6" t="s">
        <v>9588</v>
      </c>
    </row>
    <row r="2224" spans="1:13" ht="13" x14ac:dyDescent="0.15">
      <c r="A2224" s="5" t="str">
        <f>HYPERLINK("https://onemount.atlassian.net/browse/DBA-2777","DBA-2777")</f>
        <v>DBA-2777</v>
      </c>
      <c r="B2224" s="6" t="s">
        <v>21</v>
      </c>
      <c r="C2224" s="6" t="s">
        <v>9589</v>
      </c>
      <c r="D2224" s="8" t="s">
        <v>17</v>
      </c>
      <c r="E2224" s="6" t="s">
        <v>23</v>
      </c>
      <c r="F2224" s="6" t="s">
        <v>96</v>
      </c>
      <c r="G2224" s="6" t="s">
        <v>9590</v>
      </c>
      <c r="H2224" s="10">
        <v>45946</v>
      </c>
      <c r="I2224" s="6" t="s">
        <v>9591</v>
      </c>
      <c r="J2224" s="6" t="s">
        <v>2153</v>
      </c>
      <c r="K2224" s="6" t="s">
        <v>55</v>
      </c>
      <c r="L2224" s="6" t="s">
        <v>254</v>
      </c>
      <c r="M2224" s="6" t="s">
        <v>9592</v>
      </c>
    </row>
    <row r="2225" spans="1:13" ht="13" x14ac:dyDescent="0.15">
      <c r="A2225" s="21" t="str">
        <f>HYPERLINK("https://onemount.atlassian.net/browse/DBA-2776","DBA-2776")</f>
        <v>DBA-2776</v>
      </c>
      <c r="B2225" s="6" t="s">
        <v>21</v>
      </c>
      <c r="C2225" s="6" t="s">
        <v>8698</v>
      </c>
      <c r="D2225" s="8" t="s">
        <v>17</v>
      </c>
      <c r="E2225" s="6" t="s">
        <v>23</v>
      </c>
      <c r="F2225" s="6" t="s">
        <v>96</v>
      </c>
      <c r="G2225" s="6" t="s">
        <v>9593</v>
      </c>
      <c r="H2225" s="10">
        <v>45946</v>
      </c>
      <c r="I2225" s="6" t="s">
        <v>9594</v>
      </c>
      <c r="J2225" s="6" t="s">
        <v>715</v>
      </c>
      <c r="K2225" s="6" t="s">
        <v>55</v>
      </c>
      <c r="L2225" s="6" t="s">
        <v>715</v>
      </c>
      <c r="M2225" s="6" t="s">
        <v>8899</v>
      </c>
    </row>
    <row r="2226" spans="1:13" ht="13" x14ac:dyDescent="0.15">
      <c r="A2226" s="5" t="str">
        <f>HYPERLINK("https://onemount.atlassian.net/browse/DBA-2775","DBA-2775")</f>
        <v>DBA-2775</v>
      </c>
      <c r="B2226" s="23" t="str">
        <f>HYPERLINK("https://onemount.atlassian.net/browse/DBA-2635","DBA-2635")</f>
        <v>DBA-2635</v>
      </c>
      <c r="C2226" s="6" t="s">
        <v>9595</v>
      </c>
      <c r="D2226" s="8" t="s">
        <v>17</v>
      </c>
      <c r="E2226" s="6" t="s">
        <v>428</v>
      </c>
      <c r="F2226" s="6" t="s">
        <v>41</v>
      </c>
      <c r="G2226" s="6" t="s">
        <v>9596</v>
      </c>
      <c r="H2226" s="10">
        <v>45960</v>
      </c>
      <c r="I2226" s="6" t="s">
        <v>9597</v>
      </c>
      <c r="J2226" s="6" t="s">
        <v>72</v>
      </c>
      <c r="K2226" s="6" t="s">
        <v>72</v>
      </c>
      <c r="L2226" s="6" t="s">
        <v>72</v>
      </c>
      <c r="M2226" s="6" t="s">
        <v>9598</v>
      </c>
    </row>
    <row r="2227" spans="1:13" ht="13" x14ac:dyDescent="0.15">
      <c r="A2227" s="21" t="str">
        <f>HYPERLINK("https://onemount.atlassian.net/browse/DBA-2774","DBA-2774")</f>
        <v>DBA-2774</v>
      </c>
      <c r="B2227" s="6" t="s">
        <v>21</v>
      </c>
      <c r="C2227" s="6" t="s">
        <v>9599</v>
      </c>
      <c r="D2227" s="8" t="s">
        <v>17</v>
      </c>
      <c r="E2227" s="6" t="s">
        <v>23</v>
      </c>
      <c r="F2227" s="6" t="s">
        <v>41</v>
      </c>
      <c r="G2227" s="6" t="s">
        <v>9600</v>
      </c>
      <c r="H2227" s="10">
        <v>46056</v>
      </c>
      <c r="I2227" s="6" t="s">
        <v>9601</v>
      </c>
      <c r="J2227" s="6" t="s">
        <v>99</v>
      </c>
      <c r="K2227" s="6" t="s">
        <v>59</v>
      </c>
      <c r="L2227" s="6" t="s">
        <v>99</v>
      </c>
      <c r="M2227" s="6" t="s">
        <v>9602</v>
      </c>
    </row>
    <row r="2228" spans="1:13" ht="13" x14ac:dyDescent="0.15">
      <c r="A2228" s="5" t="str">
        <f>HYPERLINK("https://onemount.atlassian.net/browse/DBA-2773","DBA-2773")</f>
        <v>DBA-2773</v>
      </c>
      <c r="B2228" s="6" t="s">
        <v>21</v>
      </c>
      <c r="C2228" s="6" t="s">
        <v>9553</v>
      </c>
      <c r="D2228" s="8" t="s">
        <v>17</v>
      </c>
      <c r="E2228" s="6" t="s">
        <v>23</v>
      </c>
      <c r="F2228" s="6" t="s">
        <v>96</v>
      </c>
      <c r="G2228" s="6" t="s">
        <v>9603</v>
      </c>
      <c r="H2228" s="10">
        <v>45946</v>
      </c>
      <c r="I2228" s="6" t="s">
        <v>9604</v>
      </c>
      <c r="J2228" s="6" t="s">
        <v>2453</v>
      </c>
      <c r="K2228" s="6" t="s">
        <v>165</v>
      </c>
      <c r="L2228" s="6" t="s">
        <v>119</v>
      </c>
      <c r="M2228" s="6" t="s">
        <v>9605</v>
      </c>
    </row>
    <row r="2229" spans="1:13" ht="13" x14ac:dyDescent="0.15">
      <c r="A2229" s="5" t="str">
        <f>HYPERLINK("https://onemount.atlassian.net/browse/DBA-2772","DBA-2772")</f>
        <v>DBA-2772</v>
      </c>
      <c r="B2229" s="6" t="s">
        <v>21</v>
      </c>
      <c r="C2229" s="6" t="s">
        <v>9606</v>
      </c>
      <c r="D2229" s="8" t="s">
        <v>17</v>
      </c>
      <c r="E2229" s="6" t="s">
        <v>23</v>
      </c>
      <c r="F2229" s="6" t="s">
        <v>96</v>
      </c>
      <c r="G2229" s="6" t="s">
        <v>9607</v>
      </c>
      <c r="H2229" s="10">
        <v>45946</v>
      </c>
      <c r="I2229" s="6" t="s">
        <v>9608</v>
      </c>
      <c r="J2229" s="6" t="s">
        <v>1091</v>
      </c>
      <c r="K2229" s="6" t="s">
        <v>165</v>
      </c>
      <c r="L2229" s="6" t="s">
        <v>1091</v>
      </c>
      <c r="M2229" s="6" t="s">
        <v>9609</v>
      </c>
    </row>
    <row r="2230" spans="1:13" ht="13" x14ac:dyDescent="0.15">
      <c r="A2230" s="5" t="str">
        <f>HYPERLINK("https://onemount.atlassian.net/browse/DBA-2771","DBA-2771")</f>
        <v>DBA-2771</v>
      </c>
      <c r="B2230" s="6" t="s">
        <v>21</v>
      </c>
      <c r="C2230" s="6" t="s">
        <v>9610</v>
      </c>
      <c r="D2230" s="8" t="s">
        <v>17</v>
      </c>
      <c r="E2230" s="6" t="s">
        <v>23</v>
      </c>
      <c r="F2230" s="6" t="s">
        <v>96</v>
      </c>
      <c r="G2230" s="6" t="s">
        <v>9611</v>
      </c>
      <c r="H2230" s="10">
        <v>45946</v>
      </c>
      <c r="I2230" s="6" t="s">
        <v>9612</v>
      </c>
      <c r="J2230" s="6" t="s">
        <v>1898</v>
      </c>
      <c r="K2230" s="6" t="s">
        <v>165</v>
      </c>
      <c r="L2230" s="6" t="s">
        <v>1097</v>
      </c>
      <c r="M2230" s="6" t="s">
        <v>9613</v>
      </c>
    </row>
    <row r="2231" spans="1:13" ht="13" x14ac:dyDescent="0.15">
      <c r="A2231" s="5" t="str">
        <f>HYPERLINK("https://onemount.atlassian.net/browse/DBA-2770","DBA-2770")</f>
        <v>DBA-2770</v>
      </c>
      <c r="B2231" s="6" t="s">
        <v>21</v>
      </c>
      <c r="C2231" s="6" t="s">
        <v>9183</v>
      </c>
      <c r="D2231" s="8" t="s">
        <v>17</v>
      </c>
      <c r="E2231" s="6" t="s">
        <v>23</v>
      </c>
      <c r="F2231" s="6" t="s">
        <v>96</v>
      </c>
      <c r="G2231" s="6" t="s">
        <v>9614</v>
      </c>
      <c r="H2231" s="10">
        <v>45947</v>
      </c>
      <c r="I2231" s="6" t="s">
        <v>9615</v>
      </c>
      <c r="J2231" s="6" t="s">
        <v>165</v>
      </c>
      <c r="K2231" s="6" t="s">
        <v>165</v>
      </c>
      <c r="L2231" s="6" t="s">
        <v>998</v>
      </c>
      <c r="M2231" s="6" t="s">
        <v>9616</v>
      </c>
    </row>
    <row r="2232" spans="1:13" ht="13" x14ac:dyDescent="0.15">
      <c r="A2232" s="5" t="str">
        <f>HYPERLINK("https://onemount.atlassian.net/browse/DBA-2769","DBA-2769")</f>
        <v>DBA-2769</v>
      </c>
      <c r="B2232" s="23" t="str">
        <f>HYPERLINK("https://onemount.atlassian.net/browse/DBA-2062","DBA-2062")</f>
        <v>DBA-2062</v>
      </c>
      <c r="C2232" s="6" t="s">
        <v>9617</v>
      </c>
      <c r="D2232" s="8" t="s">
        <v>17</v>
      </c>
      <c r="E2232" s="6" t="s">
        <v>428</v>
      </c>
      <c r="F2232" s="6" t="s">
        <v>24</v>
      </c>
      <c r="G2232" s="6" t="s">
        <v>9618</v>
      </c>
      <c r="H2232" s="10">
        <v>45946</v>
      </c>
      <c r="I2232" s="6" t="s">
        <v>9619</v>
      </c>
      <c r="J2232" s="6" t="s">
        <v>9620</v>
      </c>
      <c r="K2232" s="6" t="s">
        <v>55</v>
      </c>
      <c r="L2232" s="6" t="s">
        <v>787</v>
      </c>
      <c r="M2232" s="6" t="s">
        <v>9621</v>
      </c>
    </row>
    <row r="2233" spans="1:13" ht="13" x14ac:dyDescent="0.15">
      <c r="A2233" s="5" t="str">
        <f>HYPERLINK("https://onemount.atlassian.net/browse/DBA-2768","DBA-2768")</f>
        <v>DBA-2768</v>
      </c>
      <c r="B2233" s="6" t="s">
        <v>21</v>
      </c>
      <c r="C2233" s="6" t="s">
        <v>9622</v>
      </c>
      <c r="D2233" s="8" t="s">
        <v>17</v>
      </c>
      <c r="E2233" s="6" t="s">
        <v>23</v>
      </c>
      <c r="F2233" s="6" t="s">
        <v>96</v>
      </c>
      <c r="G2233" s="6" t="s">
        <v>9623</v>
      </c>
      <c r="H2233" s="10">
        <v>45945</v>
      </c>
      <c r="I2233" s="6" t="s">
        <v>9624</v>
      </c>
      <c r="J2233" s="6" t="s">
        <v>1898</v>
      </c>
      <c r="K2233" s="6" t="s">
        <v>165</v>
      </c>
      <c r="L2233" s="6" t="s">
        <v>1097</v>
      </c>
      <c r="M2233" s="6" t="s">
        <v>9625</v>
      </c>
    </row>
    <row r="2234" spans="1:13" ht="13" x14ac:dyDescent="0.15">
      <c r="A2234" s="5" t="str">
        <f>HYPERLINK("https://onemount.atlassian.net/browse/DBA-2767","DBA-2767")</f>
        <v>DBA-2767</v>
      </c>
      <c r="B2234" s="6" t="s">
        <v>21</v>
      </c>
      <c r="C2234" s="6" t="s">
        <v>9626</v>
      </c>
      <c r="D2234" s="8" t="s">
        <v>17</v>
      </c>
      <c r="E2234" s="6" t="s">
        <v>23</v>
      </c>
      <c r="F2234" s="6" t="s">
        <v>96</v>
      </c>
      <c r="G2234" s="6" t="s">
        <v>9627</v>
      </c>
      <c r="H2234" s="10">
        <v>45945</v>
      </c>
      <c r="I2234" s="6" t="s">
        <v>9628</v>
      </c>
      <c r="J2234" s="6" t="s">
        <v>1898</v>
      </c>
      <c r="K2234" s="6" t="s">
        <v>165</v>
      </c>
      <c r="L2234" s="6" t="s">
        <v>1097</v>
      </c>
      <c r="M2234" s="6" t="s">
        <v>9629</v>
      </c>
    </row>
    <row r="2235" spans="1:13" ht="13" x14ac:dyDescent="0.15">
      <c r="A2235" s="5" t="str">
        <f>HYPERLINK("https://onemount.atlassian.net/browse/DBA-2766","DBA-2766")</f>
        <v>DBA-2766</v>
      </c>
      <c r="B2235" s="6" t="s">
        <v>21</v>
      </c>
      <c r="C2235" s="6" t="s">
        <v>9630</v>
      </c>
      <c r="D2235" s="8" t="s">
        <v>17</v>
      </c>
      <c r="E2235" s="6" t="s">
        <v>23</v>
      </c>
      <c r="F2235" s="6" t="s">
        <v>96</v>
      </c>
      <c r="G2235" s="6" t="s">
        <v>9631</v>
      </c>
      <c r="H2235" s="10">
        <v>45945</v>
      </c>
      <c r="I2235" s="6" t="s">
        <v>9632</v>
      </c>
      <c r="J2235" s="6" t="s">
        <v>1898</v>
      </c>
      <c r="K2235" s="6" t="s">
        <v>165</v>
      </c>
      <c r="L2235" s="6" t="s">
        <v>1097</v>
      </c>
      <c r="M2235" s="6" t="s">
        <v>9633</v>
      </c>
    </row>
    <row r="2236" spans="1:13" ht="13" x14ac:dyDescent="0.15">
      <c r="A2236" s="5" t="str">
        <f>HYPERLINK("https://onemount.atlassian.net/browse/DBA-2765","DBA-2765")</f>
        <v>DBA-2765</v>
      </c>
      <c r="B2236" s="6" t="s">
        <v>21</v>
      </c>
      <c r="C2236" s="6" t="s">
        <v>9634</v>
      </c>
      <c r="D2236" s="8" t="s">
        <v>17</v>
      </c>
      <c r="E2236" s="6" t="s">
        <v>23</v>
      </c>
      <c r="F2236" s="6" t="s">
        <v>96</v>
      </c>
      <c r="G2236" s="6" t="s">
        <v>9635</v>
      </c>
      <c r="H2236" s="10">
        <v>45945</v>
      </c>
      <c r="I2236" s="6" t="s">
        <v>9636</v>
      </c>
      <c r="J2236" s="6" t="s">
        <v>165</v>
      </c>
      <c r="K2236" s="6" t="s">
        <v>165</v>
      </c>
      <c r="L2236" s="6" t="s">
        <v>165</v>
      </c>
      <c r="M2236" s="6" t="s">
        <v>9637</v>
      </c>
    </row>
    <row r="2237" spans="1:13" ht="13" x14ac:dyDescent="0.15">
      <c r="A2237" s="5" t="str">
        <f>HYPERLINK("https://onemount.atlassian.net/browse/DBA-2764","DBA-2764")</f>
        <v>DBA-2764</v>
      </c>
      <c r="B2237" s="6" t="s">
        <v>21</v>
      </c>
      <c r="C2237" s="6" t="s">
        <v>9638</v>
      </c>
      <c r="D2237" s="8" t="s">
        <v>17</v>
      </c>
      <c r="E2237" s="6" t="s">
        <v>23</v>
      </c>
      <c r="F2237" s="6" t="s">
        <v>24</v>
      </c>
      <c r="G2237" s="6" t="s">
        <v>9639</v>
      </c>
      <c r="H2237" s="10">
        <v>45946</v>
      </c>
      <c r="I2237" s="6" t="s">
        <v>9640</v>
      </c>
      <c r="J2237" s="6" t="s">
        <v>1107</v>
      </c>
      <c r="K2237" s="6" t="s">
        <v>28</v>
      </c>
      <c r="L2237" s="6" t="s">
        <v>1107</v>
      </c>
      <c r="M2237" s="6" t="s">
        <v>9641</v>
      </c>
    </row>
    <row r="2238" spans="1:13" ht="13" x14ac:dyDescent="0.15">
      <c r="A2238" s="5" t="str">
        <f>HYPERLINK("https://onemount.atlassian.net/browse/DBA-2763","DBA-2763")</f>
        <v>DBA-2763</v>
      </c>
      <c r="B2238" s="6" t="s">
        <v>21</v>
      </c>
      <c r="C2238" s="6" t="s">
        <v>9642</v>
      </c>
      <c r="D2238" s="8" t="s">
        <v>17</v>
      </c>
      <c r="E2238" s="6" t="s">
        <v>23</v>
      </c>
      <c r="F2238" s="6" t="s">
        <v>24</v>
      </c>
      <c r="G2238" s="6" t="s">
        <v>9643</v>
      </c>
      <c r="H2238" s="10">
        <v>45945</v>
      </c>
      <c r="I2238" s="6" t="s">
        <v>9644</v>
      </c>
      <c r="J2238" s="6" t="s">
        <v>9645</v>
      </c>
      <c r="K2238" s="6" t="s">
        <v>55</v>
      </c>
      <c r="L2238" s="6" t="s">
        <v>900</v>
      </c>
      <c r="M2238" s="6" t="s">
        <v>9646</v>
      </c>
    </row>
    <row r="2239" spans="1:13" ht="13" x14ac:dyDescent="0.15">
      <c r="A2239" s="5" t="str">
        <f>HYPERLINK("https://onemount.atlassian.net/browse/DBA-2761","DBA-2761")</f>
        <v>DBA-2761</v>
      </c>
      <c r="B2239" s="6" t="s">
        <v>21</v>
      </c>
      <c r="C2239" s="6" t="s">
        <v>9647</v>
      </c>
      <c r="D2239" s="8" t="s">
        <v>17</v>
      </c>
      <c r="E2239" s="6" t="s">
        <v>23</v>
      </c>
      <c r="F2239" s="6" t="s">
        <v>24</v>
      </c>
      <c r="G2239" s="6" t="s">
        <v>9648</v>
      </c>
      <c r="H2239" s="10">
        <v>45945</v>
      </c>
      <c r="I2239" s="6" t="s">
        <v>9649</v>
      </c>
      <c r="J2239" s="6" t="s">
        <v>8317</v>
      </c>
      <c r="K2239" s="6" t="s">
        <v>55</v>
      </c>
      <c r="L2239" s="6" t="s">
        <v>906</v>
      </c>
      <c r="M2239" s="6" t="s">
        <v>9650</v>
      </c>
    </row>
    <row r="2240" spans="1:13" ht="13" x14ac:dyDescent="0.15">
      <c r="A2240" s="5" t="str">
        <f>HYPERLINK("https://onemount.atlassian.net/browse/DBA-2760","DBA-2760")</f>
        <v>DBA-2760</v>
      </c>
      <c r="B2240" s="6" t="s">
        <v>21</v>
      </c>
      <c r="C2240" s="6" t="s">
        <v>9651</v>
      </c>
      <c r="D2240" s="8" t="s">
        <v>17</v>
      </c>
      <c r="E2240" s="6" t="s">
        <v>23</v>
      </c>
      <c r="F2240" s="6" t="s">
        <v>31</v>
      </c>
      <c r="G2240" s="6" t="s">
        <v>9652</v>
      </c>
      <c r="H2240" s="10">
        <v>45946</v>
      </c>
      <c r="I2240" s="6" t="s">
        <v>9653</v>
      </c>
      <c r="J2240" s="6" t="s">
        <v>715</v>
      </c>
      <c r="K2240" s="6" t="s">
        <v>55</v>
      </c>
      <c r="L2240" s="6" t="s">
        <v>715</v>
      </c>
      <c r="M2240" s="6" t="s">
        <v>9654</v>
      </c>
    </row>
    <row r="2241" spans="1:13" ht="13" x14ac:dyDescent="0.15">
      <c r="A2241" s="5" t="str">
        <f>HYPERLINK("https://onemount.atlassian.net/browse/DBA-2759","DBA-2759")</f>
        <v>DBA-2759</v>
      </c>
      <c r="B2241" s="6" t="s">
        <v>21</v>
      </c>
      <c r="C2241" s="6" t="s">
        <v>9655</v>
      </c>
      <c r="D2241" s="8" t="s">
        <v>17</v>
      </c>
      <c r="E2241" s="6" t="s">
        <v>23</v>
      </c>
      <c r="F2241" s="6" t="s">
        <v>96</v>
      </c>
      <c r="G2241" s="6" t="s">
        <v>9656</v>
      </c>
      <c r="H2241" s="10">
        <v>45945</v>
      </c>
      <c r="I2241" s="6" t="s">
        <v>9657</v>
      </c>
      <c r="J2241" s="6" t="s">
        <v>338</v>
      </c>
      <c r="K2241" s="6" t="s">
        <v>165</v>
      </c>
      <c r="L2241" s="6" t="s">
        <v>338</v>
      </c>
      <c r="M2241" s="6" t="s">
        <v>9658</v>
      </c>
    </row>
    <row r="2242" spans="1:13" ht="13" x14ac:dyDescent="0.15">
      <c r="A2242" s="5" t="str">
        <f>HYPERLINK("https://onemount.atlassian.net/browse/DBA-2757","DBA-2757")</f>
        <v>DBA-2757</v>
      </c>
      <c r="B2242" s="6" t="s">
        <v>21</v>
      </c>
      <c r="C2242" s="6" t="s">
        <v>9659</v>
      </c>
      <c r="D2242" s="8" t="s">
        <v>17</v>
      </c>
      <c r="E2242" s="6" t="s">
        <v>23</v>
      </c>
      <c r="F2242" s="6" t="s">
        <v>31</v>
      </c>
      <c r="G2242" s="6" t="s">
        <v>9660</v>
      </c>
      <c r="H2242" s="10">
        <v>45946</v>
      </c>
      <c r="I2242" s="6" t="s">
        <v>9661</v>
      </c>
      <c r="J2242" s="6" t="s">
        <v>8773</v>
      </c>
      <c r="K2242" s="6" t="s">
        <v>165</v>
      </c>
      <c r="L2242" s="6" t="s">
        <v>1076</v>
      </c>
      <c r="M2242" s="6" t="s">
        <v>9662</v>
      </c>
    </row>
    <row r="2243" spans="1:13" ht="13" x14ac:dyDescent="0.15">
      <c r="A2243" s="5" t="str">
        <f>HYPERLINK("https://onemount.atlassian.net/browse/DBA-2756","DBA-2756")</f>
        <v>DBA-2756</v>
      </c>
      <c r="B2243" s="6" t="s">
        <v>21</v>
      </c>
      <c r="C2243" s="6" t="s">
        <v>9663</v>
      </c>
      <c r="D2243" s="8" t="s">
        <v>17</v>
      </c>
      <c r="E2243" s="6" t="s">
        <v>23</v>
      </c>
      <c r="F2243" s="6" t="s">
        <v>96</v>
      </c>
      <c r="G2243" s="6" t="s">
        <v>9664</v>
      </c>
      <c r="H2243" s="10">
        <v>45946</v>
      </c>
      <c r="I2243" s="6" t="s">
        <v>9665</v>
      </c>
      <c r="J2243" s="6" t="s">
        <v>8065</v>
      </c>
      <c r="K2243" s="6" t="s">
        <v>165</v>
      </c>
      <c r="L2243" s="6" t="s">
        <v>1084</v>
      </c>
      <c r="M2243" s="6" t="s">
        <v>9666</v>
      </c>
    </row>
    <row r="2244" spans="1:13" ht="13" x14ac:dyDescent="0.15">
      <c r="A2244" s="21" t="str">
        <f>HYPERLINK("https://onemount.atlassian.net/browse/DBA-2755","DBA-2755")</f>
        <v>DBA-2755</v>
      </c>
      <c r="B2244" s="6" t="s">
        <v>21</v>
      </c>
      <c r="C2244" s="6" t="s">
        <v>9332</v>
      </c>
      <c r="D2244" s="8" t="s">
        <v>17</v>
      </c>
      <c r="E2244" s="6" t="s">
        <v>23</v>
      </c>
      <c r="F2244" s="6" t="s">
        <v>24</v>
      </c>
      <c r="G2244" s="6" t="s">
        <v>9667</v>
      </c>
      <c r="H2244" s="10">
        <v>45954</v>
      </c>
      <c r="I2244" s="6" t="s">
        <v>9668</v>
      </c>
      <c r="J2244" s="6" t="s">
        <v>128</v>
      </c>
      <c r="K2244" s="6" t="s">
        <v>35</v>
      </c>
      <c r="L2244" s="6" t="s">
        <v>129</v>
      </c>
      <c r="M2244" s="6" t="s">
        <v>9335</v>
      </c>
    </row>
    <row r="2245" spans="1:13" ht="13" x14ac:dyDescent="0.15">
      <c r="A2245" s="5" t="str">
        <f>HYPERLINK("https://onemount.atlassian.net/browse/DBA-2753","DBA-2753")</f>
        <v>DBA-2753</v>
      </c>
      <c r="B2245" s="6" t="s">
        <v>21</v>
      </c>
      <c r="C2245" s="6" t="s">
        <v>9669</v>
      </c>
      <c r="D2245" s="8" t="s">
        <v>17</v>
      </c>
      <c r="E2245" s="6" t="s">
        <v>23</v>
      </c>
      <c r="F2245" s="6" t="s">
        <v>31</v>
      </c>
      <c r="G2245" s="6" t="s">
        <v>9670</v>
      </c>
      <c r="H2245" s="10">
        <v>45946</v>
      </c>
      <c r="I2245" s="6" t="s">
        <v>9671</v>
      </c>
      <c r="J2245" s="6" t="s">
        <v>9672</v>
      </c>
      <c r="K2245" s="6" t="s">
        <v>35</v>
      </c>
      <c r="L2245" s="6" t="s">
        <v>129</v>
      </c>
      <c r="M2245" s="6" t="s">
        <v>9673</v>
      </c>
    </row>
    <row r="2246" spans="1:13" ht="13" x14ac:dyDescent="0.15">
      <c r="A2246" s="5" t="str">
        <f>HYPERLINK("https://onemount.atlassian.net/browse/DBA-2750","DBA-2750")</f>
        <v>DBA-2750</v>
      </c>
      <c r="B2246" s="6" t="s">
        <v>21</v>
      </c>
      <c r="C2246" s="6" t="s">
        <v>9674</v>
      </c>
      <c r="D2246" s="8" t="s">
        <v>17</v>
      </c>
      <c r="E2246" s="6" t="s">
        <v>23</v>
      </c>
      <c r="F2246" s="6" t="s">
        <v>24</v>
      </c>
      <c r="G2246" s="6" t="s">
        <v>9675</v>
      </c>
      <c r="H2246" s="10">
        <v>45945</v>
      </c>
      <c r="I2246" s="6" t="s">
        <v>9676</v>
      </c>
      <c r="J2246" s="6" t="s">
        <v>128</v>
      </c>
      <c r="K2246" s="6" t="s">
        <v>35</v>
      </c>
      <c r="L2246" s="6" t="s">
        <v>129</v>
      </c>
      <c r="M2246" s="6" t="s">
        <v>9677</v>
      </c>
    </row>
    <row r="2247" spans="1:13" ht="13" x14ac:dyDescent="0.15">
      <c r="A2247" s="5" t="str">
        <f>HYPERLINK("https://onemount.atlassian.net/browse/DBA-2749","DBA-2749")</f>
        <v>DBA-2749</v>
      </c>
      <c r="B2247" s="6" t="s">
        <v>21</v>
      </c>
      <c r="C2247" s="6" t="s">
        <v>9678</v>
      </c>
      <c r="D2247" s="8" t="s">
        <v>17</v>
      </c>
      <c r="E2247" s="6" t="s">
        <v>23</v>
      </c>
      <c r="F2247" s="6" t="s">
        <v>96</v>
      </c>
      <c r="G2247" s="6" t="s">
        <v>9679</v>
      </c>
      <c r="H2247" s="10">
        <v>45944</v>
      </c>
      <c r="I2247" s="6" t="s">
        <v>9680</v>
      </c>
      <c r="J2247" s="6" t="s">
        <v>85</v>
      </c>
      <c r="K2247" s="6" t="s">
        <v>55</v>
      </c>
      <c r="L2247" s="6" t="s">
        <v>85</v>
      </c>
      <c r="M2247" s="6" t="s">
        <v>9681</v>
      </c>
    </row>
    <row r="2248" spans="1:13" ht="13" x14ac:dyDescent="0.15">
      <c r="A2248" s="5" t="str">
        <f>HYPERLINK("https://onemount.atlassian.net/browse/DBA-2748","DBA-2748")</f>
        <v>DBA-2748</v>
      </c>
      <c r="B2248" s="6" t="s">
        <v>21</v>
      </c>
      <c r="C2248" s="6" t="s">
        <v>9682</v>
      </c>
      <c r="D2248" s="8" t="s">
        <v>17</v>
      </c>
      <c r="E2248" s="6" t="s">
        <v>23</v>
      </c>
      <c r="F2248" s="6" t="s">
        <v>41</v>
      </c>
      <c r="G2248" s="6" t="s">
        <v>9683</v>
      </c>
      <c r="H2248" s="10">
        <v>46007</v>
      </c>
      <c r="I2248" s="6" t="s">
        <v>9684</v>
      </c>
      <c r="J2248" s="6" t="s">
        <v>201</v>
      </c>
      <c r="K2248" s="6" t="s">
        <v>72</v>
      </c>
      <c r="L2248" s="6" t="s">
        <v>201</v>
      </c>
      <c r="M2248" s="6" t="s">
        <v>9685</v>
      </c>
    </row>
    <row r="2249" spans="1:13" ht="13" x14ac:dyDescent="0.15">
      <c r="A2249" s="5" t="str">
        <f>HYPERLINK("https://onemount.atlassian.net/browse/DBA-2745","DBA-2745")</f>
        <v>DBA-2745</v>
      </c>
      <c r="B2249" s="6" t="s">
        <v>21</v>
      </c>
      <c r="C2249" s="6" t="s">
        <v>9686</v>
      </c>
      <c r="D2249" s="8" t="s">
        <v>17</v>
      </c>
      <c r="E2249" s="6" t="s">
        <v>23</v>
      </c>
      <c r="F2249" s="6" t="s">
        <v>24</v>
      </c>
      <c r="G2249" s="6" t="s">
        <v>9687</v>
      </c>
      <c r="H2249" s="10">
        <v>45945</v>
      </c>
      <c r="I2249" s="6" t="s">
        <v>9688</v>
      </c>
      <c r="J2249" s="6" t="s">
        <v>55</v>
      </c>
      <c r="K2249" s="6" t="s">
        <v>55</v>
      </c>
      <c r="L2249" s="6" t="s">
        <v>547</v>
      </c>
      <c r="M2249" s="6" t="s">
        <v>9689</v>
      </c>
    </row>
    <row r="2250" spans="1:13" ht="13" x14ac:dyDescent="0.15">
      <c r="A2250" s="5" t="str">
        <f>HYPERLINK("https://onemount.atlassian.net/browse/DBA-2743","DBA-2743")</f>
        <v>DBA-2743</v>
      </c>
      <c r="B2250" s="6" t="s">
        <v>21</v>
      </c>
      <c r="C2250" s="6" t="s">
        <v>9690</v>
      </c>
      <c r="D2250" s="8" t="s">
        <v>17</v>
      </c>
      <c r="E2250" s="6" t="s">
        <v>23</v>
      </c>
      <c r="F2250" s="6" t="s">
        <v>96</v>
      </c>
      <c r="G2250" s="6" t="s">
        <v>9691</v>
      </c>
      <c r="H2250" s="10">
        <v>45944</v>
      </c>
      <c r="I2250" s="6" t="s">
        <v>9692</v>
      </c>
      <c r="J2250" s="6" t="s">
        <v>85</v>
      </c>
      <c r="K2250" s="6" t="s">
        <v>55</v>
      </c>
      <c r="L2250" s="6" t="s">
        <v>85</v>
      </c>
      <c r="M2250" s="6" t="s">
        <v>9693</v>
      </c>
    </row>
    <row r="2251" spans="1:13" ht="13" x14ac:dyDescent="0.15">
      <c r="A2251" s="5" t="str">
        <f>HYPERLINK("https://onemount.atlassian.net/browse/DBA-2734","DBA-2734")</f>
        <v>DBA-2734</v>
      </c>
      <c r="B2251" s="6" t="s">
        <v>21</v>
      </c>
      <c r="C2251" s="6" t="s">
        <v>9694</v>
      </c>
      <c r="D2251" s="8" t="s">
        <v>17</v>
      </c>
      <c r="E2251" s="6" t="s">
        <v>23</v>
      </c>
      <c r="F2251" s="6" t="s">
        <v>96</v>
      </c>
      <c r="G2251" s="6" t="s">
        <v>9695</v>
      </c>
      <c r="H2251" s="10">
        <v>45945</v>
      </c>
      <c r="I2251" s="6" t="s">
        <v>9696</v>
      </c>
      <c r="J2251" s="6" t="s">
        <v>165</v>
      </c>
      <c r="K2251" s="6" t="s">
        <v>165</v>
      </c>
      <c r="L2251" s="6" t="s">
        <v>319</v>
      </c>
      <c r="M2251" s="6" t="s">
        <v>9697</v>
      </c>
    </row>
    <row r="2252" spans="1:13" ht="13" x14ac:dyDescent="0.15">
      <c r="A2252" s="5" t="str">
        <f>HYPERLINK("https://onemount.atlassian.net/browse/DBA-2733","DBA-2733")</f>
        <v>DBA-2733</v>
      </c>
      <c r="B2252" s="23" t="str">
        <f>HYPERLINK("https://onemount.atlassian.net/browse/DBA-2635","DBA-2635")</f>
        <v>DBA-2635</v>
      </c>
      <c r="C2252" s="6" t="s">
        <v>9698</v>
      </c>
      <c r="D2252" s="8" t="s">
        <v>17</v>
      </c>
      <c r="E2252" s="6" t="s">
        <v>428</v>
      </c>
      <c r="F2252" s="6" t="s">
        <v>41</v>
      </c>
      <c r="G2252" s="6" t="s">
        <v>9699</v>
      </c>
      <c r="H2252" s="10">
        <v>45944</v>
      </c>
      <c r="I2252" s="6" t="s">
        <v>9700</v>
      </c>
      <c r="J2252" s="6" t="s">
        <v>72</v>
      </c>
      <c r="K2252" s="6" t="s">
        <v>72</v>
      </c>
      <c r="L2252" s="6" t="s">
        <v>72</v>
      </c>
      <c r="M2252" s="6" t="s">
        <v>9701</v>
      </c>
    </row>
    <row r="2253" spans="1:13" ht="13" x14ac:dyDescent="0.15">
      <c r="A2253" s="21" t="str">
        <f>HYPERLINK("https://onemount.atlassian.net/browse/DBA-2732","DBA-2732")</f>
        <v>DBA-2732</v>
      </c>
      <c r="B2253" s="6" t="s">
        <v>21</v>
      </c>
      <c r="C2253" s="6" t="s">
        <v>8698</v>
      </c>
      <c r="D2253" s="8" t="s">
        <v>17</v>
      </c>
      <c r="E2253" s="6" t="s">
        <v>23</v>
      </c>
      <c r="F2253" s="6" t="s">
        <v>96</v>
      </c>
      <c r="G2253" s="6" t="s">
        <v>9702</v>
      </c>
      <c r="H2253" s="10">
        <v>45943</v>
      </c>
      <c r="I2253" s="6" t="s">
        <v>9703</v>
      </c>
      <c r="J2253" s="6" t="s">
        <v>715</v>
      </c>
      <c r="K2253" s="6" t="s">
        <v>55</v>
      </c>
      <c r="L2253" s="6" t="s">
        <v>715</v>
      </c>
      <c r="M2253" s="6" t="s">
        <v>8899</v>
      </c>
    </row>
    <row r="2254" spans="1:13" ht="13" x14ac:dyDescent="0.15">
      <c r="A2254" s="5" t="str">
        <f>HYPERLINK("https://onemount.atlassian.net/browse/DBA-2731","DBA-2731")</f>
        <v>DBA-2731</v>
      </c>
      <c r="B2254" s="6" t="s">
        <v>21</v>
      </c>
      <c r="C2254" s="6" t="s">
        <v>9655</v>
      </c>
      <c r="D2254" s="8" t="s">
        <v>17</v>
      </c>
      <c r="E2254" s="6" t="s">
        <v>23</v>
      </c>
      <c r="F2254" s="6" t="s">
        <v>96</v>
      </c>
      <c r="G2254" s="6" t="s">
        <v>9704</v>
      </c>
      <c r="H2254" s="10">
        <v>45946</v>
      </c>
      <c r="I2254" s="6" t="s">
        <v>9705</v>
      </c>
      <c r="J2254" s="6" t="s">
        <v>9706</v>
      </c>
      <c r="K2254" s="6" t="s">
        <v>165</v>
      </c>
      <c r="L2254" s="6" t="s">
        <v>338</v>
      </c>
      <c r="M2254" s="6" t="s">
        <v>9707</v>
      </c>
    </row>
    <row r="2255" spans="1:13" ht="13" x14ac:dyDescent="0.15">
      <c r="A2255" s="5" t="str">
        <f>HYPERLINK("https://onemount.atlassian.net/browse/DBA-2730","DBA-2730")</f>
        <v>DBA-2730</v>
      </c>
      <c r="B2255" s="23" t="str">
        <f>HYPERLINK("https://onemount.atlassian.net/browse/DBA-2635","DBA-2635")</f>
        <v>DBA-2635</v>
      </c>
      <c r="C2255" s="6" t="s">
        <v>9708</v>
      </c>
      <c r="D2255" s="8" t="s">
        <v>17</v>
      </c>
      <c r="E2255" s="6" t="s">
        <v>428</v>
      </c>
      <c r="F2255" s="6" t="s">
        <v>41</v>
      </c>
      <c r="G2255" s="6" t="s">
        <v>9709</v>
      </c>
      <c r="H2255" s="10">
        <v>45944</v>
      </c>
      <c r="I2255" s="6" t="s">
        <v>9710</v>
      </c>
      <c r="J2255" s="6" t="s">
        <v>72</v>
      </c>
      <c r="K2255" s="6" t="s">
        <v>72</v>
      </c>
      <c r="L2255" s="6" t="s">
        <v>72</v>
      </c>
      <c r="M2255" s="6" t="s">
        <v>9711</v>
      </c>
    </row>
    <row r="2256" spans="1:13" ht="13" x14ac:dyDescent="0.15">
      <c r="A2256" s="5" t="str">
        <f>HYPERLINK("https://onemount.atlassian.net/browse/DBA-2729","DBA-2729")</f>
        <v>DBA-2729</v>
      </c>
      <c r="B2256" s="6" t="s">
        <v>21</v>
      </c>
      <c r="C2256" s="6" t="s">
        <v>9712</v>
      </c>
      <c r="D2256" s="8" t="s">
        <v>17</v>
      </c>
      <c r="E2256" s="6" t="s">
        <v>23</v>
      </c>
      <c r="F2256" s="6" t="s">
        <v>24</v>
      </c>
      <c r="G2256" s="6" t="s">
        <v>9713</v>
      </c>
      <c r="H2256" s="10">
        <v>45944</v>
      </c>
      <c r="I2256" s="6" t="s">
        <v>9714</v>
      </c>
      <c r="J2256" s="6" t="s">
        <v>1107</v>
      </c>
      <c r="K2256" s="6" t="s">
        <v>28</v>
      </c>
      <c r="L2256" s="6" t="s">
        <v>1107</v>
      </c>
      <c r="M2256" s="6" t="s">
        <v>9715</v>
      </c>
    </row>
    <row r="2257" spans="1:13" ht="13" x14ac:dyDescent="0.15">
      <c r="A2257" s="5" t="str">
        <f>HYPERLINK("https://onemount.atlassian.net/browse/DBA-2720","DBA-2720")</f>
        <v>DBA-2720</v>
      </c>
      <c r="B2257" s="23" t="str">
        <f>HYPERLINK("https://onemount.atlassian.net/browse/DBA-2688","DBA-2688")</f>
        <v>DBA-2688</v>
      </c>
      <c r="C2257" s="6" t="s">
        <v>9716</v>
      </c>
      <c r="D2257" s="8" t="s">
        <v>17</v>
      </c>
      <c r="E2257" s="6" t="s">
        <v>428</v>
      </c>
      <c r="F2257" s="6" t="s">
        <v>41</v>
      </c>
      <c r="G2257" s="6" t="s">
        <v>9717</v>
      </c>
      <c r="H2257" s="10">
        <v>45943</v>
      </c>
      <c r="I2257" s="6" t="s">
        <v>9718</v>
      </c>
      <c r="J2257" s="6" t="s">
        <v>72</v>
      </c>
      <c r="K2257" s="6" t="s">
        <v>72</v>
      </c>
      <c r="L2257" s="6" t="s">
        <v>72</v>
      </c>
      <c r="M2257" s="6" t="s">
        <v>9719</v>
      </c>
    </row>
    <row r="2258" spans="1:13" ht="13" x14ac:dyDescent="0.15">
      <c r="A2258" s="5" t="str">
        <f>HYPERLINK("https://onemount.atlassian.net/browse/DBA-2719","DBA-2719")</f>
        <v>DBA-2719</v>
      </c>
      <c r="B2258" s="6" t="s">
        <v>21</v>
      </c>
      <c r="C2258" s="6" t="s">
        <v>9720</v>
      </c>
      <c r="D2258" s="8" t="s">
        <v>17</v>
      </c>
      <c r="E2258" s="6" t="s">
        <v>23</v>
      </c>
      <c r="F2258" s="6" t="s">
        <v>31</v>
      </c>
      <c r="G2258" s="6" t="s">
        <v>9721</v>
      </c>
      <c r="H2258" s="10">
        <v>45942</v>
      </c>
      <c r="I2258" s="6" t="s">
        <v>9722</v>
      </c>
      <c r="J2258" s="6" t="s">
        <v>71</v>
      </c>
      <c r="K2258" s="6" t="s">
        <v>35</v>
      </c>
      <c r="L2258" s="6" t="s">
        <v>71</v>
      </c>
      <c r="M2258" s="6" t="s">
        <v>9723</v>
      </c>
    </row>
    <row r="2259" spans="1:13" ht="13" x14ac:dyDescent="0.15">
      <c r="A2259" s="5" t="str">
        <f>HYPERLINK("https://onemount.atlassian.net/browse/DBA-2717","DBA-2717")</f>
        <v>DBA-2717</v>
      </c>
      <c r="B2259" s="23" t="str">
        <f>HYPERLINK("https://onemount.atlassian.net/browse/DBA-2688","DBA-2688")</f>
        <v>DBA-2688</v>
      </c>
      <c r="C2259" s="6" t="s">
        <v>9724</v>
      </c>
      <c r="D2259" s="8" t="s">
        <v>17</v>
      </c>
      <c r="E2259" s="6" t="s">
        <v>428</v>
      </c>
      <c r="F2259" s="6" t="s">
        <v>41</v>
      </c>
      <c r="G2259" s="6" t="s">
        <v>9725</v>
      </c>
      <c r="H2259" s="10">
        <v>45943</v>
      </c>
      <c r="I2259" s="6" t="s">
        <v>9726</v>
      </c>
      <c r="J2259" s="6" t="s">
        <v>9727</v>
      </c>
      <c r="K2259" s="6" t="s">
        <v>72</v>
      </c>
      <c r="L2259" s="6" t="s">
        <v>72</v>
      </c>
      <c r="M2259" s="6" t="s">
        <v>9728</v>
      </c>
    </row>
    <row r="2260" spans="1:13" ht="13" x14ac:dyDescent="0.15">
      <c r="A2260" s="5" t="str">
        <f>HYPERLINK("https://onemount.atlassian.net/browse/DBA-2716","DBA-2716")</f>
        <v>DBA-2716</v>
      </c>
      <c r="B2260" s="6" t="s">
        <v>21</v>
      </c>
      <c r="C2260" s="6" t="s">
        <v>9729</v>
      </c>
      <c r="D2260" s="8" t="s">
        <v>17</v>
      </c>
      <c r="E2260" s="6" t="s">
        <v>23</v>
      </c>
      <c r="F2260" s="6" t="s">
        <v>24</v>
      </c>
      <c r="G2260" s="6" t="s">
        <v>9730</v>
      </c>
      <c r="H2260" s="10">
        <v>45941</v>
      </c>
      <c r="I2260" s="6" t="s">
        <v>9731</v>
      </c>
      <c r="J2260" s="6" t="s">
        <v>27</v>
      </c>
      <c r="K2260" s="6" t="s">
        <v>28</v>
      </c>
      <c r="L2260" s="6" t="s">
        <v>27</v>
      </c>
      <c r="M2260" s="6" t="s">
        <v>9732</v>
      </c>
    </row>
    <row r="2261" spans="1:13" ht="13" x14ac:dyDescent="0.15">
      <c r="A2261" s="5" t="str">
        <f>HYPERLINK("https://onemount.atlassian.net/browse/DBA-2714","DBA-2714")</f>
        <v>DBA-2714</v>
      </c>
      <c r="B2261" s="6" t="s">
        <v>21</v>
      </c>
      <c r="C2261" s="6" t="s">
        <v>9733</v>
      </c>
      <c r="D2261" s="8" t="s">
        <v>17</v>
      </c>
      <c r="E2261" s="6" t="s">
        <v>23</v>
      </c>
      <c r="F2261" s="6" t="s">
        <v>96</v>
      </c>
      <c r="G2261" s="6" t="s">
        <v>9734</v>
      </c>
      <c r="H2261" s="10">
        <v>45941</v>
      </c>
      <c r="I2261" s="6" t="s">
        <v>9735</v>
      </c>
      <c r="J2261" s="6" t="s">
        <v>1898</v>
      </c>
      <c r="K2261" s="6" t="s">
        <v>165</v>
      </c>
      <c r="L2261" s="6" t="s">
        <v>1097</v>
      </c>
      <c r="M2261" s="6" t="s">
        <v>9736</v>
      </c>
    </row>
    <row r="2262" spans="1:13" ht="13" x14ac:dyDescent="0.15">
      <c r="A2262" s="5" t="str">
        <f>HYPERLINK("https://onemount.atlassian.net/browse/DBA-2713","DBA-2713")</f>
        <v>DBA-2713</v>
      </c>
      <c r="B2262" s="6" t="s">
        <v>21</v>
      </c>
      <c r="C2262" s="6" t="s">
        <v>2389</v>
      </c>
      <c r="D2262" s="8" t="s">
        <v>17</v>
      </c>
      <c r="E2262" s="6" t="s">
        <v>23</v>
      </c>
      <c r="F2262" s="6" t="s">
        <v>96</v>
      </c>
      <c r="G2262" s="6" t="s">
        <v>9737</v>
      </c>
      <c r="H2262" s="10">
        <v>45940</v>
      </c>
      <c r="I2262" s="6" t="s">
        <v>9738</v>
      </c>
      <c r="J2262" s="6" t="s">
        <v>2392</v>
      </c>
      <c r="K2262" s="6" t="s">
        <v>28</v>
      </c>
      <c r="L2262" s="6" t="s">
        <v>27</v>
      </c>
      <c r="M2262" s="6" t="s">
        <v>9739</v>
      </c>
    </row>
    <row r="2263" spans="1:13" ht="13" x14ac:dyDescent="0.15">
      <c r="A2263" s="5" t="str">
        <f>HYPERLINK("https://onemount.atlassian.net/browse/DBA-2712","DBA-2712")</f>
        <v>DBA-2712</v>
      </c>
      <c r="B2263" s="6" t="s">
        <v>21</v>
      </c>
      <c r="C2263" s="6" t="s">
        <v>9740</v>
      </c>
      <c r="D2263" s="8" t="s">
        <v>17</v>
      </c>
      <c r="E2263" s="6" t="s">
        <v>23</v>
      </c>
      <c r="F2263" s="6" t="s">
        <v>96</v>
      </c>
      <c r="G2263" s="6" t="s">
        <v>9741</v>
      </c>
      <c r="H2263" s="10">
        <v>45940</v>
      </c>
      <c r="I2263" s="6" t="s">
        <v>9742</v>
      </c>
      <c r="J2263" s="6" t="s">
        <v>8065</v>
      </c>
      <c r="K2263" s="6" t="s">
        <v>165</v>
      </c>
      <c r="L2263" s="6" t="s">
        <v>1084</v>
      </c>
      <c r="M2263" s="6" t="s">
        <v>9743</v>
      </c>
    </row>
    <row r="2264" spans="1:13" ht="13" x14ac:dyDescent="0.15">
      <c r="A2264" s="5" t="str">
        <f>HYPERLINK("https://onemount.atlassian.net/browse/DBA-2710","DBA-2710")</f>
        <v>DBA-2710</v>
      </c>
      <c r="B2264" s="6" t="s">
        <v>21</v>
      </c>
      <c r="C2264" s="6" t="s">
        <v>9744</v>
      </c>
      <c r="D2264" s="8" t="s">
        <v>17</v>
      </c>
      <c r="E2264" s="6" t="s">
        <v>23</v>
      </c>
      <c r="F2264" s="6" t="s">
        <v>96</v>
      </c>
      <c r="G2264" s="6" t="s">
        <v>9745</v>
      </c>
      <c r="H2264" s="10">
        <v>45940</v>
      </c>
      <c r="I2264" s="6" t="s">
        <v>9746</v>
      </c>
      <c r="J2264" s="6" t="s">
        <v>1030</v>
      </c>
      <c r="K2264" s="6" t="s">
        <v>165</v>
      </c>
      <c r="L2264" s="6" t="s">
        <v>1032</v>
      </c>
      <c r="M2264" s="6" t="s">
        <v>9747</v>
      </c>
    </row>
    <row r="2265" spans="1:13" ht="13" x14ac:dyDescent="0.15">
      <c r="A2265" s="5" t="str">
        <f>HYPERLINK("https://onemount.atlassian.net/browse/DBA-2709","DBA-2709")</f>
        <v>DBA-2709</v>
      </c>
      <c r="B2265" s="6" t="s">
        <v>21</v>
      </c>
      <c r="C2265" s="6" t="s">
        <v>9748</v>
      </c>
      <c r="D2265" s="8" t="s">
        <v>17</v>
      </c>
      <c r="E2265" s="6" t="s">
        <v>23</v>
      </c>
      <c r="F2265" s="6" t="s">
        <v>96</v>
      </c>
      <c r="G2265" s="6" t="s">
        <v>9749</v>
      </c>
      <c r="H2265" s="10">
        <v>45940</v>
      </c>
      <c r="I2265" s="6" t="s">
        <v>9750</v>
      </c>
      <c r="J2265" s="6" t="s">
        <v>628</v>
      </c>
      <c r="K2265" s="6" t="s">
        <v>35</v>
      </c>
      <c r="L2265" s="6" t="s">
        <v>628</v>
      </c>
      <c r="M2265" s="6" t="s">
        <v>9751</v>
      </c>
    </row>
    <row r="2266" spans="1:13" ht="13" x14ac:dyDescent="0.15">
      <c r="A2266" s="5" t="str">
        <f>HYPERLINK("https://onemount.atlassian.net/browse/DBA-2708","DBA-2708")</f>
        <v>DBA-2708</v>
      </c>
      <c r="B2266" s="6" t="s">
        <v>21</v>
      </c>
      <c r="C2266" s="6" t="s">
        <v>9752</v>
      </c>
      <c r="D2266" s="8" t="s">
        <v>17</v>
      </c>
      <c r="E2266" s="6" t="s">
        <v>23</v>
      </c>
      <c r="F2266" s="6" t="s">
        <v>96</v>
      </c>
      <c r="G2266" s="6" t="s">
        <v>9753</v>
      </c>
      <c r="H2266" s="10">
        <v>45944</v>
      </c>
      <c r="I2266" s="6" t="s">
        <v>9754</v>
      </c>
      <c r="J2266" s="6" t="s">
        <v>28</v>
      </c>
      <c r="K2266" s="6" t="s">
        <v>28</v>
      </c>
      <c r="L2266" s="6" t="s">
        <v>28</v>
      </c>
      <c r="M2266" s="6" t="s">
        <v>9755</v>
      </c>
    </row>
    <row r="2267" spans="1:13" ht="13" x14ac:dyDescent="0.15">
      <c r="A2267" s="5" t="str">
        <f>HYPERLINK("https://onemount.atlassian.net/browse/DBA-2705","DBA-2705")</f>
        <v>DBA-2705</v>
      </c>
      <c r="B2267" s="6" t="s">
        <v>21</v>
      </c>
      <c r="C2267" s="6" t="s">
        <v>9756</v>
      </c>
      <c r="D2267" s="8" t="s">
        <v>17</v>
      </c>
      <c r="E2267" s="6" t="s">
        <v>23</v>
      </c>
      <c r="F2267" s="6" t="s">
        <v>31</v>
      </c>
      <c r="G2267" s="6" t="s">
        <v>9757</v>
      </c>
      <c r="H2267" s="10">
        <v>45940</v>
      </c>
      <c r="I2267" s="6" t="s">
        <v>9758</v>
      </c>
      <c r="J2267" s="6" t="s">
        <v>715</v>
      </c>
      <c r="K2267" s="6" t="s">
        <v>55</v>
      </c>
      <c r="L2267" s="6" t="s">
        <v>715</v>
      </c>
      <c r="M2267" s="6" t="s">
        <v>9759</v>
      </c>
    </row>
    <row r="2268" spans="1:13" ht="13" x14ac:dyDescent="0.15">
      <c r="A2268" s="5" t="str">
        <f>HYPERLINK("https://onemount.atlassian.net/browse/DBA-2704","DBA-2704")</f>
        <v>DBA-2704</v>
      </c>
      <c r="B2268" s="6" t="s">
        <v>21</v>
      </c>
      <c r="C2268" s="6" t="s">
        <v>9760</v>
      </c>
      <c r="D2268" s="8" t="s">
        <v>17</v>
      </c>
      <c r="E2268" s="6" t="s">
        <v>23</v>
      </c>
      <c r="F2268" s="6" t="s">
        <v>96</v>
      </c>
      <c r="G2268" s="6" t="s">
        <v>9761</v>
      </c>
      <c r="H2268" s="10">
        <v>45940</v>
      </c>
      <c r="I2268" s="6" t="s">
        <v>9762</v>
      </c>
      <c r="J2268" s="6" t="s">
        <v>165</v>
      </c>
      <c r="K2268" s="6" t="s">
        <v>165</v>
      </c>
      <c r="L2268" s="6" t="s">
        <v>165</v>
      </c>
      <c r="M2268" s="6" t="s">
        <v>9763</v>
      </c>
    </row>
    <row r="2269" spans="1:13" ht="13" x14ac:dyDescent="0.15">
      <c r="A2269" s="5" t="str">
        <f>HYPERLINK("https://onemount.atlassian.net/browse/DBA-2703","DBA-2703")</f>
        <v>DBA-2703</v>
      </c>
      <c r="B2269" s="6" t="s">
        <v>21</v>
      </c>
      <c r="C2269" s="6" t="s">
        <v>9764</v>
      </c>
      <c r="D2269" s="8" t="s">
        <v>17</v>
      </c>
      <c r="E2269" s="6" t="s">
        <v>23</v>
      </c>
      <c r="F2269" s="6" t="s">
        <v>24</v>
      </c>
      <c r="G2269" s="6" t="s">
        <v>9765</v>
      </c>
      <c r="H2269" s="10">
        <v>45940</v>
      </c>
      <c r="I2269" s="6" t="s">
        <v>9766</v>
      </c>
      <c r="J2269" s="6" t="s">
        <v>165</v>
      </c>
      <c r="K2269" s="6" t="s">
        <v>165</v>
      </c>
      <c r="L2269" s="6" t="s">
        <v>39</v>
      </c>
      <c r="M2269" s="6" t="s">
        <v>9767</v>
      </c>
    </row>
    <row r="2270" spans="1:13" ht="13" x14ac:dyDescent="0.15">
      <c r="A2270" s="5" t="str">
        <f>HYPERLINK("https://onemount.atlassian.net/browse/DBA-2702","DBA-2702")</f>
        <v>DBA-2702</v>
      </c>
      <c r="B2270" s="6" t="s">
        <v>21</v>
      </c>
      <c r="C2270" s="6" t="s">
        <v>9768</v>
      </c>
      <c r="D2270" s="8" t="s">
        <v>17</v>
      </c>
      <c r="E2270" s="6" t="s">
        <v>23</v>
      </c>
      <c r="F2270" s="6" t="s">
        <v>24</v>
      </c>
      <c r="G2270" s="6" t="s">
        <v>9769</v>
      </c>
      <c r="H2270" s="10">
        <v>45940</v>
      </c>
      <c r="I2270" s="6" t="s">
        <v>9770</v>
      </c>
      <c r="J2270" s="6" t="s">
        <v>64</v>
      </c>
      <c r="K2270" s="6" t="s">
        <v>55</v>
      </c>
      <c r="L2270" s="6" t="s">
        <v>270</v>
      </c>
      <c r="M2270" s="6" t="s">
        <v>9771</v>
      </c>
    </row>
    <row r="2271" spans="1:13" ht="13" x14ac:dyDescent="0.15">
      <c r="A2271" s="5" t="str">
        <f>HYPERLINK("https://onemount.atlassian.net/browse/DBA-2701","DBA-2701")</f>
        <v>DBA-2701</v>
      </c>
      <c r="B2271" s="6" t="s">
        <v>21</v>
      </c>
      <c r="C2271" s="6" t="s">
        <v>9772</v>
      </c>
      <c r="D2271" s="8" t="s">
        <v>17</v>
      </c>
      <c r="E2271" s="6" t="s">
        <v>23</v>
      </c>
      <c r="F2271" s="6" t="s">
        <v>96</v>
      </c>
      <c r="G2271" s="6" t="s">
        <v>9773</v>
      </c>
      <c r="H2271" s="10">
        <v>45943</v>
      </c>
      <c r="I2271" s="6" t="s">
        <v>9774</v>
      </c>
      <c r="J2271" s="6" t="s">
        <v>165</v>
      </c>
      <c r="K2271" s="6" t="s">
        <v>165</v>
      </c>
      <c r="L2271" s="6" t="s">
        <v>996</v>
      </c>
      <c r="M2271" s="6" t="s">
        <v>9775</v>
      </c>
    </row>
    <row r="2272" spans="1:13" ht="13" x14ac:dyDescent="0.15">
      <c r="A2272" s="5" t="str">
        <f>HYPERLINK("https://onemount.atlassian.net/browse/DBA-2700","DBA-2700")</f>
        <v>DBA-2700</v>
      </c>
      <c r="B2272" s="6" t="s">
        <v>21</v>
      </c>
      <c r="C2272" s="6" t="s">
        <v>9776</v>
      </c>
      <c r="D2272" s="8" t="s">
        <v>17</v>
      </c>
      <c r="E2272" s="6" t="s">
        <v>23</v>
      </c>
      <c r="F2272" s="6" t="s">
        <v>41</v>
      </c>
      <c r="G2272" s="6" t="s">
        <v>9777</v>
      </c>
      <c r="H2272" s="10">
        <v>45940</v>
      </c>
      <c r="I2272" s="6" t="s">
        <v>9778</v>
      </c>
      <c r="J2272" s="6" t="s">
        <v>201</v>
      </c>
      <c r="K2272" s="6" t="s">
        <v>72</v>
      </c>
      <c r="L2272" s="6" t="s">
        <v>201</v>
      </c>
      <c r="M2272" s="6" t="s">
        <v>9779</v>
      </c>
    </row>
    <row r="2273" spans="1:13" ht="13" x14ac:dyDescent="0.15">
      <c r="A2273" s="5" t="str">
        <f>HYPERLINK("https://onemount.atlassian.net/browse/DBA-2699","DBA-2699")</f>
        <v>DBA-2699</v>
      </c>
      <c r="B2273" s="6" t="s">
        <v>21</v>
      </c>
      <c r="C2273" s="6" t="s">
        <v>9780</v>
      </c>
      <c r="D2273" s="8" t="s">
        <v>17</v>
      </c>
      <c r="E2273" s="6" t="s">
        <v>23</v>
      </c>
      <c r="F2273" s="6" t="s">
        <v>96</v>
      </c>
      <c r="G2273" s="6" t="s">
        <v>9781</v>
      </c>
      <c r="H2273" s="10">
        <v>45939</v>
      </c>
      <c r="I2273" s="6" t="s">
        <v>9782</v>
      </c>
      <c r="J2273" s="6" t="s">
        <v>1898</v>
      </c>
      <c r="K2273" s="6" t="s">
        <v>165</v>
      </c>
      <c r="L2273" s="6" t="s">
        <v>1097</v>
      </c>
      <c r="M2273" s="6" t="s">
        <v>9783</v>
      </c>
    </row>
    <row r="2274" spans="1:13" ht="13" x14ac:dyDescent="0.15">
      <c r="A2274" s="5" t="str">
        <f>HYPERLINK("https://onemount.atlassian.net/browse/DBA-2698","DBA-2698")</f>
        <v>DBA-2698</v>
      </c>
      <c r="B2274" s="6" t="s">
        <v>21</v>
      </c>
      <c r="C2274" s="6" t="s">
        <v>9784</v>
      </c>
      <c r="D2274" s="8" t="s">
        <v>17</v>
      </c>
      <c r="E2274" s="6" t="s">
        <v>23</v>
      </c>
      <c r="F2274" s="6" t="s">
        <v>31</v>
      </c>
      <c r="G2274" s="6" t="s">
        <v>9785</v>
      </c>
      <c r="H2274" s="10">
        <v>45939</v>
      </c>
      <c r="I2274" s="6" t="s">
        <v>9786</v>
      </c>
      <c r="J2274" s="6" t="s">
        <v>9787</v>
      </c>
      <c r="K2274" s="6" t="s">
        <v>55</v>
      </c>
      <c r="L2274" s="6" t="s">
        <v>270</v>
      </c>
      <c r="M2274" s="6" t="s">
        <v>9788</v>
      </c>
    </row>
    <row r="2275" spans="1:13" ht="13" x14ac:dyDescent="0.15">
      <c r="A2275" s="5" t="str">
        <f>HYPERLINK("https://onemount.atlassian.net/browse/DBA-2697","DBA-2697")</f>
        <v>DBA-2697</v>
      </c>
      <c r="B2275" s="6" t="s">
        <v>21</v>
      </c>
      <c r="C2275" s="6" t="s">
        <v>9789</v>
      </c>
      <c r="D2275" s="8" t="s">
        <v>17</v>
      </c>
      <c r="E2275" s="6" t="s">
        <v>23</v>
      </c>
      <c r="F2275" s="6" t="s">
        <v>31</v>
      </c>
      <c r="G2275" s="6" t="s">
        <v>9790</v>
      </c>
      <c r="H2275" s="10">
        <v>45939</v>
      </c>
      <c r="I2275" s="6" t="s">
        <v>9791</v>
      </c>
      <c r="J2275" s="6" t="s">
        <v>7546</v>
      </c>
      <c r="K2275" s="6" t="s">
        <v>46</v>
      </c>
      <c r="L2275" s="6" t="s">
        <v>628</v>
      </c>
      <c r="M2275" s="6" t="s">
        <v>9792</v>
      </c>
    </row>
    <row r="2276" spans="1:13" ht="13" x14ac:dyDescent="0.15">
      <c r="A2276" s="5" t="str">
        <f>HYPERLINK("https://onemount.atlassian.net/browse/DBA-2695","DBA-2695")</f>
        <v>DBA-2695</v>
      </c>
      <c r="B2276" s="6" t="s">
        <v>21</v>
      </c>
      <c r="C2276" s="6" t="s">
        <v>9793</v>
      </c>
      <c r="D2276" s="8" t="s">
        <v>17</v>
      </c>
      <c r="E2276" s="6" t="s">
        <v>23</v>
      </c>
      <c r="F2276" s="6" t="s">
        <v>31</v>
      </c>
      <c r="G2276" s="6" t="s">
        <v>9794</v>
      </c>
      <c r="H2276" s="10">
        <v>45938</v>
      </c>
      <c r="I2276" s="6" t="s">
        <v>9795</v>
      </c>
      <c r="J2276" s="6" t="s">
        <v>5746</v>
      </c>
      <c r="K2276" s="6" t="s">
        <v>35</v>
      </c>
      <c r="L2276" s="6" t="s">
        <v>962</v>
      </c>
      <c r="M2276" s="6" t="s">
        <v>9796</v>
      </c>
    </row>
    <row r="2277" spans="1:13" ht="13" x14ac:dyDescent="0.15">
      <c r="A2277" s="5" t="str">
        <f>HYPERLINK("https://onemount.atlassian.net/browse/DBA-2693","DBA-2693")</f>
        <v>DBA-2693</v>
      </c>
      <c r="B2277" s="6" t="s">
        <v>21</v>
      </c>
      <c r="C2277" s="6" t="s">
        <v>9797</v>
      </c>
      <c r="D2277" s="8" t="s">
        <v>17</v>
      </c>
      <c r="E2277" s="6" t="s">
        <v>23</v>
      </c>
      <c r="F2277" s="6" t="s">
        <v>24</v>
      </c>
      <c r="G2277" s="6" t="s">
        <v>9798</v>
      </c>
      <c r="H2277" s="10">
        <v>45938</v>
      </c>
      <c r="I2277" s="6" t="s">
        <v>9799</v>
      </c>
      <c r="J2277" s="6" t="s">
        <v>4792</v>
      </c>
      <c r="K2277" s="6" t="s">
        <v>55</v>
      </c>
      <c r="L2277" s="6" t="s">
        <v>270</v>
      </c>
      <c r="M2277" s="6" t="s">
        <v>9800</v>
      </c>
    </row>
    <row r="2278" spans="1:13" ht="13" x14ac:dyDescent="0.15">
      <c r="A2278" s="5" t="str">
        <f>HYPERLINK("https://onemount.atlassian.net/browse/DBA-2692","DBA-2692")</f>
        <v>DBA-2692</v>
      </c>
      <c r="B2278" s="6" t="s">
        <v>21</v>
      </c>
      <c r="C2278" s="6" t="s">
        <v>9801</v>
      </c>
      <c r="D2278" s="8" t="s">
        <v>17</v>
      </c>
      <c r="E2278" s="6" t="s">
        <v>23</v>
      </c>
      <c r="F2278" s="6" t="s">
        <v>31</v>
      </c>
      <c r="G2278" s="6" t="s">
        <v>9802</v>
      </c>
      <c r="H2278" s="10">
        <v>45938</v>
      </c>
      <c r="I2278" s="6" t="s">
        <v>9803</v>
      </c>
      <c r="J2278" s="6" t="s">
        <v>181</v>
      </c>
      <c r="K2278" s="6" t="s">
        <v>35</v>
      </c>
      <c r="L2278" s="6" t="s">
        <v>638</v>
      </c>
      <c r="M2278" s="6" t="s">
        <v>9804</v>
      </c>
    </row>
    <row r="2279" spans="1:13" ht="13" x14ac:dyDescent="0.15">
      <c r="A2279" s="5" t="str">
        <f>HYPERLINK("https://onemount.atlassian.net/browse/DBA-2691","DBA-2691")</f>
        <v>DBA-2691</v>
      </c>
      <c r="B2279" s="6" t="s">
        <v>21</v>
      </c>
      <c r="C2279" s="6" t="s">
        <v>9805</v>
      </c>
      <c r="D2279" s="8" t="s">
        <v>17</v>
      </c>
      <c r="E2279" s="6" t="s">
        <v>23</v>
      </c>
      <c r="F2279" s="6" t="s">
        <v>96</v>
      </c>
      <c r="G2279" s="6" t="s">
        <v>9806</v>
      </c>
      <c r="H2279" s="10">
        <v>45939</v>
      </c>
      <c r="I2279" s="6" t="s">
        <v>9807</v>
      </c>
      <c r="J2279" s="6" t="s">
        <v>6156</v>
      </c>
      <c r="K2279" s="6" t="s">
        <v>55</v>
      </c>
      <c r="L2279" s="6" t="s">
        <v>906</v>
      </c>
      <c r="M2279" s="6" t="s">
        <v>9808</v>
      </c>
    </row>
    <row r="2280" spans="1:13" ht="13" x14ac:dyDescent="0.15">
      <c r="A2280" s="5" t="str">
        <f>HYPERLINK("https://onemount.atlassian.net/browse/DBA-2688","DBA-2688")</f>
        <v>DBA-2688</v>
      </c>
      <c r="B2280" s="6" t="s">
        <v>21</v>
      </c>
      <c r="C2280" s="6" t="s">
        <v>9809</v>
      </c>
      <c r="D2280" s="8" t="s">
        <v>17</v>
      </c>
      <c r="E2280" s="6" t="s">
        <v>23</v>
      </c>
      <c r="F2280" s="6" t="s">
        <v>41</v>
      </c>
      <c r="G2280" s="6" t="s">
        <v>9810</v>
      </c>
      <c r="H2280" s="10">
        <v>45990</v>
      </c>
      <c r="I2280" s="6" t="s">
        <v>9811</v>
      </c>
      <c r="J2280" s="6" t="s">
        <v>72</v>
      </c>
      <c r="K2280" s="6" t="s">
        <v>72</v>
      </c>
      <c r="L2280" s="6" t="s">
        <v>72</v>
      </c>
      <c r="M2280" s="6" t="s">
        <v>9812</v>
      </c>
    </row>
    <row r="2281" spans="1:13" ht="13" x14ac:dyDescent="0.15">
      <c r="A2281" s="5" t="str">
        <f>HYPERLINK("https://onemount.atlassian.net/browse/DBA-2687","DBA-2687")</f>
        <v>DBA-2687</v>
      </c>
      <c r="B2281" s="23" t="str">
        <f t="shared" ref="B2281:B2283" si="28">HYPERLINK("https://onemount.atlassian.net/browse/DBA-2348","DBA-2348")</f>
        <v>DBA-2348</v>
      </c>
      <c r="C2281" s="6" t="s">
        <v>9813</v>
      </c>
      <c r="D2281" s="8" t="s">
        <v>17</v>
      </c>
      <c r="E2281" s="6" t="s">
        <v>428</v>
      </c>
      <c r="F2281" s="6" t="s">
        <v>41</v>
      </c>
      <c r="G2281" s="6" t="s">
        <v>9814</v>
      </c>
      <c r="H2281" s="10">
        <v>45943</v>
      </c>
      <c r="I2281" s="6" t="s">
        <v>9815</v>
      </c>
      <c r="J2281" s="6" t="s">
        <v>72</v>
      </c>
      <c r="K2281" s="6" t="s">
        <v>72</v>
      </c>
      <c r="L2281" s="6" t="s">
        <v>201</v>
      </c>
      <c r="M2281" s="6" t="s">
        <v>9813</v>
      </c>
    </row>
    <row r="2282" spans="1:13" ht="13" x14ac:dyDescent="0.15">
      <c r="A2282" s="5" t="str">
        <f>HYPERLINK("https://onemount.atlassian.net/browse/DBA-2686","DBA-2686")</f>
        <v>DBA-2686</v>
      </c>
      <c r="B2282" s="23" t="str">
        <f t="shared" si="28"/>
        <v>DBA-2348</v>
      </c>
      <c r="C2282" s="6" t="s">
        <v>9816</v>
      </c>
      <c r="D2282" s="8" t="s">
        <v>17</v>
      </c>
      <c r="E2282" s="6" t="s">
        <v>428</v>
      </c>
      <c r="F2282" s="6" t="s">
        <v>41</v>
      </c>
      <c r="G2282" s="6" t="s">
        <v>9817</v>
      </c>
      <c r="H2282" s="10">
        <v>45943</v>
      </c>
      <c r="I2282" s="6" t="s">
        <v>9818</v>
      </c>
      <c r="J2282" s="6" t="s">
        <v>72</v>
      </c>
      <c r="K2282" s="6" t="s">
        <v>72</v>
      </c>
      <c r="L2282" s="6" t="s">
        <v>201</v>
      </c>
      <c r="M2282" s="6" t="s">
        <v>9816</v>
      </c>
    </row>
    <row r="2283" spans="1:13" ht="13" x14ac:dyDescent="0.15">
      <c r="A2283" s="5" t="str">
        <f>HYPERLINK("https://onemount.atlassian.net/browse/DBA-2685","DBA-2685")</f>
        <v>DBA-2685</v>
      </c>
      <c r="B2283" s="23" t="str">
        <f t="shared" si="28"/>
        <v>DBA-2348</v>
      </c>
      <c r="C2283" s="6" t="s">
        <v>9819</v>
      </c>
      <c r="D2283" s="8" t="s">
        <v>17</v>
      </c>
      <c r="E2283" s="6" t="s">
        <v>428</v>
      </c>
      <c r="F2283" s="6" t="s">
        <v>41</v>
      </c>
      <c r="G2283" s="6" t="s">
        <v>9820</v>
      </c>
      <c r="H2283" s="10">
        <v>45943</v>
      </c>
      <c r="I2283" s="6" t="s">
        <v>9821</v>
      </c>
      <c r="J2283" s="6" t="s">
        <v>72</v>
      </c>
      <c r="K2283" s="6" t="s">
        <v>72</v>
      </c>
      <c r="L2283" s="6" t="s">
        <v>201</v>
      </c>
      <c r="M2283" s="6" t="s">
        <v>9822</v>
      </c>
    </row>
    <row r="2284" spans="1:13" ht="13" x14ac:dyDescent="0.15">
      <c r="A2284" s="5" t="str">
        <f>HYPERLINK("https://onemount.atlassian.net/browse/DBA-2684","DBA-2684")</f>
        <v>DBA-2684</v>
      </c>
      <c r="B2284" s="6" t="s">
        <v>21</v>
      </c>
      <c r="C2284" s="6" t="s">
        <v>9744</v>
      </c>
      <c r="D2284" s="8" t="s">
        <v>17</v>
      </c>
      <c r="E2284" s="6" t="s">
        <v>23</v>
      </c>
      <c r="F2284" s="6" t="s">
        <v>96</v>
      </c>
      <c r="G2284" s="6" t="s">
        <v>9823</v>
      </c>
      <c r="H2284" s="10">
        <v>45938</v>
      </c>
      <c r="I2284" s="6" t="s">
        <v>9824</v>
      </c>
      <c r="J2284" s="6" t="s">
        <v>1030</v>
      </c>
      <c r="K2284" s="6" t="s">
        <v>165</v>
      </c>
      <c r="L2284" s="6" t="s">
        <v>1032</v>
      </c>
      <c r="M2284" s="6" t="s">
        <v>9825</v>
      </c>
    </row>
    <row r="2285" spans="1:13" ht="13" x14ac:dyDescent="0.15">
      <c r="A2285" s="5" t="str">
        <f>HYPERLINK("https://onemount.atlassian.net/browse/DBA-2683","DBA-2683")</f>
        <v>DBA-2683</v>
      </c>
      <c r="B2285" s="6" t="s">
        <v>21</v>
      </c>
      <c r="C2285" s="6" t="s">
        <v>9826</v>
      </c>
      <c r="D2285" s="8" t="s">
        <v>17</v>
      </c>
      <c r="E2285" s="6" t="s">
        <v>23</v>
      </c>
      <c r="F2285" s="6" t="s">
        <v>31</v>
      </c>
      <c r="G2285" s="6" t="s">
        <v>9827</v>
      </c>
      <c r="H2285" s="10">
        <v>45961</v>
      </c>
      <c r="I2285" s="6" t="s">
        <v>9828</v>
      </c>
      <c r="J2285" s="6" t="s">
        <v>1215</v>
      </c>
      <c r="K2285" s="6" t="s">
        <v>35</v>
      </c>
      <c r="L2285" s="6" t="s">
        <v>1215</v>
      </c>
      <c r="M2285" s="6" t="s">
        <v>9829</v>
      </c>
    </row>
    <row r="2286" spans="1:13" ht="13" x14ac:dyDescent="0.15">
      <c r="A2286" s="5" t="str">
        <f>HYPERLINK("https://onemount.atlassian.net/browse/DBA-2682","DBA-2682")</f>
        <v>DBA-2682</v>
      </c>
      <c r="B2286" s="23" t="str">
        <f t="shared" ref="B2286:B2288" si="29">HYPERLINK("https://onemount.atlassian.net/browse/DBA-2679","DBA-2679")</f>
        <v>DBA-2679</v>
      </c>
      <c r="C2286" s="6" t="s">
        <v>9830</v>
      </c>
      <c r="D2286" s="8" t="s">
        <v>17</v>
      </c>
      <c r="E2286" s="6" t="s">
        <v>428</v>
      </c>
      <c r="F2286" s="6" t="s">
        <v>24</v>
      </c>
      <c r="G2286" s="6" t="s">
        <v>9831</v>
      </c>
      <c r="H2286" s="10">
        <v>45960</v>
      </c>
      <c r="I2286" s="6" t="s">
        <v>9832</v>
      </c>
      <c r="J2286" s="6" t="s">
        <v>2796</v>
      </c>
      <c r="K2286" s="6" t="s">
        <v>55</v>
      </c>
      <c r="L2286" s="6" t="s">
        <v>425</v>
      </c>
      <c r="M2286" s="6" t="s">
        <v>9833</v>
      </c>
    </row>
    <row r="2287" spans="1:13" ht="13" x14ac:dyDescent="0.15">
      <c r="A2287" s="5" t="str">
        <f>HYPERLINK("https://onemount.atlassian.net/browse/DBA-2681","DBA-2681")</f>
        <v>DBA-2681</v>
      </c>
      <c r="B2287" s="23" t="str">
        <f t="shared" si="29"/>
        <v>DBA-2679</v>
      </c>
      <c r="C2287" s="6" t="s">
        <v>9834</v>
      </c>
      <c r="D2287" s="8" t="s">
        <v>17</v>
      </c>
      <c r="E2287" s="6" t="s">
        <v>428</v>
      </c>
      <c r="F2287" s="6" t="s">
        <v>24</v>
      </c>
      <c r="G2287" s="6" t="s">
        <v>9835</v>
      </c>
      <c r="H2287" s="10">
        <v>45960</v>
      </c>
      <c r="I2287" s="6" t="s">
        <v>9836</v>
      </c>
      <c r="J2287" s="6" t="s">
        <v>2796</v>
      </c>
      <c r="K2287" s="6" t="s">
        <v>55</v>
      </c>
      <c r="L2287" s="6" t="s">
        <v>425</v>
      </c>
      <c r="M2287" s="6" t="s">
        <v>9837</v>
      </c>
    </row>
    <row r="2288" spans="1:13" ht="13" x14ac:dyDescent="0.15">
      <c r="A2288" s="21" t="str">
        <f>HYPERLINK("https://onemount.atlassian.net/browse/DBA-2680","DBA-2680")</f>
        <v>DBA-2680</v>
      </c>
      <c r="B2288" s="23" t="str">
        <f t="shared" si="29"/>
        <v>DBA-2679</v>
      </c>
      <c r="C2288" s="6" t="s">
        <v>9838</v>
      </c>
      <c r="D2288" s="8" t="s">
        <v>17</v>
      </c>
      <c r="E2288" s="6" t="s">
        <v>428</v>
      </c>
      <c r="F2288" s="6" t="s">
        <v>24</v>
      </c>
      <c r="G2288" s="6" t="s">
        <v>9839</v>
      </c>
      <c r="H2288" s="10">
        <v>45960</v>
      </c>
      <c r="I2288" s="6" t="s">
        <v>9840</v>
      </c>
      <c r="J2288" s="6" t="s">
        <v>2796</v>
      </c>
      <c r="K2288" s="6" t="s">
        <v>55</v>
      </c>
      <c r="L2288" s="6" t="s">
        <v>425</v>
      </c>
      <c r="M2288" s="6" t="s">
        <v>6194</v>
      </c>
    </row>
    <row r="2289" spans="1:13" ht="13" x14ac:dyDescent="0.15">
      <c r="A2289" s="5" t="str">
        <f>HYPERLINK("https://onemount.atlassian.net/browse/DBA-2679","DBA-2679")</f>
        <v>DBA-2679</v>
      </c>
      <c r="B2289" s="23" t="str">
        <f>HYPERLINK("https://onemount.atlassian.net/browse/DBA-3006","DBA-3006")</f>
        <v>DBA-3006</v>
      </c>
      <c r="C2289" s="6" t="s">
        <v>9841</v>
      </c>
      <c r="D2289" s="8" t="s">
        <v>17</v>
      </c>
      <c r="E2289" s="6" t="s">
        <v>23</v>
      </c>
      <c r="F2289" s="6" t="s">
        <v>24</v>
      </c>
      <c r="G2289" s="6" t="s">
        <v>9842</v>
      </c>
      <c r="H2289" s="10">
        <v>45960</v>
      </c>
      <c r="I2289" s="6" t="s">
        <v>9843</v>
      </c>
      <c r="J2289" s="6" t="s">
        <v>2796</v>
      </c>
      <c r="K2289" s="6" t="s">
        <v>55</v>
      </c>
      <c r="L2289" s="6" t="s">
        <v>425</v>
      </c>
      <c r="M2289" s="6" t="s">
        <v>9844</v>
      </c>
    </row>
    <row r="2290" spans="1:13" ht="13" x14ac:dyDescent="0.15">
      <c r="A2290" s="5" t="str">
        <f>HYPERLINK("https://onemount.atlassian.net/browse/DBA-2678","DBA-2678")</f>
        <v>DBA-2678</v>
      </c>
      <c r="B2290" s="6" t="s">
        <v>21</v>
      </c>
      <c r="C2290" s="6" t="s">
        <v>9845</v>
      </c>
      <c r="D2290" s="8" t="s">
        <v>17</v>
      </c>
      <c r="E2290" s="6" t="s">
        <v>23</v>
      </c>
      <c r="F2290" s="6" t="s">
        <v>31</v>
      </c>
      <c r="G2290" s="6" t="s">
        <v>9846</v>
      </c>
      <c r="H2290" s="10">
        <v>45937</v>
      </c>
      <c r="I2290" s="6" t="s">
        <v>9847</v>
      </c>
      <c r="J2290" s="6" t="s">
        <v>55</v>
      </c>
      <c r="K2290" s="6" t="s">
        <v>55</v>
      </c>
      <c r="L2290" s="6" t="s">
        <v>55</v>
      </c>
      <c r="M2290" s="6" t="s">
        <v>9848</v>
      </c>
    </row>
    <row r="2291" spans="1:13" ht="13" x14ac:dyDescent="0.15">
      <c r="A2291" s="5" t="str">
        <f>HYPERLINK("https://onemount.atlassian.net/browse/DBA-2676","DBA-2676")</f>
        <v>DBA-2676</v>
      </c>
      <c r="B2291" s="6" t="s">
        <v>21</v>
      </c>
      <c r="C2291" s="6" t="s">
        <v>9849</v>
      </c>
      <c r="D2291" s="8" t="s">
        <v>17</v>
      </c>
      <c r="E2291" s="6" t="s">
        <v>23</v>
      </c>
      <c r="F2291" s="6" t="s">
        <v>31</v>
      </c>
      <c r="G2291" s="6" t="s">
        <v>9850</v>
      </c>
      <c r="H2291" s="10">
        <v>45937</v>
      </c>
      <c r="I2291" s="6" t="s">
        <v>9851</v>
      </c>
      <c r="J2291" s="6" t="s">
        <v>855</v>
      </c>
      <c r="K2291" s="6" t="s">
        <v>55</v>
      </c>
      <c r="L2291" s="6" t="s">
        <v>855</v>
      </c>
      <c r="M2291" s="6" t="s">
        <v>9852</v>
      </c>
    </row>
    <row r="2292" spans="1:13" ht="13" x14ac:dyDescent="0.15">
      <c r="A2292" s="5" t="str">
        <f>HYPERLINK("https://onemount.atlassian.net/browse/DBA-2675","DBA-2675")</f>
        <v>DBA-2675</v>
      </c>
      <c r="B2292" s="6" t="s">
        <v>21</v>
      </c>
      <c r="C2292" s="6" t="s">
        <v>9853</v>
      </c>
      <c r="D2292" s="8" t="s">
        <v>17</v>
      </c>
      <c r="E2292" s="6" t="s">
        <v>23</v>
      </c>
      <c r="F2292" s="6" t="s">
        <v>24</v>
      </c>
      <c r="G2292" s="6" t="s">
        <v>9854</v>
      </c>
      <c r="H2292" s="10">
        <v>45937</v>
      </c>
      <c r="I2292" s="6" t="s">
        <v>9855</v>
      </c>
      <c r="J2292" s="6" t="s">
        <v>4792</v>
      </c>
      <c r="K2292" s="6" t="s">
        <v>55</v>
      </c>
      <c r="L2292" s="6" t="s">
        <v>270</v>
      </c>
      <c r="M2292" s="6" t="s">
        <v>9856</v>
      </c>
    </row>
    <row r="2293" spans="1:13" ht="13" x14ac:dyDescent="0.15">
      <c r="A2293" s="5" t="str">
        <f>HYPERLINK("https://onemount.atlassian.net/browse/DBA-2674","DBA-2674")</f>
        <v>DBA-2674</v>
      </c>
      <c r="B2293" s="6" t="s">
        <v>21</v>
      </c>
      <c r="C2293" s="6" t="s">
        <v>9857</v>
      </c>
      <c r="D2293" s="8" t="s">
        <v>17</v>
      </c>
      <c r="E2293" s="6" t="s">
        <v>23</v>
      </c>
      <c r="F2293" s="6" t="s">
        <v>96</v>
      </c>
      <c r="G2293" s="6" t="s">
        <v>9858</v>
      </c>
      <c r="H2293" s="10">
        <v>45939</v>
      </c>
      <c r="I2293" s="6" t="s">
        <v>9859</v>
      </c>
      <c r="J2293" s="6" t="s">
        <v>28</v>
      </c>
      <c r="K2293" s="6" t="s">
        <v>28</v>
      </c>
      <c r="L2293" s="6" t="s">
        <v>28</v>
      </c>
      <c r="M2293" s="6" t="s">
        <v>9860</v>
      </c>
    </row>
    <row r="2294" spans="1:13" ht="13" x14ac:dyDescent="0.15">
      <c r="A2294" s="5" t="str">
        <f>HYPERLINK("https://onemount.atlassian.net/browse/DBA-2673","DBA-2673")</f>
        <v>DBA-2673</v>
      </c>
      <c r="B2294" s="6" t="s">
        <v>21</v>
      </c>
      <c r="C2294" s="6" t="s">
        <v>9861</v>
      </c>
      <c r="D2294" s="8" t="s">
        <v>17</v>
      </c>
      <c r="E2294" s="6" t="s">
        <v>23</v>
      </c>
      <c r="F2294" s="6" t="s">
        <v>41</v>
      </c>
      <c r="G2294" s="6" t="s">
        <v>9862</v>
      </c>
      <c r="H2294" s="10">
        <v>45939</v>
      </c>
      <c r="I2294" s="6" t="s">
        <v>9863</v>
      </c>
      <c r="J2294" s="6" t="s">
        <v>9864</v>
      </c>
      <c r="K2294" s="6" t="s">
        <v>59</v>
      </c>
      <c r="L2294" s="6" t="s">
        <v>99</v>
      </c>
      <c r="M2294" s="6" t="s">
        <v>9865</v>
      </c>
    </row>
    <row r="2295" spans="1:13" ht="13" x14ac:dyDescent="0.15">
      <c r="A2295" s="5" t="str">
        <f>HYPERLINK("https://onemount.atlassian.net/browse/DBA-2672","DBA-2672")</f>
        <v>DBA-2672</v>
      </c>
      <c r="B2295" s="6" t="s">
        <v>21</v>
      </c>
      <c r="C2295" s="6" t="s">
        <v>9866</v>
      </c>
      <c r="D2295" s="8" t="s">
        <v>17</v>
      </c>
      <c r="E2295" s="6" t="s">
        <v>23</v>
      </c>
      <c r="F2295" s="6" t="s">
        <v>96</v>
      </c>
      <c r="G2295" s="6" t="s">
        <v>9867</v>
      </c>
      <c r="H2295" s="10">
        <v>45937</v>
      </c>
      <c r="I2295" s="6" t="s">
        <v>9868</v>
      </c>
      <c r="J2295" s="6" t="s">
        <v>85</v>
      </c>
      <c r="K2295" s="6" t="s">
        <v>55</v>
      </c>
      <c r="L2295" s="6" t="s">
        <v>85</v>
      </c>
      <c r="M2295" s="6" t="s">
        <v>9869</v>
      </c>
    </row>
    <row r="2296" spans="1:13" ht="13" x14ac:dyDescent="0.15">
      <c r="A2296" s="5" t="str">
        <f>HYPERLINK("https://onemount.atlassian.net/browse/DBA-2671","DBA-2671")</f>
        <v>DBA-2671</v>
      </c>
      <c r="B2296" s="6" t="s">
        <v>21</v>
      </c>
      <c r="C2296" s="6" t="s">
        <v>9870</v>
      </c>
      <c r="D2296" s="8" t="s">
        <v>17</v>
      </c>
      <c r="E2296" s="6" t="s">
        <v>23</v>
      </c>
      <c r="F2296" s="6" t="s">
        <v>96</v>
      </c>
      <c r="G2296" s="6" t="s">
        <v>9871</v>
      </c>
      <c r="H2296" s="10">
        <v>45937</v>
      </c>
      <c r="I2296" s="6" t="s">
        <v>9872</v>
      </c>
      <c r="J2296" s="6" t="s">
        <v>9873</v>
      </c>
      <c r="K2296" s="6" t="s">
        <v>28</v>
      </c>
      <c r="L2296" s="6" t="s">
        <v>27</v>
      </c>
      <c r="M2296" s="6" t="s">
        <v>9874</v>
      </c>
    </row>
    <row r="2297" spans="1:13" ht="13" x14ac:dyDescent="0.15">
      <c r="A2297" s="5" t="str">
        <f>HYPERLINK("https://onemount.atlassian.net/browse/DBA-2670","DBA-2670")</f>
        <v>DBA-2670</v>
      </c>
      <c r="B2297" s="6" t="s">
        <v>21</v>
      </c>
      <c r="C2297" s="6" t="s">
        <v>9875</v>
      </c>
      <c r="D2297" s="8" t="s">
        <v>17</v>
      </c>
      <c r="E2297" s="6" t="s">
        <v>23</v>
      </c>
      <c r="F2297" s="6" t="s">
        <v>96</v>
      </c>
      <c r="G2297" s="6" t="s">
        <v>9876</v>
      </c>
      <c r="H2297" s="10">
        <v>45937</v>
      </c>
      <c r="I2297" s="6" t="s">
        <v>9877</v>
      </c>
      <c r="J2297" s="6" t="s">
        <v>85</v>
      </c>
      <c r="K2297" s="6" t="s">
        <v>55</v>
      </c>
      <c r="L2297" s="6" t="s">
        <v>85</v>
      </c>
      <c r="M2297" s="6" t="s">
        <v>9878</v>
      </c>
    </row>
    <row r="2298" spans="1:13" ht="13" x14ac:dyDescent="0.15">
      <c r="A2298" s="5" t="str">
        <f>HYPERLINK("https://onemount.atlassian.net/browse/DBA-2669","DBA-2669")</f>
        <v>DBA-2669</v>
      </c>
      <c r="B2298" s="6" t="s">
        <v>21</v>
      </c>
      <c r="C2298" s="6" t="s">
        <v>9879</v>
      </c>
      <c r="D2298" s="8" t="s">
        <v>17</v>
      </c>
      <c r="E2298" s="6" t="s">
        <v>23</v>
      </c>
      <c r="F2298" s="6" t="s">
        <v>24</v>
      </c>
      <c r="G2298" s="6" t="s">
        <v>9880</v>
      </c>
      <c r="H2298" s="10">
        <v>45937</v>
      </c>
      <c r="I2298" s="6" t="s">
        <v>9881</v>
      </c>
      <c r="J2298" s="6" t="s">
        <v>55</v>
      </c>
      <c r="K2298" s="6" t="s">
        <v>55</v>
      </c>
      <c r="L2298" s="6" t="s">
        <v>715</v>
      </c>
      <c r="M2298" s="6" t="s">
        <v>9882</v>
      </c>
    </row>
    <row r="2299" spans="1:13" ht="13" x14ac:dyDescent="0.15">
      <c r="A2299" s="5" t="str">
        <f>HYPERLINK("https://onemount.atlassian.net/browse/DBA-2668","DBA-2668")</f>
        <v>DBA-2668</v>
      </c>
      <c r="B2299" s="6" t="s">
        <v>21</v>
      </c>
      <c r="C2299" s="6" t="s">
        <v>9883</v>
      </c>
      <c r="D2299" s="8" t="s">
        <v>17</v>
      </c>
      <c r="E2299" s="6" t="s">
        <v>23</v>
      </c>
      <c r="F2299" s="6" t="s">
        <v>96</v>
      </c>
      <c r="G2299" s="6" t="s">
        <v>9884</v>
      </c>
      <c r="H2299" s="10">
        <v>45937</v>
      </c>
      <c r="I2299" s="6" t="s">
        <v>9885</v>
      </c>
      <c r="J2299" s="6" t="s">
        <v>715</v>
      </c>
      <c r="K2299" s="6" t="s">
        <v>165</v>
      </c>
      <c r="L2299" s="6" t="s">
        <v>715</v>
      </c>
      <c r="M2299" s="6" t="s">
        <v>9886</v>
      </c>
    </row>
    <row r="2300" spans="1:13" ht="13" x14ac:dyDescent="0.15">
      <c r="A2300" s="5" t="str">
        <f>HYPERLINK("https://onemount.atlassian.net/browse/DBA-2667","DBA-2667")</f>
        <v>DBA-2667</v>
      </c>
      <c r="B2300" s="6" t="s">
        <v>21</v>
      </c>
      <c r="C2300" s="6" t="s">
        <v>9887</v>
      </c>
      <c r="D2300" s="8" t="s">
        <v>17</v>
      </c>
      <c r="E2300" s="6" t="s">
        <v>23</v>
      </c>
      <c r="F2300" s="6" t="s">
        <v>96</v>
      </c>
      <c r="G2300" s="6" t="s">
        <v>9888</v>
      </c>
      <c r="H2300" s="10">
        <v>45937</v>
      </c>
      <c r="I2300" s="6" t="s">
        <v>9889</v>
      </c>
      <c r="J2300" s="6" t="s">
        <v>9890</v>
      </c>
      <c r="K2300" s="6" t="s">
        <v>28</v>
      </c>
      <c r="L2300" s="6" t="s">
        <v>28</v>
      </c>
      <c r="M2300" s="6" t="s">
        <v>9891</v>
      </c>
    </row>
    <row r="2301" spans="1:13" ht="13" x14ac:dyDescent="0.15">
      <c r="A2301" s="5" t="str">
        <f>HYPERLINK("https://onemount.atlassian.net/browse/DBA-2666","DBA-2666")</f>
        <v>DBA-2666</v>
      </c>
      <c r="B2301" s="6" t="s">
        <v>21</v>
      </c>
      <c r="C2301" s="6" t="s">
        <v>9892</v>
      </c>
      <c r="D2301" s="8" t="s">
        <v>17</v>
      </c>
      <c r="E2301" s="6" t="s">
        <v>23</v>
      </c>
      <c r="F2301" s="6" t="s">
        <v>96</v>
      </c>
      <c r="G2301" s="6" t="s">
        <v>9893</v>
      </c>
      <c r="H2301" s="10">
        <v>45937</v>
      </c>
      <c r="I2301" s="6" t="s">
        <v>9894</v>
      </c>
      <c r="J2301" s="6" t="s">
        <v>715</v>
      </c>
      <c r="K2301" s="6" t="s">
        <v>165</v>
      </c>
      <c r="L2301" s="6" t="s">
        <v>715</v>
      </c>
      <c r="M2301" s="6" t="s">
        <v>9895</v>
      </c>
    </row>
    <row r="2302" spans="1:13" ht="13" x14ac:dyDescent="0.15">
      <c r="A2302" s="5" t="str">
        <f>HYPERLINK("https://onemount.atlassian.net/browse/DBA-2665","DBA-2665")</f>
        <v>DBA-2665</v>
      </c>
      <c r="B2302" s="6" t="s">
        <v>21</v>
      </c>
      <c r="C2302" s="6" t="s">
        <v>7986</v>
      </c>
      <c r="D2302" s="8" t="s">
        <v>17</v>
      </c>
      <c r="E2302" s="6" t="s">
        <v>23</v>
      </c>
      <c r="F2302" s="6" t="s">
        <v>24</v>
      </c>
      <c r="G2302" s="6" t="s">
        <v>9896</v>
      </c>
      <c r="H2302" s="10">
        <v>45960</v>
      </c>
      <c r="I2302" s="6" t="s">
        <v>9897</v>
      </c>
      <c r="J2302" s="6" t="s">
        <v>4792</v>
      </c>
      <c r="K2302" s="6" t="s">
        <v>55</v>
      </c>
      <c r="L2302" s="6" t="s">
        <v>270</v>
      </c>
      <c r="M2302" s="6" t="s">
        <v>9898</v>
      </c>
    </row>
    <row r="2303" spans="1:13" ht="13" x14ac:dyDescent="0.15">
      <c r="A2303" s="5" t="str">
        <f>HYPERLINK("https://onemount.atlassian.net/browse/DBA-2664","DBA-2664")</f>
        <v>DBA-2664</v>
      </c>
      <c r="B2303" s="6" t="s">
        <v>21</v>
      </c>
      <c r="C2303" s="6" t="s">
        <v>9899</v>
      </c>
      <c r="D2303" s="8" t="s">
        <v>17</v>
      </c>
      <c r="E2303" s="6" t="s">
        <v>23</v>
      </c>
      <c r="F2303" s="6" t="s">
        <v>31</v>
      </c>
      <c r="G2303" s="6" t="s">
        <v>9900</v>
      </c>
      <c r="H2303" s="10">
        <v>45936</v>
      </c>
      <c r="I2303" s="6" t="s">
        <v>9901</v>
      </c>
      <c r="J2303" s="6" t="s">
        <v>6575</v>
      </c>
      <c r="K2303" s="6" t="s">
        <v>35</v>
      </c>
      <c r="L2303" s="6" t="s">
        <v>962</v>
      </c>
      <c r="M2303" s="6" t="s">
        <v>9902</v>
      </c>
    </row>
    <row r="2304" spans="1:13" ht="13" x14ac:dyDescent="0.15">
      <c r="A2304" s="21" t="str">
        <f>HYPERLINK("https://onemount.atlassian.net/browse/DBA-2663","DBA-2663")</f>
        <v>DBA-2663</v>
      </c>
      <c r="B2304" s="6" t="s">
        <v>21</v>
      </c>
      <c r="C2304" s="6" t="s">
        <v>2684</v>
      </c>
      <c r="D2304" s="8" t="s">
        <v>17</v>
      </c>
      <c r="E2304" s="6" t="s">
        <v>23</v>
      </c>
      <c r="F2304" s="6" t="s">
        <v>31</v>
      </c>
      <c r="G2304" s="6" t="s">
        <v>9903</v>
      </c>
      <c r="H2304" s="10">
        <v>45936</v>
      </c>
      <c r="I2304" s="6" t="s">
        <v>9904</v>
      </c>
      <c r="J2304" s="6" t="s">
        <v>2687</v>
      </c>
      <c r="K2304" s="6" t="s">
        <v>46</v>
      </c>
      <c r="L2304" s="6" t="s">
        <v>404</v>
      </c>
      <c r="M2304" s="6" t="s">
        <v>6940</v>
      </c>
    </row>
    <row r="2305" spans="1:13" ht="13" x14ac:dyDescent="0.15">
      <c r="A2305" s="5" t="str">
        <f>HYPERLINK("https://onemount.atlassian.net/browse/DBA-2662","DBA-2662")</f>
        <v>DBA-2662</v>
      </c>
      <c r="B2305" s="6" t="s">
        <v>21</v>
      </c>
      <c r="C2305" s="6" t="s">
        <v>9905</v>
      </c>
      <c r="D2305" s="8" t="s">
        <v>17</v>
      </c>
      <c r="E2305" s="6" t="s">
        <v>23</v>
      </c>
      <c r="F2305" s="6" t="s">
        <v>96</v>
      </c>
      <c r="G2305" s="6" t="s">
        <v>9906</v>
      </c>
      <c r="H2305" s="10">
        <v>45937</v>
      </c>
      <c r="I2305" s="6" t="s">
        <v>9907</v>
      </c>
      <c r="J2305" s="6" t="s">
        <v>715</v>
      </c>
      <c r="K2305" s="6" t="s">
        <v>165</v>
      </c>
      <c r="L2305" s="6" t="s">
        <v>715</v>
      </c>
      <c r="M2305" s="6" t="s">
        <v>9908</v>
      </c>
    </row>
    <row r="2306" spans="1:13" ht="13" x14ac:dyDescent="0.15">
      <c r="A2306" s="5" t="str">
        <f>HYPERLINK("https://onemount.atlassian.net/browse/DBA-2661","DBA-2661")</f>
        <v>DBA-2661</v>
      </c>
      <c r="B2306" s="6" t="s">
        <v>21</v>
      </c>
      <c r="C2306" s="6" t="s">
        <v>9909</v>
      </c>
      <c r="D2306" s="8" t="s">
        <v>17</v>
      </c>
      <c r="E2306" s="6" t="s">
        <v>23</v>
      </c>
      <c r="F2306" s="6" t="s">
        <v>24</v>
      </c>
      <c r="G2306" s="6" t="s">
        <v>9910</v>
      </c>
      <c r="H2306" s="10">
        <v>45938</v>
      </c>
      <c r="I2306" s="6" t="s">
        <v>9911</v>
      </c>
      <c r="J2306" s="6" t="s">
        <v>4979</v>
      </c>
      <c r="K2306" s="6" t="s">
        <v>28</v>
      </c>
      <c r="L2306" s="6" t="s">
        <v>27</v>
      </c>
      <c r="M2306" s="6" t="s">
        <v>9912</v>
      </c>
    </row>
    <row r="2307" spans="1:13" ht="13" x14ac:dyDescent="0.15">
      <c r="A2307" s="5" t="str">
        <f>HYPERLINK("https://onemount.atlassian.net/browse/DBA-2660","DBA-2660")</f>
        <v>DBA-2660</v>
      </c>
      <c r="B2307" s="6" t="s">
        <v>21</v>
      </c>
      <c r="C2307" s="6" t="s">
        <v>9913</v>
      </c>
      <c r="D2307" s="8" t="s">
        <v>17</v>
      </c>
      <c r="E2307" s="6" t="s">
        <v>23</v>
      </c>
      <c r="F2307" s="6" t="s">
        <v>96</v>
      </c>
      <c r="G2307" s="6" t="s">
        <v>9914</v>
      </c>
      <c r="H2307" s="10">
        <v>45937</v>
      </c>
      <c r="I2307" s="6" t="s">
        <v>9915</v>
      </c>
      <c r="J2307" s="6" t="s">
        <v>715</v>
      </c>
      <c r="K2307" s="6" t="s">
        <v>165</v>
      </c>
      <c r="L2307" s="6" t="s">
        <v>715</v>
      </c>
      <c r="M2307" s="6" t="s">
        <v>9916</v>
      </c>
    </row>
    <row r="2308" spans="1:13" ht="13" x14ac:dyDescent="0.15">
      <c r="A2308" s="5" t="str">
        <f>HYPERLINK("https://onemount.atlassian.net/browse/DBA-2659","DBA-2659")</f>
        <v>DBA-2659</v>
      </c>
      <c r="B2308" s="6" t="s">
        <v>21</v>
      </c>
      <c r="C2308" s="6" t="s">
        <v>9917</v>
      </c>
      <c r="D2308" s="8" t="s">
        <v>17</v>
      </c>
      <c r="E2308" s="6" t="s">
        <v>23</v>
      </c>
      <c r="F2308" s="6" t="s">
        <v>31</v>
      </c>
      <c r="G2308" s="6" t="s">
        <v>9918</v>
      </c>
      <c r="H2308" s="10">
        <v>45935</v>
      </c>
      <c r="I2308" s="6" t="s">
        <v>9919</v>
      </c>
      <c r="J2308" s="6" t="s">
        <v>715</v>
      </c>
      <c r="K2308" s="6" t="s">
        <v>55</v>
      </c>
      <c r="L2308" s="6" t="s">
        <v>715</v>
      </c>
      <c r="M2308" s="6" t="s">
        <v>9920</v>
      </c>
    </row>
    <row r="2309" spans="1:13" ht="13" x14ac:dyDescent="0.15">
      <c r="A2309" s="5" t="str">
        <f>HYPERLINK("https://onemount.atlassian.net/browse/DBA-2658","DBA-2658")</f>
        <v>DBA-2658</v>
      </c>
      <c r="B2309" s="6" t="s">
        <v>21</v>
      </c>
      <c r="C2309" s="6" t="s">
        <v>2330</v>
      </c>
      <c r="D2309" s="8" t="s">
        <v>17</v>
      </c>
      <c r="E2309" s="6" t="s">
        <v>23</v>
      </c>
      <c r="F2309" s="6" t="s">
        <v>96</v>
      </c>
      <c r="G2309" s="6" t="s">
        <v>9921</v>
      </c>
      <c r="H2309" s="10">
        <v>45934</v>
      </c>
      <c r="I2309" s="6" t="s">
        <v>9922</v>
      </c>
      <c r="J2309" s="6" t="s">
        <v>55</v>
      </c>
      <c r="K2309" s="6" t="s">
        <v>55</v>
      </c>
      <c r="L2309" s="6" t="s">
        <v>984</v>
      </c>
      <c r="M2309" s="6" t="s">
        <v>9923</v>
      </c>
    </row>
    <row r="2310" spans="1:13" ht="13" x14ac:dyDescent="0.15">
      <c r="A2310" s="5" t="str">
        <f>HYPERLINK("https://onemount.atlassian.net/browse/DBA-2654","DBA-2654")</f>
        <v>DBA-2654</v>
      </c>
      <c r="B2310" s="6" t="s">
        <v>21</v>
      </c>
      <c r="C2310" s="6" t="s">
        <v>9924</v>
      </c>
      <c r="D2310" s="8" t="s">
        <v>17</v>
      </c>
      <c r="E2310" s="6" t="s">
        <v>23</v>
      </c>
      <c r="F2310" s="6" t="s">
        <v>96</v>
      </c>
      <c r="G2310" s="6" t="s">
        <v>9925</v>
      </c>
      <c r="H2310" s="10">
        <v>45936</v>
      </c>
      <c r="I2310" s="6" t="s">
        <v>9926</v>
      </c>
      <c r="J2310" s="6" t="s">
        <v>3369</v>
      </c>
      <c r="K2310" s="6" t="s">
        <v>168</v>
      </c>
      <c r="L2310" s="6" t="s">
        <v>1148</v>
      </c>
      <c r="M2310" s="6" t="s">
        <v>9927</v>
      </c>
    </row>
    <row r="2311" spans="1:13" ht="13" x14ac:dyDescent="0.15">
      <c r="A2311" s="5" t="str">
        <f>HYPERLINK("https://onemount.atlassian.net/browse/DBA-2653","DBA-2653")</f>
        <v>DBA-2653</v>
      </c>
      <c r="B2311" s="6" t="s">
        <v>21</v>
      </c>
      <c r="C2311" s="6" t="s">
        <v>9928</v>
      </c>
      <c r="D2311" s="8" t="s">
        <v>17</v>
      </c>
      <c r="E2311" s="6" t="s">
        <v>23</v>
      </c>
      <c r="F2311" s="6" t="s">
        <v>31</v>
      </c>
      <c r="G2311" s="6" t="s">
        <v>9929</v>
      </c>
      <c r="H2311" s="10">
        <v>45939</v>
      </c>
      <c r="I2311" s="6" t="s">
        <v>9930</v>
      </c>
      <c r="J2311" s="6" t="s">
        <v>56</v>
      </c>
      <c r="K2311" s="6" t="s">
        <v>55</v>
      </c>
      <c r="L2311" s="6" t="s">
        <v>56</v>
      </c>
      <c r="M2311" s="6" t="s">
        <v>9931</v>
      </c>
    </row>
    <row r="2312" spans="1:13" ht="13" x14ac:dyDescent="0.15">
      <c r="A2312" s="5" t="str">
        <f>HYPERLINK("https://onemount.atlassian.net/browse/DBA-2652","DBA-2652")</f>
        <v>DBA-2652</v>
      </c>
      <c r="B2312" s="6" t="s">
        <v>21</v>
      </c>
      <c r="C2312" s="6" t="s">
        <v>9932</v>
      </c>
      <c r="D2312" s="8" t="s">
        <v>17</v>
      </c>
      <c r="E2312" s="6" t="s">
        <v>23</v>
      </c>
      <c r="F2312" s="6" t="s">
        <v>31</v>
      </c>
      <c r="G2312" s="6" t="s">
        <v>9933</v>
      </c>
      <c r="H2312" s="10">
        <v>45934</v>
      </c>
      <c r="I2312" s="6" t="s">
        <v>9934</v>
      </c>
      <c r="J2312" s="6" t="s">
        <v>6575</v>
      </c>
      <c r="K2312" s="6" t="s">
        <v>35</v>
      </c>
      <c r="L2312" s="6" t="s">
        <v>962</v>
      </c>
      <c r="M2312" s="6" t="s">
        <v>9935</v>
      </c>
    </row>
    <row r="2313" spans="1:13" ht="13" x14ac:dyDescent="0.15">
      <c r="A2313" s="5" t="str">
        <f>HYPERLINK("https://onemount.atlassian.net/browse/DBA-2651","DBA-2651")</f>
        <v>DBA-2651</v>
      </c>
      <c r="B2313" s="6" t="s">
        <v>21</v>
      </c>
      <c r="C2313" s="6" t="s">
        <v>9936</v>
      </c>
      <c r="D2313" s="8" t="s">
        <v>17</v>
      </c>
      <c r="E2313" s="6" t="s">
        <v>23</v>
      </c>
      <c r="F2313" s="6" t="s">
        <v>31</v>
      </c>
      <c r="G2313" s="6" t="s">
        <v>9937</v>
      </c>
      <c r="H2313" s="10">
        <v>45934</v>
      </c>
      <c r="I2313" s="6" t="s">
        <v>9938</v>
      </c>
      <c r="J2313" s="6" t="s">
        <v>1191</v>
      </c>
      <c r="K2313" s="6" t="s">
        <v>35</v>
      </c>
      <c r="L2313" s="6" t="s">
        <v>1191</v>
      </c>
      <c r="M2313" s="6" t="s">
        <v>9939</v>
      </c>
    </row>
    <row r="2314" spans="1:13" ht="13" x14ac:dyDescent="0.15">
      <c r="A2314" s="5" t="str">
        <f>HYPERLINK("https://onemount.atlassian.net/browse/DBA-2650","DBA-2650")</f>
        <v>DBA-2650</v>
      </c>
      <c r="B2314" s="6" t="s">
        <v>21</v>
      </c>
      <c r="C2314" s="6" t="s">
        <v>9940</v>
      </c>
      <c r="D2314" s="8" t="s">
        <v>17</v>
      </c>
      <c r="E2314" s="6" t="s">
        <v>23</v>
      </c>
      <c r="F2314" s="6" t="s">
        <v>31</v>
      </c>
      <c r="G2314" s="6" t="s">
        <v>9941</v>
      </c>
      <c r="H2314" s="10">
        <v>45936</v>
      </c>
      <c r="I2314" s="6" t="s">
        <v>9942</v>
      </c>
      <c r="J2314" s="6" t="s">
        <v>1187</v>
      </c>
      <c r="K2314" s="6" t="s">
        <v>35</v>
      </c>
      <c r="L2314" s="6" t="s">
        <v>1187</v>
      </c>
      <c r="M2314" s="6" t="s">
        <v>9943</v>
      </c>
    </row>
    <row r="2315" spans="1:13" ht="13" x14ac:dyDescent="0.15">
      <c r="A2315" s="5" t="str">
        <f>HYPERLINK("https://onemount.atlassian.net/browse/DBA-2649","DBA-2649")</f>
        <v>DBA-2649</v>
      </c>
      <c r="B2315" s="6" t="s">
        <v>21</v>
      </c>
      <c r="C2315" s="6" t="s">
        <v>9944</v>
      </c>
      <c r="D2315" s="8" t="s">
        <v>17</v>
      </c>
      <c r="E2315" s="6" t="s">
        <v>23</v>
      </c>
      <c r="F2315" s="6" t="s">
        <v>24</v>
      </c>
      <c r="G2315" s="6" t="s">
        <v>9945</v>
      </c>
      <c r="H2315" s="10">
        <v>45935</v>
      </c>
      <c r="I2315" s="6" t="s">
        <v>9946</v>
      </c>
      <c r="J2315" s="6" t="s">
        <v>7598</v>
      </c>
      <c r="K2315" s="6" t="s">
        <v>28</v>
      </c>
      <c r="L2315" s="6" t="s">
        <v>27</v>
      </c>
      <c r="M2315" s="6" t="s">
        <v>9947</v>
      </c>
    </row>
    <row r="2316" spans="1:13" ht="13" x14ac:dyDescent="0.15">
      <c r="A2316" s="5" t="str">
        <f>HYPERLINK("https://onemount.atlassian.net/browse/DBA-2648","DBA-2648")</f>
        <v>DBA-2648</v>
      </c>
      <c r="B2316" s="6" t="s">
        <v>21</v>
      </c>
      <c r="C2316" s="6" t="s">
        <v>9948</v>
      </c>
      <c r="D2316" s="8" t="s">
        <v>17</v>
      </c>
      <c r="E2316" s="6" t="s">
        <v>23</v>
      </c>
      <c r="F2316" s="6" t="s">
        <v>31</v>
      </c>
      <c r="G2316" s="6" t="s">
        <v>9949</v>
      </c>
      <c r="H2316" s="10">
        <v>45933</v>
      </c>
      <c r="I2316" s="6" t="s">
        <v>9950</v>
      </c>
      <c r="J2316" s="6" t="s">
        <v>276</v>
      </c>
      <c r="K2316" s="6" t="s">
        <v>35</v>
      </c>
      <c r="L2316" s="6" t="s">
        <v>129</v>
      </c>
      <c r="M2316" s="6" t="s">
        <v>9951</v>
      </c>
    </row>
    <row r="2317" spans="1:13" ht="13" x14ac:dyDescent="0.15">
      <c r="A2317" s="5" t="str">
        <f>HYPERLINK("https://onemount.atlassian.net/browse/DBA-2647","DBA-2647")</f>
        <v>DBA-2647</v>
      </c>
      <c r="B2317" s="6" t="s">
        <v>21</v>
      </c>
      <c r="C2317" s="6" t="s">
        <v>9924</v>
      </c>
      <c r="D2317" s="8" t="s">
        <v>17</v>
      </c>
      <c r="E2317" s="6" t="s">
        <v>23</v>
      </c>
      <c r="F2317" s="6" t="s">
        <v>96</v>
      </c>
      <c r="G2317" s="6" t="s">
        <v>9952</v>
      </c>
      <c r="H2317" s="10">
        <v>45933</v>
      </c>
      <c r="I2317" s="6" t="s">
        <v>9953</v>
      </c>
      <c r="J2317" s="6" t="s">
        <v>3369</v>
      </c>
      <c r="K2317" s="6" t="s">
        <v>168</v>
      </c>
      <c r="L2317" s="6" t="s">
        <v>1148</v>
      </c>
      <c r="M2317" s="6" t="s">
        <v>9954</v>
      </c>
    </row>
    <row r="2318" spans="1:13" ht="13" x14ac:dyDescent="0.15">
      <c r="A2318" s="5" t="str">
        <f>HYPERLINK("https://onemount.atlassian.net/browse/DBA-2646","DBA-2646")</f>
        <v>DBA-2646</v>
      </c>
      <c r="B2318" s="23" t="str">
        <f>HYPERLINK("https://onemount.atlassian.net/browse/DBA-2645","DBA-2645")</f>
        <v>DBA-2645</v>
      </c>
      <c r="C2318" s="25" t="s">
        <v>9955</v>
      </c>
      <c r="D2318" s="8" t="s">
        <v>17</v>
      </c>
      <c r="E2318" s="6" t="s">
        <v>428</v>
      </c>
      <c r="F2318" s="6" t="s">
        <v>41</v>
      </c>
      <c r="G2318" s="6" t="s">
        <v>9956</v>
      </c>
      <c r="H2318" s="10">
        <v>45934</v>
      </c>
      <c r="I2318" s="6" t="s">
        <v>9957</v>
      </c>
      <c r="J2318" s="6" t="s">
        <v>146</v>
      </c>
      <c r="K2318" s="6" t="s">
        <v>46</v>
      </c>
      <c r="L2318" s="6" t="s">
        <v>201</v>
      </c>
      <c r="M2318" s="6" t="s">
        <v>9958</v>
      </c>
    </row>
    <row r="2319" spans="1:13" ht="13" x14ac:dyDescent="0.15">
      <c r="A2319" s="5" t="str">
        <f>HYPERLINK("https://onemount.atlassian.net/browse/DBA-2645","DBA-2645")</f>
        <v>DBA-2645</v>
      </c>
      <c r="B2319" s="6" t="s">
        <v>21</v>
      </c>
      <c r="C2319" s="6" t="s">
        <v>9959</v>
      </c>
      <c r="D2319" s="8" t="s">
        <v>17</v>
      </c>
      <c r="E2319" s="6" t="s">
        <v>1810</v>
      </c>
      <c r="F2319" s="6" t="s">
        <v>41</v>
      </c>
      <c r="G2319" s="6" t="s">
        <v>9960</v>
      </c>
      <c r="H2319" s="10">
        <v>45968</v>
      </c>
      <c r="I2319" s="6" t="s">
        <v>9961</v>
      </c>
      <c r="J2319" s="6" t="s">
        <v>146</v>
      </c>
      <c r="K2319" s="6" t="s">
        <v>46</v>
      </c>
      <c r="L2319" s="6" t="s">
        <v>146</v>
      </c>
      <c r="M2319" s="6" t="s">
        <v>9962</v>
      </c>
    </row>
    <row r="2320" spans="1:13" ht="13" x14ac:dyDescent="0.15">
      <c r="A2320" s="5" t="str">
        <f>HYPERLINK("https://onemount.atlassian.net/browse/DBA-2644","DBA-2644")</f>
        <v>DBA-2644</v>
      </c>
      <c r="B2320" s="6" t="s">
        <v>21</v>
      </c>
      <c r="C2320" s="6" t="s">
        <v>9963</v>
      </c>
      <c r="D2320" s="8" t="s">
        <v>17</v>
      </c>
      <c r="E2320" s="6" t="s">
        <v>23</v>
      </c>
      <c r="F2320" s="6" t="s">
        <v>31</v>
      </c>
      <c r="G2320" s="6" t="s">
        <v>9964</v>
      </c>
      <c r="H2320" s="10">
        <v>45934</v>
      </c>
      <c r="I2320" s="6" t="s">
        <v>9965</v>
      </c>
      <c r="J2320" s="6" t="s">
        <v>628</v>
      </c>
      <c r="K2320" s="6" t="s">
        <v>165</v>
      </c>
      <c r="L2320" s="6" t="s">
        <v>119</v>
      </c>
      <c r="M2320" s="6" t="s">
        <v>9966</v>
      </c>
    </row>
    <row r="2321" spans="1:13" ht="13" x14ac:dyDescent="0.15">
      <c r="A2321" s="5" t="str">
        <f>HYPERLINK("https://onemount.atlassian.net/browse/DBA-2641","DBA-2641")</f>
        <v>DBA-2641</v>
      </c>
      <c r="B2321" s="6" t="s">
        <v>21</v>
      </c>
      <c r="C2321" s="6" t="s">
        <v>9967</v>
      </c>
      <c r="D2321" s="8" t="s">
        <v>17</v>
      </c>
      <c r="E2321" s="6" t="s">
        <v>23</v>
      </c>
      <c r="F2321" s="6" t="s">
        <v>31</v>
      </c>
      <c r="G2321" s="6" t="s">
        <v>9968</v>
      </c>
      <c r="H2321" s="10">
        <v>45933</v>
      </c>
      <c r="I2321" s="6" t="s">
        <v>9969</v>
      </c>
      <c r="J2321" s="6" t="s">
        <v>489</v>
      </c>
      <c r="K2321" s="6" t="s">
        <v>35</v>
      </c>
      <c r="L2321" s="6" t="s">
        <v>489</v>
      </c>
      <c r="M2321" s="6" t="s">
        <v>9970</v>
      </c>
    </row>
    <row r="2322" spans="1:13" ht="13" x14ac:dyDescent="0.15">
      <c r="A2322" s="5" t="str">
        <f>HYPERLINK("https://onemount.atlassian.net/browse/DBA-2640","DBA-2640")</f>
        <v>DBA-2640</v>
      </c>
      <c r="B2322" s="23" t="str">
        <f t="shared" ref="B2322:B2326" si="30">HYPERLINK("https://onemount.atlassian.net/browse/DBA-2635","DBA-2635")</f>
        <v>DBA-2635</v>
      </c>
      <c r="C2322" s="6" t="s">
        <v>9971</v>
      </c>
      <c r="D2322" s="8" t="s">
        <v>17</v>
      </c>
      <c r="E2322" s="6" t="s">
        <v>428</v>
      </c>
      <c r="F2322" s="6" t="s">
        <v>41</v>
      </c>
      <c r="G2322" s="6" t="s">
        <v>9972</v>
      </c>
      <c r="H2322" s="10">
        <v>45934</v>
      </c>
      <c r="I2322" s="6" t="s">
        <v>9973</v>
      </c>
      <c r="J2322" s="6" t="s">
        <v>72</v>
      </c>
      <c r="K2322" s="6" t="s">
        <v>72</v>
      </c>
      <c r="L2322" s="6" t="s">
        <v>72</v>
      </c>
      <c r="M2322" s="6" t="s">
        <v>9974</v>
      </c>
    </row>
    <row r="2323" spans="1:13" ht="13" x14ac:dyDescent="0.15">
      <c r="A2323" s="5" t="str">
        <f>HYPERLINK("https://onemount.atlassian.net/browse/DBA-2639","DBA-2639")</f>
        <v>DBA-2639</v>
      </c>
      <c r="B2323" s="23" t="str">
        <f t="shared" si="30"/>
        <v>DBA-2635</v>
      </c>
      <c r="C2323" s="6" t="s">
        <v>9975</v>
      </c>
      <c r="D2323" s="8" t="s">
        <v>17</v>
      </c>
      <c r="E2323" s="6" t="s">
        <v>428</v>
      </c>
      <c r="F2323" s="6" t="s">
        <v>41</v>
      </c>
      <c r="G2323" s="6" t="s">
        <v>9976</v>
      </c>
      <c r="H2323" s="10">
        <v>45934</v>
      </c>
      <c r="I2323" s="6" t="s">
        <v>9977</v>
      </c>
      <c r="J2323" s="6" t="s">
        <v>72</v>
      </c>
      <c r="K2323" s="6" t="s">
        <v>72</v>
      </c>
      <c r="L2323" s="6" t="s">
        <v>72</v>
      </c>
      <c r="M2323" s="6" t="s">
        <v>9978</v>
      </c>
    </row>
    <row r="2324" spans="1:13" ht="13" x14ac:dyDescent="0.15">
      <c r="A2324" s="5" t="str">
        <f>HYPERLINK("https://onemount.atlassian.net/browse/DBA-2638","DBA-2638")</f>
        <v>DBA-2638</v>
      </c>
      <c r="B2324" s="23" t="str">
        <f t="shared" si="30"/>
        <v>DBA-2635</v>
      </c>
      <c r="C2324" s="6" t="s">
        <v>9979</v>
      </c>
      <c r="D2324" s="8" t="s">
        <v>17</v>
      </c>
      <c r="E2324" s="6" t="s">
        <v>428</v>
      </c>
      <c r="F2324" s="6" t="s">
        <v>41</v>
      </c>
      <c r="G2324" s="6" t="s">
        <v>9980</v>
      </c>
      <c r="H2324" s="10">
        <v>45934</v>
      </c>
      <c r="I2324" s="6" t="s">
        <v>9981</v>
      </c>
      <c r="J2324" s="6" t="s">
        <v>72</v>
      </c>
      <c r="K2324" s="6" t="s">
        <v>72</v>
      </c>
      <c r="L2324" s="6" t="s">
        <v>72</v>
      </c>
      <c r="M2324" s="6" t="s">
        <v>9982</v>
      </c>
    </row>
    <row r="2325" spans="1:13" ht="13" x14ac:dyDescent="0.15">
      <c r="A2325" s="5" t="str">
        <f>HYPERLINK("https://onemount.atlassian.net/browse/DBA-2637","DBA-2637")</f>
        <v>DBA-2637</v>
      </c>
      <c r="B2325" s="23" t="str">
        <f t="shared" si="30"/>
        <v>DBA-2635</v>
      </c>
      <c r="C2325" s="6" t="s">
        <v>9983</v>
      </c>
      <c r="D2325" s="8" t="s">
        <v>17</v>
      </c>
      <c r="E2325" s="6" t="s">
        <v>428</v>
      </c>
      <c r="F2325" s="6" t="s">
        <v>41</v>
      </c>
      <c r="G2325" s="6" t="s">
        <v>9984</v>
      </c>
      <c r="H2325" s="10">
        <v>45934</v>
      </c>
      <c r="I2325" s="6" t="s">
        <v>9985</v>
      </c>
      <c r="J2325" s="6" t="s">
        <v>72</v>
      </c>
      <c r="K2325" s="6" t="s">
        <v>72</v>
      </c>
      <c r="L2325" s="6" t="s">
        <v>72</v>
      </c>
      <c r="M2325" s="6" t="s">
        <v>9986</v>
      </c>
    </row>
    <row r="2326" spans="1:13" ht="13" x14ac:dyDescent="0.15">
      <c r="A2326" s="5" t="str">
        <f>HYPERLINK("https://onemount.atlassian.net/browse/DBA-2636","DBA-2636")</f>
        <v>DBA-2636</v>
      </c>
      <c r="B2326" s="23" t="str">
        <f t="shared" si="30"/>
        <v>DBA-2635</v>
      </c>
      <c r="C2326" s="6" t="s">
        <v>9987</v>
      </c>
      <c r="D2326" s="8" t="s">
        <v>17</v>
      </c>
      <c r="E2326" s="6" t="s">
        <v>428</v>
      </c>
      <c r="F2326" s="6" t="s">
        <v>41</v>
      </c>
      <c r="G2326" s="6" t="s">
        <v>9988</v>
      </c>
      <c r="H2326" s="10">
        <v>45934</v>
      </c>
      <c r="I2326" s="6" t="s">
        <v>9989</v>
      </c>
      <c r="J2326" s="6" t="s">
        <v>9990</v>
      </c>
      <c r="K2326" s="6" t="s">
        <v>72</v>
      </c>
      <c r="L2326" s="6" t="s">
        <v>109</v>
      </c>
      <c r="M2326" s="6" t="s">
        <v>9987</v>
      </c>
    </row>
    <row r="2327" spans="1:13" ht="13" x14ac:dyDescent="0.15">
      <c r="A2327" s="5" t="str">
        <f>HYPERLINK("https://onemount.atlassian.net/browse/DBA-2635","DBA-2635")</f>
        <v>DBA-2635</v>
      </c>
      <c r="B2327" s="6" t="s">
        <v>21</v>
      </c>
      <c r="C2327" s="6" t="s">
        <v>9991</v>
      </c>
      <c r="D2327" s="8" t="s">
        <v>17</v>
      </c>
      <c r="E2327" s="6" t="s">
        <v>1810</v>
      </c>
      <c r="F2327" s="6" t="s">
        <v>41</v>
      </c>
      <c r="G2327" s="6" t="s">
        <v>9992</v>
      </c>
      <c r="H2327" s="10">
        <v>46156</v>
      </c>
      <c r="I2327" s="6" t="s">
        <v>9993</v>
      </c>
      <c r="J2327" s="6" t="s">
        <v>72</v>
      </c>
      <c r="K2327" s="6" t="s">
        <v>72</v>
      </c>
      <c r="L2327" s="6" t="s">
        <v>72</v>
      </c>
      <c r="M2327" s="6" t="s">
        <v>9991</v>
      </c>
    </row>
    <row r="2328" spans="1:13" ht="13" x14ac:dyDescent="0.15">
      <c r="A2328" s="5" t="str">
        <f>HYPERLINK("https://onemount.atlassian.net/browse/DBA-2634","DBA-2634")</f>
        <v>DBA-2634</v>
      </c>
      <c r="B2328" s="6" t="s">
        <v>21</v>
      </c>
      <c r="C2328" s="6" t="s">
        <v>9994</v>
      </c>
      <c r="D2328" s="8" t="s">
        <v>17</v>
      </c>
      <c r="E2328" s="6" t="s">
        <v>1810</v>
      </c>
      <c r="F2328" s="6" t="s">
        <v>41</v>
      </c>
      <c r="G2328" s="6" t="s">
        <v>9995</v>
      </c>
      <c r="H2328" s="10">
        <v>46156</v>
      </c>
      <c r="I2328" s="6" t="s">
        <v>9996</v>
      </c>
      <c r="J2328" s="6" t="s">
        <v>72</v>
      </c>
      <c r="K2328" s="6" t="s">
        <v>59</v>
      </c>
      <c r="L2328" s="6" t="s">
        <v>72</v>
      </c>
      <c r="M2328" s="6" t="s">
        <v>9997</v>
      </c>
    </row>
    <row r="2329" spans="1:13" ht="13" x14ac:dyDescent="0.15">
      <c r="A2329" s="5" t="str">
        <f>HYPERLINK("https://onemount.atlassian.net/browse/DBA-2633","DBA-2633")</f>
        <v>DBA-2633</v>
      </c>
      <c r="B2329" s="6" t="s">
        <v>21</v>
      </c>
      <c r="C2329" s="6" t="s">
        <v>9998</v>
      </c>
      <c r="D2329" s="8" t="s">
        <v>17</v>
      </c>
      <c r="E2329" s="6" t="s">
        <v>23</v>
      </c>
      <c r="F2329" s="6" t="s">
        <v>41</v>
      </c>
      <c r="G2329" s="6" t="s">
        <v>9999</v>
      </c>
      <c r="H2329" s="10">
        <v>45934</v>
      </c>
      <c r="I2329" s="6" t="s">
        <v>10000</v>
      </c>
      <c r="J2329" s="6" t="s">
        <v>72</v>
      </c>
      <c r="K2329" s="6" t="s">
        <v>59</v>
      </c>
      <c r="L2329" s="6" t="s">
        <v>72</v>
      </c>
      <c r="M2329" s="6" t="s">
        <v>9998</v>
      </c>
    </row>
    <row r="2330" spans="1:13" ht="13" x14ac:dyDescent="0.15">
      <c r="A2330" s="21" t="str">
        <f>HYPERLINK("https://onemount.atlassian.net/browse/DBA-2632","DBA-2632")</f>
        <v>DBA-2632</v>
      </c>
      <c r="B2330" s="23" t="str">
        <f>HYPERLINK("https://onemount.atlassian.net/browse/DBA-2348","DBA-2348")</f>
        <v>DBA-2348</v>
      </c>
      <c r="C2330" s="6" t="s">
        <v>10001</v>
      </c>
      <c r="D2330" s="8" t="s">
        <v>17</v>
      </c>
      <c r="E2330" s="6" t="s">
        <v>428</v>
      </c>
      <c r="F2330" s="6" t="s">
        <v>41</v>
      </c>
      <c r="G2330" s="6" t="s">
        <v>10002</v>
      </c>
      <c r="H2330" s="10">
        <v>45934</v>
      </c>
      <c r="I2330" s="6" t="s">
        <v>10003</v>
      </c>
      <c r="J2330" s="6" t="s">
        <v>72</v>
      </c>
      <c r="K2330" s="6" t="s">
        <v>72</v>
      </c>
      <c r="L2330" s="6" t="s">
        <v>109</v>
      </c>
      <c r="M2330" s="6" t="s">
        <v>10001</v>
      </c>
    </row>
    <row r="2331" spans="1:13" ht="13" x14ac:dyDescent="0.15">
      <c r="A2331" s="5" t="str">
        <f>HYPERLINK("https://onemount.atlassian.net/browse/DBA-2631","DBA-2631")</f>
        <v>DBA-2631</v>
      </c>
      <c r="B2331" s="6" t="s">
        <v>21</v>
      </c>
      <c r="C2331" s="6" t="s">
        <v>10004</v>
      </c>
      <c r="D2331" s="8" t="s">
        <v>17</v>
      </c>
      <c r="E2331" s="6" t="s">
        <v>23</v>
      </c>
      <c r="F2331" s="6" t="s">
        <v>96</v>
      </c>
      <c r="G2331" s="6" t="s">
        <v>10005</v>
      </c>
      <c r="H2331" s="10">
        <v>45933</v>
      </c>
      <c r="I2331" s="6" t="s">
        <v>10006</v>
      </c>
      <c r="J2331" s="6" t="s">
        <v>85</v>
      </c>
      <c r="K2331" s="6" t="s">
        <v>55</v>
      </c>
      <c r="L2331" s="6" t="s">
        <v>85</v>
      </c>
      <c r="M2331" s="6" t="s">
        <v>10007</v>
      </c>
    </row>
    <row r="2332" spans="1:13" ht="13" x14ac:dyDescent="0.15">
      <c r="A2332" s="5" t="str">
        <f>HYPERLINK("https://onemount.atlassian.net/browse/DBA-2630","DBA-2630")</f>
        <v>DBA-2630</v>
      </c>
      <c r="B2332" s="6" t="s">
        <v>21</v>
      </c>
      <c r="C2332" s="6" t="s">
        <v>8698</v>
      </c>
      <c r="D2332" s="8" t="s">
        <v>17</v>
      </c>
      <c r="E2332" s="6" t="s">
        <v>23</v>
      </c>
      <c r="F2332" s="6" t="s">
        <v>96</v>
      </c>
      <c r="G2332" s="6" t="s">
        <v>10008</v>
      </c>
      <c r="H2332" s="10">
        <v>45933</v>
      </c>
      <c r="I2332" s="6" t="s">
        <v>10009</v>
      </c>
      <c r="J2332" s="6" t="s">
        <v>715</v>
      </c>
      <c r="K2332" s="6" t="s">
        <v>55</v>
      </c>
      <c r="L2332" s="6" t="s">
        <v>715</v>
      </c>
      <c r="M2332" s="6" t="s">
        <v>10010</v>
      </c>
    </row>
    <row r="2333" spans="1:13" ht="13" x14ac:dyDescent="0.15">
      <c r="A2333" s="5" t="str">
        <f>HYPERLINK("https://onemount.atlassian.net/browse/DBA-2629","DBA-2629")</f>
        <v>DBA-2629</v>
      </c>
      <c r="B2333" s="6" t="s">
        <v>21</v>
      </c>
      <c r="C2333" s="6" t="s">
        <v>10011</v>
      </c>
      <c r="D2333" s="8" t="s">
        <v>17</v>
      </c>
      <c r="E2333" s="6" t="s">
        <v>23</v>
      </c>
      <c r="F2333" s="6" t="s">
        <v>31</v>
      </c>
      <c r="G2333" s="6" t="s">
        <v>10012</v>
      </c>
      <c r="H2333" s="10">
        <v>45934</v>
      </c>
      <c r="I2333" s="6" t="s">
        <v>10013</v>
      </c>
      <c r="J2333" s="6" t="s">
        <v>715</v>
      </c>
      <c r="K2333" s="6" t="s">
        <v>55</v>
      </c>
      <c r="L2333" s="6" t="s">
        <v>715</v>
      </c>
      <c r="M2333" s="6" t="s">
        <v>10014</v>
      </c>
    </row>
    <row r="2334" spans="1:13" ht="13" x14ac:dyDescent="0.15">
      <c r="A2334" s="5" t="str">
        <f>HYPERLINK("https://onemount.atlassian.net/browse/DBA-2628","DBA-2628")</f>
        <v>DBA-2628</v>
      </c>
      <c r="B2334" s="6" t="s">
        <v>21</v>
      </c>
      <c r="C2334" s="6" t="s">
        <v>10015</v>
      </c>
      <c r="D2334" s="8" t="s">
        <v>17</v>
      </c>
      <c r="E2334" s="6" t="s">
        <v>23</v>
      </c>
      <c r="F2334" s="6" t="s">
        <v>31</v>
      </c>
      <c r="G2334" s="6" t="s">
        <v>10016</v>
      </c>
      <c r="H2334" s="10">
        <v>45934</v>
      </c>
      <c r="I2334" s="6" t="s">
        <v>10017</v>
      </c>
      <c r="J2334" s="6" t="s">
        <v>181</v>
      </c>
      <c r="K2334" s="6" t="s">
        <v>35</v>
      </c>
      <c r="L2334" s="6" t="s">
        <v>181</v>
      </c>
      <c r="M2334" s="6" t="s">
        <v>10018</v>
      </c>
    </row>
    <row r="2335" spans="1:13" ht="13" x14ac:dyDescent="0.15">
      <c r="A2335" s="5" t="str">
        <f>HYPERLINK("https://onemount.atlassian.net/browse/DBA-2627","DBA-2627")</f>
        <v>DBA-2627</v>
      </c>
      <c r="B2335" s="6" t="s">
        <v>21</v>
      </c>
      <c r="C2335" s="6" t="s">
        <v>10019</v>
      </c>
      <c r="D2335" s="8" t="s">
        <v>17</v>
      </c>
      <c r="E2335" s="6" t="s">
        <v>23</v>
      </c>
      <c r="F2335" s="6" t="s">
        <v>31</v>
      </c>
      <c r="G2335" s="6" t="s">
        <v>10020</v>
      </c>
      <c r="H2335" s="10">
        <v>45932</v>
      </c>
      <c r="I2335" s="6" t="s">
        <v>10021</v>
      </c>
      <c r="J2335" s="6" t="s">
        <v>852</v>
      </c>
      <c r="K2335" s="6" t="s">
        <v>55</v>
      </c>
      <c r="L2335" s="6" t="s">
        <v>843</v>
      </c>
      <c r="M2335" s="6" t="s">
        <v>10022</v>
      </c>
    </row>
    <row r="2336" spans="1:13" ht="13" x14ac:dyDescent="0.15">
      <c r="A2336" s="5" t="str">
        <f>HYPERLINK("https://onemount.atlassian.net/browse/DBA-2626","DBA-2626")</f>
        <v>DBA-2626</v>
      </c>
      <c r="B2336" s="6" t="s">
        <v>21</v>
      </c>
      <c r="C2336" s="6" t="s">
        <v>10023</v>
      </c>
      <c r="D2336" s="8" t="s">
        <v>17</v>
      </c>
      <c r="E2336" s="6" t="s">
        <v>23</v>
      </c>
      <c r="F2336" s="6" t="s">
        <v>31</v>
      </c>
      <c r="G2336" s="6" t="s">
        <v>10024</v>
      </c>
      <c r="H2336" s="10">
        <v>45932</v>
      </c>
      <c r="I2336" s="6" t="s">
        <v>10025</v>
      </c>
      <c r="J2336" s="6" t="s">
        <v>715</v>
      </c>
      <c r="K2336" s="6" t="s">
        <v>55</v>
      </c>
      <c r="L2336" s="6" t="s">
        <v>715</v>
      </c>
      <c r="M2336" s="6" t="s">
        <v>10026</v>
      </c>
    </row>
    <row r="2337" spans="1:13" ht="13" x14ac:dyDescent="0.15">
      <c r="A2337" s="5" t="str">
        <f>HYPERLINK("https://onemount.atlassian.net/browse/DBA-2625","DBA-2625")</f>
        <v>DBA-2625</v>
      </c>
      <c r="B2337" s="6" t="s">
        <v>21</v>
      </c>
      <c r="C2337" s="6" t="s">
        <v>10027</v>
      </c>
      <c r="D2337" s="8" t="s">
        <v>17</v>
      </c>
      <c r="E2337" s="6" t="s">
        <v>23</v>
      </c>
      <c r="F2337" s="6" t="s">
        <v>31</v>
      </c>
      <c r="G2337" s="6" t="s">
        <v>10028</v>
      </c>
      <c r="H2337" s="10">
        <v>45933</v>
      </c>
      <c r="I2337" s="6" t="s">
        <v>10029</v>
      </c>
      <c r="J2337" s="6" t="s">
        <v>181</v>
      </c>
      <c r="K2337" s="6" t="s">
        <v>35</v>
      </c>
      <c r="L2337" s="6" t="s">
        <v>181</v>
      </c>
      <c r="M2337" s="6" t="s">
        <v>10030</v>
      </c>
    </row>
    <row r="2338" spans="1:13" ht="13" x14ac:dyDescent="0.15">
      <c r="A2338" s="5" t="str">
        <f>HYPERLINK("https://onemount.atlassian.net/browse/DBA-2623","DBA-2623")</f>
        <v>DBA-2623</v>
      </c>
      <c r="B2338" s="6" t="s">
        <v>21</v>
      </c>
      <c r="C2338" s="6" t="s">
        <v>9366</v>
      </c>
      <c r="D2338" s="8" t="s">
        <v>17</v>
      </c>
      <c r="E2338" s="6" t="s">
        <v>23</v>
      </c>
      <c r="F2338" s="6" t="s">
        <v>31</v>
      </c>
      <c r="G2338" s="6" t="s">
        <v>10031</v>
      </c>
      <c r="H2338" s="10">
        <v>45932</v>
      </c>
      <c r="I2338" s="6" t="s">
        <v>10032</v>
      </c>
      <c r="J2338" s="6" t="s">
        <v>276</v>
      </c>
      <c r="K2338" s="6" t="s">
        <v>35</v>
      </c>
      <c r="L2338" s="6" t="s">
        <v>276</v>
      </c>
      <c r="M2338" s="6" t="s">
        <v>10033</v>
      </c>
    </row>
    <row r="2339" spans="1:13" ht="13" x14ac:dyDescent="0.15">
      <c r="A2339" s="5" t="str">
        <f>HYPERLINK("https://onemount.atlassian.net/browse/DBA-2621","DBA-2621")</f>
        <v>DBA-2621</v>
      </c>
      <c r="B2339" s="6" t="s">
        <v>21</v>
      </c>
      <c r="C2339" s="6" t="s">
        <v>10034</v>
      </c>
      <c r="D2339" s="8" t="s">
        <v>17</v>
      </c>
      <c r="E2339" s="6" t="s">
        <v>23</v>
      </c>
      <c r="F2339" s="6" t="s">
        <v>24</v>
      </c>
      <c r="G2339" s="6" t="s">
        <v>10035</v>
      </c>
      <c r="H2339" s="10">
        <v>45933</v>
      </c>
      <c r="I2339" s="6" t="s">
        <v>10036</v>
      </c>
      <c r="J2339" s="6" t="s">
        <v>10037</v>
      </c>
      <c r="K2339" s="6" t="s">
        <v>55</v>
      </c>
      <c r="L2339" s="6" t="s">
        <v>85</v>
      </c>
      <c r="M2339" s="6" t="s">
        <v>10038</v>
      </c>
    </row>
    <row r="2340" spans="1:13" ht="13" x14ac:dyDescent="0.15">
      <c r="A2340" s="5" t="str">
        <f>HYPERLINK("https://onemount.atlassian.net/browse/DBA-2620","DBA-2620")</f>
        <v>DBA-2620</v>
      </c>
      <c r="B2340" s="6" t="s">
        <v>21</v>
      </c>
      <c r="C2340" s="6" t="s">
        <v>10039</v>
      </c>
      <c r="D2340" s="8" t="s">
        <v>17</v>
      </c>
      <c r="E2340" s="6" t="s">
        <v>23</v>
      </c>
      <c r="F2340" s="6" t="s">
        <v>24</v>
      </c>
      <c r="G2340" s="6" t="s">
        <v>10040</v>
      </c>
      <c r="H2340" s="10">
        <v>45933</v>
      </c>
      <c r="I2340" s="6" t="s">
        <v>10041</v>
      </c>
      <c r="J2340" s="6" t="s">
        <v>56</v>
      </c>
      <c r="K2340" s="6" t="s">
        <v>55</v>
      </c>
      <c r="L2340" s="6" t="s">
        <v>56</v>
      </c>
      <c r="M2340" s="6" t="s">
        <v>10042</v>
      </c>
    </row>
    <row r="2341" spans="1:13" ht="13" x14ac:dyDescent="0.15">
      <c r="A2341" s="5" t="str">
        <f>HYPERLINK("https://onemount.atlassian.net/browse/DBA-2619","DBA-2619")</f>
        <v>DBA-2619</v>
      </c>
      <c r="B2341" s="6" t="s">
        <v>21</v>
      </c>
      <c r="C2341" s="6" t="s">
        <v>10043</v>
      </c>
      <c r="D2341" s="8" t="s">
        <v>17</v>
      </c>
      <c r="E2341" s="6" t="s">
        <v>23</v>
      </c>
      <c r="F2341" s="6" t="s">
        <v>96</v>
      </c>
      <c r="G2341" s="6" t="s">
        <v>10044</v>
      </c>
      <c r="H2341" s="10">
        <v>45932</v>
      </c>
      <c r="I2341" s="6" t="s">
        <v>10045</v>
      </c>
      <c r="J2341" s="6" t="s">
        <v>55</v>
      </c>
      <c r="K2341" s="6" t="s">
        <v>55</v>
      </c>
      <c r="L2341" s="6" t="s">
        <v>956</v>
      </c>
      <c r="M2341" s="6" t="s">
        <v>10046</v>
      </c>
    </row>
    <row r="2342" spans="1:13" ht="13" x14ac:dyDescent="0.15">
      <c r="A2342" s="5" t="str">
        <f>HYPERLINK("https://onemount.atlassian.net/browse/DBA-2618","DBA-2618")</f>
        <v>DBA-2618</v>
      </c>
      <c r="B2342" s="6" t="s">
        <v>21</v>
      </c>
      <c r="C2342" s="6" t="s">
        <v>10047</v>
      </c>
      <c r="D2342" s="8" t="s">
        <v>17</v>
      </c>
      <c r="E2342" s="6" t="s">
        <v>23</v>
      </c>
      <c r="F2342" s="6" t="s">
        <v>96</v>
      </c>
      <c r="G2342" s="6" t="s">
        <v>10048</v>
      </c>
      <c r="H2342" s="10">
        <v>45933</v>
      </c>
      <c r="I2342" s="6" t="s">
        <v>10049</v>
      </c>
      <c r="J2342" s="6" t="s">
        <v>3369</v>
      </c>
      <c r="K2342" s="6" t="s">
        <v>168</v>
      </c>
      <c r="L2342" s="6" t="s">
        <v>1148</v>
      </c>
      <c r="M2342" s="6" t="s">
        <v>10050</v>
      </c>
    </row>
    <row r="2343" spans="1:13" ht="13" x14ac:dyDescent="0.15">
      <c r="A2343" s="5" t="str">
        <f>HYPERLINK("https://onemount.atlassian.net/browse/DBA-2617","DBA-2617")</f>
        <v>DBA-2617</v>
      </c>
      <c r="B2343" s="6" t="s">
        <v>21</v>
      </c>
      <c r="C2343" s="6" t="s">
        <v>9686</v>
      </c>
      <c r="D2343" s="8" t="s">
        <v>17</v>
      </c>
      <c r="E2343" s="6" t="s">
        <v>23</v>
      </c>
      <c r="F2343" s="6" t="s">
        <v>24</v>
      </c>
      <c r="G2343" s="6" t="s">
        <v>10051</v>
      </c>
      <c r="H2343" s="10">
        <v>45933</v>
      </c>
      <c r="I2343" s="6" t="s">
        <v>10052</v>
      </c>
      <c r="J2343" s="6" t="s">
        <v>55</v>
      </c>
      <c r="K2343" s="6" t="s">
        <v>55</v>
      </c>
      <c r="L2343" s="6" t="s">
        <v>55</v>
      </c>
      <c r="M2343" s="6" t="s">
        <v>10053</v>
      </c>
    </row>
    <row r="2344" spans="1:13" ht="13" x14ac:dyDescent="0.15">
      <c r="A2344" s="5" t="str">
        <f>HYPERLINK("https://onemount.atlassian.net/browse/DBA-2616","DBA-2616")</f>
        <v>DBA-2616</v>
      </c>
      <c r="B2344" s="6" t="s">
        <v>21</v>
      </c>
      <c r="C2344" s="6" t="s">
        <v>10054</v>
      </c>
      <c r="D2344" s="8" t="s">
        <v>17</v>
      </c>
      <c r="E2344" s="6" t="s">
        <v>23</v>
      </c>
      <c r="F2344" s="6" t="s">
        <v>24</v>
      </c>
      <c r="G2344" s="6" t="s">
        <v>10055</v>
      </c>
      <c r="H2344" s="10">
        <v>45933</v>
      </c>
      <c r="I2344" s="6" t="s">
        <v>10056</v>
      </c>
      <c r="J2344" s="6" t="s">
        <v>39</v>
      </c>
      <c r="K2344" s="6" t="s">
        <v>165</v>
      </c>
      <c r="L2344" s="6" t="s">
        <v>39</v>
      </c>
      <c r="M2344" s="6" t="s">
        <v>10057</v>
      </c>
    </row>
    <row r="2345" spans="1:13" ht="13" x14ac:dyDescent="0.15">
      <c r="A2345" s="5" t="str">
        <f>HYPERLINK("https://onemount.atlassian.net/browse/DBA-2615","DBA-2615")</f>
        <v>DBA-2615</v>
      </c>
      <c r="B2345" s="6" t="s">
        <v>21</v>
      </c>
      <c r="C2345" s="6" t="s">
        <v>10058</v>
      </c>
      <c r="D2345" s="8" t="s">
        <v>17</v>
      </c>
      <c r="E2345" s="6" t="s">
        <v>23</v>
      </c>
      <c r="F2345" s="6" t="s">
        <v>41</v>
      </c>
      <c r="G2345" s="6" t="s">
        <v>10059</v>
      </c>
      <c r="H2345" s="10">
        <v>45937</v>
      </c>
      <c r="I2345" s="6" t="s">
        <v>10060</v>
      </c>
      <c r="J2345" s="6" t="s">
        <v>99</v>
      </c>
      <c r="K2345" s="6" t="s">
        <v>59</v>
      </c>
      <c r="L2345" s="6" t="s">
        <v>99</v>
      </c>
      <c r="M2345" s="6" t="s">
        <v>10061</v>
      </c>
    </row>
    <row r="2346" spans="1:13" ht="13" x14ac:dyDescent="0.15">
      <c r="A2346" s="5" t="str">
        <f>HYPERLINK("https://onemount.atlassian.net/browse/DBA-2614","DBA-2614")</f>
        <v>DBA-2614</v>
      </c>
      <c r="B2346" s="6" t="s">
        <v>21</v>
      </c>
      <c r="C2346" s="6" t="s">
        <v>10062</v>
      </c>
      <c r="D2346" s="8" t="s">
        <v>17</v>
      </c>
      <c r="E2346" s="6" t="s">
        <v>23</v>
      </c>
      <c r="F2346" s="6" t="s">
        <v>31</v>
      </c>
      <c r="G2346" s="6" t="s">
        <v>10063</v>
      </c>
      <c r="H2346" s="10">
        <v>45932</v>
      </c>
      <c r="I2346" s="6" t="s">
        <v>10064</v>
      </c>
      <c r="J2346" s="6" t="s">
        <v>1886</v>
      </c>
      <c r="K2346" s="6" t="s">
        <v>165</v>
      </c>
      <c r="L2346" s="6" t="s">
        <v>288</v>
      </c>
      <c r="M2346" s="6" t="s">
        <v>10065</v>
      </c>
    </row>
    <row r="2347" spans="1:13" ht="13" x14ac:dyDescent="0.15">
      <c r="A2347" s="5" t="str">
        <f>HYPERLINK("https://onemount.atlassian.net/browse/DBA-2613","DBA-2613")</f>
        <v>DBA-2613</v>
      </c>
      <c r="B2347" s="6" t="s">
        <v>21</v>
      </c>
      <c r="C2347" s="6" t="s">
        <v>10066</v>
      </c>
      <c r="D2347" s="8" t="s">
        <v>17</v>
      </c>
      <c r="E2347" s="6" t="s">
        <v>23</v>
      </c>
      <c r="F2347" s="6" t="s">
        <v>96</v>
      </c>
      <c r="G2347" s="6" t="s">
        <v>10067</v>
      </c>
      <c r="H2347" s="10">
        <v>45931</v>
      </c>
      <c r="I2347" s="6" t="s">
        <v>10068</v>
      </c>
      <c r="J2347" s="6" t="s">
        <v>1030</v>
      </c>
      <c r="K2347" s="6" t="s">
        <v>165</v>
      </c>
      <c r="L2347" s="6" t="s">
        <v>1032</v>
      </c>
      <c r="M2347" s="6" t="s">
        <v>10069</v>
      </c>
    </row>
    <row r="2348" spans="1:13" ht="13" x14ac:dyDescent="0.15">
      <c r="A2348" s="5" t="str">
        <f>HYPERLINK("https://onemount.atlassian.net/browse/DBA-2612","DBA-2612")</f>
        <v>DBA-2612</v>
      </c>
      <c r="B2348" s="6" t="s">
        <v>21</v>
      </c>
      <c r="C2348" s="6" t="s">
        <v>10070</v>
      </c>
      <c r="D2348" s="8" t="s">
        <v>17</v>
      </c>
      <c r="E2348" s="6" t="s">
        <v>23</v>
      </c>
      <c r="F2348" s="6" t="s">
        <v>96</v>
      </c>
      <c r="G2348" s="6" t="s">
        <v>10071</v>
      </c>
      <c r="H2348" s="10">
        <v>45931</v>
      </c>
      <c r="I2348" s="6" t="s">
        <v>10072</v>
      </c>
      <c r="J2348" s="6" t="s">
        <v>165</v>
      </c>
      <c r="K2348" s="6" t="s">
        <v>165</v>
      </c>
      <c r="L2348" s="6" t="s">
        <v>288</v>
      </c>
      <c r="M2348" s="6" t="s">
        <v>10073</v>
      </c>
    </row>
    <row r="2349" spans="1:13" ht="13" x14ac:dyDescent="0.15">
      <c r="A2349" s="5" t="str">
        <f>HYPERLINK("https://onemount.atlassian.net/browse/DBA-2611","DBA-2611")</f>
        <v>DBA-2611</v>
      </c>
      <c r="B2349" s="6" t="s">
        <v>21</v>
      </c>
      <c r="C2349" s="6" t="s">
        <v>10074</v>
      </c>
      <c r="D2349" s="8" t="s">
        <v>17</v>
      </c>
      <c r="E2349" s="6" t="s">
        <v>23</v>
      </c>
      <c r="F2349" s="6" t="s">
        <v>96</v>
      </c>
      <c r="G2349" s="6" t="s">
        <v>10075</v>
      </c>
      <c r="H2349" s="10">
        <v>45931</v>
      </c>
      <c r="I2349" s="6" t="s">
        <v>10076</v>
      </c>
      <c r="J2349" s="6" t="s">
        <v>10077</v>
      </c>
      <c r="K2349" s="6" t="s">
        <v>165</v>
      </c>
      <c r="L2349" s="6" t="s">
        <v>1071</v>
      </c>
      <c r="M2349" s="6" t="s">
        <v>10078</v>
      </c>
    </row>
    <row r="2350" spans="1:13" ht="13" x14ac:dyDescent="0.15">
      <c r="A2350" s="5" t="str">
        <f>HYPERLINK("https://onemount.atlassian.net/browse/DBA-2608","DBA-2608")</f>
        <v>DBA-2608</v>
      </c>
      <c r="B2350" s="6" t="s">
        <v>21</v>
      </c>
      <c r="C2350" s="6" t="s">
        <v>10079</v>
      </c>
      <c r="D2350" s="8" t="s">
        <v>17</v>
      </c>
      <c r="E2350" s="6" t="s">
        <v>23</v>
      </c>
      <c r="F2350" s="6" t="s">
        <v>31</v>
      </c>
      <c r="G2350" s="6" t="s">
        <v>10080</v>
      </c>
      <c r="H2350" s="10">
        <v>45932</v>
      </c>
      <c r="I2350" s="6" t="s">
        <v>10081</v>
      </c>
      <c r="J2350" s="6" t="s">
        <v>56</v>
      </c>
      <c r="K2350" s="6" t="s">
        <v>55</v>
      </c>
      <c r="L2350" s="6" t="s">
        <v>56</v>
      </c>
      <c r="M2350" s="6" t="s">
        <v>10082</v>
      </c>
    </row>
    <row r="2351" spans="1:13" ht="13" x14ac:dyDescent="0.15">
      <c r="A2351" s="5" t="str">
        <f>HYPERLINK("https://onemount.atlassian.net/browse/DBA-2607","DBA-2607")</f>
        <v>DBA-2607</v>
      </c>
      <c r="B2351" s="6" t="s">
        <v>21</v>
      </c>
      <c r="C2351" s="6" t="s">
        <v>10083</v>
      </c>
      <c r="D2351" s="8" t="s">
        <v>17</v>
      </c>
      <c r="E2351" s="6" t="s">
        <v>23</v>
      </c>
      <c r="F2351" s="6" t="s">
        <v>96</v>
      </c>
      <c r="G2351" s="6" t="s">
        <v>10084</v>
      </c>
      <c r="H2351" s="10">
        <v>45931</v>
      </c>
      <c r="I2351" s="6" t="s">
        <v>10085</v>
      </c>
      <c r="J2351" s="6" t="s">
        <v>8065</v>
      </c>
      <c r="K2351" s="6" t="s">
        <v>165</v>
      </c>
      <c r="L2351" s="6" t="s">
        <v>1084</v>
      </c>
      <c r="M2351" s="6" t="s">
        <v>10086</v>
      </c>
    </row>
    <row r="2352" spans="1:13" ht="13" x14ac:dyDescent="0.15">
      <c r="A2352" s="5" t="str">
        <f>HYPERLINK("https://onemount.atlassian.net/browse/DBA-2606","DBA-2606")</f>
        <v>DBA-2606</v>
      </c>
      <c r="B2352" s="6" t="s">
        <v>21</v>
      </c>
      <c r="C2352" s="6" t="s">
        <v>10087</v>
      </c>
      <c r="D2352" s="8" t="s">
        <v>17</v>
      </c>
      <c r="E2352" s="6" t="s">
        <v>23</v>
      </c>
      <c r="F2352" s="6" t="s">
        <v>96</v>
      </c>
      <c r="G2352" s="6" t="s">
        <v>10088</v>
      </c>
      <c r="H2352" s="10">
        <v>45931</v>
      </c>
      <c r="I2352" s="6" t="s">
        <v>10089</v>
      </c>
      <c r="J2352" s="6" t="s">
        <v>10077</v>
      </c>
      <c r="K2352" s="6" t="s">
        <v>165</v>
      </c>
      <c r="L2352" s="6" t="s">
        <v>1071</v>
      </c>
      <c r="M2352" s="6" t="s">
        <v>10090</v>
      </c>
    </row>
    <row r="2353" spans="1:13" ht="13" x14ac:dyDescent="0.15">
      <c r="A2353" s="5" t="str">
        <f>HYPERLINK("https://onemount.atlassian.net/browse/DBA-2604","DBA-2604")</f>
        <v>DBA-2604</v>
      </c>
      <c r="B2353" s="6" t="s">
        <v>21</v>
      </c>
      <c r="C2353" s="6" t="s">
        <v>10091</v>
      </c>
      <c r="D2353" s="8" t="s">
        <v>17</v>
      </c>
      <c r="E2353" s="6" t="s">
        <v>23</v>
      </c>
      <c r="F2353" s="6" t="s">
        <v>41</v>
      </c>
      <c r="G2353" s="6" t="s">
        <v>10092</v>
      </c>
      <c r="H2353" s="10">
        <v>45933</v>
      </c>
      <c r="I2353" s="6" t="s">
        <v>10093</v>
      </c>
      <c r="J2353" s="6" t="s">
        <v>10094</v>
      </c>
      <c r="K2353" s="6" t="s">
        <v>72</v>
      </c>
      <c r="L2353" s="6" t="s">
        <v>194</v>
      </c>
      <c r="M2353" s="6" t="s">
        <v>10095</v>
      </c>
    </row>
    <row r="2354" spans="1:13" ht="13" x14ac:dyDescent="0.15">
      <c r="A2354" s="5" t="str">
        <f>HYPERLINK("https://onemount.atlassian.net/browse/DBA-2603","DBA-2603")</f>
        <v>DBA-2603</v>
      </c>
      <c r="B2354" s="6" t="s">
        <v>21</v>
      </c>
      <c r="C2354" s="6" t="s">
        <v>10096</v>
      </c>
      <c r="D2354" s="8" t="s">
        <v>17</v>
      </c>
      <c r="E2354" s="6" t="s">
        <v>23</v>
      </c>
      <c r="F2354" s="6" t="s">
        <v>96</v>
      </c>
      <c r="G2354" s="6" t="s">
        <v>10097</v>
      </c>
      <c r="H2354" s="10">
        <v>45931</v>
      </c>
      <c r="I2354" s="6" t="s">
        <v>10098</v>
      </c>
      <c r="J2354" s="6" t="s">
        <v>628</v>
      </c>
      <c r="K2354" s="6" t="s">
        <v>165</v>
      </c>
      <c r="L2354" s="6" t="s">
        <v>119</v>
      </c>
      <c r="M2354" s="6" t="s">
        <v>10099</v>
      </c>
    </row>
    <row r="2355" spans="1:13" ht="13" x14ac:dyDescent="0.15">
      <c r="A2355" s="5" t="str">
        <f>HYPERLINK("https://onemount.atlassian.net/browse/DBA-2602","DBA-2602")</f>
        <v>DBA-2602</v>
      </c>
      <c r="B2355" s="6" t="s">
        <v>21</v>
      </c>
      <c r="C2355" s="6" t="s">
        <v>10100</v>
      </c>
      <c r="D2355" s="8" t="s">
        <v>17</v>
      </c>
      <c r="E2355" s="6" t="s">
        <v>23</v>
      </c>
      <c r="F2355" s="6" t="s">
        <v>96</v>
      </c>
      <c r="G2355" s="6" t="s">
        <v>10101</v>
      </c>
      <c r="H2355" s="10">
        <v>45930</v>
      </c>
      <c r="I2355" s="6" t="s">
        <v>10102</v>
      </c>
      <c r="J2355" s="6" t="s">
        <v>55</v>
      </c>
      <c r="K2355" s="6" t="s">
        <v>55</v>
      </c>
      <c r="L2355" s="6" t="s">
        <v>956</v>
      </c>
      <c r="M2355" s="6" t="s">
        <v>10103</v>
      </c>
    </row>
    <row r="2356" spans="1:13" ht="13" x14ac:dyDescent="0.15">
      <c r="A2356" s="5" t="str">
        <f>HYPERLINK("https://onemount.atlassian.net/browse/DBA-2601","DBA-2601")</f>
        <v>DBA-2601</v>
      </c>
      <c r="B2356" s="6" t="s">
        <v>21</v>
      </c>
      <c r="C2356" s="6" t="s">
        <v>10104</v>
      </c>
      <c r="D2356" s="8" t="s">
        <v>17</v>
      </c>
      <c r="E2356" s="6" t="s">
        <v>23</v>
      </c>
      <c r="F2356" s="6" t="s">
        <v>96</v>
      </c>
      <c r="G2356" s="6" t="s">
        <v>10105</v>
      </c>
      <c r="H2356" s="10">
        <v>45930</v>
      </c>
      <c r="I2356" s="6" t="s">
        <v>10106</v>
      </c>
      <c r="J2356" s="6" t="s">
        <v>55</v>
      </c>
      <c r="K2356" s="6" t="s">
        <v>55</v>
      </c>
      <c r="L2356" s="6" t="s">
        <v>956</v>
      </c>
      <c r="M2356" s="6" t="s">
        <v>10107</v>
      </c>
    </row>
    <row r="2357" spans="1:13" ht="13" x14ac:dyDescent="0.15">
      <c r="A2357" s="5" t="str">
        <f>HYPERLINK("https://onemount.atlassian.net/browse/DBA-2600","DBA-2600")</f>
        <v>DBA-2600</v>
      </c>
      <c r="B2357" s="6" t="s">
        <v>21</v>
      </c>
      <c r="C2357" s="6" t="s">
        <v>9179</v>
      </c>
      <c r="D2357" s="8" t="s">
        <v>17</v>
      </c>
      <c r="E2357" s="6" t="s">
        <v>23</v>
      </c>
      <c r="F2357" s="6" t="s">
        <v>31</v>
      </c>
      <c r="G2357" s="6" t="s">
        <v>10108</v>
      </c>
      <c r="H2357" s="10">
        <v>45930</v>
      </c>
      <c r="I2357" s="6" t="s">
        <v>10109</v>
      </c>
      <c r="J2357" s="6" t="s">
        <v>8561</v>
      </c>
      <c r="K2357" s="6" t="s">
        <v>35</v>
      </c>
      <c r="L2357" s="6" t="s">
        <v>36</v>
      </c>
      <c r="M2357" s="6" t="s">
        <v>10110</v>
      </c>
    </row>
    <row r="2358" spans="1:13" ht="13" x14ac:dyDescent="0.15">
      <c r="A2358" s="5" t="str">
        <f>HYPERLINK("https://onemount.atlassian.net/browse/DBA-2599","DBA-2599")</f>
        <v>DBA-2599</v>
      </c>
      <c r="B2358" s="6" t="s">
        <v>21</v>
      </c>
      <c r="C2358" s="6" t="s">
        <v>9940</v>
      </c>
      <c r="D2358" s="8" t="s">
        <v>17</v>
      </c>
      <c r="E2358" s="6" t="s">
        <v>23</v>
      </c>
      <c r="F2358" s="6" t="s">
        <v>31</v>
      </c>
      <c r="G2358" s="6" t="s">
        <v>10111</v>
      </c>
      <c r="H2358" s="10">
        <v>45930</v>
      </c>
      <c r="I2358" s="6" t="s">
        <v>10112</v>
      </c>
      <c r="J2358" s="6" t="s">
        <v>1187</v>
      </c>
      <c r="K2358" s="6" t="s">
        <v>35</v>
      </c>
      <c r="L2358" s="6" t="s">
        <v>1187</v>
      </c>
      <c r="M2358" s="6" t="s">
        <v>10113</v>
      </c>
    </row>
    <row r="2359" spans="1:13" ht="13" x14ac:dyDescent="0.15">
      <c r="A2359" s="5" t="str">
        <f>HYPERLINK("https://onemount.atlassian.net/browse/DBA-2598","DBA-2598")</f>
        <v>DBA-2598</v>
      </c>
      <c r="B2359" s="6" t="s">
        <v>21</v>
      </c>
      <c r="C2359" s="6" t="s">
        <v>10004</v>
      </c>
      <c r="D2359" s="8" t="s">
        <v>17</v>
      </c>
      <c r="E2359" s="6" t="s">
        <v>23</v>
      </c>
      <c r="F2359" s="6" t="s">
        <v>96</v>
      </c>
      <c r="G2359" s="6" t="s">
        <v>10114</v>
      </c>
      <c r="H2359" s="10">
        <v>45930</v>
      </c>
      <c r="I2359" s="6" t="s">
        <v>10115</v>
      </c>
      <c r="J2359" s="6" t="s">
        <v>85</v>
      </c>
      <c r="K2359" s="6" t="s">
        <v>55</v>
      </c>
      <c r="L2359" s="6" t="s">
        <v>85</v>
      </c>
      <c r="M2359" s="6" t="s">
        <v>10116</v>
      </c>
    </row>
    <row r="2360" spans="1:13" ht="13" x14ac:dyDescent="0.15">
      <c r="A2360" s="5" t="str">
        <f>HYPERLINK("https://onemount.atlassian.net/browse/DBA-2597","DBA-2597")</f>
        <v>DBA-2597</v>
      </c>
      <c r="B2360" s="6" t="s">
        <v>21</v>
      </c>
      <c r="C2360" s="6" t="s">
        <v>10117</v>
      </c>
      <c r="D2360" s="8" t="s">
        <v>17</v>
      </c>
      <c r="E2360" s="6" t="s">
        <v>23</v>
      </c>
      <c r="F2360" s="6" t="s">
        <v>96</v>
      </c>
      <c r="G2360" s="6" t="s">
        <v>10118</v>
      </c>
      <c r="H2360" s="10">
        <v>45930</v>
      </c>
      <c r="I2360" s="6" t="s">
        <v>10119</v>
      </c>
      <c r="J2360" s="6" t="s">
        <v>10120</v>
      </c>
      <c r="K2360" s="6" t="s">
        <v>165</v>
      </c>
      <c r="L2360" s="6" t="s">
        <v>1071</v>
      </c>
      <c r="M2360" s="6" t="s">
        <v>10121</v>
      </c>
    </row>
    <row r="2361" spans="1:13" ht="13" x14ac:dyDescent="0.15">
      <c r="A2361" s="5" t="str">
        <f>HYPERLINK("https://onemount.atlassian.net/browse/DBA-2595","DBA-2595")</f>
        <v>DBA-2595</v>
      </c>
      <c r="B2361" s="6" t="s">
        <v>21</v>
      </c>
      <c r="C2361" s="6" t="s">
        <v>10122</v>
      </c>
      <c r="D2361" s="8" t="s">
        <v>17</v>
      </c>
      <c r="E2361" s="6" t="s">
        <v>23</v>
      </c>
      <c r="F2361" s="6" t="s">
        <v>96</v>
      </c>
      <c r="G2361" s="6" t="s">
        <v>10123</v>
      </c>
      <c r="H2361" s="10">
        <v>45930</v>
      </c>
      <c r="I2361" s="6" t="s">
        <v>10124</v>
      </c>
      <c r="J2361" s="6" t="s">
        <v>55</v>
      </c>
      <c r="K2361" s="6" t="s">
        <v>55</v>
      </c>
      <c r="L2361" s="6" t="s">
        <v>956</v>
      </c>
      <c r="M2361" s="6" t="s">
        <v>10125</v>
      </c>
    </row>
    <row r="2362" spans="1:13" ht="13" x14ac:dyDescent="0.15">
      <c r="A2362" s="5" t="str">
        <f>HYPERLINK("https://onemount.atlassian.net/browse/DBA-2593","DBA-2593")</f>
        <v>DBA-2593</v>
      </c>
      <c r="B2362" s="6" t="s">
        <v>21</v>
      </c>
      <c r="C2362" s="6" t="s">
        <v>10126</v>
      </c>
      <c r="D2362" s="8" t="s">
        <v>17</v>
      </c>
      <c r="E2362" s="6" t="s">
        <v>23</v>
      </c>
      <c r="F2362" s="6" t="s">
        <v>24</v>
      </c>
      <c r="G2362" s="6" t="s">
        <v>10127</v>
      </c>
      <c r="H2362" s="10">
        <v>45932</v>
      </c>
      <c r="I2362" s="6" t="s">
        <v>10128</v>
      </c>
      <c r="J2362" s="6" t="s">
        <v>4792</v>
      </c>
      <c r="K2362" s="6" t="s">
        <v>55</v>
      </c>
      <c r="L2362" s="6" t="s">
        <v>270</v>
      </c>
      <c r="M2362" s="6" t="s">
        <v>10129</v>
      </c>
    </row>
    <row r="2363" spans="1:13" ht="13" x14ac:dyDescent="0.15">
      <c r="A2363" s="5" t="str">
        <f>HYPERLINK("https://onemount.atlassian.net/browse/DBA-2591","DBA-2591")</f>
        <v>DBA-2591</v>
      </c>
      <c r="B2363" s="6" t="s">
        <v>21</v>
      </c>
      <c r="C2363" s="6" t="s">
        <v>10130</v>
      </c>
      <c r="D2363" s="8" t="s">
        <v>17</v>
      </c>
      <c r="E2363" s="6" t="s">
        <v>23</v>
      </c>
      <c r="F2363" s="6" t="s">
        <v>96</v>
      </c>
      <c r="G2363" s="6" t="s">
        <v>10131</v>
      </c>
      <c r="H2363" s="10">
        <v>45929</v>
      </c>
      <c r="I2363" s="6" t="s">
        <v>10132</v>
      </c>
      <c r="J2363" s="6" t="s">
        <v>7506</v>
      </c>
      <c r="K2363" s="6" t="s">
        <v>165</v>
      </c>
      <c r="L2363" s="6" t="s">
        <v>1016</v>
      </c>
      <c r="M2363" s="6" t="s">
        <v>10133</v>
      </c>
    </row>
    <row r="2364" spans="1:13" ht="13" x14ac:dyDescent="0.15">
      <c r="A2364" s="5" t="str">
        <f>HYPERLINK("https://onemount.atlassian.net/browse/DBA-2590","DBA-2590")</f>
        <v>DBA-2590</v>
      </c>
      <c r="B2364" s="6" t="s">
        <v>21</v>
      </c>
      <c r="C2364" s="6" t="s">
        <v>10117</v>
      </c>
      <c r="D2364" s="8" t="s">
        <v>17</v>
      </c>
      <c r="E2364" s="6" t="s">
        <v>23</v>
      </c>
      <c r="F2364" s="6" t="s">
        <v>96</v>
      </c>
      <c r="G2364" s="6" t="s">
        <v>10134</v>
      </c>
      <c r="H2364" s="10">
        <v>45929</v>
      </c>
      <c r="I2364" s="6" t="s">
        <v>10135</v>
      </c>
      <c r="J2364" s="6" t="s">
        <v>288</v>
      </c>
      <c r="K2364" s="6" t="s">
        <v>165</v>
      </c>
      <c r="L2364" s="6" t="s">
        <v>1071</v>
      </c>
      <c r="M2364" s="6" t="s">
        <v>10136</v>
      </c>
    </row>
    <row r="2365" spans="1:13" ht="13" x14ac:dyDescent="0.15">
      <c r="A2365" s="5" t="str">
        <f>HYPERLINK("https://onemount.atlassian.net/browse/DBA-2589","DBA-2589")</f>
        <v>DBA-2589</v>
      </c>
      <c r="B2365" s="6" t="s">
        <v>21</v>
      </c>
      <c r="C2365" s="6" t="s">
        <v>10137</v>
      </c>
      <c r="D2365" s="8" t="s">
        <v>17</v>
      </c>
      <c r="E2365" s="6" t="s">
        <v>23</v>
      </c>
      <c r="F2365" s="6" t="s">
        <v>31</v>
      </c>
      <c r="G2365" s="6" t="s">
        <v>10138</v>
      </c>
      <c r="H2365" s="10">
        <v>45929</v>
      </c>
      <c r="I2365" s="6" t="s">
        <v>10139</v>
      </c>
      <c r="J2365" s="6" t="s">
        <v>4033</v>
      </c>
      <c r="K2365" s="6" t="s">
        <v>35</v>
      </c>
      <c r="L2365" s="6" t="s">
        <v>962</v>
      </c>
      <c r="M2365" s="6" t="s">
        <v>10140</v>
      </c>
    </row>
    <row r="2366" spans="1:13" ht="13" x14ac:dyDescent="0.15">
      <c r="A2366" s="5" t="str">
        <f>HYPERLINK("https://onemount.atlassian.net/browse/DBA-2588","DBA-2588")</f>
        <v>DBA-2588</v>
      </c>
      <c r="B2366" s="6" t="s">
        <v>21</v>
      </c>
      <c r="C2366" s="6" t="s">
        <v>9797</v>
      </c>
      <c r="D2366" s="8" t="s">
        <v>17</v>
      </c>
      <c r="E2366" s="6" t="s">
        <v>23</v>
      </c>
      <c r="F2366" s="6" t="s">
        <v>24</v>
      </c>
      <c r="G2366" s="6" t="s">
        <v>10141</v>
      </c>
      <c r="H2366" s="10">
        <v>45929</v>
      </c>
      <c r="I2366" s="6" t="s">
        <v>10142</v>
      </c>
      <c r="J2366" s="6" t="s">
        <v>4792</v>
      </c>
      <c r="K2366" s="6" t="s">
        <v>55</v>
      </c>
      <c r="L2366" s="6" t="s">
        <v>270</v>
      </c>
      <c r="M2366" s="6" t="s">
        <v>10143</v>
      </c>
    </row>
    <row r="2367" spans="1:13" ht="13" x14ac:dyDescent="0.15">
      <c r="A2367" s="5" t="str">
        <f>HYPERLINK("https://onemount.atlassian.net/browse/DBA-2587","DBA-2587")</f>
        <v>DBA-2587</v>
      </c>
      <c r="B2367" s="6" t="s">
        <v>21</v>
      </c>
      <c r="C2367" s="6" t="s">
        <v>10144</v>
      </c>
      <c r="D2367" s="8" t="s">
        <v>17</v>
      </c>
      <c r="E2367" s="6" t="s">
        <v>23</v>
      </c>
      <c r="F2367" s="6" t="s">
        <v>31</v>
      </c>
      <c r="G2367" s="6" t="s">
        <v>10145</v>
      </c>
      <c r="H2367" s="10">
        <v>45930</v>
      </c>
      <c r="I2367" s="6" t="s">
        <v>10146</v>
      </c>
      <c r="J2367" s="6" t="s">
        <v>715</v>
      </c>
      <c r="K2367" s="6" t="s">
        <v>55</v>
      </c>
      <c r="L2367" s="6" t="s">
        <v>715</v>
      </c>
      <c r="M2367" s="6" t="s">
        <v>10147</v>
      </c>
    </row>
    <row r="2368" spans="1:13" ht="13" x14ac:dyDescent="0.15">
      <c r="A2368" s="5" t="str">
        <f>HYPERLINK("https://onemount.atlassian.net/browse/DBA-2584","DBA-2584")</f>
        <v>DBA-2584</v>
      </c>
      <c r="B2368" s="6" t="s">
        <v>21</v>
      </c>
      <c r="C2368" s="6" t="s">
        <v>10148</v>
      </c>
      <c r="D2368" s="8" t="s">
        <v>17</v>
      </c>
      <c r="E2368" s="6" t="s">
        <v>23</v>
      </c>
      <c r="F2368" s="6" t="s">
        <v>31</v>
      </c>
      <c r="G2368" s="6" t="s">
        <v>10149</v>
      </c>
      <c r="H2368" s="10">
        <v>45930</v>
      </c>
      <c r="I2368" s="6" t="s">
        <v>10150</v>
      </c>
      <c r="J2368" s="6" t="s">
        <v>56</v>
      </c>
      <c r="K2368" s="6" t="s">
        <v>55</v>
      </c>
      <c r="L2368" s="6" t="s">
        <v>56</v>
      </c>
      <c r="M2368" s="6" t="s">
        <v>10151</v>
      </c>
    </row>
    <row r="2369" spans="1:13" ht="13" x14ac:dyDescent="0.15">
      <c r="A2369" s="21" t="str">
        <f>HYPERLINK("https://onemount.atlassian.net/browse/DBA-2583","DBA-2583")</f>
        <v>DBA-2583</v>
      </c>
      <c r="B2369" s="6" t="s">
        <v>21</v>
      </c>
      <c r="C2369" s="6" t="s">
        <v>10152</v>
      </c>
      <c r="D2369" s="8" t="s">
        <v>17</v>
      </c>
      <c r="E2369" s="6" t="s">
        <v>23</v>
      </c>
      <c r="F2369" s="6" t="s">
        <v>96</v>
      </c>
      <c r="G2369" s="6" t="s">
        <v>10153</v>
      </c>
      <c r="H2369" s="10">
        <v>45927</v>
      </c>
      <c r="I2369" s="6" t="s">
        <v>10154</v>
      </c>
      <c r="J2369" s="6" t="s">
        <v>55</v>
      </c>
      <c r="K2369" s="6" t="s">
        <v>55</v>
      </c>
      <c r="L2369" s="6" t="s">
        <v>956</v>
      </c>
      <c r="M2369" s="6" t="s">
        <v>10155</v>
      </c>
    </row>
    <row r="2370" spans="1:13" ht="13" x14ac:dyDescent="0.15">
      <c r="A2370" s="5" t="str">
        <f>HYPERLINK("https://onemount.atlassian.net/browse/DBA-2581","DBA-2581")</f>
        <v>DBA-2581</v>
      </c>
      <c r="B2370" s="6" t="s">
        <v>21</v>
      </c>
      <c r="C2370" s="6" t="s">
        <v>10156</v>
      </c>
      <c r="D2370" s="8" t="s">
        <v>17</v>
      </c>
      <c r="E2370" s="6" t="s">
        <v>23</v>
      </c>
      <c r="F2370" s="6" t="s">
        <v>24</v>
      </c>
      <c r="G2370" s="6" t="s">
        <v>10157</v>
      </c>
      <c r="H2370" s="10">
        <v>45926</v>
      </c>
      <c r="I2370" s="6" t="s">
        <v>10158</v>
      </c>
      <c r="J2370" s="6" t="s">
        <v>4792</v>
      </c>
      <c r="K2370" s="6" t="s">
        <v>55</v>
      </c>
      <c r="L2370" s="6" t="s">
        <v>270</v>
      </c>
      <c r="M2370" s="6" t="s">
        <v>10159</v>
      </c>
    </row>
    <row r="2371" spans="1:13" ht="13" x14ac:dyDescent="0.15">
      <c r="A2371" s="5" t="str">
        <f>HYPERLINK("https://onemount.atlassian.net/browse/DBA-2579","DBA-2579")</f>
        <v>DBA-2579</v>
      </c>
      <c r="B2371" s="6" t="s">
        <v>21</v>
      </c>
      <c r="C2371" s="6" t="s">
        <v>10160</v>
      </c>
      <c r="D2371" s="8" t="s">
        <v>17</v>
      </c>
      <c r="E2371" s="6" t="s">
        <v>23</v>
      </c>
      <c r="F2371" s="6" t="s">
        <v>31</v>
      </c>
      <c r="G2371" s="6" t="s">
        <v>10161</v>
      </c>
      <c r="H2371" s="10">
        <v>45927</v>
      </c>
      <c r="I2371" s="6" t="s">
        <v>10162</v>
      </c>
      <c r="J2371" s="6" t="s">
        <v>7042</v>
      </c>
      <c r="K2371" s="6" t="s">
        <v>35</v>
      </c>
      <c r="L2371" s="6" t="s">
        <v>1238</v>
      </c>
      <c r="M2371" s="6" t="s">
        <v>10163</v>
      </c>
    </row>
    <row r="2372" spans="1:13" ht="13" x14ac:dyDescent="0.15">
      <c r="A2372" s="5" t="str">
        <f>HYPERLINK("https://onemount.atlassian.net/browse/DBA-2578","DBA-2578")</f>
        <v>DBA-2578</v>
      </c>
      <c r="B2372" s="6" t="s">
        <v>21</v>
      </c>
      <c r="C2372" s="6" t="s">
        <v>10043</v>
      </c>
      <c r="D2372" s="8" t="s">
        <v>17</v>
      </c>
      <c r="E2372" s="6" t="s">
        <v>23</v>
      </c>
      <c r="F2372" s="6" t="s">
        <v>96</v>
      </c>
      <c r="G2372" s="6" t="s">
        <v>10164</v>
      </c>
      <c r="H2372" s="10">
        <v>45926</v>
      </c>
      <c r="I2372" s="6" t="s">
        <v>10165</v>
      </c>
      <c r="J2372" s="6" t="s">
        <v>55</v>
      </c>
      <c r="K2372" s="6" t="s">
        <v>55</v>
      </c>
      <c r="L2372" s="6" t="s">
        <v>956</v>
      </c>
      <c r="M2372" s="6" t="s">
        <v>10166</v>
      </c>
    </row>
    <row r="2373" spans="1:13" ht="13" x14ac:dyDescent="0.15">
      <c r="A2373" s="5" t="str">
        <f>HYPERLINK("https://onemount.atlassian.net/browse/DBA-2577","DBA-2577")</f>
        <v>DBA-2577</v>
      </c>
      <c r="B2373" s="6" t="s">
        <v>21</v>
      </c>
      <c r="C2373" s="6" t="s">
        <v>10167</v>
      </c>
      <c r="D2373" s="8" t="s">
        <v>17</v>
      </c>
      <c r="E2373" s="6" t="s">
        <v>23</v>
      </c>
      <c r="F2373" s="6" t="s">
        <v>24</v>
      </c>
      <c r="G2373" s="6" t="s">
        <v>10168</v>
      </c>
      <c r="H2373" s="10">
        <v>45966</v>
      </c>
      <c r="I2373" s="6" t="s">
        <v>10169</v>
      </c>
      <c r="J2373" s="6" t="s">
        <v>10170</v>
      </c>
      <c r="K2373" s="6" t="s">
        <v>55</v>
      </c>
      <c r="L2373" s="6" t="s">
        <v>56</v>
      </c>
      <c r="M2373" s="6" t="s">
        <v>10171</v>
      </c>
    </row>
    <row r="2374" spans="1:13" ht="13" x14ac:dyDescent="0.15">
      <c r="A2374" s="5" t="str">
        <f>HYPERLINK("https://onemount.atlassian.net/browse/DBA-2576","DBA-2576")</f>
        <v>DBA-2576</v>
      </c>
      <c r="B2374" s="6" t="s">
        <v>21</v>
      </c>
      <c r="C2374" s="6" t="s">
        <v>10172</v>
      </c>
      <c r="D2374" s="8" t="s">
        <v>17</v>
      </c>
      <c r="E2374" s="6" t="s">
        <v>23</v>
      </c>
      <c r="F2374" s="6" t="s">
        <v>24</v>
      </c>
      <c r="G2374" s="6" t="s">
        <v>10173</v>
      </c>
      <c r="H2374" s="10">
        <v>45961</v>
      </c>
      <c r="I2374" s="6" t="s">
        <v>10174</v>
      </c>
      <c r="J2374" s="6" t="s">
        <v>55</v>
      </c>
      <c r="K2374" s="6" t="s">
        <v>55</v>
      </c>
      <c r="L2374" s="6" t="s">
        <v>56</v>
      </c>
      <c r="M2374" s="6" t="s">
        <v>10175</v>
      </c>
    </row>
    <row r="2375" spans="1:13" ht="13" x14ac:dyDescent="0.15">
      <c r="A2375" s="5" t="str">
        <f>HYPERLINK("https://onemount.atlassian.net/browse/DBA-2573","DBA-2573")</f>
        <v>DBA-2573</v>
      </c>
      <c r="B2375" s="6" t="s">
        <v>21</v>
      </c>
      <c r="C2375" s="6" t="s">
        <v>10176</v>
      </c>
      <c r="D2375" s="8" t="s">
        <v>17</v>
      </c>
      <c r="E2375" s="6" t="s">
        <v>23</v>
      </c>
      <c r="F2375" s="6" t="s">
        <v>41</v>
      </c>
      <c r="G2375" s="6" t="s">
        <v>10177</v>
      </c>
      <c r="H2375" s="10">
        <v>45927</v>
      </c>
      <c r="I2375" s="6" t="s">
        <v>10178</v>
      </c>
      <c r="J2375" s="6" t="s">
        <v>56</v>
      </c>
      <c r="K2375" s="6" t="s">
        <v>55</v>
      </c>
      <c r="L2375" s="6" t="s">
        <v>56</v>
      </c>
      <c r="M2375" s="6" t="s">
        <v>10179</v>
      </c>
    </row>
    <row r="2376" spans="1:13" ht="13" x14ac:dyDescent="0.15">
      <c r="A2376" s="5" t="str">
        <f>HYPERLINK("https://onemount.atlassian.net/browse/DBA-2572","DBA-2572")</f>
        <v>DBA-2572</v>
      </c>
      <c r="B2376" s="6" t="s">
        <v>21</v>
      </c>
      <c r="C2376" s="6" t="s">
        <v>10180</v>
      </c>
      <c r="D2376" s="8" t="s">
        <v>17</v>
      </c>
      <c r="E2376" s="6" t="s">
        <v>23</v>
      </c>
      <c r="F2376" s="6" t="s">
        <v>31</v>
      </c>
      <c r="G2376" s="6" t="s">
        <v>10181</v>
      </c>
      <c r="H2376" s="10">
        <v>45925</v>
      </c>
      <c r="I2376" s="6" t="s">
        <v>10182</v>
      </c>
      <c r="J2376" s="6" t="s">
        <v>276</v>
      </c>
      <c r="K2376" s="6" t="s">
        <v>35</v>
      </c>
      <c r="L2376" s="6" t="s">
        <v>276</v>
      </c>
      <c r="M2376" s="6" t="s">
        <v>10183</v>
      </c>
    </row>
    <row r="2377" spans="1:13" ht="13" x14ac:dyDescent="0.15">
      <c r="A2377" s="5" t="str">
        <f>HYPERLINK("https://onemount.atlassian.net/browse/DBA-2571","DBA-2571")</f>
        <v>DBA-2571</v>
      </c>
      <c r="B2377" s="6" t="s">
        <v>21</v>
      </c>
      <c r="C2377" s="6" t="s">
        <v>10184</v>
      </c>
      <c r="D2377" s="8" t="s">
        <v>17</v>
      </c>
      <c r="E2377" s="6" t="s">
        <v>23</v>
      </c>
      <c r="F2377" s="6" t="s">
        <v>24</v>
      </c>
      <c r="G2377" s="6" t="s">
        <v>10185</v>
      </c>
      <c r="H2377" s="10">
        <v>45925</v>
      </c>
      <c r="I2377" s="6" t="s">
        <v>10186</v>
      </c>
      <c r="J2377" s="6" t="s">
        <v>10187</v>
      </c>
      <c r="K2377" s="6" t="s">
        <v>55</v>
      </c>
      <c r="L2377" s="6" t="s">
        <v>85</v>
      </c>
      <c r="M2377" s="6" t="s">
        <v>10188</v>
      </c>
    </row>
    <row r="2378" spans="1:13" ht="13" x14ac:dyDescent="0.15">
      <c r="A2378" s="21" t="str">
        <f>HYPERLINK("https://onemount.atlassian.net/browse/DBA-2570","DBA-2570")</f>
        <v>DBA-2570</v>
      </c>
      <c r="B2378" s="6" t="s">
        <v>21</v>
      </c>
      <c r="C2378" s="6" t="s">
        <v>10152</v>
      </c>
      <c r="D2378" s="8" t="s">
        <v>17</v>
      </c>
      <c r="E2378" s="6" t="s">
        <v>23</v>
      </c>
      <c r="F2378" s="6" t="s">
        <v>96</v>
      </c>
      <c r="G2378" s="6" t="s">
        <v>10189</v>
      </c>
      <c r="H2378" s="10">
        <v>45926</v>
      </c>
      <c r="I2378" s="6" t="s">
        <v>10190</v>
      </c>
      <c r="J2378" s="6" t="s">
        <v>55</v>
      </c>
      <c r="K2378" s="6" t="s">
        <v>55</v>
      </c>
      <c r="L2378" s="6" t="s">
        <v>956</v>
      </c>
      <c r="M2378" s="6" t="s">
        <v>10155</v>
      </c>
    </row>
    <row r="2379" spans="1:13" ht="13" x14ac:dyDescent="0.15">
      <c r="A2379" s="21" t="str">
        <f>HYPERLINK("https://onemount.atlassian.net/browse/DBA-2569","DBA-2569")</f>
        <v>DBA-2569</v>
      </c>
      <c r="B2379" s="6" t="s">
        <v>21</v>
      </c>
      <c r="C2379" s="6" t="s">
        <v>10191</v>
      </c>
      <c r="D2379" s="8" t="s">
        <v>17</v>
      </c>
      <c r="E2379" s="6" t="s">
        <v>23</v>
      </c>
      <c r="F2379" s="6" t="s">
        <v>96</v>
      </c>
      <c r="G2379" s="6" t="s">
        <v>10192</v>
      </c>
      <c r="H2379" s="10">
        <v>45927</v>
      </c>
      <c r="I2379" s="6" t="s">
        <v>10193</v>
      </c>
      <c r="J2379" s="6" t="s">
        <v>46</v>
      </c>
      <c r="K2379" s="6" t="s">
        <v>46</v>
      </c>
      <c r="L2379" s="6" t="s">
        <v>46</v>
      </c>
      <c r="M2379" s="6" t="s">
        <v>10194</v>
      </c>
    </row>
    <row r="2380" spans="1:13" ht="13" x14ac:dyDescent="0.15">
      <c r="A2380" s="5" t="str">
        <f>HYPERLINK("https://onemount.atlassian.net/browse/DBA-2568","DBA-2568")</f>
        <v>DBA-2568</v>
      </c>
      <c r="B2380" s="6" t="s">
        <v>21</v>
      </c>
      <c r="C2380" s="6" t="s">
        <v>10195</v>
      </c>
      <c r="D2380" s="8" t="s">
        <v>17</v>
      </c>
      <c r="E2380" s="6" t="s">
        <v>23</v>
      </c>
      <c r="F2380" s="6" t="s">
        <v>24</v>
      </c>
      <c r="G2380" s="6" t="s">
        <v>10196</v>
      </c>
      <c r="H2380" s="10">
        <v>45926</v>
      </c>
      <c r="I2380" s="6" t="s">
        <v>10197</v>
      </c>
      <c r="J2380" s="6" t="s">
        <v>971</v>
      </c>
      <c r="K2380" s="6" t="s">
        <v>165</v>
      </c>
      <c r="L2380" s="6" t="s">
        <v>1016</v>
      </c>
      <c r="M2380" s="6" t="s">
        <v>10198</v>
      </c>
    </row>
    <row r="2381" spans="1:13" ht="13" x14ac:dyDescent="0.15">
      <c r="A2381" s="5" t="str">
        <f>HYPERLINK("https://onemount.atlassian.net/browse/DBA-2564","DBA-2564")</f>
        <v>DBA-2564</v>
      </c>
      <c r="B2381" s="6" t="s">
        <v>21</v>
      </c>
      <c r="C2381" s="6" t="s">
        <v>10199</v>
      </c>
      <c r="D2381" s="8" t="s">
        <v>17</v>
      </c>
      <c r="E2381" s="6" t="s">
        <v>23</v>
      </c>
      <c r="F2381" s="6" t="s">
        <v>31</v>
      </c>
      <c r="G2381" s="6" t="s">
        <v>10200</v>
      </c>
      <c r="H2381" s="10">
        <v>45926</v>
      </c>
      <c r="I2381" s="6" t="s">
        <v>10201</v>
      </c>
      <c r="J2381" s="6" t="s">
        <v>707</v>
      </c>
      <c r="K2381" s="6" t="s">
        <v>35</v>
      </c>
      <c r="L2381" s="6" t="s">
        <v>707</v>
      </c>
      <c r="M2381" s="6" t="s">
        <v>10202</v>
      </c>
    </row>
    <row r="2382" spans="1:13" ht="13" x14ac:dyDescent="0.15">
      <c r="A2382" s="5" t="str">
        <f>HYPERLINK("https://onemount.atlassian.net/browse/DBA-2563","DBA-2563")</f>
        <v>DBA-2563</v>
      </c>
      <c r="B2382" s="6" t="s">
        <v>21</v>
      </c>
      <c r="C2382" s="6" t="s">
        <v>10203</v>
      </c>
      <c r="D2382" s="8" t="s">
        <v>17</v>
      </c>
      <c r="E2382" s="6" t="s">
        <v>23</v>
      </c>
      <c r="F2382" s="6" t="s">
        <v>24</v>
      </c>
      <c r="G2382" s="6" t="s">
        <v>10204</v>
      </c>
      <c r="H2382" s="10">
        <v>45925</v>
      </c>
      <c r="I2382" s="6" t="s">
        <v>10205</v>
      </c>
      <c r="J2382" s="6" t="s">
        <v>56</v>
      </c>
      <c r="K2382" s="6" t="s">
        <v>55</v>
      </c>
      <c r="L2382" s="6" t="s">
        <v>56</v>
      </c>
      <c r="M2382" s="6" t="s">
        <v>10206</v>
      </c>
    </row>
    <row r="2383" spans="1:13" ht="13" x14ac:dyDescent="0.15">
      <c r="A2383" s="5" t="str">
        <f>HYPERLINK("https://onemount.atlassian.net/browse/DBA-2562","DBA-2562")</f>
        <v>DBA-2562</v>
      </c>
      <c r="B2383" s="6" t="s">
        <v>21</v>
      </c>
      <c r="C2383" s="6" t="s">
        <v>10184</v>
      </c>
      <c r="D2383" s="8" t="s">
        <v>17</v>
      </c>
      <c r="E2383" s="6" t="s">
        <v>23</v>
      </c>
      <c r="F2383" s="6" t="s">
        <v>24</v>
      </c>
      <c r="G2383" s="6" t="s">
        <v>10207</v>
      </c>
      <c r="H2383" s="10">
        <v>45924</v>
      </c>
      <c r="I2383" s="6" t="s">
        <v>10208</v>
      </c>
      <c r="J2383" s="6" t="s">
        <v>4260</v>
      </c>
      <c r="K2383" s="6" t="s">
        <v>55</v>
      </c>
      <c r="L2383" s="6" t="s">
        <v>85</v>
      </c>
      <c r="M2383" s="6" t="s">
        <v>10209</v>
      </c>
    </row>
    <row r="2384" spans="1:13" ht="13" x14ac:dyDescent="0.15">
      <c r="A2384" s="5" t="str">
        <f>HYPERLINK("https://onemount.atlassian.net/browse/DBA-2561","DBA-2561")</f>
        <v>DBA-2561</v>
      </c>
      <c r="B2384" s="6" t="s">
        <v>21</v>
      </c>
      <c r="C2384" s="6" t="s">
        <v>10210</v>
      </c>
      <c r="D2384" s="8" t="s">
        <v>17</v>
      </c>
      <c r="E2384" s="6" t="s">
        <v>23</v>
      </c>
      <c r="F2384" s="6" t="s">
        <v>96</v>
      </c>
      <c r="G2384" s="6" t="s">
        <v>10211</v>
      </c>
      <c r="H2384" s="10">
        <v>45934</v>
      </c>
      <c r="I2384" s="6" t="s">
        <v>10212</v>
      </c>
      <c r="J2384" s="6" t="s">
        <v>628</v>
      </c>
      <c r="K2384" s="6" t="s">
        <v>165</v>
      </c>
      <c r="L2384" s="6" t="s">
        <v>119</v>
      </c>
      <c r="M2384" s="6" t="s">
        <v>10213</v>
      </c>
    </row>
    <row r="2385" spans="1:13" ht="13" x14ac:dyDescent="0.15">
      <c r="A2385" s="5" t="str">
        <f>HYPERLINK("https://onemount.atlassian.net/browse/DBA-2559","DBA-2559")</f>
        <v>DBA-2559</v>
      </c>
      <c r="B2385" s="6" t="s">
        <v>21</v>
      </c>
      <c r="C2385" s="6" t="s">
        <v>10214</v>
      </c>
      <c r="D2385" s="8" t="s">
        <v>17</v>
      </c>
      <c r="E2385" s="6" t="s">
        <v>23</v>
      </c>
      <c r="F2385" s="6" t="s">
        <v>96</v>
      </c>
      <c r="G2385" s="6" t="s">
        <v>10215</v>
      </c>
      <c r="H2385" s="10">
        <v>45924</v>
      </c>
      <c r="I2385" s="6" t="s">
        <v>10216</v>
      </c>
      <c r="J2385" s="6" t="s">
        <v>85</v>
      </c>
      <c r="K2385" s="6" t="s">
        <v>55</v>
      </c>
      <c r="L2385" s="6" t="s">
        <v>85</v>
      </c>
      <c r="M2385" s="6" t="s">
        <v>10217</v>
      </c>
    </row>
    <row r="2386" spans="1:13" ht="13" x14ac:dyDescent="0.15">
      <c r="A2386" s="5" t="str">
        <f>HYPERLINK("https://onemount.atlassian.net/browse/DBA-2558","DBA-2558")</f>
        <v>DBA-2558</v>
      </c>
      <c r="B2386" s="6" t="s">
        <v>21</v>
      </c>
      <c r="C2386" s="6" t="s">
        <v>10019</v>
      </c>
      <c r="D2386" s="8" t="s">
        <v>17</v>
      </c>
      <c r="E2386" s="6" t="s">
        <v>23</v>
      </c>
      <c r="F2386" s="6" t="s">
        <v>31</v>
      </c>
      <c r="G2386" s="6" t="s">
        <v>10218</v>
      </c>
      <c r="H2386" s="10">
        <v>45927</v>
      </c>
      <c r="I2386" s="6" t="s">
        <v>10219</v>
      </c>
      <c r="J2386" s="6" t="s">
        <v>852</v>
      </c>
      <c r="K2386" s="6" t="s">
        <v>55</v>
      </c>
      <c r="L2386" s="6" t="s">
        <v>843</v>
      </c>
      <c r="M2386" s="6" t="s">
        <v>10220</v>
      </c>
    </row>
    <row r="2387" spans="1:13" ht="13" x14ac:dyDescent="0.15">
      <c r="A2387" s="5" t="str">
        <f>HYPERLINK("https://onemount.atlassian.net/browse/DBA-2557","DBA-2557")</f>
        <v>DBA-2557</v>
      </c>
      <c r="B2387" s="6" t="s">
        <v>21</v>
      </c>
      <c r="C2387" s="6" t="s">
        <v>9577</v>
      </c>
      <c r="D2387" s="8" t="s">
        <v>17</v>
      </c>
      <c r="E2387" s="6" t="s">
        <v>23</v>
      </c>
      <c r="F2387" s="6" t="s">
        <v>31</v>
      </c>
      <c r="G2387" s="6" t="s">
        <v>10221</v>
      </c>
      <c r="H2387" s="10">
        <v>45925</v>
      </c>
      <c r="I2387" s="6" t="s">
        <v>10222</v>
      </c>
      <c r="J2387" s="6" t="s">
        <v>855</v>
      </c>
      <c r="K2387" s="6" t="s">
        <v>55</v>
      </c>
      <c r="L2387" s="6" t="s">
        <v>855</v>
      </c>
      <c r="M2387" s="6" t="s">
        <v>10223</v>
      </c>
    </row>
    <row r="2388" spans="1:13" ht="13" x14ac:dyDescent="0.15">
      <c r="A2388" s="5" t="str">
        <f>HYPERLINK("https://onemount.atlassian.net/browse/DBA-2555","DBA-2555")</f>
        <v>DBA-2555</v>
      </c>
      <c r="B2388" s="6" t="s">
        <v>21</v>
      </c>
      <c r="C2388" s="6" t="s">
        <v>10224</v>
      </c>
      <c r="D2388" s="8" t="s">
        <v>17</v>
      </c>
      <c r="E2388" s="6" t="s">
        <v>23</v>
      </c>
      <c r="F2388" s="6" t="s">
        <v>96</v>
      </c>
      <c r="G2388" s="6" t="s">
        <v>10225</v>
      </c>
      <c r="H2388" s="10">
        <v>45924</v>
      </c>
      <c r="I2388" s="6" t="s">
        <v>10226</v>
      </c>
      <c r="J2388" s="6" t="s">
        <v>85</v>
      </c>
      <c r="K2388" s="6" t="s">
        <v>55</v>
      </c>
      <c r="L2388" s="6" t="s">
        <v>85</v>
      </c>
      <c r="M2388" s="6" t="s">
        <v>10227</v>
      </c>
    </row>
    <row r="2389" spans="1:13" ht="13" x14ac:dyDescent="0.15">
      <c r="A2389" s="5" t="str">
        <f>HYPERLINK("https://onemount.atlassian.net/browse/DBA-2554","DBA-2554")</f>
        <v>DBA-2554</v>
      </c>
      <c r="B2389" s="6" t="s">
        <v>21</v>
      </c>
      <c r="C2389" s="6" t="s">
        <v>10019</v>
      </c>
      <c r="D2389" s="8" t="s">
        <v>17</v>
      </c>
      <c r="E2389" s="6" t="s">
        <v>23</v>
      </c>
      <c r="F2389" s="6" t="s">
        <v>31</v>
      </c>
      <c r="G2389" s="6" t="s">
        <v>10228</v>
      </c>
      <c r="H2389" s="10">
        <v>45924</v>
      </c>
      <c r="I2389" s="6" t="s">
        <v>10229</v>
      </c>
      <c r="J2389" s="6" t="s">
        <v>852</v>
      </c>
      <c r="K2389" s="6" t="s">
        <v>55</v>
      </c>
      <c r="L2389" s="6" t="s">
        <v>843</v>
      </c>
      <c r="M2389" s="6" t="s">
        <v>10230</v>
      </c>
    </row>
    <row r="2390" spans="1:13" ht="13" x14ac:dyDescent="0.15">
      <c r="A2390" s="5" t="str">
        <f>HYPERLINK("https://onemount.atlassian.net/browse/DBA-2553","DBA-2553")</f>
        <v>DBA-2553</v>
      </c>
      <c r="B2390" s="6" t="s">
        <v>21</v>
      </c>
      <c r="C2390" s="6" t="s">
        <v>10231</v>
      </c>
      <c r="D2390" s="8" t="s">
        <v>17</v>
      </c>
      <c r="E2390" s="6" t="s">
        <v>23</v>
      </c>
      <c r="F2390" s="6" t="s">
        <v>96</v>
      </c>
      <c r="G2390" s="6" t="s">
        <v>10232</v>
      </c>
      <c r="H2390" s="10">
        <v>45925</v>
      </c>
      <c r="I2390" s="6" t="s">
        <v>10233</v>
      </c>
      <c r="J2390" s="6" t="s">
        <v>39</v>
      </c>
      <c r="K2390" s="6" t="s">
        <v>165</v>
      </c>
      <c r="L2390" s="6" t="s">
        <v>1054</v>
      </c>
      <c r="M2390" s="6" t="s">
        <v>10234</v>
      </c>
    </row>
    <row r="2391" spans="1:13" ht="13" x14ac:dyDescent="0.15">
      <c r="A2391" s="5" t="str">
        <f>HYPERLINK("https://onemount.atlassian.net/browse/DBA-2552","DBA-2552")</f>
        <v>DBA-2552</v>
      </c>
      <c r="B2391" s="6" t="s">
        <v>21</v>
      </c>
      <c r="C2391" s="6" t="s">
        <v>10235</v>
      </c>
      <c r="D2391" s="8" t="s">
        <v>17</v>
      </c>
      <c r="E2391" s="6" t="s">
        <v>23</v>
      </c>
      <c r="F2391" s="6" t="s">
        <v>31</v>
      </c>
      <c r="G2391" s="6" t="s">
        <v>10236</v>
      </c>
      <c r="H2391" s="10">
        <v>45924</v>
      </c>
      <c r="I2391" s="6" t="s">
        <v>10237</v>
      </c>
      <c r="J2391" s="6" t="s">
        <v>6543</v>
      </c>
      <c r="K2391" s="6" t="s">
        <v>55</v>
      </c>
      <c r="L2391" s="6" t="s">
        <v>254</v>
      </c>
      <c r="M2391" s="6" t="s">
        <v>10238</v>
      </c>
    </row>
    <row r="2392" spans="1:13" ht="13" x14ac:dyDescent="0.15">
      <c r="A2392" s="5" t="str">
        <f>HYPERLINK("https://onemount.atlassian.net/browse/DBA-2548","DBA-2548")</f>
        <v>DBA-2548</v>
      </c>
      <c r="B2392" s="6" t="s">
        <v>21</v>
      </c>
      <c r="C2392" s="6" t="s">
        <v>10239</v>
      </c>
      <c r="D2392" s="8" t="s">
        <v>17</v>
      </c>
      <c r="E2392" s="6" t="s">
        <v>23</v>
      </c>
      <c r="F2392" s="6" t="s">
        <v>96</v>
      </c>
      <c r="G2392" s="6" t="s">
        <v>10240</v>
      </c>
      <c r="H2392" s="10">
        <v>45923</v>
      </c>
      <c r="I2392" s="6" t="s">
        <v>10241</v>
      </c>
      <c r="J2392" s="6" t="s">
        <v>254</v>
      </c>
      <c r="K2392" s="6" t="s">
        <v>55</v>
      </c>
      <c r="L2392" s="6" t="s">
        <v>254</v>
      </c>
      <c r="M2392" s="6" t="s">
        <v>10242</v>
      </c>
    </row>
    <row r="2393" spans="1:13" ht="13" x14ac:dyDescent="0.15">
      <c r="A2393" s="5" t="str">
        <f>HYPERLINK("https://onemount.atlassian.net/browse/DBA-2547","DBA-2547")</f>
        <v>DBA-2547</v>
      </c>
      <c r="B2393" s="6" t="s">
        <v>21</v>
      </c>
      <c r="C2393" s="6" t="s">
        <v>9179</v>
      </c>
      <c r="D2393" s="8" t="s">
        <v>17</v>
      </c>
      <c r="E2393" s="6" t="s">
        <v>23</v>
      </c>
      <c r="F2393" s="6" t="s">
        <v>31</v>
      </c>
      <c r="G2393" s="6" t="s">
        <v>10243</v>
      </c>
      <c r="H2393" s="10">
        <v>45925</v>
      </c>
      <c r="I2393" s="6" t="s">
        <v>10244</v>
      </c>
      <c r="J2393" s="6" t="s">
        <v>8561</v>
      </c>
      <c r="K2393" s="6" t="s">
        <v>35</v>
      </c>
      <c r="L2393" s="6" t="s">
        <v>36</v>
      </c>
      <c r="M2393" s="6" t="s">
        <v>10245</v>
      </c>
    </row>
    <row r="2394" spans="1:13" ht="13" x14ac:dyDescent="0.15">
      <c r="A2394" s="5" t="str">
        <f>HYPERLINK("https://onemount.atlassian.net/browse/DBA-2545","DBA-2545")</f>
        <v>DBA-2545</v>
      </c>
      <c r="B2394" s="6" t="s">
        <v>21</v>
      </c>
      <c r="C2394" s="6" t="s">
        <v>10246</v>
      </c>
      <c r="D2394" s="8" t="s">
        <v>17</v>
      </c>
      <c r="E2394" s="6" t="s">
        <v>23</v>
      </c>
      <c r="F2394" s="6" t="s">
        <v>96</v>
      </c>
      <c r="G2394" s="6" t="s">
        <v>10247</v>
      </c>
      <c r="H2394" s="10">
        <v>45924</v>
      </c>
      <c r="I2394" s="6" t="s">
        <v>10248</v>
      </c>
      <c r="J2394" s="6" t="s">
        <v>85</v>
      </c>
      <c r="K2394" s="6" t="s">
        <v>55</v>
      </c>
      <c r="L2394" s="6" t="s">
        <v>85</v>
      </c>
      <c r="M2394" s="6" t="s">
        <v>10249</v>
      </c>
    </row>
    <row r="2395" spans="1:13" ht="13" x14ac:dyDescent="0.15">
      <c r="A2395" s="5" t="str">
        <f>HYPERLINK("https://onemount.atlassian.net/browse/DBA-2544","DBA-2544")</f>
        <v>DBA-2544</v>
      </c>
      <c r="B2395" s="6" t="s">
        <v>21</v>
      </c>
      <c r="C2395" s="6" t="s">
        <v>10250</v>
      </c>
      <c r="D2395" s="8" t="s">
        <v>17</v>
      </c>
      <c r="E2395" s="6" t="s">
        <v>23</v>
      </c>
      <c r="F2395" s="6" t="s">
        <v>24</v>
      </c>
      <c r="G2395" s="6" t="s">
        <v>10251</v>
      </c>
      <c r="H2395" s="10">
        <v>45925</v>
      </c>
      <c r="I2395" s="6" t="s">
        <v>10252</v>
      </c>
      <c r="J2395" s="6" t="s">
        <v>10253</v>
      </c>
      <c r="K2395" s="6" t="s">
        <v>28</v>
      </c>
      <c r="L2395" s="6" t="s">
        <v>1111</v>
      </c>
      <c r="M2395" s="6" t="s">
        <v>10254</v>
      </c>
    </row>
    <row r="2396" spans="1:13" ht="13" x14ac:dyDescent="0.15">
      <c r="A2396" s="21" t="str">
        <f>HYPERLINK("https://onemount.atlassian.net/browse/DBA-2543","DBA-2543")</f>
        <v>DBA-2543</v>
      </c>
      <c r="B2396" s="23" t="str">
        <f>HYPERLINK("https://onemount.atlassian.net/browse/DBA-2348","DBA-2348")</f>
        <v>DBA-2348</v>
      </c>
      <c r="C2396" s="6" t="s">
        <v>10255</v>
      </c>
      <c r="D2396" s="8" t="s">
        <v>17</v>
      </c>
      <c r="E2396" s="6" t="s">
        <v>428</v>
      </c>
      <c r="F2396" s="6" t="s">
        <v>41</v>
      </c>
      <c r="G2396" s="6" t="s">
        <v>10256</v>
      </c>
      <c r="H2396" s="10">
        <v>45924</v>
      </c>
      <c r="I2396" s="6" t="s">
        <v>10257</v>
      </c>
      <c r="J2396" s="6" t="s">
        <v>72</v>
      </c>
      <c r="K2396" s="6" t="s">
        <v>72</v>
      </c>
      <c r="L2396" s="6" t="s">
        <v>72</v>
      </c>
      <c r="M2396" s="6" t="s">
        <v>10001</v>
      </c>
    </row>
    <row r="2397" spans="1:13" ht="13" x14ac:dyDescent="0.15">
      <c r="A2397" s="5" t="str">
        <f>HYPERLINK("https://onemount.atlassian.net/browse/DBA-2542","DBA-2542")</f>
        <v>DBA-2542</v>
      </c>
      <c r="B2397" s="6" t="s">
        <v>21</v>
      </c>
      <c r="C2397" s="6" t="s">
        <v>10258</v>
      </c>
      <c r="D2397" s="8" t="s">
        <v>17</v>
      </c>
      <c r="E2397" s="6" t="s">
        <v>23</v>
      </c>
      <c r="F2397" s="6" t="s">
        <v>96</v>
      </c>
      <c r="G2397" s="6" t="s">
        <v>10259</v>
      </c>
      <c r="H2397" s="10">
        <v>45924</v>
      </c>
      <c r="I2397" s="6" t="s">
        <v>10260</v>
      </c>
      <c r="J2397" s="6" t="s">
        <v>1898</v>
      </c>
      <c r="K2397" s="6" t="s">
        <v>165</v>
      </c>
      <c r="L2397" s="6" t="s">
        <v>1097</v>
      </c>
      <c r="M2397" s="6" t="s">
        <v>10261</v>
      </c>
    </row>
    <row r="2398" spans="1:13" ht="13" x14ac:dyDescent="0.15">
      <c r="A2398" s="5" t="str">
        <f>HYPERLINK("https://onemount.atlassian.net/browse/DBA-2541","DBA-2541")</f>
        <v>DBA-2541</v>
      </c>
      <c r="B2398" s="6" t="s">
        <v>21</v>
      </c>
      <c r="C2398" s="6" t="s">
        <v>10262</v>
      </c>
      <c r="D2398" s="8" t="s">
        <v>17</v>
      </c>
      <c r="E2398" s="6" t="s">
        <v>23</v>
      </c>
      <c r="F2398" s="6" t="s">
        <v>31</v>
      </c>
      <c r="G2398" s="6" t="s">
        <v>10263</v>
      </c>
      <c r="H2398" s="10">
        <v>45924</v>
      </c>
      <c r="I2398" s="6" t="s">
        <v>10264</v>
      </c>
      <c r="J2398" s="6" t="s">
        <v>855</v>
      </c>
      <c r="K2398" s="6" t="s">
        <v>55</v>
      </c>
      <c r="L2398" s="6" t="s">
        <v>855</v>
      </c>
      <c r="M2398" s="6" t="s">
        <v>10265</v>
      </c>
    </row>
    <row r="2399" spans="1:13" ht="13" x14ac:dyDescent="0.15">
      <c r="A2399" s="5" t="str">
        <f>HYPERLINK("https://onemount.atlassian.net/browse/DBA-2540","DBA-2540")</f>
        <v>DBA-2540</v>
      </c>
      <c r="B2399" s="6" t="s">
        <v>21</v>
      </c>
      <c r="C2399" s="6" t="s">
        <v>10266</v>
      </c>
      <c r="D2399" s="8" t="s">
        <v>17</v>
      </c>
      <c r="E2399" s="6" t="s">
        <v>23</v>
      </c>
      <c r="F2399" s="6" t="s">
        <v>96</v>
      </c>
      <c r="G2399" s="6" t="s">
        <v>10267</v>
      </c>
      <c r="H2399" s="10">
        <v>45930</v>
      </c>
      <c r="I2399" s="6" t="s">
        <v>10268</v>
      </c>
      <c r="J2399" s="6" t="s">
        <v>628</v>
      </c>
      <c r="K2399" s="6" t="s">
        <v>165</v>
      </c>
      <c r="L2399" s="6" t="s">
        <v>119</v>
      </c>
      <c r="M2399" s="6" t="s">
        <v>10269</v>
      </c>
    </row>
    <row r="2400" spans="1:13" ht="13" x14ac:dyDescent="0.15">
      <c r="A2400" s="5" t="str">
        <f>HYPERLINK("https://onemount.atlassian.net/browse/DBA-2539","DBA-2539")</f>
        <v>DBA-2539</v>
      </c>
      <c r="B2400" s="6" t="s">
        <v>21</v>
      </c>
      <c r="C2400" s="6" t="s">
        <v>10270</v>
      </c>
      <c r="D2400" s="8" t="s">
        <v>17</v>
      </c>
      <c r="E2400" s="6" t="s">
        <v>23</v>
      </c>
      <c r="F2400" s="6" t="s">
        <v>31</v>
      </c>
      <c r="G2400" s="6" t="s">
        <v>10271</v>
      </c>
      <c r="H2400" s="10">
        <v>45923</v>
      </c>
      <c r="I2400" s="6" t="s">
        <v>10272</v>
      </c>
      <c r="J2400" s="6" t="s">
        <v>8561</v>
      </c>
      <c r="K2400" s="6" t="s">
        <v>35</v>
      </c>
      <c r="L2400" s="6" t="s">
        <v>36</v>
      </c>
      <c r="M2400" s="6" t="s">
        <v>10273</v>
      </c>
    </row>
    <row r="2401" spans="1:13" ht="13" x14ac:dyDescent="0.15">
      <c r="A2401" s="5" t="str">
        <f>HYPERLINK("https://onemount.atlassian.net/browse/DBA-2538","DBA-2538")</f>
        <v>DBA-2538</v>
      </c>
      <c r="B2401" s="6" t="s">
        <v>21</v>
      </c>
      <c r="C2401" s="6" t="s">
        <v>10274</v>
      </c>
      <c r="D2401" s="8" t="s">
        <v>17</v>
      </c>
      <c r="E2401" s="6" t="s">
        <v>23</v>
      </c>
      <c r="F2401" s="6" t="s">
        <v>96</v>
      </c>
      <c r="G2401" s="6" t="s">
        <v>10275</v>
      </c>
      <c r="H2401" s="10">
        <v>45923</v>
      </c>
      <c r="I2401" s="6" t="s">
        <v>10276</v>
      </c>
      <c r="J2401" s="6" t="s">
        <v>85</v>
      </c>
      <c r="K2401" s="6" t="s">
        <v>55</v>
      </c>
      <c r="L2401" s="6" t="s">
        <v>85</v>
      </c>
      <c r="M2401" s="6" t="s">
        <v>10277</v>
      </c>
    </row>
    <row r="2402" spans="1:13" ht="13" x14ac:dyDescent="0.15">
      <c r="A2402" s="5" t="str">
        <f>HYPERLINK("https://onemount.atlassian.net/browse/DBA-2537","DBA-2537")</f>
        <v>DBA-2537</v>
      </c>
      <c r="B2402" s="6" t="s">
        <v>21</v>
      </c>
      <c r="C2402" s="6" t="s">
        <v>10278</v>
      </c>
      <c r="D2402" s="8" t="s">
        <v>17</v>
      </c>
      <c r="E2402" s="6" t="s">
        <v>23</v>
      </c>
      <c r="F2402" s="6" t="s">
        <v>31</v>
      </c>
      <c r="G2402" s="6" t="s">
        <v>10279</v>
      </c>
      <c r="H2402" s="10">
        <v>45923</v>
      </c>
      <c r="I2402" s="6" t="s">
        <v>10280</v>
      </c>
      <c r="J2402" s="6" t="s">
        <v>843</v>
      </c>
      <c r="K2402" s="6" t="s">
        <v>55</v>
      </c>
      <c r="L2402" s="6" t="s">
        <v>843</v>
      </c>
      <c r="M2402" s="6" t="s">
        <v>10281</v>
      </c>
    </row>
    <row r="2403" spans="1:13" ht="13" x14ac:dyDescent="0.15">
      <c r="A2403" s="5" t="str">
        <f>HYPERLINK("https://onemount.atlassian.net/browse/DBA-2536","DBA-2536")</f>
        <v>DBA-2536</v>
      </c>
      <c r="B2403" s="6" t="s">
        <v>21</v>
      </c>
      <c r="C2403" s="6" t="s">
        <v>10282</v>
      </c>
      <c r="D2403" s="8" t="s">
        <v>17</v>
      </c>
      <c r="E2403" s="6" t="s">
        <v>23</v>
      </c>
      <c r="F2403" s="6" t="s">
        <v>41</v>
      </c>
      <c r="G2403" s="6" t="s">
        <v>10283</v>
      </c>
      <c r="H2403" s="10">
        <v>45930</v>
      </c>
      <c r="I2403" s="6" t="s">
        <v>10284</v>
      </c>
      <c r="J2403" s="6" t="s">
        <v>455</v>
      </c>
      <c r="K2403" s="6" t="s">
        <v>46</v>
      </c>
      <c r="L2403" s="6" t="s">
        <v>455</v>
      </c>
      <c r="M2403" s="6" t="s">
        <v>10285</v>
      </c>
    </row>
    <row r="2404" spans="1:13" ht="13" x14ac:dyDescent="0.15">
      <c r="A2404" s="5" t="str">
        <f>HYPERLINK("https://onemount.atlassian.net/browse/DBA-2535","DBA-2535")</f>
        <v>DBA-2535</v>
      </c>
      <c r="B2404" s="6" t="s">
        <v>21</v>
      </c>
      <c r="C2404" s="6" t="s">
        <v>6266</v>
      </c>
      <c r="D2404" s="8" t="s">
        <v>17</v>
      </c>
      <c r="E2404" s="6" t="s">
        <v>23</v>
      </c>
      <c r="F2404" s="6" t="s">
        <v>96</v>
      </c>
      <c r="G2404" s="6" t="s">
        <v>10286</v>
      </c>
      <c r="H2404" s="10">
        <v>45922</v>
      </c>
      <c r="I2404" s="6" t="s">
        <v>10287</v>
      </c>
      <c r="J2404" s="6" t="s">
        <v>6269</v>
      </c>
      <c r="K2404" s="6" t="s">
        <v>28</v>
      </c>
      <c r="L2404" s="6" t="s">
        <v>1000</v>
      </c>
      <c r="M2404" s="6" t="s">
        <v>10288</v>
      </c>
    </row>
    <row r="2405" spans="1:13" ht="13" x14ac:dyDescent="0.15">
      <c r="A2405" s="5" t="str">
        <f>HYPERLINK("https://onemount.atlassian.net/browse/DBA-2534","DBA-2534")</f>
        <v>DBA-2534</v>
      </c>
      <c r="B2405" s="6" t="s">
        <v>21</v>
      </c>
      <c r="C2405" s="6" t="s">
        <v>10289</v>
      </c>
      <c r="D2405" s="8" t="s">
        <v>17</v>
      </c>
      <c r="E2405" s="6" t="s">
        <v>23</v>
      </c>
      <c r="F2405" s="6" t="s">
        <v>96</v>
      </c>
      <c r="G2405" s="6" t="s">
        <v>10290</v>
      </c>
      <c r="H2405" s="10">
        <v>45922</v>
      </c>
      <c r="I2405" s="6" t="s">
        <v>10291</v>
      </c>
      <c r="J2405" s="6" t="s">
        <v>1898</v>
      </c>
      <c r="K2405" s="6" t="s">
        <v>165</v>
      </c>
      <c r="L2405" s="6" t="s">
        <v>1097</v>
      </c>
      <c r="M2405" s="6" t="s">
        <v>10292</v>
      </c>
    </row>
    <row r="2406" spans="1:13" ht="13" x14ac:dyDescent="0.15">
      <c r="A2406" s="21" t="str">
        <f>HYPERLINK("https://onemount.atlassian.net/browse/DBA-2533","DBA-2533")</f>
        <v>DBA-2533</v>
      </c>
      <c r="B2406" s="6" t="s">
        <v>21</v>
      </c>
      <c r="C2406" s="6" t="s">
        <v>9599</v>
      </c>
      <c r="D2406" s="8" t="s">
        <v>17</v>
      </c>
      <c r="E2406" s="6" t="s">
        <v>23</v>
      </c>
      <c r="F2406" s="6" t="s">
        <v>41</v>
      </c>
      <c r="G2406" s="6" t="s">
        <v>10293</v>
      </c>
      <c r="H2406" s="10">
        <v>45939</v>
      </c>
      <c r="I2406" s="6" t="s">
        <v>10294</v>
      </c>
      <c r="J2406" s="6" t="s">
        <v>99</v>
      </c>
      <c r="K2406" s="6" t="s">
        <v>59</v>
      </c>
      <c r="L2406" s="6" t="s">
        <v>99</v>
      </c>
      <c r="M2406" s="6" t="s">
        <v>9602</v>
      </c>
    </row>
    <row r="2407" spans="1:13" ht="13" x14ac:dyDescent="0.15">
      <c r="A2407" s="5" t="str">
        <f>HYPERLINK("https://onemount.atlassian.net/browse/DBA-2532","DBA-2532")</f>
        <v>DBA-2532</v>
      </c>
      <c r="B2407" s="6" t="s">
        <v>21</v>
      </c>
      <c r="C2407" s="6" t="s">
        <v>10295</v>
      </c>
      <c r="D2407" s="8" t="s">
        <v>17</v>
      </c>
      <c r="E2407" s="6" t="s">
        <v>23</v>
      </c>
      <c r="F2407" s="6" t="s">
        <v>41</v>
      </c>
      <c r="G2407" s="6" t="s">
        <v>10296</v>
      </c>
      <c r="H2407" s="10">
        <v>45925</v>
      </c>
      <c r="I2407" s="6" t="s">
        <v>10297</v>
      </c>
      <c r="J2407" s="6" t="s">
        <v>1107</v>
      </c>
      <c r="K2407" s="6" t="s">
        <v>28</v>
      </c>
      <c r="L2407" s="6" t="s">
        <v>1107</v>
      </c>
      <c r="M2407" s="6" t="s">
        <v>10298</v>
      </c>
    </row>
    <row r="2408" spans="1:13" ht="13" x14ac:dyDescent="0.15">
      <c r="A2408" s="5" t="str">
        <f>HYPERLINK("https://onemount.atlassian.net/browse/DBA-2531","DBA-2531")</f>
        <v>DBA-2531</v>
      </c>
      <c r="B2408" s="6" t="s">
        <v>21</v>
      </c>
      <c r="C2408" s="6" t="s">
        <v>10299</v>
      </c>
      <c r="D2408" s="8" t="s">
        <v>17</v>
      </c>
      <c r="E2408" s="6" t="s">
        <v>23</v>
      </c>
      <c r="F2408" s="6" t="s">
        <v>96</v>
      </c>
      <c r="G2408" s="6" t="s">
        <v>10300</v>
      </c>
      <c r="H2408" s="10">
        <v>45922</v>
      </c>
      <c r="I2408" s="6" t="s">
        <v>10301</v>
      </c>
      <c r="J2408" s="6" t="s">
        <v>3369</v>
      </c>
      <c r="K2408" s="6" t="s">
        <v>168</v>
      </c>
      <c r="L2408" s="6" t="s">
        <v>1148</v>
      </c>
      <c r="M2408" s="6" t="s">
        <v>10302</v>
      </c>
    </row>
    <row r="2409" spans="1:13" ht="13" x14ac:dyDescent="0.15">
      <c r="A2409" s="5" t="str">
        <f>HYPERLINK("https://onemount.atlassian.net/browse/DBA-2529","DBA-2529")</f>
        <v>DBA-2529</v>
      </c>
      <c r="B2409" s="6" t="s">
        <v>21</v>
      </c>
      <c r="C2409" s="6" t="s">
        <v>10303</v>
      </c>
      <c r="D2409" s="8" t="s">
        <v>17</v>
      </c>
      <c r="E2409" s="6" t="s">
        <v>23</v>
      </c>
      <c r="F2409" s="6" t="s">
        <v>96</v>
      </c>
      <c r="G2409" s="6" t="s">
        <v>10304</v>
      </c>
      <c r="H2409" s="10">
        <v>45922</v>
      </c>
      <c r="I2409" s="6" t="s">
        <v>10305</v>
      </c>
      <c r="J2409" s="6" t="s">
        <v>55</v>
      </c>
      <c r="K2409" s="6" t="s">
        <v>55</v>
      </c>
      <c r="L2409" s="6" t="s">
        <v>55</v>
      </c>
      <c r="M2409" s="6" t="s">
        <v>10306</v>
      </c>
    </row>
    <row r="2410" spans="1:13" ht="13" x14ac:dyDescent="0.15">
      <c r="A2410" s="5" t="str">
        <f>HYPERLINK("https://onemount.atlassian.net/browse/DBA-2528","DBA-2528")</f>
        <v>DBA-2528</v>
      </c>
      <c r="B2410" s="6" t="s">
        <v>21</v>
      </c>
      <c r="C2410" s="6" t="s">
        <v>10307</v>
      </c>
      <c r="D2410" s="8" t="s">
        <v>17</v>
      </c>
      <c r="E2410" s="6" t="s">
        <v>23</v>
      </c>
      <c r="F2410" s="6" t="s">
        <v>96</v>
      </c>
      <c r="G2410" s="6" t="s">
        <v>10308</v>
      </c>
      <c r="H2410" s="10">
        <v>45922</v>
      </c>
      <c r="I2410" s="6" t="s">
        <v>10309</v>
      </c>
      <c r="J2410" s="6" t="s">
        <v>2453</v>
      </c>
      <c r="K2410" s="6" t="s">
        <v>165</v>
      </c>
      <c r="L2410" s="6" t="s">
        <v>119</v>
      </c>
      <c r="M2410" s="6" t="s">
        <v>10310</v>
      </c>
    </row>
    <row r="2411" spans="1:13" ht="13" x14ac:dyDescent="0.15">
      <c r="A2411" s="5" t="str">
        <f>HYPERLINK("https://onemount.atlassian.net/browse/DBA-2527","DBA-2527")</f>
        <v>DBA-2527</v>
      </c>
      <c r="B2411" s="6" t="s">
        <v>21</v>
      </c>
      <c r="C2411" s="6" t="s">
        <v>10311</v>
      </c>
      <c r="D2411" s="8" t="s">
        <v>17</v>
      </c>
      <c r="E2411" s="6" t="s">
        <v>23</v>
      </c>
      <c r="F2411" s="6" t="s">
        <v>96</v>
      </c>
      <c r="G2411" s="6" t="s">
        <v>10312</v>
      </c>
      <c r="H2411" s="10">
        <v>45924</v>
      </c>
      <c r="I2411" s="6" t="s">
        <v>10313</v>
      </c>
      <c r="J2411" s="6" t="s">
        <v>8783</v>
      </c>
      <c r="K2411" s="6" t="s">
        <v>55</v>
      </c>
      <c r="L2411" s="6" t="s">
        <v>906</v>
      </c>
      <c r="M2411" s="6" t="s">
        <v>10314</v>
      </c>
    </row>
    <row r="2412" spans="1:13" ht="13" x14ac:dyDescent="0.15">
      <c r="A2412" s="5" t="str">
        <f>HYPERLINK("https://onemount.atlassian.net/browse/DBA-2526","DBA-2526")</f>
        <v>DBA-2526</v>
      </c>
      <c r="B2412" s="6" t="s">
        <v>21</v>
      </c>
      <c r="C2412" s="6" t="s">
        <v>10315</v>
      </c>
      <c r="D2412" s="8" t="s">
        <v>17</v>
      </c>
      <c r="E2412" s="6" t="s">
        <v>23</v>
      </c>
      <c r="F2412" s="6" t="s">
        <v>96</v>
      </c>
      <c r="G2412" s="6" t="s">
        <v>10316</v>
      </c>
      <c r="H2412" s="10">
        <v>45921</v>
      </c>
      <c r="I2412" s="6" t="s">
        <v>10317</v>
      </c>
      <c r="J2412" s="6" t="s">
        <v>855</v>
      </c>
      <c r="K2412" s="6" t="s">
        <v>55</v>
      </c>
      <c r="L2412" s="6" t="s">
        <v>855</v>
      </c>
      <c r="M2412" s="6" t="s">
        <v>10318</v>
      </c>
    </row>
    <row r="2413" spans="1:13" ht="13" x14ac:dyDescent="0.15">
      <c r="A2413" s="5" t="str">
        <f>HYPERLINK("https://onemount.atlassian.net/browse/DBA-2525","DBA-2525")</f>
        <v>DBA-2525</v>
      </c>
      <c r="B2413" s="6" t="s">
        <v>21</v>
      </c>
      <c r="C2413" s="6" t="s">
        <v>10319</v>
      </c>
      <c r="D2413" s="8" t="s">
        <v>17</v>
      </c>
      <c r="E2413" s="6" t="s">
        <v>23</v>
      </c>
      <c r="F2413" s="6" t="s">
        <v>96</v>
      </c>
      <c r="G2413" s="6" t="s">
        <v>10320</v>
      </c>
      <c r="H2413" s="10">
        <v>45921</v>
      </c>
      <c r="I2413" s="6" t="s">
        <v>10321</v>
      </c>
      <c r="J2413" s="6" t="s">
        <v>628</v>
      </c>
      <c r="K2413" s="6" t="s">
        <v>165</v>
      </c>
      <c r="L2413" s="6" t="s">
        <v>119</v>
      </c>
      <c r="M2413" s="6" t="s">
        <v>10322</v>
      </c>
    </row>
    <row r="2414" spans="1:13" ht="13" x14ac:dyDescent="0.15">
      <c r="A2414" s="5" t="str">
        <f>HYPERLINK("https://onemount.atlassian.net/browse/DBA-2524","DBA-2524")</f>
        <v>DBA-2524</v>
      </c>
      <c r="B2414" s="6" t="s">
        <v>21</v>
      </c>
      <c r="C2414" s="6" t="s">
        <v>10323</v>
      </c>
      <c r="D2414" s="8" t="s">
        <v>17</v>
      </c>
      <c r="E2414" s="6" t="s">
        <v>23</v>
      </c>
      <c r="F2414" s="6" t="s">
        <v>24</v>
      </c>
      <c r="G2414" s="6" t="s">
        <v>10324</v>
      </c>
      <c r="H2414" s="10">
        <v>45920</v>
      </c>
      <c r="I2414" s="6" t="s">
        <v>10325</v>
      </c>
      <c r="J2414" s="6" t="s">
        <v>10326</v>
      </c>
      <c r="K2414" s="6" t="s">
        <v>55</v>
      </c>
      <c r="L2414" s="6" t="s">
        <v>85</v>
      </c>
      <c r="M2414" s="6" t="s">
        <v>10327</v>
      </c>
    </row>
    <row r="2415" spans="1:13" ht="13" x14ac:dyDescent="0.15">
      <c r="A2415" s="5" t="str">
        <f>HYPERLINK("https://onemount.atlassian.net/browse/DBA-2522","DBA-2522")</f>
        <v>DBA-2522</v>
      </c>
      <c r="B2415" s="6" t="s">
        <v>21</v>
      </c>
      <c r="C2415" s="6" t="s">
        <v>10328</v>
      </c>
      <c r="D2415" s="8" t="s">
        <v>17</v>
      </c>
      <c r="E2415" s="6" t="s">
        <v>23</v>
      </c>
      <c r="F2415" s="6" t="s">
        <v>24</v>
      </c>
      <c r="G2415" s="6" t="s">
        <v>10329</v>
      </c>
      <c r="H2415" s="10">
        <v>45920</v>
      </c>
      <c r="I2415" s="6" t="s">
        <v>10330</v>
      </c>
      <c r="J2415" s="6" t="s">
        <v>85</v>
      </c>
      <c r="K2415" s="6" t="s">
        <v>55</v>
      </c>
      <c r="L2415" s="6" t="s">
        <v>85</v>
      </c>
      <c r="M2415" s="6" t="s">
        <v>10331</v>
      </c>
    </row>
    <row r="2416" spans="1:13" ht="13" x14ac:dyDescent="0.15">
      <c r="A2416" s="5" t="str">
        <f>HYPERLINK("https://onemount.atlassian.net/browse/DBA-2521","DBA-2521")</f>
        <v>DBA-2521</v>
      </c>
      <c r="B2416" s="6" t="s">
        <v>21</v>
      </c>
      <c r="C2416" s="6" t="s">
        <v>10332</v>
      </c>
      <c r="D2416" s="8" t="s">
        <v>17</v>
      </c>
      <c r="E2416" s="6" t="s">
        <v>23</v>
      </c>
      <c r="F2416" s="6" t="s">
        <v>24</v>
      </c>
      <c r="G2416" s="6" t="s">
        <v>10333</v>
      </c>
      <c r="H2416" s="10">
        <v>45920</v>
      </c>
      <c r="I2416" s="6" t="s">
        <v>10334</v>
      </c>
      <c r="J2416" s="6" t="s">
        <v>85</v>
      </c>
      <c r="K2416" s="6" t="s">
        <v>55</v>
      </c>
      <c r="L2416" s="6" t="s">
        <v>85</v>
      </c>
      <c r="M2416" s="6" t="s">
        <v>10335</v>
      </c>
    </row>
    <row r="2417" spans="1:13" ht="13" x14ac:dyDescent="0.15">
      <c r="A2417" s="5" t="str">
        <f>HYPERLINK("https://onemount.atlassian.net/browse/DBA-2519","DBA-2519")</f>
        <v>DBA-2519</v>
      </c>
      <c r="B2417" s="6" t="s">
        <v>21</v>
      </c>
      <c r="C2417" s="6" t="s">
        <v>10336</v>
      </c>
      <c r="D2417" s="8" t="s">
        <v>17</v>
      </c>
      <c r="E2417" s="6" t="s">
        <v>23</v>
      </c>
      <c r="F2417" s="6" t="s">
        <v>31</v>
      </c>
      <c r="G2417" s="6" t="s">
        <v>10337</v>
      </c>
      <c r="H2417" s="10">
        <v>45920</v>
      </c>
      <c r="I2417" s="6" t="s">
        <v>10338</v>
      </c>
      <c r="J2417" s="6" t="s">
        <v>855</v>
      </c>
      <c r="K2417" s="6" t="s">
        <v>55</v>
      </c>
      <c r="L2417" s="6" t="s">
        <v>855</v>
      </c>
      <c r="M2417" s="6" t="s">
        <v>10339</v>
      </c>
    </row>
    <row r="2418" spans="1:13" ht="13" x14ac:dyDescent="0.15">
      <c r="A2418" s="5" t="str">
        <f>HYPERLINK("https://onemount.atlassian.net/browse/DBA-2518","DBA-2518")</f>
        <v>DBA-2518</v>
      </c>
      <c r="B2418" s="6" t="s">
        <v>21</v>
      </c>
      <c r="C2418" s="6" t="s">
        <v>10340</v>
      </c>
      <c r="D2418" s="8" t="s">
        <v>17</v>
      </c>
      <c r="E2418" s="6" t="s">
        <v>23</v>
      </c>
      <c r="F2418" s="6" t="s">
        <v>31</v>
      </c>
      <c r="G2418" s="6" t="s">
        <v>10341</v>
      </c>
      <c r="H2418" s="10">
        <v>45920</v>
      </c>
      <c r="I2418" s="6" t="s">
        <v>10342</v>
      </c>
      <c r="J2418" s="6" t="s">
        <v>7042</v>
      </c>
      <c r="K2418" s="6" t="s">
        <v>35</v>
      </c>
      <c r="L2418" s="6" t="s">
        <v>1238</v>
      </c>
      <c r="M2418" s="6" t="s">
        <v>10343</v>
      </c>
    </row>
    <row r="2419" spans="1:13" ht="13" x14ac:dyDescent="0.15">
      <c r="A2419" s="5" t="str">
        <f>HYPERLINK("https://onemount.atlassian.net/browse/DBA-2517","DBA-2517")</f>
        <v>DBA-2517</v>
      </c>
      <c r="B2419" s="6" t="s">
        <v>21</v>
      </c>
      <c r="C2419" s="6" t="s">
        <v>10344</v>
      </c>
      <c r="D2419" s="8" t="s">
        <v>17</v>
      </c>
      <c r="E2419" s="6" t="s">
        <v>23</v>
      </c>
      <c r="F2419" s="6" t="s">
        <v>31</v>
      </c>
      <c r="G2419" s="6" t="s">
        <v>10345</v>
      </c>
      <c r="H2419" s="10">
        <v>45920</v>
      </c>
      <c r="I2419" s="6" t="s">
        <v>10346</v>
      </c>
      <c r="J2419" s="6" t="s">
        <v>855</v>
      </c>
      <c r="K2419" s="6" t="s">
        <v>55</v>
      </c>
      <c r="L2419" s="6" t="s">
        <v>855</v>
      </c>
      <c r="M2419" s="6" t="s">
        <v>10347</v>
      </c>
    </row>
    <row r="2420" spans="1:13" ht="13" x14ac:dyDescent="0.15">
      <c r="A2420" s="21" t="str">
        <f>HYPERLINK("https://onemount.atlassian.net/browse/DBA-2516","DBA-2516")</f>
        <v>DBA-2516</v>
      </c>
      <c r="B2420" s="6" t="s">
        <v>21</v>
      </c>
      <c r="C2420" s="6" t="s">
        <v>2684</v>
      </c>
      <c r="D2420" s="8" t="s">
        <v>17</v>
      </c>
      <c r="E2420" s="6" t="s">
        <v>23</v>
      </c>
      <c r="F2420" s="6" t="s">
        <v>31</v>
      </c>
      <c r="G2420" s="6" t="s">
        <v>10348</v>
      </c>
      <c r="H2420" s="10">
        <v>45919</v>
      </c>
      <c r="I2420" s="6" t="s">
        <v>10349</v>
      </c>
      <c r="J2420" s="6" t="s">
        <v>2687</v>
      </c>
      <c r="K2420" s="6" t="s">
        <v>46</v>
      </c>
      <c r="L2420" s="6" t="s">
        <v>404</v>
      </c>
      <c r="M2420" s="6" t="s">
        <v>6515</v>
      </c>
    </row>
    <row r="2421" spans="1:13" ht="13" x14ac:dyDescent="0.15">
      <c r="A2421" s="5" t="str">
        <f>HYPERLINK("https://onemount.atlassian.net/browse/DBA-2515","DBA-2515")</f>
        <v>DBA-2515</v>
      </c>
      <c r="B2421" s="6" t="s">
        <v>21</v>
      </c>
      <c r="C2421" s="6" t="s">
        <v>10350</v>
      </c>
      <c r="D2421" s="8" t="s">
        <v>17</v>
      </c>
      <c r="E2421" s="6" t="s">
        <v>23</v>
      </c>
      <c r="F2421" s="6" t="s">
        <v>96</v>
      </c>
      <c r="G2421" s="6" t="s">
        <v>10351</v>
      </c>
      <c r="H2421" s="10">
        <v>45919</v>
      </c>
      <c r="I2421" s="6" t="s">
        <v>10352</v>
      </c>
      <c r="J2421" s="6" t="s">
        <v>855</v>
      </c>
      <c r="K2421" s="6" t="s">
        <v>55</v>
      </c>
      <c r="L2421" s="6" t="s">
        <v>855</v>
      </c>
      <c r="M2421" s="6" t="s">
        <v>10353</v>
      </c>
    </row>
    <row r="2422" spans="1:13" ht="13" x14ac:dyDescent="0.15">
      <c r="A2422" s="5" t="str">
        <f>HYPERLINK("https://onemount.atlassian.net/browse/DBA-2514","DBA-2514")</f>
        <v>DBA-2514</v>
      </c>
      <c r="B2422" s="6" t="s">
        <v>21</v>
      </c>
      <c r="C2422" s="6" t="s">
        <v>10354</v>
      </c>
      <c r="D2422" s="8" t="s">
        <v>17</v>
      </c>
      <c r="E2422" s="6" t="s">
        <v>23</v>
      </c>
      <c r="F2422" s="6" t="s">
        <v>31</v>
      </c>
      <c r="G2422" s="6" t="s">
        <v>10355</v>
      </c>
      <c r="H2422" s="10">
        <v>45920</v>
      </c>
      <c r="I2422" s="6" t="s">
        <v>10356</v>
      </c>
      <c r="J2422" s="6" t="s">
        <v>99</v>
      </c>
      <c r="K2422" s="6" t="s">
        <v>55</v>
      </c>
      <c r="L2422" s="6" t="s">
        <v>99</v>
      </c>
      <c r="M2422" s="6" t="s">
        <v>10357</v>
      </c>
    </row>
    <row r="2423" spans="1:13" ht="13" x14ac:dyDescent="0.15">
      <c r="A2423" s="5" t="str">
        <f>HYPERLINK("https://onemount.atlassian.net/browse/DBA-2513","DBA-2513")</f>
        <v>DBA-2513</v>
      </c>
      <c r="B2423" s="6" t="s">
        <v>21</v>
      </c>
      <c r="C2423" s="6" t="s">
        <v>10358</v>
      </c>
      <c r="D2423" s="8" t="s">
        <v>17</v>
      </c>
      <c r="E2423" s="6" t="s">
        <v>23</v>
      </c>
      <c r="F2423" s="6" t="s">
        <v>96</v>
      </c>
      <c r="G2423" s="6" t="s">
        <v>10359</v>
      </c>
      <c r="H2423" s="10">
        <v>45918</v>
      </c>
      <c r="I2423" s="6" t="s">
        <v>10360</v>
      </c>
      <c r="J2423" s="6" t="s">
        <v>10361</v>
      </c>
      <c r="K2423" s="6" t="s">
        <v>46</v>
      </c>
      <c r="L2423" s="6" t="s">
        <v>553</v>
      </c>
      <c r="M2423" s="6" t="s">
        <v>10362</v>
      </c>
    </row>
    <row r="2424" spans="1:13" ht="13" x14ac:dyDescent="0.15">
      <c r="A2424" s="5" t="str">
        <f>HYPERLINK("https://onemount.atlassian.net/browse/DBA-2512","DBA-2512")</f>
        <v>DBA-2512</v>
      </c>
      <c r="B2424" s="6" t="s">
        <v>21</v>
      </c>
      <c r="C2424" s="6" t="s">
        <v>10363</v>
      </c>
      <c r="D2424" s="8" t="s">
        <v>17</v>
      </c>
      <c r="E2424" s="6" t="s">
        <v>23</v>
      </c>
      <c r="F2424" s="6" t="s">
        <v>24</v>
      </c>
      <c r="G2424" s="6" t="s">
        <v>10364</v>
      </c>
      <c r="H2424" s="10">
        <v>45919</v>
      </c>
      <c r="I2424" s="6" t="s">
        <v>10365</v>
      </c>
      <c r="J2424" s="6" t="s">
        <v>55</v>
      </c>
      <c r="K2424" s="6" t="s">
        <v>55</v>
      </c>
      <c r="L2424" s="6" t="s">
        <v>56</v>
      </c>
      <c r="M2424" s="6" t="s">
        <v>10366</v>
      </c>
    </row>
    <row r="2425" spans="1:13" ht="13" x14ac:dyDescent="0.15">
      <c r="A2425" s="5" t="str">
        <f>HYPERLINK("https://onemount.atlassian.net/browse/DBA-2511","DBA-2511")</f>
        <v>DBA-2511</v>
      </c>
      <c r="B2425" s="6" t="s">
        <v>21</v>
      </c>
      <c r="C2425" s="6" t="s">
        <v>10367</v>
      </c>
      <c r="D2425" s="8" t="s">
        <v>17</v>
      </c>
      <c r="E2425" s="6" t="s">
        <v>23</v>
      </c>
      <c r="F2425" s="6" t="s">
        <v>31</v>
      </c>
      <c r="G2425" s="6" t="s">
        <v>10368</v>
      </c>
      <c r="H2425" s="10">
        <v>45920</v>
      </c>
      <c r="I2425" s="6" t="s">
        <v>10369</v>
      </c>
      <c r="J2425" s="6" t="s">
        <v>7042</v>
      </c>
      <c r="K2425" s="6" t="s">
        <v>35</v>
      </c>
      <c r="L2425" s="6" t="s">
        <v>1238</v>
      </c>
      <c r="M2425" s="6" t="s">
        <v>10370</v>
      </c>
    </row>
    <row r="2426" spans="1:13" ht="13" x14ac:dyDescent="0.15">
      <c r="A2426" s="5" t="str">
        <f>HYPERLINK("https://onemount.atlassian.net/browse/DBA-2510","DBA-2510")</f>
        <v>DBA-2510</v>
      </c>
      <c r="B2426" s="6" t="s">
        <v>21</v>
      </c>
      <c r="C2426" s="6" t="s">
        <v>10371</v>
      </c>
      <c r="D2426" s="8" t="s">
        <v>17</v>
      </c>
      <c r="E2426" s="6" t="s">
        <v>23</v>
      </c>
      <c r="F2426" s="6" t="s">
        <v>31</v>
      </c>
      <c r="G2426" s="6" t="s">
        <v>10372</v>
      </c>
      <c r="H2426" s="10">
        <v>45918</v>
      </c>
      <c r="I2426" s="6" t="s">
        <v>10373</v>
      </c>
      <c r="J2426" s="6" t="s">
        <v>246</v>
      </c>
      <c r="K2426" s="6" t="s">
        <v>35</v>
      </c>
      <c r="L2426" s="6" t="s">
        <v>638</v>
      </c>
      <c r="M2426" s="6" t="s">
        <v>10374</v>
      </c>
    </row>
    <row r="2427" spans="1:13" ht="13" x14ac:dyDescent="0.15">
      <c r="A2427" s="5" t="str">
        <f>HYPERLINK("https://onemount.atlassian.net/browse/DBA-2509","DBA-2509")</f>
        <v>DBA-2509</v>
      </c>
      <c r="B2427" s="6" t="s">
        <v>21</v>
      </c>
      <c r="C2427" s="6" t="s">
        <v>10375</v>
      </c>
      <c r="D2427" s="8" t="s">
        <v>17</v>
      </c>
      <c r="E2427" s="6" t="s">
        <v>23</v>
      </c>
      <c r="F2427" s="6" t="s">
        <v>31</v>
      </c>
      <c r="G2427" s="6" t="s">
        <v>10376</v>
      </c>
      <c r="H2427" s="10">
        <v>45919</v>
      </c>
      <c r="I2427" s="6" t="s">
        <v>10377</v>
      </c>
      <c r="J2427" s="6" t="s">
        <v>843</v>
      </c>
      <c r="K2427" s="6" t="s">
        <v>55</v>
      </c>
      <c r="L2427" s="6" t="s">
        <v>843</v>
      </c>
      <c r="M2427" s="6" t="s">
        <v>10378</v>
      </c>
    </row>
    <row r="2428" spans="1:13" ht="13" x14ac:dyDescent="0.15">
      <c r="A2428" s="5" t="str">
        <f>HYPERLINK("https://onemount.atlassian.net/browse/DBA-2508","DBA-2508")</f>
        <v>DBA-2508</v>
      </c>
      <c r="B2428" s="6" t="s">
        <v>21</v>
      </c>
      <c r="C2428" s="6" t="s">
        <v>10379</v>
      </c>
      <c r="D2428" s="8" t="s">
        <v>17</v>
      </c>
      <c r="E2428" s="6" t="s">
        <v>23</v>
      </c>
      <c r="F2428" s="6" t="s">
        <v>96</v>
      </c>
      <c r="G2428" s="6" t="s">
        <v>10380</v>
      </c>
      <c r="H2428" s="10">
        <v>45918</v>
      </c>
      <c r="I2428" s="6" t="s">
        <v>10381</v>
      </c>
      <c r="J2428" s="6" t="s">
        <v>10382</v>
      </c>
      <c r="K2428" s="6" t="s">
        <v>165</v>
      </c>
      <c r="L2428" s="6" t="s">
        <v>1091</v>
      </c>
      <c r="M2428" s="6" t="s">
        <v>10383</v>
      </c>
    </row>
    <row r="2429" spans="1:13" ht="13" x14ac:dyDescent="0.15">
      <c r="A2429" s="5" t="str">
        <f>HYPERLINK("https://onemount.atlassian.net/browse/DBA-2507","DBA-2507")</f>
        <v>DBA-2507</v>
      </c>
      <c r="B2429" s="6" t="s">
        <v>21</v>
      </c>
      <c r="C2429" s="6" t="s">
        <v>10384</v>
      </c>
      <c r="D2429" s="8" t="s">
        <v>17</v>
      </c>
      <c r="E2429" s="6" t="s">
        <v>23</v>
      </c>
      <c r="F2429" s="6" t="s">
        <v>96</v>
      </c>
      <c r="G2429" s="6" t="s">
        <v>10385</v>
      </c>
      <c r="H2429" s="10">
        <v>45918</v>
      </c>
      <c r="I2429" s="6" t="s">
        <v>10386</v>
      </c>
      <c r="J2429" s="6" t="s">
        <v>5881</v>
      </c>
      <c r="K2429" s="6" t="s">
        <v>55</v>
      </c>
      <c r="L2429" s="6" t="s">
        <v>632</v>
      </c>
      <c r="M2429" s="6" t="s">
        <v>10387</v>
      </c>
    </row>
    <row r="2430" spans="1:13" ht="13" x14ac:dyDescent="0.15">
      <c r="A2430" s="5" t="str">
        <f>HYPERLINK("https://onemount.atlassian.net/browse/DBA-2506","DBA-2506")</f>
        <v>DBA-2506</v>
      </c>
      <c r="B2430" s="6" t="s">
        <v>21</v>
      </c>
      <c r="C2430" s="6" t="s">
        <v>10388</v>
      </c>
      <c r="D2430" s="8" t="s">
        <v>17</v>
      </c>
      <c r="E2430" s="6" t="s">
        <v>23</v>
      </c>
      <c r="F2430" s="6" t="s">
        <v>96</v>
      </c>
      <c r="G2430" s="6" t="s">
        <v>10389</v>
      </c>
      <c r="H2430" s="10">
        <v>45918</v>
      </c>
      <c r="I2430" s="6" t="s">
        <v>10390</v>
      </c>
      <c r="J2430" s="6" t="s">
        <v>10391</v>
      </c>
      <c r="K2430" s="6" t="s">
        <v>55</v>
      </c>
      <c r="L2430" s="6" t="s">
        <v>254</v>
      </c>
      <c r="M2430" s="6" t="s">
        <v>10392</v>
      </c>
    </row>
    <row r="2431" spans="1:13" ht="13" x14ac:dyDescent="0.15">
      <c r="A2431" s="5" t="str">
        <f>HYPERLINK("https://onemount.atlassian.net/browse/DBA-2505","DBA-2505")</f>
        <v>DBA-2505</v>
      </c>
      <c r="B2431" s="6" t="s">
        <v>21</v>
      </c>
      <c r="C2431" s="6" t="s">
        <v>10393</v>
      </c>
      <c r="D2431" s="8" t="s">
        <v>17</v>
      </c>
      <c r="E2431" s="6" t="s">
        <v>23</v>
      </c>
      <c r="F2431" s="6" t="s">
        <v>96</v>
      </c>
      <c r="G2431" s="6" t="s">
        <v>10394</v>
      </c>
      <c r="H2431" s="10">
        <v>45917</v>
      </c>
      <c r="I2431" s="6" t="s">
        <v>10395</v>
      </c>
      <c r="J2431" s="6" t="s">
        <v>1898</v>
      </c>
      <c r="K2431" s="6" t="s">
        <v>165</v>
      </c>
      <c r="L2431" s="6" t="s">
        <v>1097</v>
      </c>
      <c r="M2431" s="6" t="s">
        <v>10396</v>
      </c>
    </row>
    <row r="2432" spans="1:13" ht="13" x14ac:dyDescent="0.15">
      <c r="A2432" s="5" t="str">
        <f>HYPERLINK("https://onemount.atlassian.net/browse/DBA-2504","DBA-2504")</f>
        <v>DBA-2504</v>
      </c>
      <c r="B2432" s="6" t="s">
        <v>21</v>
      </c>
      <c r="C2432" s="6" t="s">
        <v>10397</v>
      </c>
      <c r="D2432" s="8" t="s">
        <v>17</v>
      </c>
      <c r="E2432" s="6" t="s">
        <v>23</v>
      </c>
      <c r="F2432" s="6" t="s">
        <v>96</v>
      </c>
      <c r="G2432" s="6" t="s">
        <v>10398</v>
      </c>
      <c r="H2432" s="10">
        <v>45917</v>
      </c>
      <c r="I2432" s="6" t="s">
        <v>10399</v>
      </c>
      <c r="J2432" s="6" t="s">
        <v>1898</v>
      </c>
      <c r="K2432" s="6" t="s">
        <v>165</v>
      </c>
      <c r="L2432" s="6" t="s">
        <v>1097</v>
      </c>
      <c r="M2432" s="6" t="s">
        <v>10400</v>
      </c>
    </row>
    <row r="2433" spans="1:13" ht="13" x14ac:dyDescent="0.15">
      <c r="A2433" s="5" t="str">
        <f>HYPERLINK("https://onemount.atlassian.net/browse/DBA-2503","DBA-2503")</f>
        <v>DBA-2503</v>
      </c>
      <c r="B2433" s="6" t="s">
        <v>21</v>
      </c>
      <c r="C2433" s="6" t="s">
        <v>10401</v>
      </c>
      <c r="D2433" s="8" t="s">
        <v>17</v>
      </c>
      <c r="E2433" s="6" t="s">
        <v>23</v>
      </c>
      <c r="F2433" s="6" t="s">
        <v>96</v>
      </c>
      <c r="G2433" s="6" t="s">
        <v>10402</v>
      </c>
      <c r="H2433" s="10">
        <v>45917</v>
      </c>
      <c r="I2433" s="6" t="s">
        <v>10403</v>
      </c>
      <c r="J2433" s="6" t="s">
        <v>1030</v>
      </c>
      <c r="K2433" s="6" t="s">
        <v>165</v>
      </c>
      <c r="L2433" s="6" t="s">
        <v>1032</v>
      </c>
      <c r="M2433" s="6" t="s">
        <v>10404</v>
      </c>
    </row>
    <row r="2434" spans="1:13" ht="13" x14ac:dyDescent="0.15">
      <c r="A2434" s="5" t="str">
        <f>HYPERLINK("https://onemount.atlassian.net/browse/DBA-2502","DBA-2502")</f>
        <v>DBA-2502</v>
      </c>
      <c r="B2434" s="6" t="s">
        <v>21</v>
      </c>
      <c r="C2434" s="6" t="s">
        <v>10405</v>
      </c>
      <c r="D2434" s="8" t="s">
        <v>17</v>
      </c>
      <c r="E2434" s="6" t="s">
        <v>23</v>
      </c>
      <c r="F2434" s="6" t="s">
        <v>96</v>
      </c>
      <c r="G2434" s="6" t="s">
        <v>10406</v>
      </c>
      <c r="H2434" s="10">
        <v>45917</v>
      </c>
      <c r="I2434" s="6" t="s">
        <v>10407</v>
      </c>
      <c r="J2434" s="6" t="s">
        <v>1030</v>
      </c>
      <c r="K2434" s="6" t="s">
        <v>165</v>
      </c>
      <c r="L2434" s="6" t="s">
        <v>1032</v>
      </c>
      <c r="M2434" s="6" t="s">
        <v>10408</v>
      </c>
    </row>
    <row r="2435" spans="1:13" ht="13" x14ac:dyDescent="0.15">
      <c r="A2435" s="5" t="str">
        <f>HYPERLINK("https://onemount.atlassian.net/browse/DBA-2501","DBA-2501")</f>
        <v>DBA-2501</v>
      </c>
      <c r="B2435" s="6" t="s">
        <v>21</v>
      </c>
      <c r="C2435" s="6" t="s">
        <v>10409</v>
      </c>
      <c r="D2435" s="8" t="s">
        <v>17</v>
      </c>
      <c r="E2435" s="6" t="s">
        <v>23</v>
      </c>
      <c r="F2435" s="6" t="s">
        <v>96</v>
      </c>
      <c r="G2435" s="6" t="s">
        <v>10410</v>
      </c>
      <c r="H2435" s="10">
        <v>45917</v>
      </c>
      <c r="I2435" s="6" t="s">
        <v>10411</v>
      </c>
      <c r="J2435" s="6" t="s">
        <v>1030</v>
      </c>
      <c r="K2435" s="6" t="s">
        <v>165</v>
      </c>
      <c r="L2435" s="6" t="s">
        <v>1032</v>
      </c>
      <c r="M2435" s="6" t="s">
        <v>10412</v>
      </c>
    </row>
    <row r="2436" spans="1:13" ht="13" x14ac:dyDescent="0.15">
      <c r="A2436" s="5" t="str">
        <f>HYPERLINK("https://onemount.atlassian.net/browse/DBA-2500","DBA-2500")</f>
        <v>DBA-2500</v>
      </c>
      <c r="B2436" s="6" t="s">
        <v>21</v>
      </c>
      <c r="C2436" s="6" t="s">
        <v>10413</v>
      </c>
      <c r="D2436" s="8" t="s">
        <v>17</v>
      </c>
      <c r="E2436" s="6" t="s">
        <v>23</v>
      </c>
      <c r="F2436" s="6" t="s">
        <v>96</v>
      </c>
      <c r="G2436" s="6" t="s">
        <v>10414</v>
      </c>
      <c r="H2436" s="10">
        <v>45925</v>
      </c>
      <c r="I2436" s="6" t="s">
        <v>10415</v>
      </c>
      <c r="J2436" s="6" t="s">
        <v>10416</v>
      </c>
      <c r="K2436" s="6" t="s">
        <v>165</v>
      </c>
      <c r="L2436" s="6" t="s">
        <v>288</v>
      </c>
      <c r="M2436" s="6" t="s">
        <v>10417</v>
      </c>
    </row>
    <row r="2437" spans="1:13" ht="13" x14ac:dyDescent="0.15">
      <c r="A2437" s="5" t="str">
        <f>HYPERLINK("https://onemount.atlassian.net/browse/DBA-2499","DBA-2499")</f>
        <v>DBA-2499</v>
      </c>
      <c r="B2437" s="6" t="s">
        <v>21</v>
      </c>
      <c r="C2437" s="6" t="s">
        <v>10418</v>
      </c>
      <c r="D2437" s="8" t="s">
        <v>17</v>
      </c>
      <c r="E2437" s="6" t="s">
        <v>23</v>
      </c>
      <c r="F2437" s="6" t="s">
        <v>96</v>
      </c>
      <c r="G2437" s="6" t="s">
        <v>10419</v>
      </c>
      <c r="H2437" s="10">
        <v>45917</v>
      </c>
      <c r="I2437" s="6" t="s">
        <v>10420</v>
      </c>
      <c r="J2437" s="6" t="s">
        <v>1091</v>
      </c>
      <c r="K2437" s="6" t="s">
        <v>165</v>
      </c>
      <c r="L2437" s="6" t="s">
        <v>1091</v>
      </c>
      <c r="M2437" s="6" t="s">
        <v>10421</v>
      </c>
    </row>
    <row r="2438" spans="1:13" ht="13" x14ac:dyDescent="0.15">
      <c r="A2438" s="5" t="str">
        <f>HYPERLINK("https://onemount.atlassian.net/browse/DBA-2498","DBA-2498")</f>
        <v>DBA-2498</v>
      </c>
      <c r="B2438" s="6" t="s">
        <v>21</v>
      </c>
      <c r="C2438" s="6" t="s">
        <v>10422</v>
      </c>
      <c r="D2438" s="8" t="s">
        <v>17</v>
      </c>
      <c r="E2438" s="6" t="s">
        <v>23</v>
      </c>
      <c r="F2438" s="6" t="s">
        <v>31</v>
      </c>
      <c r="G2438" s="6" t="s">
        <v>10423</v>
      </c>
      <c r="H2438" s="10">
        <v>45918</v>
      </c>
      <c r="I2438" s="6" t="s">
        <v>10424</v>
      </c>
      <c r="J2438" s="6" t="s">
        <v>5746</v>
      </c>
      <c r="K2438" s="6" t="s">
        <v>35</v>
      </c>
      <c r="L2438" s="6" t="s">
        <v>962</v>
      </c>
      <c r="M2438" s="6" t="s">
        <v>10425</v>
      </c>
    </row>
    <row r="2439" spans="1:13" ht="13" x14ac:dyDescent="0.15">
      <c r="A2439" s="5" t="str">
        <f>HYPERLINK("https://onemount.atlassian.net/browse/DBA-2496","DBA-2496")</f>
        <v>DBA-2496</v>
      </c>
      <c r="B2439" s="6" t="s">
        <v>21</v>
      </c>
      <c r="C2439" s="6" t="s">
        <v>10426</v>
      </c>
      <c r="D2439" s="8" t="s">
        <v>17</v>
      </c>
      <c r="E2439" s="6" t="s">
        <v>23</v>
      </c>
      <c r="F2439" s="6" t="s">
        <v>41</v>
      </c>
      <c r="G2439" s="6" t="s">
        <v>10427</v>
      </c>
      <c r="H2439" s="10">
        <v>45923</v>
      </c>
      <c r="I2439" s="6" t="s">
        <v>10428</v>
      </c>
      <c r="J2439" s="6" t="s">
        <v>56</v>
      </c>
      <c r="K2439" s="6" t="s">
        <v>55</v>
      </c>
      <c r="L2439" s="6" t="s">
        <v>56</v>
      </c>
      <c r="M2439" s="6" t="s">
        <v>10429</v>
      </c>
    </row>
    <row r="2440" spans="1:13" ht="13" x14ac:dyDescent="0.15">
      <c r="A2440" s="5" t="str">
        <f>HYPERLINK("https://onemount.atlassian.net/browse/DBA-2495","DBA-2495")</f>
        <v>DBA-2495</v>
      </c>
      <c r="B2440" s="6" t="s">
        <v>21</v>
      </c>
      <c r="C2440" s="6" t="s">
        <v>10430</v>
      </c>
      <c r="D2440" s="8" t="s">
        <v>17</v>
      </c>
      <c r="E2440" s="6" t="s">
        <v>23</v>
      </c>
      <c r="F2440" s="6" t="s">
        <v>96</v>
      </c>
      <c r="G2440" s="6" t="s">
        <v>10431</v>
      </c>
      <c r="H2440" s="10">
        <v>45916</v>
      </c>
      <c r="I2440" s="6" t="s">
        <v>10432</v>
      </c>
      <c r="J2440" s="6" t="s">
        <v>10433</v>
      </c>
      <c r="K2440" s="6" t="s">
        <v>55</v>
      </c>
      <c r="L2440" s="6" t="s">
        <v>843</v>
      </c>
      <c r="M2440" s="6" t="s">
        <v>10434</v>
      </c>
    </row>
    <row r="2441" spans="1:13" ht="13" x14ac:dyDescent="0.15">
      <c r="A2441" s="5" t="str">
        <f>HYPERLINK("https://onemount.atlassian.net/browse/DBA-2494","DBA-2494")</f>
        <v>DBA-2494</v>
      </c>
      <c r="B2441" s="6" t="s">
        <v>21</v>
      </c>
      <c r="C2441" s="6" t="s">
        <v>10435</v>
      </c>
      <c r="D2441" s="8" t="s">
        <v>17</v>
      </c>
      <c r="E2441" s="6" t="s">
        <v>23</v>
      </c>
      <c r="F2441" s="6" t="s">
        <v>41</v>
      </c>
      <c r="G2441" s="6" t="s">
        <v>10436</v>
      </c>
      <c r="H2441" s="10">
        <v>45923</v>
      </c>
      <c r="I2441" s="6" t="s">
        <v>10437</v>
      </c>
      <c r="J2441" s="6" t="s">
        <v>56</v>
      </c>
      <c r="K2441" s="6" t="s">
        <v>55</v>
      </c>
      <c r="L2441" s="6" t="s">
        <v>56</v>
      </c>
      <c r="M2441" s="6" t="s">
        <v>10438</v>
      </c>
    </row>
    <row r="2442" spans="1:13" ht="13" x14ac:dyDescent="0.15">
      <c r="A2442" s="21" t="str">
        <f>HYPERLINK("https://onemount.atlassian.net/browse/DBA-2487","DBA-2487")</f>
        <v>DBA-2487</v>
      </c>
      <c r="B2442" s="6" t="s">
        <v>21</v>
      </c>
      <c r="C2442" s="6" t="s">
        <v>10439</v>
      </c>
      <c r="D2442" s="8" t="s">
        <v>17</v>
      </c>
      <c r="E2442" s="6" t="s">
        <v>23</v>
      </c>
      <c r="F2442" s="6" t="s">
        <v>96</v>
      </c>
      <c r="G2442" s="6" t="s">
        <v>10440</v>
      </c>
      <c r="H2442" s="10">
        <v>45917</v>
      </c>
      <c r="I2442" s="6" t="s">
        <v>10441</v>
      </c>
      <c r="J2442" s="6" t="s">
        <v>46</v>
      </c>
      <c r="K2442" s="6" t="s">
        <v>46</v>
      </c>
      <c r="L2442" s="6" t="s">
        <v>46</v>
      </c>
      <c r="M2442" s="6" t="s">
        <v>10194</v>
      </c>
    </row>
    <row r="2443" spans="1:13" ht="13" x14ac:dyDescent="0.15">
      <c r="A2443" s="5" t="str">
        <f>HYPERLINK("https://onemount.atlassian.net/browse/DBA-2485","DBA-2485")</f>
        <v>DBA-2485</v>
      </c>
      <c r="B2443" s="6" t="s">
        <v>21</v>
      </c>
      <c r="C2443" s="6" t="s">
        <v>10144</v>
      </c>
      <c r="D2443" s="8" t="s">
        <v>17</v>
      </c>
      <c r="E2443" s="6" t="s">
        <v>23</v>
      </c>
      <c r="F2443" s="6" t="s">
        <v>31</v>
      </c>
      <c r="G2443" s="6" t="s">
        <v>10442</v>
      </c>
      <c r="H2443" s="10">
        <v>45917</v>
      </c>
      <c r="I2443" s="6" t="s">
        <v>10443</v>
      </c>
      <c r="J2443" s="6" t="s">
        <v>715</v>
      </c>
      <c r="K2443" s="6" t="s">
        <v>55</v>
      </c>
      <c r="L2443" s="6" t="s">
        <v>715</v>
      </c>
      <c r="M2443" s="6" t="s">
        <v>10444</v>
      </c>
    </row>
    <row r="2444" spans="1:13" ht="13" x14ac:dyDescent="0.15">
      <c r="A2444" s="5" t="str">
        <f>HYPERLINK("https://onemount.atlassian.net/browse/DBA-2484","DBA-2484")</f>
        <v>DBA-2484</v>
      </c>
      <c r="B2444" s="6" t="s">
        <v>21</v>
      </c>
      <c r="C2444" s="6" t="s">
        <v>10445</v>
      </c>
      <c r="D2444" s="8" t="s">
        <v>17</v>
      </c>
      <c r="E2444" s="6" t="s">
        <v>23</v>
      </c>
      <c r="F2444" s="6" t="s">
        <v>41</v>
      </c>
      <c r="G2444" s="6" t="s">
        <v>10446</v>
      </c>
      <c r="H2444" s="10">
        <v>45923</v>
      </c>
      <c r="I2444" s="6" t="s">
        <v>10447</v>
      </c>
      <c r="J2444" s="6" t="s">
        <v>56</v>
      </c>
      <c r="K2444" s="6" t="s">
        <v>55</v>
      </c>
      <c r="L2444" s="6" t="s">
        <v>56</v>
      </c>
      <c r="M2444" s="6" t="s">
        <v>10448</v>
      </c>
    </row>
    <row r="2445" spans="1:13" ht="13" x14ac:dyDescent="0.15">
      <c r="A2445" s="5" t="str">
        <f>HYPERLINK("https://onemount.atlassian.net/browse/DBA-2483","DBA-2483")</f>
        <v>DBA-2483</v>
      </c>
      <c r="B2445" s="6" t="s">
        <v>21</v>
      </c>
      <c r="C2445" s="6" t="s">
        <v>10449</v>
      </c>
      <c r="D2445" s="8" t="s">
        <v>17</v>
      </c>
      <c r="E2445" s="6" t="s">
        <v>23</v>
      </c>
      <c r="F2445" s="6" t="s">
        <v>96</v>
      </c>
      <c r="G2445" s="6" t="s">
        <v>10450</v>
      </c>
      <c r="H2445" s="10">
        <v>45916</v>
      </c>
      <c r="I2445" s="6" t="s">
        <v>10451</v>
      </c>
      <c r="J2445" s="6" t="s">
        <v>39</v>
      </c>
      <c r="K2445" s="6" t="s">
        <v>165</v>
      </c>
      <c r="L2445" s="6" t="s">
        <v>1054</v>
      </c>
      <c r="M2445" s="6" t="s">
        <v>10452</v>
      </c>
    </row>
    <row r="2446" spans="1:13" ht="13" x14ac:dyDescent="0.15">
      <c r="A2446" s="5" t="str">
        <f>HYPERLINK("https://onemount.atlassian.net/browse/DBA-2481","DBA-2481")</f>
        <v>DBA-2481</v>
      </c>
      <c r="B2446" s="6" t="s">
        <v>21</v>
      </c>
      <c r="C2446" s="6" t="s">
        <v>10453</v>
      </c>
      <c r="D2446" s="8" t="s">
        <v>17</v>
      </c>
      <c r="E2446" s="6" t="s">
        <v>23</v>
      </c>
      <c r="F2446" s="6" t="s">
        <v>96</v>
      </c>
      <c r="G2446" s="6" t="s">
        <v>10454</v>
      </c>
      <c r="H2446" s="10">
        <v>45917</v>
      </c>
      <c r="I2446" s="6" t="s">
        <v>10455</v>
      </c>
      <c r="J2446" s="6" t="s">
        <v>1898</v>
      </c>
      <c r="K2446" s="6" t="s">
        <v>165</v>
      </c>
      <c r="L2446" s="6" t="s">
        <v>1097</v>
      </c>
      <c r="M2446" s="6" t="s">
        <v>10456</v>
      </c>
    </row>
    <row r="2447" spans="1:13" ht="13" x14ac:dyDescent="0.15">
      <c r="A2447" s="5" t="str">
        <f>HYPERLINK("https://onemount.atlassian.net/browse/DBA-2480","DBA-2480")</f>
        <v>DBA-2480</v>
      </c>
      <c r="B2447" s="6" t="s">
        <v>21</v>
      </c>
      <c r="C2447" s="6" t="s">
        <v>10457</v>
      </c>
      <c r="D2447" s="8" t="s">
        <v>17</v>
      </c>
      <c r="E2447" s="6" t="s">
        <v>23</v>
      </c>
      <c r="F2447" s="6" t="s">
        <v>96</v>
      </c>
      <c r="G2447" s="6" t="s">
        <v>10458</v>
      </c>
      <c r="H2447" s="10">
        <v>45917</v>
      </c>
      <c r="I2447" s="6" t="s">
        <v>10459</v>
      </c>
      <c r="J2447" s="6" t="s">
        <v>1898</v>
      </c>
      <c r="K2447" s="6" t="s">
        <v>165</v>
      </c>
      <c r="L2447" s="6" t="s">
        <v>1097</v>
      </c>
      <c r="M2447" s="6" t="s">
        <v>10460</v>
      </c>
    </row>
    <row r="2448" spans="1:13" ht="13" x14ac:dyDescent="0.15">
      <c r="A2448" s="21" t="str">
        <f>HYPERLINK("https://onemount.atlassian.net/browse/DBA-2479","DBA-2479")</f>
        <v>DBA-2479</v>
      </c>
      <c r="B2448" s="6" t="s">
        <v>21</v>
      </c>
      <c r="C2448" s="6" t="s">
        <v>2389</v>
      </c>
      <c r="D2448" s="8" t="s">
        <v>17</v>
      </c>
      <c r="E2448" s="6" t="s">
        <v>23</v>
      </c>
      <c r="F2448" s="6" t="s">
        <v>96</v>
      </c>
      <c r="G2448" s="6" t="s">
        <v>10461</v>
      </c>
      <c r="H2448" s="10">
        <v>45916</v>
      </c>
      <c r="I2448" s="6" t="s">
        <v>10462</v>
      </c>
      <c r="J2448" s="6" t="s">
        <v>2392</v>
      </c>
      <c r="K2448" s="6" t="s">
        <v>28</v>
      </c>
      <c r="L2448" s="6" t="s">
        <v>27</v>
      </c>
      <c r="M2448" s="6" t="s">
        <v>10463</v>
      </c>
    </row>
    <row r="2449" spans="1:13" ht="13" x14ac:dyDescent="0.15">
      <c r="A2449" s="21" t="str">
        <f>HYPERLINK("https://onemount.atlassian.net/browse/DBA-2478","DBA-2478")</f>
        <v>DBA-2478</v>
      </c>
      <c r="B2449" s="6" t="s">
        <v>21</v>
      </c>
      <c r="C2449" s="6" t="s">
        <v>10464</v>
      </c>
      <c r="D2449" s="8" t="s">
        <v>17</v>
      </c>
      <c r="E2449" s="6" t="s">
        <v>23</v>
      </c>
      <c r="F2449" s="6" t="s">
        <v>96</v>
      </c>
      <c r="G2449" s="6" t="s">
        <v>10465</v>
      </c>
      <c r="H2449" s="10">
        <v>45916</v>
      </c>
      <c r="I2449" s="6" t="s">
        <v>10466</v>
      </c>
      <c r="J2449" s="6" t="s">
        <v>27</v>
      </c>
      <c r="K2449" s="6" t="s">
        <v>28</v>
      </c>
      <c r="L2449" s="6" t="s">
        <v>27</v>
      </c>
      <c r="M2449" s="6" t="s">
        <v>10463</v>
      </c>
    </row>
    <row r="2450" spans="1:13" ht="13" x14ac:dyDescent="0.15">
      <c r="A2450" s="5" t="str">
        <f>HYPERLINK("https://onemount.atlassian.net/browse/DBA-2477","DBA-2477")</f>
        <v>DBA-2477</v>
      </c>
      <c r="B2450" s="6" t="s">
        <v>21</v>
      </c>
      <c r="C2450" s="6" t="s">
        <v>10467</v>
      </c>
      <c r="D2450" s="8" t="s">
        <v>17</v>
      </c>
      <c r="E2450" s="6" t="s">
        <v>23</v>
      </c>
      <c r="F2450" s="6" t="s">
        <v>24</v>
      </c>
      <c r="G2450" s="6" t="s">
        <v>10468</v>
      </c>
      <c r="H2450" s="10">
        <v>45917</v>
      </c>
      <c r="I2450" s="6" t="s">
        <v>10469</v>
      </c>
      <c r="J2450" s="6" t="s">
        <v>10470</v>
      </c>
      <c r="K2450" s="6" t="s">
        <v>46</v>
      </c>
      <c r="L2450" s="6" t="s">
        <v>119</v>
      </c>
      <c r="M2450" s="6" t="s">
        <v>10471</v>
      </c>
    </row>
    <row r="2451" spans="1:13" ht="13" x14ac:dyDescent="0.15">
      <c r="A2451" s="5" t="str">
        <f>HYPERLINK("https://onemount.atlassian.net/browse/DBA-2476","DBA-2476")</f>
        <v>DBA-2476</v>
      </c>
      <c r="B2451" s="6" t="s">
        <v>21</v>
      </c>
      <c r="C2451" s="6" t="s">
        <v>10472</v>
      </c>
      <c r="D2451" s="8" t="s">
        <v>17</v>
      </c>
      <c r="E2451" s="6" t="s">
        <v>23</v>
      </c>
      <c r="F2451" s="6" t="s">
        <v>96</v>
      </c>
      <c r="G2451" s="6" t="s">
        <v>10473</v>
      </c>
      <c r="H2451" s="10">
        <v>45915</v>
      </c>
      <c r="I2451" s="6" t="s">
        <v>10474</v>
      </c>
      <c r="J2451" s="6" t="s">
        <v>628</v>
      </c>
      <c r="K2451" s="6" t="s">
        <v>165</v>
      </c>
      <c r="L2451" s="6" t="s">
        <v>119</v>
      </c>
      <c r="M2451" s="6" t="s">
        <v>10475</v>
      </c>
    </row>
    <row r="2452" spans="1:13" ht="13" x14ac:dyDescent="0.15">
      <c r="A2452" s="5" t="str">
        <f>HYPERLINK("https://onemount.atlassian.net/browse/DBA-2475","DBA-2475")</f>
        <v>DBA-2475</v>
      </c>
      <c r="B2452" s="6" t="s">
        <v>21</v>
      </c>
      <c r="C2452" s="6" t="s">
        <v>10476</v>
      </c>
      <c r="D2452" s="8" t="s">
        <v>17</v>
      </c>
      <c r="E2452" s="6" t="s">
        <v>23</v>
      </c>
      <c r="F2452" s="6" t="s">
        <v>96</v>
      </c>
      <c r="G2452" s="6" t="s">
        <v>10477</v>
      </c>
      <c r="H2452" s="10">
        <v>45916</v>
      </c>
      <c r="I2452" s="6" t="s">
        <v>10478</v>
      </c>
      <c r="J2452" s="6" t="s">
        <v>27</v>
      </c>
      <c r="K2452" s="6" t="s">
        <v>28</v>
      </c>
      <c r="L2452" s="6" t="s">
        <v>27</v>
      </c>
      <c r="M2452" s="6" t="s">
        <v>10479</v>
      </c>
    </row>
    <row r="2453" spans="1:13" ht="13" x14ac:dyDescent="0.15">
      <c r="A2453" s="5" t="str">
        <f>HYPERLINK("https://onemount.atlassian.net/browse/DBA-2474","DBA-2474")</f>
        <v>DBA-2474</v>
      </c>
      <c r="B2453" s="6" t="s">
        <v>21</v>
      </c>
      <c r="C2453" s="6" t="s">
        <v>10480</v>
      </c>
      <c r="D2453" s="8" t="s">
        <v>17</v>
      </c>
      <c r="E2453" s="6" t="s">
        <v>23</v>
      </c>
      <c r="F2453" s="6" t="s">
        <v>24</v>
      </c>
      <c r="G2453" s="6" t="s">
        <v>10481</v>
      </c>
      <c r="H2453" s="10">
        <v>45915</v>
      </c>
      <c r="I2453" s="6" t="s">
        <v>10482</v>
      </c>
      <c r="J2453" s="6" t="s">
        <v>28</v>
      </c>
      <c r="K2453" s="6" t="s">
        <v>28</v>
      </c>
      <c r="L2453" s="6" t="s">
        <v>27</v>
      </c>
      <c r="M2453" s="6" t="s">
        <v>10483</v>
      </c>
    </row>
    <row r="2454" spans="1:13" ht="13" x14ac:dyDescent="0.15">
      <c r="A2454" s="5" t="str">
        <f>HYPERLINK("https://onemount.atlassian.net/browse/DBA-2473","DBA-2473")</f>
        <v>DBA-2473</v>
      </c>
      <c r="B2454" s="23" t="str">
        <f>HYPERLINK("https://onemount.atlassian.net/browse/DBA-1909","DBA-1909")</f>
        <v>DBA-1909</v>
      </c>
      <c r="C2454" s="6" t="s">
        <v>10484</v>
      </c>
      <c r="D2454" s="8" t="s">
        <v>17</v>
      </c>
      <c r="E2454" s="6" t="s">
        <v>428</v>
      </c>
      <c r="F2454" s="6" t="s">
        <v>96</v>
      </c>
      <c r="G2454" s="6" t="s">
        <v>10485</v>
      </c>
      <c r="H2454" s="10">
        <v>45923</v>
      </c>
      <c r="I2454" s="6" t="s">
        <v>10486</v>
      </c>
      <c r="J2454" s="6" t="s">
        <v>2924</v>
      </c>
      <c r="K2454" s="6" t="s">
        <v>55</v>
      </c>
      <c r="L2454" s="6" t="s">
        <v>55</v>
      </c>
      <c r="M2454" s="6" t="s">
        <v>10487</v>
      </c>
    </row>
    <row r="2455" spans="1:13" ht="13" x14ac:dyDescent="0.15">
      <c r="A2455" s="5" t="str">
        <f>HYPERLINK("https://onemount.atlassian.net/browse/DBA-2472","DBA-2472")</f>
        <v>DBA-2472</v>
      </c>
      <c r="B2455" s="6" t="s">
        <v>21</v>
      </c>
      <c r="C2455" s="6" t="s">
        <v>10488</v>
      </c>
      <c r="D2455" s="8" t="s">
        <v>17</v>
      </c>
      <c r="E2455" s="6" t="s">
        <v>23</v>
      </c>
      <c r="F2455" s="6" t="s">
        <v>31</v>
      </c>
      <c r="G2455" s="6" t="s">
        <v>10489</v>
      </c>
      <c r="H2455" s="10">
        <v>45915</v>
      </c>
      <c r="I2455" s="6" t="s">
        <v>10490</v>
      </c>
      <c r="J2455" s="6" t="s">
        <v>2119</v>
      </c>
      <c r="K2455" s="6" t="s">
        <v>35</v>
      </c>
      <c r="L2455" s="6" t="s">
        <v>638</v>
      </c>
      <c r="M2455" s="6" t="s">
        <v>10491</v>
      </c>
    </row>
    <row r="2456" spans="1:13" ht="13" x14ac:dyDescent="0.15">
      <c r="A2456" s="5" t="str">
        <f>HYPERLINK("https://onemount.atlassian.net/browse/DBA-2470","DBA-2470")</f>
        <v>DBA-2470</v>
      </c>
      <c r="B2456" s="6" t="s">
        <v>21</v>
      </c>
      <c r="C2456" s="6" t="s">
        <v>10492</v>
      </c>
      <c r="D2456" s="8" t="s">
        <v>17</v>
      </c>
      <c r="E2456" s="6" t="s">
        <v>23</v>
      </c>
      <c r="F2456" s="6" t="s">
        <v>96</v>
      </c>
      <c r="G2456" s="6" t="s">
        <v>10493</v>
      </c>
      <c r="H2456" s="10">
        <v>45915</v>
      </c>
      <c r="I2456" s="6" t="s">
        <v>10494</v>
      </c>
      <c r="J2456" s="6" t="s">
        <v>715</v>
      </c>
      <c r="K2456" s="6" t="s">
        <v>165</v>
      </c>
      <c r="L2456" s="6" t="s">
        <v>715</v>
      </c>
      <c r="M2456" s="6" t="s">
        <v>10495</v>
      </c>
    </row>
    <row r="2457" spans="1:13" ht="13" x14ac:dyDescent="0.15">
      <c r="A2457" s="5" t="str">
        <f>HYPERLINK("https://onemount.atlassian.net/browse/DBA-2469","DBA-2469")</f>
        <v>DBA-2469</v>
      </c>
      <c r="B2457" s="6" t="s">
        <v>21</v>
      </c>
      <c r="C2457" s="6" t="s">
        <v>10496</v>
      </c>
      <c r="D2457" s="8" t="s">
        <v>17</v>
      </c>
      <c r="E2457" s="6" t="s">
        <v>23</v>
      </c>
      <c r="F2457" s="6" t="s">
        <v>31</v>
      </c>
      <c r="G2457" s="6" t="s">
        <v>10497</v>
      </c>
      <c r="H2457" s="10">
        <v>45916</v>
      </c>
      <c r="I2457" s="6" t="s">
        <v>10498</v>
      </c>
      <c r="J2457" s="6" t="s">
        <v>56</v>
      </c>
      <c r="K2457" s="6" t="s">
        <v>55</v>
      </c>
      <c r="L2457" s="6" t="s">
        <v>56</v>
      </c>
      <c r="M2457" s="6" t="s">
        <v>10499</v>
      </c>
    </row>
    <row r="2458" spans="1:13" ht="13" x14ac:dyDescent="0.15">
      <c r="A2458" s="5" t="str">
        <f>HYPERLINK("https://onemount.atlassian.net/browse/DBA-2468","DBA-2468")</f>
        <v>DBA-2468</v>
      </c>
      <c r="B2458" s="6" t="s">
        <v>21</v>
      </c>
      <c r="C2458" s="6" t="s">
        <v>10500</v>
      </c>
      <c r="D2458" s="8" t="s">
        <v>17</v>
      </c>
      <c r="E2458" s="6" t="s">
        <v>23</v>
      </c>
      <c r="F2458" s="6" t="s">
        <v>96</v>
      </c>
      <c r="G2458" s="6" t="s">
        <v>10501</v>
      </c>
      <c r="H2458" s="10">
        <v>45916</v>
      </c>
      <c r="I2458" s="6" t="s">
        <v>10502</v>
      </c>
      <c r="J2458" s="6" t="s">
        <v>10503</v>
      </c>
      <c r="K2458" s="6" t="s">
        <v>55</v>
      </c>
      <c r="L2458" s="6" t="s">
        <v>977</v>
      </c>
      <c r="M2458" s="6" t="s">
        <v>10504</v>
      </c>
    </row>
    <row r="2459" spans="1:13" ht="13" x14ac:dyDescent="0.15">
      <c r="A2459" s="5" t="str">
        <f>HYPERLINK("https://onemount.atlassian.net/browse/DBA-2467","DBA-2467")</f>
        <v>DBA-2467</v>
      </c>
      <c r="B2459" s="6" t="s">
        <v>21</v>
      </c>
      <c r="C2459" s="6" t="s">
        <v>10505</v>
      </c>
      <c r="D2459" s="8" t="s">
        <v>17</v>
      </c>
      <c r="E2459" s="6" t="s">
        <v>23</v>
      </c>
      <c r="F2459" s="6" t="s">
        <v>31</v>
      </c>
      <c r="G2459" s="6" t="s">
        <v>10506</v>
      </c>
      <c r="H2459" s="10">
        <v>45915</v>
      </c>
      <c r="I2459" s="6" t="s">
        <v>10507</v>
      </c>
      <c r="J2459" s="6" t="s">
        <v>49</v>
      </c>
      <c r="K2459" s="6" t="s">
        <v>35</v>
      </c>
      <c r="L2459" s="6" t="s">
        <v>981</v>
      </c>
      <c r="M2459" s="6" t="s">
        <v>10508</v>
      </c>
    </row>
    <row r="2460" spans="1:13" ht="13" x14ac:dyDescent="0.15">
      <c r="A2460" s="5" t="str">
        <f>HYPERLINK("https://onemount.atlassian.net/browse/DBA-2466","DBA-2466")</f>
        <v>DBA-2466</v>
      </c>
      <c r="B2460" s="6" t="s">
        <v>21</v>
      </c>
      <c r="C2460" s="6" t="s">
        <v>10509</v>
      </c>
      <c r="D2460" s="8" t="s">
        <v>17</v>
      </c>
      <c r="E2460" s="6" t="s">
        <v>23</v>
      </c>
      <c r="F2460" s="6" t="s">
        <v>31</v>
      </c>
      <c r="G2460" s="6" t="s">
        <v>10510</v>
      </c>
      <c r="H2460" s="10">
        <v>45915</v>
      </c>
      <c r="I2460" s="6" t="s">
        <v>10511</v>
      </c>
      <c r="J2460" s="6" t="s">
        <v>55</v>
      </c>
      <c r="K2460" s="6" t="s">
        <v>55</v>
      </c>
      <c r="L2460" s="6" t="s">
        <v>956</v>
      </c>
      <c r="M2460" s="6" t="s">
        <v>10512</v>
      </c>
    </row>
    <row r="2461" spans="1:13" ht="13" x14ac:dyDescent="0.15">
      <c r="A2461" s="5" t="str">
        <f>HYPERLINK("https://onemount.atlassian.net/browse/DBA-2465","DBA-2465")</f>
        <v>DBA-2465</v>
      </c>
      <c r="B2461" s="6" t="s">
        <v>21</v>
      </c>
      <c r="C2461" s="6" t="s">
        <v>10513</v>
      </c>
      <c r="D2461" s="8" t="s">
        <v>17</v>
      </c>
      <c r="E2461" s="6" t="s">
        <v>23</v>
      </c>
      <c r="F2461" s="6" t="s">
        <v>31</v>
      </c>
      <c r="G2461" s="6" t="s">
        <v>10514</v>
      </c>
      <c r="H2461" s="10">
        <v>45915</v>
      </c>
      <c r="I2461" s="6" t="s">
        <v>10515</v>
      </c>
      <c r="J2461" s="6" t="s">
        <v>1187</v>
      </c>
      <c r="K2461" s="6" t="s">
        <v>35</v>
      </c>
      <c r="L2461" s="6" t="s">
        <v>1187</v>
      </c>
      <c r="M2461" s="6" t="s">
        <v>10516</v>
      </c>
    </row>
    <row r="2462" spans="1:13" ht="13" x14ac:dyDescent="0.15">
      <c r="A2462" s="5" t="str">
        <f>HYPERLINK("https://onemount.atlassian.net/browse/DBA-2464","DBA-2464")</f>
        <v>DBA-2464</v>
      </c>
      <c r="B2462" s="6" t="s">
        <v>21</v>
      </c>
      <c r="C2462" s="6" t="s">
        <v>10517</v>
      </c>
      <c r="D2462" s="8" t="s">
        <v>17</v>
      </c>
      <c r="E2462" s="6" t="s">
        <v>23</v>
      </c>
      <c r="F2462" s="6" t="s">
        <v>96</v>
      </c>
      <c r="G2462" s="6" t="s">
        <v>10518</v>
      </c>
      <c r="H2462" s="10">
        <v>45914</v>
      </c>
      <c r="I2462" s="6" t="s">
        <v>10519</v>
      </c>
      <c r="J2462" s="6" t="s">
        <v>628</v>
      </c>
      <c r="K2462" s="6" t="s">
        <v>55</v>
      </c>
      <c r="L2462" s="6" t="s">
        <v>55</v>
      </c>
      <c r="M2462" s="6" t="s">
        <v>10520</v>
      </c>
    </row>
    <row r="2463" spans="1:13" ht="13" x14ac:dyDescent="0.15">
      <c r="A2463" s="5" t="str">
        <f>HYPERLINK("https://onemount.atlassian.net/browse/DBA-2456","DBA-2456")</f>
        <v>DBA-2456</v>
      </c>
      <c r="B2463" s="6" t="s">
        <v>21</v>
      </c>
      <c r="C2463" s="6" t="s">
        <v>10521</v>
      </c>
      <c r="D2463" s="8" t="s">
        <v>17</v>
      </c>
      <c r="E2463" s="6" t="s">
        <v>23</v>
      </c>
      <c r="F2463" s="6" t="s">
        <v>31</v>
      </c>
      <c r="G2463" s="6" t="s">
        <v>10522</v>
      </c>
      <c r="H2463" s="10">
        <v>45913</v>
      </c>
      <c r="I2463" s="6" t="s">
        <v>10523</v>
      </c>
      <c r="J2463" s="6" t="s">
        <v>1229</v>
      </c>
      <c r="K2463" s="6" t="s">
        <v>35</v>
      </c>
      <c r="L2463" s="6" t="s">
        <v>1229</v>
      </c>
      <c r="M2463" s="6" t="s">
        <v>10524</v>
      </c>
    </row>
    <row r="2464" spans="1:13" ht="13" x14ac:dyDescent="0.15">
      <c r="A2464" s="21" t="str">
        <f>HYPERLINK("https://onemount.atlassian.net/browse/DBA-2455","DBA-2455")</f>
        <v>DBA-2455</v>
      </c>
      <c r="B2464" s="23" t="str">
        <f t="shared" ref="B2464:B2469" si="31">HYPERLINK("https://onemount.atlassian.net/browse/DBA-2408","DBA-2408")</f>
        <v>DBA-2408</v>
      </c>
      <c r="C2464" s="6" t="s">
        <v>10525</v>
      </c>
      <c r="D2464" s="8" t="s">
        <v>17</v>
      </c>
      <c r="E2464" s="6" t="s">
        <v>428</v>
      </c>
      <c r="F2464" s="6" t="s">
        <v>41</v>
      </c>
      <c r="G2464" s="6" t="s">
        <v>10526</v>
      </c>
      <c r="H2464" s="10">
        <v>46007</v>
      </c>
      <c r="I2464" s="6" t="s">
        <v>10527</v>
      </c>
      <c r="J2464" s="6" t="s">
        <v>655</v>
      </c>
      <c r="K2464" s="6" t="s">
        <v>46</v>
      </c>
      <c r="L2464" s="6" t="s">
        <v>655</v>
      </c>
      <c r="M2464" s="6" t="s">
        <v>10525</v>
      </c>
    </row>
    <row r="2465" spans="1:13" ht="13" x14ac:dyDescent="0.15">
      <c r="A2465" s="5" t="str">
        <f>HYPERLINK("https://onemount.atlassian.net/browse/DBA-2454","DBA-2454")</f>
        <v>DBA-2454</v>
      </c>
      <c r="B2465" s="23" t="str">
        <f t="shared" si="31"/>
        <v>DBA-2408</v>
      </c>
      <c r="C2465" s="6" t="s">
        <v>10528</v>
      </c>
      <c r="D2465" s="8" t="s">
        <v>17</v>
      </c>
      <c r="E2465" s="6" t="s">
        <v>428</v>
      </c>
      <c r="F2465" s="6" t="s">
        <v>31</v>
      </c>
      <c r="G2465" s="6" t="s">
        <v>10529</v>
      </c>
      <c r="H2465" s="10">
        <v>45916</v>
      </c>
      <c r="I2465" s="6" t="s">
        <v>10530</v>
      </c>
      <c r="J2465" s="6" t="s">
        <v>655</v>
      </c>
      <c r="K2465" s="6" t="s">
        <v>35</v>
      </c>
      <c r="L2465" s="6" t="s">
        <v>655</v>
      </c>
      <c r="M2465" s="6" t="s">
        <v>10531</v>
      </c>
    </row>
    <row r="2466" spans="1:13" ht="13" x14ac:dyDescent="0.15">
      <c r="A2466" s="5" t="str">
        <f>HYPERLINK("https://onemount.atlassian.net/browse/DBA-2453","DBA-2453")</f>
        <v>DBA-2453</v>
      </c>
      <c r="B2466" s="23" t="str">
        <f t="shared" si="31"/>
        <v>DBA-2408</v>
      </c>
      <c r="C2466" s="6" t="s">
        <v>10532</v>
      </c>
      <c r="D2466" s="8" t="s">
        <v>17</v>
      </c>
      <c r="E2466" s="6" t="s">
        <v>428</v>
      </c>
      <c r="F2466" s="6" t="s">
        <v>87</v>
      </c>
      <c r="G2466" s="6" t="s">
        <v>10533</v>
      </c>
      <c r="H2466" s="10">
        <v>45980</v>
      </c>
      <c r="I2466" s="6" t="s">
        <v>10534</v>
      </c>
      <c r="J2466" s="6" t="s">
        <v>655</v>
      </c>
      <c r="K2466" s="6" t="s">
        <v>46</v>
      </c>
      <c r="L2466" s="6" t="s">
        <v>655</v>
      </c>
      <c r="M2466" s="6" t="s">
        <v>10535</v>
      </c>
    </row>
    <row r="2467" spans="1:13" ht="13" x14ac:dyDescent="0.15">
      <c r="A2467" s="5" t="str">
        <f>HYPERLINK("https://onemount.atlassian.net/browse/DBA-2451","DBA-2451")</f>
        <v>DBA-2451</v>
      </c>
      <c r="B2467" s="23" t="str">
        <f t="shared" si="31"/>
        <v>DBA-2408</v>
      </c>
      <c r="C2467" s="6" t="s">
        <v>10536</v>
      </c>
      <c r="D2467" s="8" t="s">
        <v>17</v>
      </c>
      <c r="E2467" s="6" t="s">
        <v>428</v>
      </c>
      <c r="F2467" s="6" t="s">
        <v>24</v>
      </c>
      <c r="G2467" s="6" t="s">
        <v>10537</v>
      </c>
      <c r="H2467" s="10">
        <v>45990</v>
      </c>
      <c r="I2467" s="6" t="s">
        <v>10538</v>
      </c>
      <c r="J2467" s="6" t="s">
        <v>46</v>
      </c>
      <c r="K2467" s="6" t="s">
        <v>46</v>
      </c>
      <c r="L2467" s="6" t="s">
        <v>655</v>
      </c>
      <c r="M2467" s="6" t="s">
        <v>10539</v>
      </c>
    </row>
    <row r="2468" spans="1:13" ht="13" x14ac:dyDescent="0.15">
      <c r="A2468" s="21" t="str">
        <f>HYPERLINK("https://onemount.atlassian.net/browse/DBA-2449","DBA-2449")</f>
        <v>DBA-2449</v>
      </c>
      <c r="B2468" s="23" t="str">
        <f t="shared" si="31"/>
        <v>DBA-2408</v>
      </c>
      <c r="C2468" s="6" t="s">
        <v>10540</v>
      </c>
      <c r="D2468" s="8" t="s">
        <v>17</v>
      </c>
      <c r="E2468" s="6" t="s">
        <v>428</v>
      </c>
      <c r="F2468" s="6" t="s">
        <v>41</v>
      </c>
      <c r="G2468" s="6" t="s">
        <v>10541</v>
      </c>
      <c r="H2468" s="10">
        <v>46007</v>
      </c>
      <c r="I2468" s="6" t="s">
        <v>10542</v>
      </c>
      <c r="J2468" s="6" t="s">
        <v>655</v>
      </c>
      <c r="K2468" s="6" t="s">
        <v>46</v>
      </c>
      <c r="L2468" s="6" t="s">
        <v>655</v>
      </c>
      <c r="M2468" s="6" t="s">
        <v>10525</v>
      </c>
    </row>
    <row r="2469" spans="1:13" ht="13" x14ac:dyDescent="0.15">
      <c r="A2469" s="5" t="str">
        <f>HYPERLINK("https://onemount.atlassian.net/browse/DBA-2447","DBA-2447")</f>
        <v>DBA-2447</v>
      </c>
      <c r="B2469" s="23" t="str">
        <f t="shared" si="31"/>
        <v>DBA-2408</v>
      </c>
      <c r="C2469" s="6" t="s">
        <v>10543</v>
      </c>
      <c r="D2469" s="8" t="s">
        <v>17</v>
      </c>
      <c r="E2469" s="6" t="s">
        <v>428</v>
      </c>
      <c r="F2469" s="6" t="s">
        <v>87</v>
      </c>
      <c r="G2469" s="6" t="s">
        <v>10544</v>
      </c>
      <c r="H2469" s="10">
        <v>45981</v>
      </c>
      <c r="I2469" s="6" t="s">
        <v>10545</v>
      </c>
      <c r="J2469" s="6" t="s">
        <v>655</v>
      </c>
      <c r="K2469" s="6" t="s">
        <v>46</v>
      </c>
      <c r="L2469" s="6" t="s">
        <v>655</v>
      </c>
      <c r="M2469" s="6" t="s">
        <v>10546</v>
      </c>
    </row>
    <row r="2470" spans="1:13" ht="13" x14ac:dyDescent="0.15">
      <c r="A2470" s="5" t="str">
        <f>HYPERLINK("https://onemount.atlassian.net/browse/DBA-2446","DBA-2446")</f>
        <v>DBA-2446</v>
      </c>
      <c r="B2470" s="23" t="str">
        <f t="shared" ref="B2470:B2497" si="32">HYPERLINK("https://onemount.atlassian.net/browse/DBA-2409","DBA-2409")</f>
        <v>DBA-2409</v>
      </c>
      <c r="C2470" s="6" t="s">
        <v>10547</v>
      </c>
      <c r="D2470" s="8" t="s">
        <v>17</v>
      </c>
      <c r="E2470" s="6" t="s">
        <v>428</v>
      </c>
      <c r="F2470" s="6" t="s">
        <v>31</v>
      </c>
      <c r="G2470" s="6" t="s">
        <v>10548</v>
      </c>
      <c r="H2470" s="10">
        <v>46023</v>
      </c>
      <c r="I2470" s="6" t="s">
        <v>10549</v>
      </c>
      <c r="J2470" s="6" t="s">
        <v>655</v>
      </c>
      <c r="K2470" s="6" t="s">
        <v>35</v>
      </c>
      <c r="L2470" s="6" t="s">
        <v>129</v>
      </c>
      <c r="M2470" s="6" t="s">
        <v>10550</v>
      </c>
    </row>
    <row r="2471" spans="1:13" ht="13" x14ac:dyDescent="0.15">
      <c r="A2471" s="5" t="str">
        <f>HYPERLINK("https://onemount.atlassian.net/browse/DBA-2445","DBA-2445")</f>
        <v>DBA-2445</v>
      </c>
      <c r="B2471" s="23" t="str">
        <f t="shared" si="32"/>
        <v>DBA-2409</v>
      </c>
      <c r="C2471" s="6" t="s">
        <v>10551</v>
      </c>
      <c r="D2471" s="8" t="s">
        <v>17</v>
      </c>
      <c r="E2471" s="6" t="s">
        <v>428</v>
      </c>
      <c r="F2471" s="6" t="s">
        <v>31</v>
      </c>
      <c r="G2471" s="6" t="s">
        <v>10552</v>
      </c>
      <c r="H2471" s="10">
        <v>46025</v>
      </c>
      <c r="I2471" s="6" t="s">
        <v>10553</v>
      </c>
      <c r="J2471" s="6" t="s">
        <v>655</v>
      </c>
      <c r="K2471" s="6" t="s">
        <v>35</v>
      </c>
      <c r="L2471" s="6" t="s">
        <v>655</v>
      </c>
      <c r="M2471" s="6" t="s">
        <v>10554</v>
      </c>
    </row>
    <row r="2472" spans="1:13" ht="13" x14ac:dyDescent="0.15">
      <c r="A2472" s="5" t="str">
        <f>HYPERLINK("https://onemount.atlassian.net/browse/DBA-2444","DBA-2444")</f>
        <v>DBA-2444</v>
      </c>
      <c r="B2472" s="23" t="str">
        <f t="shared" si="32"/>
        <v>DBA-2409</v>
      </c>
      <c r="C2472" s="6" t="s">
        <v>10555</v>
      </c>
      <c r="D2472" s="8" t="s">
        <v>17</v>
      </c>
      <c r="E2472" s="6" t="s">
        <v>428</v>
      </c>
      <c r="F2472" s="6" t="s">
        <v>31</v>
      </c>
      <c r="G2472" s="6" t="s">
        <v>10556</v>
      </c>
      <c r="H2472" s="10">
        <v>46025</v>
      </c>
      <c r="I2472" s="6" t="s">
        <v>10557</v>
      </c>
      <c r="J2472" s="6" t="s">
        <v>655</v>
      </c>
      <c r="K2472" s="6" t="s">
        <v>35</v>
      </c>
      <c r="L2472" s="6" t="s">
        <v>655</v>
      </c>
      <c r="M2472" s="6" t="s">
        <v>10558</v>
      </c>
    </row>
    <row r="2473" spans="1:13" ht="13" x14ac:dyDescent="0.15">
      <c r="A2473" s="5" t="str">
        <f>HYPERLINK("https://onemount.atlassian.net/browse/DBA-2443","DBA-2443")</f>
        <v>DBA-2443</v>
      </c>
      <c r="B2473" s="23" t="str">
        <f t="shared" si="32"/>
        <v>DBA-2409</v>
      </c>
      <c r="C2473" s="6" t="s">
        <v>10559</v>
      </c>
      <c r="D2473" s="8" t="s">
        <v>17</v>
      </c>
      <c r="E2473" s="6" t="s">
        <v>428</v>
      </c>
      <c r="F2473" s="6" t="s">
        <v>31</v>
      </c>
      <c r="G2473" s="6" t="s">
        <v>10560</v>
      </c>
      <c r="H2473" s="10">
        <v>46025</v>
      </c>
      <c r="I2473" s="6" t="s">
        <v>10561</v>
      </c>
      <c r="J2473" s="6" t="s">
        <v>655</v>
      </c>
      <c r="K2473" s="6" t="s">
        <v>35</v>
      </c>
      <c r="L2473" s="6" t="s">
        <v>655</v>
      </c>
      <c r="M2473" s="6" t="s">
        <v>10562</v>
      </c>
    </row>
    <row r="2474" spans="1:13" ht="13" x14ac:dyDescent="0.15">
      <c r="A2474" s="5" t="str">
        <f>HYPERLINK("https://onemount.atlassian.net/browse/DBA-2442","DBA-2442")</f>
        <v>DBA-2442</v>
      </c>
      <c r="B2474" s="23" t="str">
        <f t="shared" si="32"/>
        <v>DBA-2409</v>
      </c>
      <c r="C2474" s="6" t="s">
        <v>10563</v>
      </c>
      <c r="D2474" s="8" t="s">
        <v>17</v>
      </c>
      <c r="E2474" s="6" t="s">
        <v>428</v>
      </c>
      <c r="F2474" s="6" t="s">
        <v>31</v>
      </c>
      <c r="G2474" s="6" t="s">
        <v>10564</v>
      </c>
      <c r="H2474" s="10">
        <v>46025</v>
      </c>
      <c r="I2474" s="6" t="s">
        <v>10565</v>
      </c>
      <c r="J2474" s="6" t="s">
        <v>655</v>
      </c>
      <c r="K2474" s="6" t="s">
        <v>35</v>
      </c>
      <c r="L2474" s="6" t="s">
        <v>655</v>
      </c>
      <c r="M2474" s="6" t="s">
        <v>10566</v>
      </c>
    </row>
    <row r="2475" spans="1:13" ht="13" x14ac:dyDescent="0.15">
      <c r="A2475" s="5" t="str">
        <f>HYPERLINK("https://onemount.atlassian.net/browse/DBA-2441","DBA-2441")</f>
        <v>DBA-2441</v>
      </c>
      <c r="B2475" s="23" t="str">
        <f t="shared" si="32"/>
        <v>DBA-2409</v>
      </c>
      <c r="C2475" s="6" t="s">
        <v>10567</v>
      </c>
      <c r="D2475" s="8" t="s">
        <v>17</v>
      </c>
      <c r="E2475" s="6" t="s">
        <v>428</v>
      </c>
      <c r="F2475" s="6" t="s">
        <v>41</v>
      </c>
      <c r="G2475" s="6" t="s">
        <v>10568</v>
      </c>
      <c r="H2475" s="10">
        <v>46025</v>
      </c>
      <c r="I2475" s="6" t="s">
        <v>10569</v>
      </c>
      <c r="J2475" s="6" t="s">
        <v>655</v>
      </c>
      <c r="K2475" s="6" t="s">
        <v>46</v>
      </c>
      <c r="L2475" s="6" t="s">
        <v>655</v>
      </c>
      <c r="M2475" s="6" t="s">
        <v>10567</v>
      </c>
    </row>
    <row r="2476" spans="1:13" ht="13" x14ac:dyDescent="0.15">
      <c r="A2476" s="5" t="str">
        <f>HYPERLINK("https://onemount.atlassian.net/browse/DBA-2440","DBA-2440")</f>
        <v>DBA-2440</v>
      </c>
      <c r="B2476" s="23" t="str">
        <f t="shared" si="32"/>
        <v>DBA-2409</v>
      </c>
      <c r="C2476" s="6" t="s">
        <v>10570</v>
      </c>
      <c r="D2476" s="8" t="s">
        <v>17</v>
      </c>
      <c r="E2476" s="6" t="s">
        <v>428</v>
      </c>
      <c r="F2476" s="6" t="s">
        <v>24</v>
      </c>
      <c r="G2476" s="6" t="s">
        <v>10571</v>
      </c>
      <c r="H2476" s="10">
        <v>46053</v>
      </c>
      <c r="I2476" s="6" t="s">
        <v>10572</v>
      </c>
      <c r="J2476" s="6" t="s">
        <v>655</v>
      </c>
      <c r="K2476" s="6" t="s">
        <v>46</v>
      </c>
      <c r="L2476" s="6" t="s">
        <v>655</v>
      </c>
      <c r="M2476" s="6" t="s">
        <v>10573</v>
      </c>
    </row>
    <row r="2477" spans="1:13" ht="13" x14ac:dyDescent="0.15">
      <c r="A2477" s="5" t="str">
        <f>HYPERLINK("https://onemount.atlassian.net/browse/DBA-2439","DBA-2439")</f>
        <v>DBA-2439</v>
      </c>
      <c r="B2477" s="23" t="str">
        <f t="shared" si="32"/>
        <v>DBA-2409</v>
      </c>
      <c r="C2477" s="6" t="s">
        <v>10574</v>
      </c>
      <c r="D2477" s="8" t="s">
        <v>17</v>
      </c>
      <c r="E2477" s="6" t="s">
        <v>428</v>
      </c>
      <c r="F2477" s="6" t="s">
        <v>24</v>
      </c>
      <c r="G2477" s="6" t="s">
        <v>10575</v>
      </c>
      <c r="H2477" s="10">
        <v>46053</v>
      </c>
      <c r="I2477" s="6" t="s">
        <v>10576</v>
      </c>
      <c r="J2477" s="6" t="s">
        <v>655</v>
      </c>
      <c r="K2477" s="6" t="s">
        <v>46</v>
      </c>
      <c r="L2477" s="6" t="s">
        <v>655</v>
      </c>
      <c r="M2477" s="6" t="s">
        <v>10577</v>
      </c>
    </row>
    <row r="2478" spans="1:13" ht="13" x14ac:dyDescent="0.15">
      <c r="A2478" s="21" t="str">
        <f>HYPERLINK("https://onemount.atlassian.net/browse/DBA-2438","DBA-2438")</f>
        <v>DBA-2438</v>
      </c>
      <c r="B2478" s="23" t="str">
        <f t="shared" si="32"/>
        <v>DBA-2409</v>
      </c>
      <c r="C2478" s="6" t="s">
        <v>10578</v>
      </c>
      <c r="D2478" s="8" t="s">
        <v>17</v>
      </c>
      <c r="E2478" s="6" t="s">
        <v>428</v>
      </c>
      <c r="F2478" s="6" t="s">
        <v>41</v>
      </c>
      <c r="G2478" s="6" t="s">
        <v>10579</v>
      </c>
      <c r="H2478" s="10">
        <v>46025</v>
      </c>
      <c r="I2478" s="6" t="s">
        <v>10580</v>
      </c>
      <c r="J2478" s="6" t="s">
        <v>655</v>
      </c>
      <c r="K2478" s="6" t="s">
        <v>46</v>
      </c>
      <c r="L2478" s="6" t="s">
        <v>655</v>
      </c>
      <c r="M2478" s="6" t="s">
        <v>10581</v>
      </c>
    </row>
    <row r="2479" spans="1:13" ht="13" x14ac:dyDescent="0.15">
      <c r="A2479" s="21" t="str">
        <f>HYPERLINK("https://onemount.atlassian.net/browse/DBA-2437","DBA-2437")</f>
        <v>DBA-2437</v>
      </c>
      <c r="B2479" s="23" t="str">
        <f t="shared" si="32"/>
        <v>DBA-2409</v>
      </c>
      <c r="C2479" s="6" t="s">
        <v>10582</v>
      </c>
      <c r="D2479" s="8" t="s">
        <v>17</v>
      </c>
      <c r="E2479" s="6" t="s">
        <v>428</v>
      </c>
      <c r="F2479" s="6" t="s">
        <v>41</v>
      </c>
      <c r="G2479" s="6" t="s">
        <v>10583</v>
      </c>
      <c r="H2479" s="10">
        <v>46025</v>
      </c>
      <c r="I2479" s="6" t="s">
        <v>10584</v>
      </c>
      <c r="J2479" s="6" t="s">
        <v>655</v>
      </c>
      <c r="K2479" s="6" t="s">
        <v>46</v>
      </c>
      <c r="L2479" s="6" t="s">
        <v>655</v>
      </c>
      <c r="M2479" s="6" t="s">
        <v>10581</v>
      </c>
    </row>
    <row r="2480" spans="1:13" ht="13" x14ac:dyDescent="0.15">
      <c r="A2480" s="5" t="str">
        <f>HYPERLINK("https://onemount.atlassian.net/browse/DBA-2436","DBA-2436")</f>
        <v>DBA-2436</v>
      </c>
      <c r="B2480" s="23" t="str">
        <f t="shared" si="32"/>
        <v>DBA-2409</v>
      </c>
      <c r="C2480" s="6" t="s">
        <v>10585</v>
      </c>
      <c r="D2480" s="8" t="s">
        <v>17</v>
      </c>
      <c r="E2480" s="6" t="s">
        <v>428</v>
      </c>
      <c r="F2480" s="6" t="s">
        <v>24</v>
      </c>
      <c r="G2480" s="6" t="s">
        <v>10586</v>
      </c>
      <c r="H2480" s="10">
        <v>46053</v>
      </c>
      <c r="I2480" s="6" t="s">
        <v>10587</v>
      </c>
      <c r="J2480" s="6" t="s">
        <v>655</v>
      </c>
      <c r="K2480" s="6" t="s">
        <v>46</v>
      </c>
      <c r="L2480" s="6" t="s">
        <v>655</v>
      </c>
      <c r="M2480" s="6" t="s">
        <v>10588</v>
      </c>
    </row>
    <row r="2481" spans="1:13" ht="13" x14ac:dyDescent="0.15">
      <c r="A2481" s="5" t="str">
        <f>HYPERLINK("https://onemount.atlassian.net/browse/DBA-2435","DBA-2435")</f>
        <v>DBA-2435</v>
      </c>
      <c r="B2481" s="23" t="str">
        <f t="shared" si="32"/>
        <v>DBA-2409</v>
      </c>
      <c r="C2481" s="6" t="s">
        <v>10589</v>
      </c>
      <c r="D2481" s="8" t="s">
        <v>17</v>
      </c>
      <c r="E2481" s="6" t="s">
        <v>428</v>
      </c>
      <c r="F2481" s="6" t="s">
        <v>24</v>
      </c>
      <c r="G2481" s="6" t="s">
        <v>10590</v>
      </c>
      <c r="H2481" s="10">
        <v>46053</v>
      </c>
      <c r="I2481" s="6" t="s">
        <v>10591</v>
      </c>
      <c r="J2481" s="6" t="s">
        <v>655</v>
      </c>
      <c r="K2481" s="6" t="s">
        <v>46</v>
      </c>
      <c r="L2481" s="6" t="s">
        <v>655</v>
      </c>
      <c r="M2481" s="6" t="s">
        <v>10592</v>
      </c>
    </row>
    <row r="2482" spans="1:13" ht="13" x14ac:dyDescent="0.15">
      <c r="A2482" s="5" t="str">
        <f>HYPERLINK("https://onemount.atlassian.net/browse/DBA-2434","DBA-2434")</f>
        <v>DBA-2434</v>
      </c>
      <c r="B2482" s="23" t="str">
        <f t="shared" si="32"/>
        <v>DBA-2409</v>
      </c>
      <c r="C2482" s="6" t="s">
        <v>10593</v>
      </c>
      <c r="D2482" s="8" t="s">
        <v>17</v>
      </c>
      <c r="E2482" s="6" t="s">
        <v>428</v>
      </c>
      <c r="F2482" s="6" t="s">
        <v>24</v>
      </c>
      <c r="G2482" s="6" t="s">
        <v>10594</v>
      </c>
      <c r="H2482" s="10">
        <v>46053</v>
      </c>
      <c r="I2482" s="6" t="s">
        <v>10595</v>
      </c>
      <c r="J2482" s="6" t="s">
        <v>655</v>
      </c>
      <c r="K2482" s="6" t="s">
        <v>46</v>
      </c>
      <c r="L2482" s="6" t="s">
        <v>655</v>
      </c>
      <c r="M2482" s="6" t="s">
        <v>10596</v>
      </c>
    </row>
    <row r="2483" spans="1:13" ht="13" x14ac:dyDescent="0.15">
      <c r="A2483" s="5" t="str">
        <f>HYPERLINK("https://onemount.atlassian.net/browse/DBA-2433","DBA-2433")</f>
        <v>DBA-2433</v>
      </c>
      <c r="B2483" s="23" t="str">
        <f t="shared" si="32"/>
        <v>DBA-2409</v>
      </c>
      <c r="C2483" s="6" t="s">
        <v>10597</v>
      </c>
      <c r="D2483" s="8" t="s">
        <v>17</v>
      </c>
      <c r="E2483" s="6" t="s">
        <v>428</v>
      </c>
      <c r="F2483" s="6" t="s">
        <v>87</v>
      </c>
      <c r="G2483" s="6" t="s">
        <v>10598</v>
      </c>
      <c r="H2483" s="10">
        <v>46025</v>
      </c>
      <c r="I2483" s="6" t="s">
        <v>10599</v>
      </c>
      <c r="J2483" s="6" t="s">
        <v>655</v>
      </c>
      <c r="K2483" s="6" t="s">
        <v>55</v>
      </c>
      <c r="L2483" s="6" t="s">
        <v>655</v>
      </c>
      <c r="M2483" s="6" t="s">
        <v>10600</v>
      </c>
    </row>
    <row r="2484" spans="1:13" ht="13" x14ac:dyDescent="0.15">
      <c r="A2484" s="5" t="str">
        <f>HYPERLINK("https://onemount.atlassian.net/browse/DBA-2432","DBA-2432")</f>
        <v>DBA-2432</v>
      </c>
      <c r="B2484" s="23" t="str">
        <f t="shared" si="32"/>
        <v>DBA-2409</v>
      </c>
      <c r="C2484" s="6" t="s">
        <v>10601</v>
      </c>
      <c r="D2484" s="8" t="s">
        <v>17</v>
      </c>
      <c r="E2484" s="6" t="s">
        <v>428</v>
      </c>
      <c r="F2484" s="6" t="s">
        <v>24</v>
      </c>
      <c r="G2484" s="6" t="s">
        <v>10602</v>
      </c>
      <c r="H2484" s="10">
        <v>46053</v>
      </c>
      <c r="I2484" s="6" t="s">
        <v>10603</v>
      </c>
      <c r="J2484" s="6" t="s">
        <v>655</v>
      </c>
      <c r="K2484" s="6" t="s">
        <v>46</v>
      </c>
      <c r="L2484" s="6" t="s">
        <v>655</v>
      </c>
      <c r="M2484" s="6" t="s">
        <v>10604</v>
      </c>
    </row>
    <row r="2485" spans="1:13" ht="13" x14ac:dyDescent="0.15">
      <c r="A2485" s="5" t="str">
        <f>HYPERLINK("https://onemount.atlassian.net/browse/DBA-2431","DBA-2431")</f>
        <v>DBA-2431</v>
      </c>
      <c r="B2485" s="23" t="str">
        <f t="shared" si="32"/>
        <v>DBA-2409</v>
      </c>
      <c r="C2485" s="6" t="s">
        <v>10605</v>
      </c>
      <c r="D2485" s="8" t="s">
        <v>17</v>
      </c>
      <c r="E2485" s="6" t="s">
        <v>428</v>
      </c>
      <c r="F2485" s="6" t="s">
        <v>87</v>
      </c>
      <c r="G2485" s="6" t="s">
        <v>10606</v>
      </c>
      <c r="H2485" s="10">
        <v>46025</v>
      </c>
      <c r="I2485" s="6" t="s">
        <v>10607</v>
      </c>
      <c r="J2485" s="6" t="s">
        <v>655</v>
      </c>
      <c r="K2485" s="6" t="s">
        <v>55</v>
      </c>
      <c r="L2485" s="6" t="s">
        <v>655</v>
      </c>
      <c r="M2485" s="6" t="s">
        <v>10608</v>
      </c>
    </row>
    <row r="2486" spans="1:13" ht="13" x14ac:dyDescent="0.15">
      <c r="A2486" s="5" t="str">
        <f>HYPERLINK("https://onemount.atlassian.net/browse/DBA-2430","DBA-2430")</f>
        <v>DBA-2430</v>
      </c>
      <c r="B2486" s="23" t="str">
        <f t="shared" si="32"/>
        <v>DBA-2409</v>
      </c>
      <c r="C2486" s="6" t="s">
        <v>10609</v>
      </c>
      <c r="D2486" s="8" t="s">
        <v>17</v>
      </c>
      <c r="E2486" s="6" t="s">
        <v>428</v>
      </c>
      <c r="F2486" s="6" t="s">
        <v>24</v>
      </c>
      <c r="G2486" s="6" t="s">
        <v>10610</v>
      </c>
      <c r="H2486" s="10">
        <v>46053</v>
      </c>
      <c r="I2486" s="6" t="s">
        <v>10611</v>
      </c>
      <c r="J2486" s="6" t="s">
        <v>655</v>
      </c>
      <c r="K2486" s="6" t="s">
        <v>46</v>
      </c>
      <c r="L2486" s="6" t="s">
        <v>655</v>
      </c>
      <c r="M2486" s="6" t="s">
        <v>10612</v>
      </c>
    </row>
    <row r="2487" spans="1:13" ht="13" x14ac:dyDescent="0.15">
      <c r="A2487" s="5" t="str">
        <f>HYPERLINK("https://onemount.atlassian.net/browse/DBA-2429","DBA-2429")</f>
        <v>DBA-2429</v>
      </c>
      <c r="B2487" s="23" t="str">
        <f t="shared" si="32"/>
        <v>DBA-2409</v>
      </c>
      <c r="C2487" s="6" t="s">
        <v>10613</v>
      </c>
      <c r="D2487" s="8" t="s">
        <v>17</v>
      </c>
      <c r="E2487" s="6" t="s">
        <v>428</v>
      </c>
      <c r="F2487" s="6" t="s">
        <v>31</v>
      </c>
      <c r="G2487" s="6" t="s">
        <v>10614</v>
      </c>
      <c r="H2487" s="10">
        <v>46023</v>
      </c>
      <c r="I2487" s="6" t="s">
        <v>10615</v>
      </c>
      <c r="J2487" s="6" t="s">
        <v>655</v>
      </c>
      <c r="K2487" s="6" t="s">
        <v>46</v>
      </c>
      <c r="L2487" s="6" t="s">
        <v>655</v>
      </c>
      <c r="M2487" s="6" t="s">
        <v>10616</v>
      </c>
    </row>
    <row r="2488" spans="1:13" ht="13" x14ac:dyDescent="0.15">
      <c r="A2488" s="5" t="str">
        <f>HYPERLINK("https://onemount.atlassian.net/browse/DBA-2428","DBA-2428")</f>
        <v>DBA-2428</v>
      </c>
      <c r="B2488" s="23" t="str">
        <f t="shared" si="32"/>
        <v>DBA-2409</v>
      </c>
      <c r="C2488" s="6" t="s">
        <v>10617</v>
      </c>
      <c r="D2488" s="8" t="s">
        <v>17</v>
      </c>
      <c r="E2488" s="6" t="s">
        <v>428</v>
      </c>
      <c r="F2488" s="6" t="s">
        <v>24</v>
      </c>
      <c r="G2488" s="6" t="s">
        <v>10618</v>
      </c>
      <c r="H2488" s="10">
        <v>46053</v>
      </c>
      <c r="I2488" s="6" t="s">
        <v>10619</v>
      </c>
      <c r="J2488" s="6" t="s">
        <v>655</v>
      </c>
      <c r="K2488" s="6" t="s">
        <v>46</v>
      </c>
      <c r="L2488" s="6" t="s">
        <v>655</v>
      </c>
      <c r="M2488" s="6" t="s">
        <v>10620</v>
      </c>
    </row>
    <row r="2489" spans="1:13" ht="13" x14ac:dyDescent="0.15">
      <c r="A2489" s="5" t="str">
        <f>HYPERLINK("https://onemount.atlassian.net/browse/DBA-2427","DBA-2427")</f>
        <v>DBA-2427</v>
      </c>
      <c r="B2489" s="23" t="str">
        <f t="shared" si="32"/>
        <v>DBA-2409</v>
      </c>
      <c r="C2489" s="6" t="s">
        <v>10621</v>
      </c>
      <c r="D2489" s="8" t="s">
        <v>17</v>
      </c>
      <c r="E2489" s="6" t="s">
        <v>428</v>
      </c>
      <c r="F2489" s="6" t="s">
        <v>31</v>
      </c>
      <c r="G2489" s="6" t="s">
        <v>10622</v>
      </c>
      <c r="H2489" s="10">
        <v>46023</v>
      </c>
      <c r="I2489" s="6" t="s">
        <v>10623</v>
      </c>
      <c r="J2489" s="6" t="s">
        <v>655</v>
      </c>
      <c r="K2489" s="6" t="s">
        <v>55</v>
      </c>
      <c r="L2489" s="6" t="s">
        <v>655</v>
      </c>
      <c r="M2489" s="6" t="s">
        <v>10624</v>
      </c>
    </row>
    <row r="2490" spans="1:13" ht="13" x14ac:dyDescent="0.15">
      <c r="A2490" s="5" t="str">
        <f>HYPERLINK("https://onemount.atlassian.net/browse/DBA-2426","DBA-2426")</f>
        <v>DBA-2426</v>
      </c>
      <c r="B2490" s="23" t="str">
        <f t="shared" si="32"/>
        <v>DBA-2409</v>
      </c>
      <c r="C2490" s="6" t="s">
        <v>10625</v>
      </c>
      <c r="D2490" s="8" t="s">
        <v>17</v>
      </c>
      <c r="E2490" s="6" t="s">
        <v>428</v>
      </c>
      <c r="F2490" s="6" t="s">
        <v>31</v>
      </c>
      <c r="G2490" s="6" t="s">
        <v>10626</v>
      </c>
      <c r="H2490" s="10">
        <v>46023</v>
      </c>
      <c r="I2490" s="6" t="s">
        <v>10627</v>
      </c>
      <c r="J2490" s="6" t="s">
        <v>655</v>
      </c>
      <c r="K2490" s="6" t="s">
        <v>55</v>
      </c>
      <c r="L2490" s="6" t="s">
        <v>655</v>
      </c>
      <c r="M2490" s="6" t="s">
        <v>10628</v>
      </c>
    </row>
    <row r="2491" spans="1:13" ht="13" x14ac:dyDescent="0.15">
      <c r="A2491" s="5" t="str">
        <f>HYPERLINK("https://onemount.atlassian.net/browse/DBA-2425","DBA-2425")</f>
        <v>DBA-2425</v>
      </c>
      <c r="B2491" s="23" t="str">
        <f t="shared" si="32"/>
        <v>DBA-2409</v>
      </c>
      <c r="C2491" s="6" t="s">
        <v>10629</v>
      </c>
      <c r="D2491" s="8" t="s">
        <v>17</v>
      </c>
      <c r="E2491" s="6" t="s">
        <v>428</v>
      </c>
      <c r="F2491" s="6" t="s">
        <v>87</v>
      </c>
      <c r="G2491" s="6" t="s">
        <v>10630</v>
      </c>
      <c r="H2491" s="10">
        <v>46025</v>
      </c>
      <c r="I2491" s="6" t="s">
        <v>10631</v>
      </c>
      <c r="J2491" s="6" t="s">
        <v>655</v>
      </c>
      <c r="K2491" s="6" t="s">
        <v>55</v>
      </c>
      <c r="L2491" s="6" t="s">
        <v>655</v>
      </c>
      <c r="M2491" s="6" t="s">
        <v>10632</v>
      </c>
    </row>
    <row r="2492" spans="1:13" ht="13" x14ac:dyDescent="0.15">
      <c r="A2492" s="5" t="str">
        <f>HYPERLINK("https://onemount.atlassian.net/browse/DBA-2424","DBA-2424")</f>
        <v>DBA-2424</v>
      </c>
      <c r="B2492" s="23" t="str">
        <f t="shared" si="32"/>
        <v>DBA-2409</v>
      </c>
      <c r="C2492" s="6" t="s">
        <v>10633</v>
      </c>
      <c r="D2492" s="8" t="s">
        <v>17</v>
      </c>
      <c r="E2492" s="6" t="s">
        <v>428</v>
      </c>
      <c r="F2492" s="6" t="s">
        <v>24</v>
      </c>
      <c r="G2492" s="6" t="s">
        <v>10634</v>
      </c>
      <c r="H2492" s="10">
        <v>46053</v>
      </c>
      <c r="I2492" s="6" t="s">
        <v>10635</v>
      </c>
      <c r="J2492" s="6" t="s">
        <v>655</v>
      </c>
      <c r="K2492" s="6" t="s">
        <v>46</v>
      </c>
      <c r="L2492" s="6" t="s">
        <v>655</v>
      </c>
      <c r="M2492" s="6" t="s">
        <v>10636</v>
      </c>
    </row>
    <row r="2493" spans="1:13" ht="13" x14ac:dyDescent="0.15">
      <c r="A2493" s="5" t="str">
        <f>HYPERLINK("https://onemount.atlassian.net/browse/DBA-2423","DBA-2423")</f>
        <v>DBA-2423</v>
      </c>
      <c r="B2493" s="23" t="str">
        <f t="shared" si="32"/>
        <v>DBA-2409</v>
      </c>
      <c r="C2493" s="6" t="s">
        <v>10637</v>
      </c>
      <c r="D2493" s="8" t="s">
        <v>17</v>
      </c>
      <c r="E2493" s="6" t="s">
        <v>428</v>
      </c>
      <c r="F2493" s="6" t="s">
        <v>24</v>
      </c>
      <c r="G2493" s="6" t="s">
        <v>10638</v>
      </c>
      <c r="H2493" s="10">
        <v>46053</v>
      </c>
      <c r="I2493" s="6" t="s">
        <v>10639</v>
      </c>
      <c r="J2493" s="6" t="s">
        <v>655</v>
      </c>
      <c r="K2493" s="6" t="s">
        <v>46</v>
      </c>
      <c r="L2493" s="6" t="s">
        <v>655</v>
      </c>
      <c r="M2493" s="6" t="s">
        <v>10640</v>
      </c>
    </row>
    <row r="2494" spans="1:13" ht="13" x14ac:dyDescent="0.15">
      <c r="A2494" s="5" t="str">
        <f>HYPERLINK("https://onemount.atlassian.net/browse/DBA-2422","DBA-2422")</f>
        <v>DBA-2422</v>
      </c>
      <c r="B2494" s="23" t="str">
        <f t="shared" si="32"/>
        <v>DBA-2409</v>
      </c>
      <c r="C2494" s="6" t="s">
        <v>10641</v>
      </c>
      <c r="D2494" s="8" t="s">
        <v>17</v>
      </c>
      <c r="E2494" s="6" t="s">
        <v>428</v>
      </c>
      <c r="F2494" s="6" t="s">
        <v>24</v>
      </c>
      <c r="G2494" s="6" t="s">
        <v>10642</v>
      </c>
      <c r="H2494" s="10">
        <v>46053</v>
      </c>
      <c r="I2494" s="6" t="s">
        <v>10643</v>
      </c>
      <c r="J2494" s="6" t="s">
        <v>655</v>
      </c>
      <c r="K2494" s="6" t="s">
        <v>46</v>
      </c>
      <c r="L2494" s="6" t="s">
        <v>655</v>
      </c>
      <c r="M2494" s="6" t="s">
        <v>10644</v>
      </c>
    </row>
    <row r="2495" spans="1:13" ht="13" x14ac:dyDescent="0.15">
      <c r="A2495" s="5" t="str">
        <f>HYPERLINK("https://onemount.atlassian.net/browse/DBA-2421","DBA-2421")</f>
        <v>DBA-2421</v>
      </c>
      <c r="B2495" s="23" t="str">
        <f t="shared" si="32"/>
        <v>DBA-2409</v>
      </c>
      <c r="C2495" s="6" t="s">
        <v>10645</v>
      </c>
      <c r="D2495" s="8" t="s">
        <v>17</v>
      </c>
      <c r="E2495" s="6" t="s">
        <v>428</v>
      </c>
      <c r="F2495" s="6" t="s">
        <v>31</v>
      </c>
      <c r="G2495" s="6" t="s">
        <v>10646</v>
      </c>
      <c r="H2495" s="10">
        <v>46023</v>
      </c>
      <c r="I2495" s="6" t="s">
        <v>10647</v>
      </c>
      <c r="J2495" s="6" t="s">
        <v>655</v>
      </c>
      <c r="K2495" s="6" t="s">
        <v>46</v>
      </c>
      <c r="L2495" s="6" t="s">
        <v>655</v>
      </c>
      <c r="M2495" s="6" t="s">
        <v>10648</v>
      </c>
    </row>
    <row r="2496" spans="1:13" ht="13" x14ac:dyDescent="0.15">
      <c r="A2496" s="5" t="str">
        <f>HYPERLINK("https://onemount.atlassian.net/browse/DBA-2419","DBA-2419")</f>
        <v>DBA-2419</v>
      </c>
      <c r="B2496" s="23" t="str">
        <f t="shared" si="32"/>
        <v>DBA-2409</v>
      </c>
      <c r="C2496" s="6" t="s">
        <v>10649</v>
      </c>
      <c r="D2496" s="8" t="s">
        <v>17</v>
      </c>
      <c r="E2496" s="6" t="s">
        <v>428</v>
      </c>
      <c r="F2496" s="6" t="s">
        <v>31</v>
      </c>
      <c r="G2496" s="6" t="s">
        <v>10650</v>
      </c>
      <c r="H2496" s="10">
        <v>46023</v>
      </c>
      <c r="I2496" s="6" t="s">
        <v>10651</v>
      </c>
      <c r="J2496" s="6" t="s">
        <v>655</v>
      </c>
      <c r="K2496" s="6" t="s">
        <v>46</v>
      </c>
      <c r="L2496" s="6" t="s">
        <v>655</v>
      </c>
      <c r="M2496" s="6" t="s">
        <v>10652</v>
      </c>
    </row>
    <row r="2497" spans="1:13" ht="13" x14ac:dyDescent="0.15">
      <c r="A2497" s="5" t="str">
        <f>HYPERLINK("https://onemount.atlassian.net/browse/DBA-2418","DBA-2418")</f>
        <v>DBA-2418</v>
      </c>
      <c r="B2497" s="23" t="str">
        <f t="shared" si="32"/>
        <v>DBA-2409</v>
      </c>
      <c r="C2497" s="6" t="s">
        <v>10653</v>
      </c>
      <c r="D2497" s="8" t="s">
        <v>17</v>
      </c>
      <c r="E2497" s="6" t="s">
        <v>428</v>
      </c>
      <c r="F2497" s="6" t="s">
        <v>31</v>
      </c>
      <c r="G2497" s="6" t="s">
        <v>10654</v>
      </c>
      <c r="H2497" s="10">
        <v>46023</v>
      </c>
      <c r="I2497" s="6" t="s">
        <v>10655</v>
      </c>
      <c r="J2497" s="6" t="s">
        <v>655</v>
      </c>
      <c r="K2497" s="6" t="s">
        <v>46</v>
      </c>
      <c r="L2497" s="6" t="s">
        <v>655</v>
      </c>
      <c r="M2497" s="6" t="s">
        <v>10656</v>
      </c>
    </row>
    <row r="2498" spans="1:13" ht="13" x14ac:dyDescent="0.15">
      <c r="A2498" s="5" t="str">
        <f>HYPERLINK("https://onemount.atlassian.net/browse/DBA-2417","DBA-2417")</f>
        <v>DBA-2417</v>
      </c>
      <c r="B2498" s="23" t="str">
        <f t="shared" ref="B2498:B2500" si="33">HYPERLINK("https://onemount.atlassian.net/browse/DBA-2408","DBA-2408")</f>
        <v>DBA-2408</v>
      </c>
      <c r="C2498" s="6" t="s">
        <v>10657</v>
      </c>
      <c r="D2498" s="8" t="s">
        <v>17</v>
      </c>
      <c r="E2498" s="6" t="s">
        <v>428</v>
      </c>
      <c r="F2498" s="6" t="s">
        <v>31</v>
      </c>
      <c r="G2498" s="6" t="s">
        <v>10658</v>
      </c>
      <c r="H2498" s="10">
        <v>45916</v>
      </c>
      <c r="I2498" s="6" t="s">
        <v>10659</v>
      </c>
      <c r="J2498" s="6" t="s">
        <v>655</v>
      </c>
      <c r="K2498" s="6" t="s">
        <v>35</v>
      </c>
      <c r="L2498" s="6" t="s">
        <v>655</v>
      </c>
      <c r="M2498" s="6" t="s">
        <v>10660</v>
      </c>
    </row>
    <row r="2499" spans="1:13" ht="13" x14ac:dyDescent="0.15">
      <c r="A2499" s="5" t="str">
        <f>HYPERLINK("https://onemount.atlassian.net/browse/DBA-2416","DBA-2416")</f>
        <v>DBA-2416</v>
      </c>
      <c r="B2499" s="23" t="str">
        <f t="shared" si="33"/>
        <v>DBA-2408</v>
      </c>
      <c r="C2499" s="6" t="s">
        <v>10661</v>
      </c>
      <c r="D2499" s="8" t="s">
        <v>17</v>
      </c>
      <c r="E2499" s="6" t="s">
        <v>428</v>
      </c>
      <c r="F2499" s="6" t="s">
        <v>31</v>
      </c>
      <c r="G2499" s="6" t="s">
        <v>10662</v>
      </c>
      <c r="H2499" s="10">
        <v>45915</v>
      </c>
      <c r="I2499" s="6" t="s">
        <v>10663</v>
      </c>
      <c r="J2499" s="6" t="s">
        <v>655</v>
      </c>
      <c r="K2499" s="6" t="s">
        <v>35</v>
      </c>
      <c r="L2499" s="6" t="s">
        <v>655</v>
      </c>
      <c r="M2499" s="6" t="s">
        <v>10664</v>
      </c>
    </row>
    <row r="2500" spans="1:13" ht="13" x14ac:dyDescent="0.15">
      <c r="A2500" s="5" t="str">
        <f>HYPERLINK("https://onemount.atlassian.net/browse/DBA-2415","DBA-2415")</f>
        <v>DBA-2415</v>
      </c>
      <c r="B2500" s="23" t="str">
        <f t="shared" si="33"/>
        <v>DBA-2408</v>
      </c>
      <c r="C2500" s="6" t="s">
        <v>10665</v>
      </c>
      <c r="D2500" s="8" t="s">
        <v>17</v>
      </c>
      <c r="E2500" s="6" t="s">
        <v>428</v>
      </c>
      <c r="F2500" s="6" t="s">
        <v>24</v>
      </c>
      <c r="G2500" s="6" t="s">
        <v>10666</v>
      </c>
      <c r="H2500" s="10">
        <v>45980</v>
      </c>
      <c r="I2500" s="6" t="s">
        <v>10667</v>
      </c>
      <c r="J2500" s="6" t="s">
        <v>28</v>
      </c>
      <c r="K2500" s="6" t="s">
        <v>28</v>
      </c>
      <c r="L2500" s="6" t="s">
        <v>655</v>
      </c>
      <c r="M2500" s="6" t="s">
        <v>10668</v>
      </c>
    </row>
    <row r="2501" spans="1:13" ht="13" x14ac:dyDescent="0.15">
      <c r="A2501" s="5" t="str">
        <f>HYPERLINK("https://onemount.atlassian.net/browse/DBA-2414","DBA-2414")</f>
        <v>DBA-2414</v>
      </c>
      <c r="B2501" s="23" t="str">
        <f t="shared" ref="B2501:B2502" si="34">HYPERLINK("https://onemount.atlassian.net/browse/DBA-2410","DBA-2410")</f>
        <v>DBA-2410</v>
      </c>
      <c r="C2501" s="6" t="s">
        <v>10669</v>
      </c>
      <c r="D2501" s="8" t="s">
        <v>17</v>
      </c>
      <c r="E2501" s="6" t="s">
        <v>428</v>
      </c>
      <c r="F2501" s="6" t="s">
        <v>41</v>
      </c>
      <c r="G2501" s="6" t="s">
        <v>10670</v>
      </c>
      <c r="H2501" s="10">
        <v>46025</v>
      </c>
      <c r="I2501" s="6" t="s">
        <v>10671</v>
      </c>
      <c r="J2501" s="6" t="s">
        <v>655</v>
      </c>
      <c r="K2501" s="6" t="s">
        <v>46</v>
      </c>
      <c r="L2501" s="6" t="s">
        <v>655</v>
      </c>
      <c r="M2501" s="6" t="s">
        <v>10672</v>
      </c>
    </row>
    <row r="2502" spans="1:13" ht="13" x14ac:dyDescent="0.15">
      <c r="A2502" s="5" t="str">
        <f>HYPERLINK("https://onemount.atlassian.net/browse/DBA-2413","DBA-2413")</f>
        <v>DBA-2413</v>
      </c>
      <c r="B2502" s="23" t="str">
        <f t="shared" si="34"/>
        <v>DBA-2410</v>
      </c>
      <c r="C2502" s="6" t="s">
        <v>10673</v>
      </c>
      <c r="D2502" s="8" t="s">
        <v>17</v>
      </c>
      <c r="E2502" s="6" t="s">
        <v>428</v>
      </c>
      <c r="F2502" s="6" t="s">
        <v>31</v>
      </c>
      <c r="G2502" s="6" t="s">
        <v>10674</v>
      </c>
      <c r="H2502" s="10">
        <v>46053</v>
      </c>
      <c r="I2502" s="6" t="s">
        <v>10675</v>
      </c>
      <c r="J2502" s="6" t="s">
        <v>655</v>
      </c>
      <c r="K2502" s="6" t="s">
        <v>46</v>
      </c>
      <c r="L2502" s="6" t="s">
        <v>655</v>
      </c>
      <c r="M2502" s="6" t="s">
        <v>10676</v>
      </c>
    </row>
    <row r="2503" spans="1:13" ht="13" x14ac:dyDescent="0.15">
      <c r="A2503" s="5" t="str">
        <f>HYPERLINK("https://onemount.atlassian.net/browse/DBA-2412","DBA-2412")</f>
        <v>DBA-2412</v>
      </c>
      <c r="B2503" s="23" t="str">
        <f>HYPERLINK("https://onemount.atlassian.net/browse/DBA-2407","DBA-2407")</f>
        <v>DBA-2407</v>
      </c>
      <c r="C2503" s="6" t="s">
        <v>7301</v>
      </c>
      <c r="D2503" s="8" t="s">
        <v>17</v>
      </c>
      <c r="E2503" s="6" t="s">
        <v>428</v>
      </c>
      <c r="F2503" s="6" t="s">
        <v>41</v>
      </c>
      <c r="G2503" s="6" t="s">
        <v>10677</v>
      </c>
      <c r="H2503" s="10">
        <v>46025</v>
      </c>
      <c r="I2503" s="6" t="s">
        <v>10678</v>
      </c>
      <c r="J2503" s="6" t="s">
        <v>655</v>
      </c>
      <c r="K2503" s="6" t="s">
        <v>46</v>
      </c>
      <c r="L2503" s="6" t="s">
        <v>655</v>
      </c>
      <c r="M2503" s="6" t="s">
        <v>10679</v>
      </c>
    </row>
    <row r="2504" spans="1:13" ht="13" x14ac:dyDescent="0.15">
      <c r="A2504" s="5" t="str">
        <f>HYPERLINK("https://onemount.atlassian.net/browse/DBA-2411","DBA-2411")</f>
        <v>DBA-2411</v>
      </c>
      <c r="B2504" s="23" t="str">
        <f>HYPERLINK("https://onemount.atlassian.net/browse/DBA-2408","DBA-2408")</f>
        <v>DBA-2408</v>
      </c>
      <c r="C2504" s="6" t="s">
        <v>10680</v>
      </c>
      <c r="D2504" s="8" t="s">
        <v>17</v>
      </c>
      <c r="E2504" s="6" t="s">
        <v>428</v>
      </c>
      <c r="F2504" s="6" t="s">
        <v>31</v>
      </c>
      <c r="G2504" s="6" t="s">
        <v>10681</v>
      </c>
      <c r="H2504" s="10">
        <v>45934</v>
      </c>
      <c r="I2504" s="6" t="s">
        <v>10682</v>
      </c>
      <c r="J2504" s="6" t="s">
        <v>655</v>
      </c>
      <c r="K2504" s="6" t="s">
        <v>46</v>
      </c>
      <c r="L2504" s="6" t="s">
        <v>655</v>
      </c>
      <c r="M2504" s="6" t="s">
        <v>10683</v>
      </c>
    </row>
    <row r="2505" spans="1:13" ht="13" x14ac:dyDescent="0.15">
      <c r="A2505" s="21" t="str">
        <f>HYPERLINK("https://onemount.atlassian.net/browse/DBA-2410","DBA-2410")</f>
        <v>DBA-2410</v>
      </c>
      <c r="B2505" s="23" t="str">
        <f t="shared" ref="B2505:B2508" si="35">HYPERLINK("https://onemount.atlassian.net/browse/DBA-2333","DBA-2333")</f>
        <v>DBA-2333</v>
      </c>
      <c r="C2505" s="6" t="s">
        <v>10684</v>
      </c>
      <c r="D2505" s="8" t="s">
        <v>17</v>
      </c>
      <c r="E2505" s="6" t="s">
        <v>23</v>
      </c>
      <c r="F2505" s="6" t="s">
        <v>94</v>
      </c>
      <c r="G2505" s="6" t="s">
        <v>10685</v>
      </c>
      <c r="H2505" s="10">
        <v>46025</v>
      </c>
      <c r="I2505" s="6" t="s">
        <v>10686</v>
      </c>
      <c r="J2505" s="6" t="s">
        <v>655</v>
      </c>
      <c r="K2505" s="6" t="s">
        <v>46</v>
      </c>
      <c r="L2505" s="6" t="s">
        <v>655</v>
      </c>
      <c r="M2505" s="6" t="s">
        <v>10687</v>
      </c>
    </row>
    <row r="2506" spans="1:13" ht="13" x14ac:dyDescent="0.15">
      <c r="A2506" s="21" t="str">
        <f>HYPERLINK("https://onemount.atlassian.net/browse/DBA-2409","DBA-2409")</f>
        <v>DBA-2409</v>
      </c>
      <c r="B2506" s="23" t="str">
        <f t="shared" si="35"/>
        <v>DBA-2333</v>
      </c>
      <c r="C2506" s="6" t="s">
        <v>10688</v>
      </c>
      <c r="D2506" s="8" t="s">
        <v>17</v>
      </c>
      <c r="E2506" s="6" t="s">
        <v>23</v>
      </c>
      <c r="F2506" s="6" t="s">
        <v>94</v>
      </c>
      <c r="G2506" s="6" t="s">
        <v>10689</v>
      </c>
      <c r="H2506" s="10">
        <v>46025</v>
      </c>
      <c r="I2506" s="6" t="s">
        <v>10690</v>
      </c>
      <c r="J2506" s="6" t="s">
        <v>655</v>
      </c>
      <c r="K2506" s="6" t="s">
        <v>46</v>
      </c>
      <c r="L2506" s="6" t="s">
        <v>655</v>
      </c>
      <c r="M2506" s="6" t="s">
        <v>10687</v>
      </c>
    </row>
    <row r="2507" spans="1:13" ht="13" x14ac:dyDescent="0.15">
      <c r="A2507" s="21" t="str">
        <f>HYPERLINK("https://onemount.atlassian.net/browse/DBA-2408","DBA-2408")</f>
        <v>DBA-2408</v>
      </c>
      <c r="B2507" s="23" t="str">
        <f t="shared" si="35"/>
        <v>DBA-2333</v>
      </c>
      <c r="C2507" s="6" t="s">
        <v>10691</v>
      </c>
      <c r="D2507" s="8" t="s">
        <v>17</v>
      </c>
      <c r="E2507" s="6" t="s">
        <v>23</v>
      </c>
      <c r="F2507" s="6" t="s">
        <v>94</v>
      </c>
      <c r="G2507" s="6" t="s">
        <v>10692</v>
      </c>
      <c r="H2507" s="10">
        <v>46023</v>
      </c>
      <c r="I2507" s="6" t="s">
        <v>10693</v>
      </c>
      <c r="J2507" s="6" t="s">
        <v>655</v>
      </c>
      <c r="K2507" s="6" t="s">
        <v>46</v>
      </c>
      <c r="L2507" s="6" t="s">
        <v>655</v>
      </c>
      <c r="M2507" s="6" t="s">
        <v>10687</v>
      </c>
    </row>
    <row r="2508" spans="1:13" ht="13" x14ac:dyDescent="0.15">
      <c r="A2508" s="21" t="str">
        <f>HYPERLINK("https://onemount.atlassian.net/browse/DBA-2407","DBA-2407")</f>
        <v>DBA-2407</v>
      </c>
      <c r="B2508" s="23" t="str">
        <f t="shared" si="35"/>
        <v>DBA-2333</v>
      </c>
      <c r="C2508" s="6" t="s">
        <v>10694</v>
      </c>
      <c r="D2508" s="8" t="s">
        <v>17</v>
      </c>
      <c r="E2508" s="6" t="s">
        <v>23</v>
      </c>
      <c r="F2508" s="6" t="s">
        <v>94</v>
      </c>
      <c r="G2508" s="6" t="s">
        <v>10695</v>
      </c>
      <c r="H2508" s="10">
        <v>46023</v>
      </c>
      <c r="I2508" s="6" t="s">
        <v>10696</v>
      </c>
      <c r="J2508" s="6" t="s">
        <v>655</v>
      </c>
      <c r="K2508" s="6" t="s">
        <v>46</v>
      </c>
      <c r="L2508" s="6" t="s">
        <v>655</v>
      </c>
      <c r="M2508" s="6" t="s">
        <v>10687</v>
      </c>
    </row>
    <row r="2509" spans="1:13" ht="13" x14ac:dyDescent="0.15">
      <c r="A2509" s="5" t="str">
        <f>HYPERLINK("https://onemount.atlassian.net/browse/DBA-2406","DBA-2406")</f>
        <v>DBA-2406</v>
      </c>
      <c r="B2509" s="6" t="s">
        <v>21</v>
      </c>
      <c r="C2509" s="6" t="s">
        <v>10697</v>
      </c>
      <c r="D2509" s="8" t="s">
        <v>17</v>
      </c>
      <c r="E2509" s="6" t="s">
        <v>23</v>
      </c>
      <c r="F2509" s="6" t="s">
        <v>31</v>
      </c>
      <c r="G2509" s="6" t="s">
        <v>10698</v>
      </c>
      <c r="H2509" s="10">
        <v>45913</v>
      </c>
      <c r="I2509" s="6" t="s">
        <v>10699</v>
      </c>
      <c r="J2509" s="6" t="s">
        <v>246</v>
      </c>
      <c r="K2509" s="6" t="s">
        <v>35</v>
      </c>
      <c r="L2509" s="6" t="s">
        <v>638</v>
      </c>
      <c r="M2509" s="6" t="s">
        <v>10700</v>
      </c>
    </row>
    <row r="2510" spans="1:13" ht="13" x14ac:dyDescent="0.15">
      <c r="A2510" s="5" t="str">
        <f>HYPERLINK("https://onemount.atlassian.net/browse/DBA-2405","DBA-2405")</f>
        <v>DBA-2405</v>
      </c>
      <c r="B2510" s="6" t="s">
        <v>21</v>
      </c>
      <c r="C2510" s="6" t="s">
        <v>10701</v>
      </c>
      <c r="D2510" s="8" t="s">
        <v>17</v>
      </c>
      <c r="E2510" s="6" t="s">
        <v>23</v>
      </c>
      <c r="F2510" s="6" t="s">
        <v>96</v>
      </c>
      <c r="G2510" s="6" t="s">
        <v>10702</v>
      </c>
      <c r="H2510" s="10">
        <v>45912</v>
      </c>
      <c r="I2510" s="6" t="s">
        <v>10703</v>
      </c>
      <c r="J2510" s="6" t="s">
        <v>1030</v>
      </c>
      <c r="K2510" s="6" t="s">
        <v>165</v>
      </c>
      <c r="L2510" s="6" t="s">
        <v>1032</v>
      </c>
      <c r="M2510" s="6" t="s">
        <v>10704</v>
      </c>
    </row>
    <row r="2511" spans="1:13" ht="13" x14ac:dyDescent="0.15">
      <c r="A2511" s="5" t="str">
        <f>HYPERLINK("https://onemount.atlassian.net/browse/DBA-2404","DBA-2404")</f>
        <v>DBA-2404</v>
      </c>
      <c r="B2511" s="6" t="s">
        <v>21</v>
      </c>
      <c r="C2511" s="6" t="s">
        <v>10705</v>
      </c>
      <c r="D2511" s="8" t="s">
        <v>17</v>
      </c>
      <c r="E2511" s="6" t="s">
        <v>23</v>
      </c>
      <c r="F2511" s="6" t="s">
        <v>31</v>
      </c>
      <c r="G2511" s="6" t="s">
        <v>10706</v>
      </c>
      <c r="H2511" s="10">
        <v>45913</v>
      </c>
      <c r="I2511" s="6" t="s">
        <v>10707</v>
      </c>
      <c r="J2511" s="6" t="s">
        <v>1187</v>
      </c>
      <c r="K2511" s="6" t="s">
        <v>35</v>
      </c>
      <c r="L2511" s="6" t="s">
        <v>1187</v>
      </c>
      <c r="M2511" s="6" t="s">
        <v>10708</v>
      </c>
    </row>
    <row r="2512" spans="1:13" ht="13" x14ac:dyDescent="0.15">
      <c r="A2512" s="5" t="str">
        <f>HYPERLINK("https://onemount.atlassian.net/browse/DBA-2403","DBA-2403")</f>
        <v>DBA-2403</v>
      </c>
      <c r="B2512" s="6" t="s">
        <v>21</v>
      </c>
      <c r="C2512" s="6" t="s">
        <v>10709</v>
      </c>
      <c r="D2512" s="8" t="s">
        <v>17</v>
      </c>
      <c r="E2512" s="6" t="s">
        <v>23</v>
      </c>
      <c r="F2512" s="6" t="s">
        <v>31</v>
      </c>
      <c r="G2512" s="6" t="s">
        <v>10710</v>
      </c>
      <c r="H2512" s="10">
        <v>45913</v>
      </c>
      <c r="I2512" s="6" t="s">
        <v>10711</v>
      </c>
      <c r="J2512" s="6" t="s">
        <v>1229</v>
      </c>
      <c r="K2512" s="6" t="s">
        <v>35</v>
      </c>
      <c r="L2512" s="6" t="s">
        <v>1229</v>
      </c>
      <c r="M2512" s="6" t="s">
        <v>10712</v>
      </c>
    </row>
    <row r="2513" spans="1:13" ht="13" x14ac:dyDescent="0.15">
      <c r="A2513" s="5" t="str">
        <f>HYPERLINK("https://onemount.atlassian.net/browse/DBA-2402","DBA-2402")</f>
        <v>DBA-2402</v>
      </c>
      <c r="B2513" s="6" t="s">
        <v>21</v>
      </c>
      <c r="C2513" s="6" t="s">
        <v>10701</v>
      </c>
      <c r="D2513" s="8" t="s">
        <v>17</v>
      </c>
      <c r="E2513" s="6" t="s">
        <v>23</v>
      </c>
      <c r="F2513" s="6" t="s">
        <v>96</v>
      </c>
      <c r="G2513" s="6" t="s">
        <v>10713</v>
      </c>
      <c r="H2513" s="10">
        <v>45912</v>
      </c>
      <c r="I2513" s="6" t="s">
        <v>10714</v>
      </c>
      <c r="J2513" s="6" t="s">
        <v>1030</v>
      </c>
      <c r="K2513" s="6" t="s">
        <v>165</v>
      </c>
      <c r="L2513" s="6" t="s">
        <v>1032</v>
      </c>
      <c r="M2513" s="6" t="s">
        <v>10715</v>
      </c>
    </row>
    <row r="2514" spans="1:13" ht="13" x14ac:dyDescent="0.15">
      <c r="A2514" s="5" t="str">
        <f>HYPERLINK("https://onemount.atlassian.net/browse/DBA-2401","DBA-2401")</f>
        <v>DBA-2401</v>
      </c>
      <c r="B2514" s="6" t="s">
        <v>21</v>
      </c>
      <c r="C2514" s="6" t="s">
        <v>10716</v>
      </c>
      <c r="D2514" s="8" t="s">
        <v>17</v>
      </c>
      <c r="E2514" s="6" t="s">
        <v>23</v>
      </c>
      <c r="F2514" s="6" t="s">
        <v>96</v>
      </c>
      <c r="G2514" s="6" t="s">
        <v>10717</v>
      </c>
      <c r="H2514" s="10">
        <v>45912</v>
      </c>
      <c r="I2514" s="6" t="s">
        <v>10718</v>
      </c>
      <c r="J2514" s="6" t="s">
        <v>165</v>
      </c>
      <c r="K2514" s="6" t="s">
        <v>165</v>
      </c>
      <c r="L2514" s="6" t="s">
        <v>288</v>
      </c>
      <c r="M2514" s="6" t="s">
        <v>10719</v>
      </c>
    </row>
    <row r="2515" spans="1:13" ht="13" x14ac:dyDescent="0.15">
      <c r="A2515" s="21" t="str">
        <f>HYPERLINK("https://onemount.atlassian.net/browse/DBA-2400","DBA-2400")</f>
        <v>DBA-2400</v>
      </c>
      <c r="B2515" s="23" t="str">
        <f>HYPERLINK("https://onemount.atlassian.net/browse/DBA-2333","DBA-2333")</f>
        <v>DBA-2333</v>
      </c>
      <c r="C2515" s="6" t="s">
        <v>10720</v>
      </c>
      <c r="D2515" s="8" t="s">
        <v>17</v>
      </c>
      <c r="E2515" s="6" t="s">
        <v>23</v>
      </c>
      <c r="F2515" s="6" t="s">
        <v>96</v>
      </c>
      <c r="G2515" s="6" t="s">
        <v>10721</v>
      </c>
      <c r="H2515" s="10">
        <v>45925</v>
      </c>
      <c r="I2515" s="6" t="s">
        <v>10722</v>
      </c>
      <c r="J2515" s="6" t="s">
        <v>655</v>
      </c>
      <c r="K2515" s="6" t="s">
        <v>46</v>
      </c>
      <c r="L2515" s="6" t="s">
        <v>655</v>
      </c>
      <c r="M2515" s="6" t="s">
        <v>10723</v>
      </c>
    </row>
    <row r="2516" spans="1:13" ht="13" x14ac:dyDescent="0.15">
      <c r="A2516" s="21" t="str">
        <f>HYPERLINK("https://onemount.atlassian.net/browse/DBA-2399","DBA-2399")</f>
        <v>DBA-2399</v>
      </c>
      <c r="B2516" s="6" t="s">
        <v>21</v>
      </c>
      <c r="C2516" s="6" t="s">
        <v>10720</v>
      </c>
      <c r="D2516" s="8" t="s">
        <v>17</v>
      </c>
      <c r="E2516" s="6" t="s">
        <v>23</v>
      </c>
      <c r="F2516" s="6" t="s">
        <v>96</v>
      </c>
      <c r="G2516" s="6" t="s">
        <v>10724</v>
      </c>
      <c r="H2516" s="10">
        <v>45914</v>
      </c>
      <c r="I2516" s="6" t="s">
        <v>10725</v>
      </c>
      <c r="J2516" s="6" t="s">
        <v>46</v>
      </c>
      <c r="K2516" s="6" t="s">
        <v>46</v>
      </c>
      <c r="L2516" s="6" t="s">
        <v>46</v>
      </c>
      <c r="M2516" s="6" t="s">
        <v>10723</v>
      </c>
    </row>
    <row r="2517" spans="1:13" ht="13" x14ac:dyDescent="0.15">
      <c r="A2517" s="5" t="str">
        <f>HYPERLINK("https://onemount.atlassian.net/browse/DBA-2398","DBA-2398")</f>
        <v>DBA-2398</v>
      </c>
      <c r="B2517" s="6" t="s">
        <v>21</v>
      </c>
      <c r="C2517" s="6" t="s">
        <v>10509</v>
      </c>
      <c r="D2517" s="8" t="s">
        <v>17</v>
      </c>
      <c r="E2517" s="6" t="s">
        <v>23</v>
      </c>
      <c r="F2517" s="6" t="s">
        <v>31</v>
      </c>
      <c r="G2517" s="6" t="s">
        <v>10726</v>
      </c>
      <c r="H2517" s="10">
        <v>45911</v>
      </c>
      <c r="I2517" s="6" t="s">
        <v>10727</v>
      </c>
      <c r="J2517" s="6" t="s">
        <v>55</v>
      </c>
      <c r="K2517" s="6" t="s">
        <v>55</v>
      </c>
      <c r="L2517" s="6" t="s">
        <v>956</v>
      </c>
      <c r="M2517" s="6" t="s">
        <v>10728</v>
      </c>
    </row>
    <row r="2518" spans="1:13" ht="13" x14ac:dyDescent="0.15">
      <c r="A2518" s="5" t="str">
        <f>HYPERLINK("https://onemount.atlassian.net/browse/DBA-2397","DBA-2397")</f>
        <v>DBA-2397</v>
      </c>
      <c r="B2518" s="6" t="s">
        <v>21</v>
      </c>
      <c r="C2518" s="6" t="s">
        <v>10729</v>
      </c>
      <c r="D2518" s="8" t="s">
        <v>17</v>
      </c>
      <c r="E2518" s="6" t="s">
        <v>23</v>
      </c>
      <c r="F2518" s="6" t="s">
        <v>96</v>
      </c>
      <c r="G2518" s="6" t="s">
        <v>10730</v>
      </c>
      <c r="H2518" s="10">
        <v>45911</v>
      </c>
      <c r="I2518" s="6" t="s">
        <v>10731</v>
      </c>
      <c r="J2518" s="6" t="s">
        <v>3369</v>
      </c>
      <c r="K2518" s="6" t="s">
        <v>168</v>
      </c>
      <c r="L2518" s="6" t="s">
        <v>1148</v>
      </c>
      <c r="M2518" s="6" t="s">
        <v>10732</v>
      </c>
    </row>
    <row r="2519" spans="1:13" ht="13" x14ac:dyDescent="0.15">
      <c r="A2519" s="5" t="str">
        <f>HYPERLINK("https://onemount.atlassian.net/browse/DBA-2396","DBA-2396")</f>
        <v>DBA-2396</v>
      </c>
      <c r="B2519" s="6" t="s">
        <v>21</v>
      </c>
      <c r="C2519" s="6" t="s">
        <v>10733</v>
      </c>
      <c r="D2519" s="8" t="s">
        <v>17</v>
      </c>
      <c r="E2519" s="6" t="s">
        <v>23</v>
      </c>
      <c r="F2519" s="6" t="s">
        <v>31</v>
      </c>
      <c r="G2519" s="6" t="s">
        <v>10734</v>
      </c>
      <c r="H2519" s="10">
        <v>45911</v>
      </c>
      <c r="I2519" s="6" t="s">
        <v>10735</v>
      </c>
      <c r="J2519" s="6" t="s">
        <v>10736</v>
      </c>
      <c r="K2519" s="6" t="s">
        <v>35</v>
      </c>
      <c r="L2519" s="6" t="s">
        <v>962</v>
      </c>
      <c r="M2519" s="6" t="s">
        <v>10737</v>
      </c>
    </row>
    <row r="2520" spans="1:13" ht="13" x14ac:dyDescent="0.15">
      <c r="A2520" s="5" t="str">
        <f>HYPERLINK("https://onemount.atlassian.net/browse/DBA-2395","DBA-2395")</f>
        <v>DBA-2395</v>
      </c>
      <c r="B2520" s="6" t="s">
        <v>21</v>
      </c>
      <c r="C2520" s="6" t="s">
        <v>10738</v>
      </c>
      <c r="D2520" s="8" t="s">
        <v>17</v>
      </c>
      <c r="E2520" s="6" t="s">
        <v>23</v>
      </c>
      <c r="F2520" s="6" t="s">
        <v>31</v>
      </c>
      <c r="G2520" s="6" t="s">
        <v>10739</v>
      </c>
      <c r="H2520" s="10">
        <v>45912</v>
      </c>
      <c r="I2520" s="6" t="s">
        <v>10740</v>
      </c>
      <c r="J2520" s="6" t="s">
        <v>4979</v>
      </c>
      <c r="K2520" s="6" t="s">
        <v>46</v>
      </c>
      <c r="L2520" s="6" t="s">
        <v>254</v>
      </c>
      <c r="M2520" s="6" t="s">
        <v>10741</v>
      </c>
    </row>
    <row r="2521" spans="1:13" ht="13" x14ac:dyDescent="0.15">
      <c r="A2521" s="5" t="str">
        <f>HYPERLINK("https://onemount.atlassian.net/browse/DBA-2393","DBA-2393")</f>
        <v>DBA-2393</v>
      </c>
      <c r="B2521" s="6" t="s">
        <v>21</v>
      </c>
      <c r="C2521" s="6" t="s">
        <v>10742</v>
      </c>
      <c r="D2521" s="8" t="s">
        <v>17</v>
      </c>
      <c r="E2521" s="6" t="s">
        <v>23</v>
      </c>
      <c r="F2521" s="6" t="s">
        <v>24</v>
      </c>
      <c r="G2521" s="6" t="s">
        <v>10743</v>
      </c>
      <c r="H2521" s="10">
        <v>45912</v>
      </c>
      <c r="I2521" s="6" t="s">
        <v>10744</v>
      </c>
      <c r="J2521" s="6" t="s">
        <v>56</v>
      </c>
      <c r="K2521" s="6" t="s">
        <v>55</v>
      </c>
      <c r="L2521" s="6" t="s">
        <v>56</v>
      </c>
      <c r="M2521" s="6" t="s">
        <v>10745</v>
      </c>
    </row>
    <row r="2522" spans="1:13" ht="13" x14ac:dyDescent="0.15">
      <c r="A2522" s="5" t="str">
        <f>HYPERLINK("https://onemount.atlassian.net/browse/DBA-2392","DBA-2392")</f>
        <v>DBA-2392</v>
      </c>
      <c r="B2522" s="6" t="s">
        <v>21</v>
      </c>
      <c r="C2522" s="6" t="s">
        <v>10746</v>
      </c>
      <c r="D2522" s="8" t="s">
        <v>17</v>
      </c>
      <c r="E2522" s="6" t="s">
        <v>1810</v>
      </c>
      <c r="F2522" s="6" t="s">
        <v>41</v>
      </c>
      <c r="G2522" s="6" t="s">
        <v>10747</v>
      </c>
      <c r="H2522" s="10">
        <v>45965</v>
      </c>
      <c r="I2522" s="6" t="s">
        <v>10748</v>
      </c>
      <c r="J2522" s="6" t="s">
        <v>28</v>
      </c>
      <c r="K2522" s="6" t="s">
        <v>28</v>
      </c>
      <c r="L2522" s="6" t="s">
        <v>28</v>
      </c>
      <c r="M2522" s="6" t="s">
        <v>10749</v>
      </c>
    </row>
    <row r="2523" spans="1:13" ht="13" x14ac:dyDescent="0.15">
      <c r="A2523" s="5" t="str">
        <f>HYPERLINK("https://onemount.atlassian.net/browse/DBA-2389","DBA-2389")</f>
        <v>DBA-2389</v>
      </c>
      <c r="B2523" s="6" t="s">
        <v>21</v>
      </c>
      <c r="C2523" s="6" t="s">
        <v>10750</v>
      </c>
      <c r="D2523" s="8" t="s">
        <v>17</v>
      </c>
      <c r="E2523" s="6" t="s">
        <v>23</v>
      </c>
      <c r="F2523" s="6" t="s">
        <v>31</v>
      </c>
      <c r="G2523" s="6" t="s">
        <v>10751</v>
      </c>
      <c r="H2523" s="10">
        <v>45910</v>
      </c>
      <c r="I2523" s="6" t="s">
        <v>10752</v>
      </c>
      <c r="J2523" s="6" t="s">
        <v>6575</v>
      </c>
      <c r="K2523" s="6" t="s">
        <v>35</v>
      </c>
      <c r="L2523" s="6" t="s">
        <v>962</v>
      </c>
      <c r="M2523" s="6" t="s">
        <v>10753</v>
      </c>
    </row>
    <row r="2524" spans="1:13" ht="13" x14ac:dyDescent="0.15">
      <c r="A2524" s="5" t="str">
        <f>HYPERLINK("https://onemount.atlassian.net/browse/DBA-2388","DBA-2388")</f>
        <v>DBA-2388</v>
      </c>
      <c r="B2524" s="6" t="s">
        <v>21</v>
      </c>
      <c r="C2524" s="6" t="s">
        <v>10754</v>
      </c>
      <c r="D2524" s="8" t="s">
        <v>17</v>
      </c>
      <c r="E2524" s="6" t="s">
        <v>23</v>
      </c>
      <c r="F2524" s="6" t="s">
        <v>31</v>
      </c>
      <c r="G2524" s="6" t="s">
        <v>10755</v>
      </c>
      <c r="H2524" s="10">
        <v>45910</v>
      </c>
      <c r="I2524" s="6" t="s">
        <v>10756</v>
      </c>
      <c r="J2524" s="6" t="s">
        <v>715</v>
      </c>
      <c r="K2524" s="6" t="s">
        <v>55</v>
      </c>
      <c r="L2524" s="6" t="s">
        <v>715</v>
      </c>
      <c r="M2524" s="6" t="s">
        <v>10757</v>
      </c>
    </row>
    <row r="2525" spans="1:13" ht="13" x14ac:dyDescent="0.15">
      <c r="A2525" s="5" t="str">
        <f>HYPERLINK("https://onemount.atlassian.net/browse/DBA-2387","DBA-2387")</f>
        <v>DBA-2387</v>
      </c>
      <c r="B2525" s="6" t="s">
        <v>21</v>
      </c>
      <c r="C2525" s="6" t="s">
        <v>7986</v>
      </c>
      <c r="D2525" s="8" t="s">
        <v>17</v>
      </c>
      <c r="E2525" s="6" t="s">
        <v>23</v>
      </c>
      <c r="F2525" s="6" t="s">
        <v>24</v>
      </c>
      <c r="G2525" s="6" t="s">
        <v>10758</v>
      </c>
      <c r="H2525" s="10">
        <v>45911</v>
      </c>
      <c r="I2525" s="6" t="s">
        <v>10759</v>
      </c>
      <c r="J2525" s="6" t="s">
        <v>4792</v>
      </c>
      <c r="K2525" s="6" t="s">
        <v>55</v>
      </c>
      <c r="L2525" s="6" t="s">
        <v>270</v>
      </c>
      <c r="M2525" s="6" t="s">
        <v>10760</v>
      </c>
    </row>
    <row r="2526" spans="1:13" ht="13" x14ac:dyDescent="0.15">
      <c r="A2526" s="5" t="str">
        <f>HYPERLINK("https://onemount.atlassian.net/browse/DBA-2386","DBA-2386")</f>
        <v>DBA-2386</v>
      </c>
      <c r="B2526" s="6" t="s">
        <v>21</v>
      </c>
      <c r="C2526" s="6" t="s">
        <v>10761</v>
      </c>
      <c r="D2526" s="8" t="s">
        <v>17</v>
      </c>
      <c r="E2526" s="6" t="s">
        <v>23</v>
      </c>
      <c r="F2526" s="6" t="s">
        <v>24</v>
      </c>
      <c r="G2526" s="6" t="s">
        <v>10762</v>
      </c>
      <c r="H2526" s="10">
        <v>45923</v>
      </c>
      <c r="I2526" s="6" t="s">
        <v>10763</v>
      </c>
      <c r="J2526" s="6" t="s">
        <v>165</v>
      </c>
      <c r="K2526" s="6" t="s">
        <v>165</v>
      </c>
      <c r="L2526" s="6" t="s">
        <v>39</v>
      </c>
      <c r="M2526" s="6" t="s">
        <v>10764</v>
      </c>
    </row>
    <row r="2527" spans="1:13" ht="13" x14ac:dyDescent="0.15">
      <c r="A2527" s="5" t="str">
        <f>HYPERLINK("https://onemount.atlassian.net/browse/DBA-2385","DBA-2385")</f>
        <v>DBA-2385</v>
      </c>
      <c r="B2527" s="6" t="s">
        <v>21</v>
      </c>
      <c r="C2527" s="6" t="s">
        <v>10765</v>
      </c>
      <c r="D2527" s="8" t="s">
        <v>17</v>
      </c>
      <c r="E2527" s="6" t="s">
        <v>23</v>
      </c>
      <c r="F2527" s="6" t="s">
        <v>24</v>
      </c>
      <c r="G2527" s="6" t="s">
        <v>10766</v>
      </c>
      <c r="H2527" s="10">
        <v>45911</v>
      </c>
      <c r="I2527" s="6" t="s">
        <v>10767</v>
      </c>
      <c r="J2527" s="6" t="s">
        <v>2440</v>
      </c>
      <c r="K2527" s="6" t="s">
        <v>165</v>
      </c>
      <c r="L2527" s="6" t="s">
        <v>119</v>
      </c>
      <c r="M2527" s="6" t="s">
        <v>10768</v>
      </c>
    </row>
    <row r="2528" spans="1:13" ht="13" x14ac:dyDescent="0.15">
      <c r="A2528" s="5" t="str">
        <f>HYPERLINK("https://onemount.atlassian.net/browse/DBA-2384","DBA-2384")</f>
        <v>DBA-2384</v>
      </c>
      <c r="B2528" s="6" t="s">
        <v>21</v>
      </c>
      <c r="C2528" s="6" t="s">
        <v>10769</v>
      </c>
      <c r="D2528" s="8" t="s">
        <v>17</v>
      </c>
      <c r="E2528" s="6" t="s">
        <v>23</v>
      </c>
      <c r="F2528" s="6" t="s">
        <v>96</v>
      </c>
      <c r="G2528" s="6" t="s">
        <v>10770</v>
      </c>
      <c r="H2528" s="10">
        <v>45911</v>
      </c>
      <c r="I2528" s="6" t="s">
        <v>10771</v>
      </c>
      <c r="J2528" s="6" t="s">
        <v>10772</v>
      </c>
      <c r="K2528" s="6" t="s">
        <v>28</v>
      </c>
      <c r="L2528" s="6" t="s">
        <v>1148</v>
      </c>
      <c r="M2528" s="6" t="s">
        <v>10773</v>
      </c>
    </row>
    <row r="2529" spans="1:13" ht="13" x14ac:dyDescent="0.15">
      <c r="A2529" s="5" t="str">
        <f>HYPERLINK("https://onemount.atlassian.net/browse/DBA-2383","DBA-2383")</f>
        <v>DBA-2383</v>
      </c>
      <c r="B2529" s="6" t="s">
        <v>21</v>
      </c>
      <c r="C2529" s="6" t="s">
        <v>10742</v>
      </c>
      <c r="D2529" s="8" t="s">
        <v>17</v>
      </c>
      <c r="E2529" s="6" t="s">
        <v>23</v>
      </c>
      <c r="F2529" s="6" t="s">
        <v>24</v>
      </c>
      <c r="G2529" s="6" t="s">
        <v>10774</v>
      </c>
      <c r="H2529" s="10">
        <v>45911</v>
      </c>
      <c r="I2529" s="6" t="s">
        <v>10775</v>
      </c>
      <c r="J2529" s="6" t="s">
        <v>56</v>
      </c>
      <c r="K2529" s="6" t="s">
        <v>55</v>
      </c>
      <c r="L2529" s="6" t="s">
        <v>56</v>
      </c>
      <c r="M2529" s="6" t="s">
        <v>10776</v>
      </c>
    </row>
    <row r="2530" spans="1:13" ht="13" x14ac:dyDescent="0.15">
      <c r="A2530" s="5" t="str">
        <f>HYPERLINK("https://onemount.atlassian.net/browse/DBA-2381","DBA-2381")</f>
        <v>DBA-2381</v>
      </c>
      <c r="B2530" s="6" t="s">
        <v>21</v>
      </c>
      <c r="C2530" s="6" t="s">
        <v>10777</v>
      </c>
      <c r="D2530" s="8" t="s">
        <v>17</v>
      </c>
      <c r="E2530" s="6" t="s">
        <v>23</v>
      </c>
      <c r="F2530" s="6" t="s">
        <v>96</v>
      </c>
      <c r="G2530" s="6" t="s">
        <v>10778</v>
      </c>
      <c r="H2530" s="10">
        <v>45911</v>
      </c>
      <c r="I2530" s="6" t="s">
        <v>10779</v>
      </c>
      <c r="J2530" s="6" t="s">
        <v>1898</v>
      </c>
      <c r="K2530" s="6" t="s">
        <v>165</v>
      </c>
      <c r="L2530" s="6" t="s">
        <v>1097</v>
      </c>
      <c r="M2530" s="6" t="s">
        <v>10780</v>
      </c>
    </row>
    <row r="2531" spans="1:13" ht="13" x14ac:dyDescent="0.15">
      <c r="A2531" s="5" t="str">
        <f>HYPERLINK("https://onemount.atlassian.net/browse/DBA-2380","DBA-2380")</f>
        <v>DBA-2380</v>
      </c>
      <c r="B2531" s="6" t="s">
        <v>21</v>
      </c>
      <c r="C2531" s="6" t="s">
        <v>10781</v>
      </c>
      <c r="D2531" s="8" t="s">
        <v>17</v>
      </c>
      <c r="E2531" s="6" t="s">
        <v>23</v>
      </c>
      <c r="F2531" s="6" t="s">
        <v>96</v>
      </c>
      <c r="G2531" s="6" t="s">
        <v>10782</v>
      </c>
      <c r="H2531" s="10">
        <v>45910</v>
      </c>
      <c r="I2531" s="6" t="s">
        <v>10783</v>
      </c>
      <c r="J2531" s="6" t="s">
        <v>1898</v>
      </c>
      <c r="K2531" s="6" t="s">
        <v>165</v>
      </c>
      <c r="L2531" s="6" t="s">
        <v>1097</v>
      </c>
      <c r="M2531" s="6" t="s">
        <v>10784</v>
      </c>
    </row>
    <row r="2532" spans="1:13" ht="13" x14ac:dyDescent="0.15">
      <c r="A2532" s="5" t="str">
        <f>HYPERLINK("https://onemount.atlassian.net/browse/DBA-2379","DBA-2379")</f>
        <v>DBA-2379</v>
      </c>
      <c r="B2532" s="6" t="s">
        <v>21</v>
      </c>
      <c r="C2532" s="6" t="s">
        <v>10785</v>
      </c>
      <c r="D2532" s="8" t="s">
        <v>17</v>
      </c>
      <c r="E2532" s="6" t="s">
        <v>23</v>
      </c>
      <c r="F2532" s="6" t="s">
        <v>96</v>
      </c>
      <c r="G2532" s="6" t="s">
        <v>10786</v>
      </c>
      <c r="H2532" s="10">
        <v>45910</v>
      </c>
      <c r="I2532" s="6" t="s">
        <v>10787</v>
      </c>
      <c r="J2532" s="6" t="s">
        <v>1898</v>
      </c>
      <c r="K2532" s="6" t="s">
        <v>165</v>
      </c>
      <c r="L2532" s="6" t="s">
        <v>1097</v>
      </c>
      <c r="M2532" s="6" t="s">
        <v>10788</v>
      </c>
    </row>
    <row r="2533" spans="1:13" ht="13" x14ac:dyDescent="0.15">
      <c r="A2533" s="5" t="str">
        <f>HYPERLINK("https://onemount.atlassian.net/browse/DBA-2378","DBA-2378")</f>
        <v>DBA-2378</v>
      </c>
      <c r="B2533" s="6" t="s">
        <v>21</v>
      </c>
      <c r="C2533" s="6" t="s">
        <v>10789</v>
      </c>
      <c r="D2533" s="8" t="s">
        <v>17</v>
      </c>
      <c r="E2533" s="6" t="s">
        <v>23</v>
      </c>
      <c r="F2533" s="6" t="s">
        <v>96</v>
      </c>
      <c r="G2533" s="6" t="s">
        <v>10790</v>
      </c>
      <c r="H2533" s="10">
        <v>45910</v>
      </c>
      <c r="I2533" s="6" t="s">
        <v>10791</v>
      </c>
      <c r="J2533" s="6" t="s">
        <v>1898</v>
      </c>
      <c r="K2533" s="6" t="s">
        <v>165</v>
      </c>
      <c r="L2533" s="6" t="s">
        <v>1097</v>
      </c>
      <c r="M2533" s="6" t="s">
        <v>10792</v>
      </c>
    </row>
    <row r="2534" spans="1:13" ht="13" x14ac:dyDescent="0.15">
      <c r="A2534" s="5" t="str">
        <f>HYPERLINK("https://onemount.atlassian.net/browse/DBA-2377","DBA-2377")</f>
        <v>DBA-2377</v>
      </c>
      <c r="B2534" s="6" t="s">
        <v>21</v>
      </c>
      <c r="C2534" s="6" t="s">
        <v>10789</v>
      </c>
      <c r="D2534" s="8" t="s">
        <v>17</v>
      </c>
      <c r="E2534" s="6" t="s">
        <v>23</v>
      </c>
      <c r="F2534" s="6" t="s">
        <v>96</v>
      </c>
      <c r="G2534" s="6" t="s">
        <v>10793</v>
      </c>
      <c r="H2534" s="10">
        <v>45911</v>
      </c>
      <c r="I2534" s="6" t="s">
        <v>10794</v>
      </c>
      <c r="J2534" s="6" t="s">
        <v>1898</v>
      </c>
      <c r="K2534" s="6" t="s">
        <v>165</v>
      </c>
      <c r="L2534" s="6" t="s">
        <v>1097</v>
      </c>
      <c r="M2534" s="6" t="s">
        <v>10795</v>
      </c>
    </row>
    <row r="2535" spans="1:13" ht="13" x14ac:dyDescent="0.15">
      <c r="A2535" s="5" t="str">
        <f>HYPERLINK("https://onemount.atlassian.net/browse/DBA-2376","DBA-2376")</f>
        <v>DBA-2376</v>
      </c>
      <c r="B2535" s="6" t="s">
        <v>21</v>
      </c>
      <c r="C2535" s="6" t="s">
        <v>10796</v>
      </c>
      <c r="D2535" s="8" t="s">
        <v>17</v>
      </c>
      <c r="E2535" s="6" t="s">
        <v>23</v>
      </c>
      <c r="F2535" s="6" t="s">
        <v>96</v>
      </c>
      <c r="G2535" s="6" t="s">
        <v>10797</v>
      </c>
      <c r="H2535" s="10">
        <v>45909</v>
      </c>
      <c r="I2535" s="6" t="s">
        <v>10798</v>
      </c>
      <c r="J2535" s="6" t="s">
        <v>628</v>
      </c>
      <c r="K2535" s="6" t="s">
        <v>165</v>
      </c>
      <c r="L2535" s="6" t="s">
        <v>119</v>
      </c>
      <c r="M2535" s="6" t="s">
        <v>10799</v>
      </c>
    </row>
    <row r="2536" spans="1:13" ht="13" x14ac:dyDescent="0.15">
      <c r="A2536" s="5" t="str">
        <f>HYPERLINK("https://onemount.atlassian.net/browse/DBA-2375","DBA-2375")</f>
        <v>DBA-2375</v>
      </c>
      <c r="B2536" s="23" t="str">
        <f>HYPERLINK("https://onemount.atlassian.net/browse/DBA-2374","DBA-2374")</f>
        <v>DBA-2374</v>
      </c>
      <c r="C2536" s="6" t="s">
        <v>10800</v>
      </c>
      <c r="D2536" s="8" t="s">
        <v>17</v>
      </c>
      <c r="E2536" s="6" t="s">
        <v>428</v>
      </c>
      <c r="F2536" s="6" t="s">
        <v>41</v>
      </c>
      <c r="G2536" s="6" t="s">
        <v>10801</v>
      </c>
      <c r="H2536" s="10">
        <v>45914</v>
      </c>
      <c r="I2536" s="6" t="s">
        <v>10802</v>
      </c>
      <c r="J2536" s="6" t="s">
        <v>72</v>
      </c>
      <c r="K2536" s="6" t="s">
        <v>72</v>
      </c>
      <c r="L2536" s="6" t="s">
        <v>109</v>
      </c>
      <c r="M2536" s="6" t="s">
        <v>10800</v>
      </c>
    </row>
    <row r="2537" spans="1:13" ht="13" x14ac:dyDescent="0.15">
      <c r="A2537" s="5" t="str">
        <f>HYPERLINK("https://onemount.atlassian.net/browse/DBA-2374","DBA-2374")</f>
        <v>DBA-2374</v>
      </c>
      <c r="B2537" s="6" t="s">
        <v>21</v>
      </c>
      <c r="C2537" s="6" t="s">
        <v>10803</v>
      </c>
      <c r="D2537" s="8" t="s">
        <v>17</v>
      </c>
      <c r="E2537" s="6" t="s">
        <v>1810</v>
      </c>
      <c r="F2537" s="6" t="s">
        <v>41</v>
      </c>
      <c r="G2537" s="6" t="s">
        <v>10804</v>
      </c>
      <c r="H2537" s="10">
        <v>45923</v>
      </c>
      <c r="I2537" s="6" t="s">
        <v>10805</v>
      </c>
      <c r="J2537" s="6" t="s">
        <v>10806</v>
      </c>
      <c r="K2537" s="6" t="s">
        <v>72</v>
      </c>
      <c r="L2537" s="6" t="s">
        <v>72</v>
      </c>
      <c r="M2537" s="6" t="s">
        <v>10807</v>
      </c>
    </row>
    <row r="2538" spans="1:13" ht="13" x14ac:dyDescent="0.15">
      <c r="A2538" s="5" t="str">
        <f>HYPERLINK("https://onemount.atlassian.net/browse/DBA-2373","DBA-2373")</f>
        <v>DBA-2373</v>
      </c>
      <c r="B2538" s="23" t="str">
        <f>HYPERLINK("https://onemount.atlassian.net/browse/DBA-2129","DBA-2129")</f>
        <v>DBA-2129</v>
      </c>
      <c r="C2538" s="6" t="s">
        <v>10808</v>
      </c>
      <c r="D2538" s="8" t="s">
        <v>17</v>
      </c>
      <c r="E2538" s="6" t="s">
        <v>428</v>
      </c>
      <c r="F2538" s="6" t="s">
        <v>41</v>
      </c>
      <c r="G2538" s="6" t="s">
        <v>10809</v>
      </c>
      <c r="H2538" s="10">
        <v>45921</v>
      </c>
      <c r="I2538" s="6" t="s">
        <v>10810</v>
      </c>
      <c r="J2538" s="6" t="s">
        <v>72</v>
      </c>
      <c r="K2538" s="6" t="s">
        <v>72</v>
      </c>
      <c r="L2538" s="6" t="s">
        <v>72</v>
      </c>
      <c r="M2538" s="6" t="s">
        <v>10808</v>
      </c>
    </row>
    <row r="2539" spans="1:13" ht="13" x14ac:dyDescent="0.15">
      <c r="A2539" s="5" t="str">
        <f>HYPERLINK("https://onemount.atlassian.net/browse/DBA-2370","DBA-2370")</f>
        <v>DBA-2370</v>
      </c>
      <c r="B2539" s="6" t="s">
        <v>21</v>
      </c>
      <c r="C2539" s="6" t="s">
        <v>10811</v>
      </c>
      <c r="D2539" s="8" t="s">
        <v>17</v>
      </c>
      <c r="E2539" s="6" t="s">
        <v>23</v>
      </c>
      <c r="F2539" s="6" t="s">
        <v>96</v>
      </c>
      <c r="G2539" s="6" t="s">
        <v>10812</v>
      </c>
      <c r="H2539" s="10">
        <v>45909</v>
      </c>
      <c r="I2539" s="6" t="s">
        <v>10813</v>
      </c>
      <c r="J2539" s="6" t="s">
        <v>1030</v>
      </c>
      <c r="K2539" s="6" t="s">
        <v>165</v>
      </c>
      <c r="L2539" s="6" t="s">
        <v>1032</v>
      </c>
      <c r="M2539" s="6" t="s">
        <v>10814</v>
      </c>
    </row>
    <row r="2540" spans="1:13" ht="13" x14ac:dyDescent="0.15">
      <c r="A2540" s="5" t="str">
        <f>HYPERLINK("https://onemount.atlassian.net/browse/DBA-2369","DBA-2369")</f>
        <v>DBA-2369</v>
      </c>
      <c r="B2540" s="6" t="s">
        <v>21</v>
      </c>
      <c r="C2540" s="6" t="s">
        <v>10815</v>
      </c>
      <c r="D2540" s="8" t="s">
        <v>17</v>
      </c>
      <c r="E2540" s="6" t="s">
        <v>23</v>
      </c>
      <c r="F2540" s="6" t="s">
        <v>96</v>
      </c>
      <c r="G2540" s="6" t="s">
        <v>10816</v>
      </c>
      <c r="H2540" s="10">
        <v>45909</v>
      </c>
      <c r="I2540" s="6" t="s">
        <v>10817</v>
      </c>
      <c r="J2540" s="6" t="s">
        <v>6269</v>
      </c>
      <c r="K2540" s="6" t="s">
        <v>28</v>
      </c>
      <c r="L2540" s="6" t="s">
        <v>1000</v>
      </c>
      <c r="M2540" s="6" t="s">
        <v>10818</v>
      </c>
    </row>
    <row r="2541" spans="1:13" ht="13" x14ac:dyDescent="0.15">
      <c r="A2541" s="5" t="str">
        <f>HYPERLINK("https://onemount.atlassian.net/browse/DBA-2368","DBA-2368")</f>
        <v>DBA-2368</v>
      </c>
      <c r="B2541" s="6" t="s">
        <v>21</v>
      </c>
      <c r="C2541" s="6" t="s">
        <v>10819</v>
      </c>
      <c r="D2541" s="8" t="s">
        <v>17</v>
      </c>
      <c r="E2541" s="6" t="s">
        <v>23</v>
      </c>
      <c r="F2541" s="6" t="s">
        <v>31</v>
      </c>
      <c r="G2541" s="6" t="s">
        <v>10820</v>
      </c>
      <c r="H2541" s="10">
        <v>45910</v>
      </c>
      <c r="I2541" s="6" t="s">
        <v>10821</v>
      </c>
      <c r="J2541" s="6" t="s">
        <v>1229</v>
      </c>
      <c r="K2541" s="6" t="s">
        <v>35</v>
      </c>
      <c r="L2541" s="6" t="s">
        <v>1229</v>
      </c>
      <c r="M2541" s="6" t="s">
        <v>10822</v>
      </c>
    </row>
    <row r="2542" spans="1:13" ht="13" x14ac:dyDescent="0.15">
      <c r="A2542" s="5" t="str">
        <f>HYPERLINK("https://onemount.atlassian.net/browse/DBA-2367","DBA-2367")</f>
        <v>DBA-2367</v>
      </c>
      <c r="B2542" s="6" t="s">
        <v>21</v>
      </c>
      <c r="C2542" s="6" t="s">
        <v>10823</v>
      </c>
      <c r="D2542" s="8" t="s">
        <v>17</v>
      </c>
      <c r="E2542" s="6" t="s">
        <v>23</v>
      </c>
      <c r="F2542" s="6" t="s">
        <v>31</v>
      </c>
      <c r="G2542" s="6" t="s">
        <v>10824</v>
      </c>
      <c r="H2542" s="10">
        <v>45909</v>
      </c>
      <c r="I2542" s="6" t="s">
        <v>10825</v>
      </c>
      <c r="J2542" s="6" t="s">
        <v>3443</v>
      </c>
      <c r="K2542" s="6" t="s">
        <v>35</v>
      </c>
      <c r="L2542" s="6" t="s">
        <v>36</v>
      </c>
      <c r="M2542" s="6" t="s">
        <v>10826</v>
      </c>
    </row>
    <row r="2543" spans="1:13" ht="13" x14ac:dyDescent="0.15">
      <c r="A2543" s="21" t="str">
        <f>HYPERLINK("https://onemount.atlassian.net/browse/DBA-2366","DBA-2366")</f>
        <v>DBA-2366</v>
      </c>
      <c r="B2543" s="6" t="s">
        <v>21</v>
      </c>
      <c r="C2543" s="6" t="s">
        <v>10827</v>
      </c>
      <c r="D2543" s="8" t="s">
        <v>17</v>
      </c>
      <c r="E2543" s="6" t="s">
        <v>23</v>
      </c>
      <c r="F2543" s="6" t="s">
        <v>24</v>
      </c>
      <c r="G2543" s="6" t="s">
        <v>10828</v>
      </c>
      <c r="H2543" s="10">
        <v>45909</v>
      </c>
      <c r="I2543" s="6" t="s">
        <v>10829</v>
      </c>
      <c r="J2543" s="6" t="s">
        <v>4792</v>
      </c>
      <c r="K2543" s="6" t="s">
        <v>55</v>
      </c>
      <c r="L2543" s="6" t="s">
        <v>270</v>
      </c>
      <c r="M2543" s="6" t="s">
        <v>10830</v>
      </c>
    </row>
    <row r="2544" spans="1:13" ht="13" x14ac:dyDescent="0.15">
      <c r="A2544" s="5" t="str">
        <f>HYPERLINK("https://onemount.atlassian.net/browse/DBA-2365","DBA-2365")</f>
        <v>DBA-2365</v>
      </c>
      <c r="B2544" s="6" t="s">
        <v>21</v>
      </c>
      <c r="C2544" s="6" t="s">
        <v>10831</v>
      </c>
      <c r="D2544" s="8" t="s">
        <v>17</v>
      </c>
      <c r="E2544" s="6" t="s">
        <v>23</v>
      </c>
      <c r="F2544" s="6" t="s">
        <v>24</v>
      </c>
      <c r="G2544" s="6" t="s">
        <v>10832</v>
      </c>
      <c r="H2544" s="10">
        <v>45912</v>
      </c>
      <c r="I2544" s="6" t="s">
        <v>10833</v>
      </c>
      <c r="J2544" s="6" t="s">
        <v>4792</v>
      </c>
      <c r="K2544" s="6" t="s">
        <v>55</v>
      </c>
      <c r="L2544" s="6" t="s">
        <v>270</v>
      </c>
      <c r="M2544" s="6" t="s">
        <v>10834</v>
      </c>
    </row>
    <row r="2545" spans="1:13" ht="13" x14ac:dyDescent="0.15">
      <c r="A2545" s="5" t="str">
        <f>HYPERLINK("https://onemount.atlassian.net/browse/DBA-2364","DBA-2364")</f>
        <v>DBA-2364</v>
      </c>
      <c r="B2545" s="23" t="str">
        <f t="shared" ref="B2545:B2547" si="36">HYPERLINK("https://onemount.atlassian.net/browse/DBA-2361","DBA-2361")</f>
        <v>DBA-2361</v>
      </c>
      <c r="C2545" s="6" t="s">
        <v>10835</v>
      </c>
      <c r="D2545" s="8" t="s">
        <v>17</v>
      </c>
      <c r="E2545" s="6" t="s">
        <v>428</v>
      </c>
      <c r="F2545" s="6" t="s">
        <v>24</v>
      </c>
      <c r="G2545" s="6" t="s">
        <v>10836</v>
      </c>
      <c r="H2545" s="10">
        <v>45930</v>
      </c>
      <c r="I2545" s="6" t="s">
        <v>10837</v>
      </c>
      <c r="J2545" s="6" t="s">
        <v>2796</v>
      </c>
      <c r="K2545" s="6" t="s">
        <v>55</v>
      </c>
      <c r="L2545" s="6" t="s">
        <v>425</v>
      </c>
      <c r="M2545" s="6" t="s">
        <v>10838</v>
      </c>
    </row>
    <row r="2546" spans="1:13" ht="13" x14ac:dyDescent="0.15">
      <c r="A2546" s="5" t="str">
        <f>HYPERLINK("https://onemount.atlassian.net/browse/DBA-2363","DBA-2363")</f>
        <v>DBA-2363</v>
      </c>
      <c r="B2546" s="23" t="str">
        <f t="shared" si="36"/>
        <v>DBA-2361</v>
      </c>
      <c r="C2546" s="6" t="s">
        <v>10839</v>
      </c>
      <c r="D2546" s="8" t="s">
        <v>17</v>
      </c>
      <c r="E2546" s="6" t="s">
        <v>428</v>
      </c>
      <c r="F2546" s="6" t="s">
        <v>24</v>
      </c>
      <c r="G2546" s="6" t="s">
        <v>10840</v>
      </c>
      <c r="H2546" s="10">
        <v>45930</v>
      </c>
      <c r="I2546" s="6" t="s">
        <v>10841</v>
      </c>
      <c r="J2546" s="6" t="s">
        <v>2796</v>
      </c>
      <c r="K2546" s="6" t="s">
        <v>55</v>
      </c>
      <c r="L2546" s="6" t="s">
        <v>425</v>
      </c>
      <c r="M2546" s="6" t="s">
        <v>10842</v>
      </c>
    </row>
    <row r="2547" spans="1:13" ht="13" x14ac:dyDescent="0.15">
      <c r="A2547" s="21" t="str">
        <f>HYPERLINK("https://onemount.atlassian.net/browse/DBA-2362","DBA-2362")</f>
        <v>DBA-2362</v>
      </c>
      <c r="B2547" s="23" t="str">
        <f t="shared" si="36"/>
        <v>DBA-2361</v>
      </c>
      <c r="C2547" s="6" t="s">
        <v>10843</v>
      </c>
      <c r="D2547" s="8" t="s">
        <v>17</v>
      </c>
      <c r="E2547" s="6" t="s">
        <v>428</v>
      </c>
      <c r="F2547" s="6" t="s">
        <v>24</v>
      </c>
      <c r="G2547" s="6" t="s">
        <v>10844</v>
      </c>
      <c r="H2547" s="10">
        <v>45916</v>
      </c>
      <c r="I2547" s="6" t="s">
        <v>10845</v>
      </c>
      <c r="J2547" s="6" t="s">
        <v>2796</v>
      </c>
      <c r="K2547" s="6" t="s">
        <v>55</v>
      </c>
      <c r="L2547" s="6" t="s">
        <v>270</v>
      </c>
      <c r="M2547" s="6" t="s">
        <v>6194</v>
      </c>
    </row>
    <row r="2548" spans="1:13" ht="13" x14ac:dyDescent="0.15">
      <c r="A2548" s="5" t="str">
        <f>HYPERLINK("https://onemount.atlassian.net/browse/DBA-2361","DBA-2361")</f>
        <v>DBA-2361</v>
      </c>
      <c r="B2548" s="23" t="str">
        <f>HYPERLINK("https://onemount.atlassian.net/browse/DBA-3006","DBA-3006")</f>
        <v>DBA-3006</v>
      </c>
      <c r="C2548" s="6" t="s">
        <v>10846</v>
      </c>
      <c r="D2548" s="8" t="s">
        <v>17</v>
      </c>
      <c r="E2548" s="6" t="s">
        <v>23</v>
      </c>
      <c r="F2548" s="6" t="s">
        <v>24</v>
      </c>
      <c r="G2548" s="6" t="s">
        <v>10847</v>
      </c>
      <c r="H2548" s="10">
        <v>45930</v>
      </c>
      <c r="I2548" s="6" t="s">
        <v>10848</v>
      </c>
      <c r="J2548" s="6" t="s">
        <v>2796</v>
      </c>
      <c r="K2548" s="6" t="s">
        <v>55</v>
      </c>
      <c r="L2548" s="6" t="s">
        <v>270</v>
      </c>
      <c r="M2548" s="6" t="s">
        <v>10849</v>
      </c>
    </row>
    <row r="2549" spans="1:13" ht="13" x14ac:dyDescent="0.15">
      <c r="A2549" s="5" t="str">
        <f>HYPERLINK("https://onemount.atlassian.net/browse/DBA-2360","DBA-2360")</f>
        <v>DBA-2360</v>
      </c>
      <c r="B2549" s="6" t="s">
        <v>21</v>
      </c>
      <c r="C2549" s="6" t="s">
        <v>10850</v>
      </c>
      <c r="D2549" s="8" t="s">
        <v>17</v>
      </c>
      <c r="E2549" s="6" t="s">
        <v>23</v>
      </c>
      <c r="F2549" s="6" t="s">
        <v>96</v>
      </c>
      <c r="G2549" s="6" t="s">
        <v>10851</v>
      </c>
      <c r="H2549" s="10">
        <v>45908</v>
      </c>
      <c r="I2549" s="6" t="s">
        <v>10852</v>
      </c>
      <c r="J2549" s="6" t="s">
        <v>1030</v>
      </c>
      <c r="K2549" s="6" t="s">
        <v>165</v>
      </c>
      <c r="L2549" s="6" t="s">
        <v>1032</v>
      </c>
      <c r="M2549" s="6" t="s">
        <v>10853</v>
      </c>
    </row>
    <row r="2550" spans="1:13" ht="13" x14ac:dyDescent="0.15">
      <c r="A2550" s="5" t="str">
        <f>HYPERLINK("https://onemount.atlassian.net/browse/DBA-2359","DBA-2359")</f>
        <v>DBA-2359</v>
      </c>
      <c r="B2550" s="6" t="s">
        <v>21</v>
      </c>
      <c r="C2550" s="6" t="s">
        <v>10854</v>
      </c>
      <c r="D2550" s="8" t="s">
        <v>17</v>
      </c>
      <c r="E2550" s="6" t="s">
        <v>23</v>
      </c>
      <c r="F2550" s="6" t="s">
        <v>96</v>
      </c>
      <c r="G2550" s="6" t="s">
        <v>10855</v>
      </c>
      <c r="H2550" s="10">
        <v>45908</v>
      </c>
      <c r="I2550" s="6" t="s">
        <v>10856</v>
      </c>
      <c r="J2550" s="6" t="s">
        <v>6269</v>
      </c>
      <c r="K2550" s="6" t="s">
        <v>28</v>
      </c>
      <c r="L2550" s="6" t="s">
        <v>1000</v>
      </c>
      <c r="M2550" s="6" t="s">
        <v>10857</v>
      </c>
    </row>
    <row r="2551" spans="1:13" ht="13" x14ac:dyDescent="0.15">
      <c r="A2551" s="5" t="str">
        <f>HYPERLINK("https://onemount.atlassian.net/browse/DBA-2358","DBA-2358")</f>
        <v>DBA-2358</v>
      </c>
      <c r="B2551" s="6" t="s">
        <v>21</v>
      </c>
      <c r="C2551" s="6" t="s">
        <v>10858</v>
      </c>
      <c r="D2551" s="8" t="s">
        <v>17</v>
      </c>
      <c r="E2551" s="6" t="s">
        <v>23</v>
      </c>
      <c r="F2551" s="6" t="s">
        <v>96</v>
      </c>
      <c r="G2551" s="6" t="s">
        <v>10859</v>
      </c>
      <c r="H2551" s="10">
        <v>45908</v>
      </c>
      <c r="I2551" s="6" t="s">
        <v>10860</v>
      </c>
      <c r="J2551" s="6" t="s">
        <v>1000</v>
      </c>
      <c r="K2551" s="6" t="s">
        <v>28</v>
      </c>
      <c r="L2551" s="6" t="s">
        <v>1000</v>
      </c>
      <c r="M2551" s="6" t="s">
        <v>10861</v>
      </c>
    </row>
    <row r="2552" spans="1:13" ht="13" x14ac:dyDescent="0.15">
      <c r="A2552" s="5" t="str">
        <f>HYPERLINK("https://onemount.atlassian.net/browse/DBA-2357","DBA-2357")</f>
        <v>DBA-2357</v>
      </c>
      <c r="B2552" s="6" t="s">
        <v>21</v>
      </c>
      <c r="C2552" s="6" t="s">
        <v>10862</v>
      </c>
      <c r="D2552" s="8" t="s">
        <v>17</v>
      </c>
      <c r="E2552" s="6" t="s">
        <v>23</v>
      </c>
      <c r="F2552" s="6" t="s">
        <v>24</v>
      </c>
      <c r="G2552" s="6" t="s">
        <v>10863</v>
      </c>
      <c r="H2552" s="10">
        <v>45909</v>
      </c>
      <c r="I2552" s="6" t="s">
        <v>10864</v>
      </c>
      <c r="J2552" s="6" t="s">
        <v>28</v>
      </c>
      <c r="K2552" s="6" t="s">
        <v>28</v>
      </c>
      <c r="L2552" s="6" t="s">
        <v>1109</v>
      </c>
      <c r="M2552" s="6" t="s">
        <v>10865</v>
      </c>
    </row>
    <row r="2553" spans="1:13" ht="13" x14ac:dyDescent="0.15">
      <c r="A2553" s="5" t="str">
        <f>HYPERLINK("https://onemount.atlassian.net/browse/DBA-2356","DBA-2356")</f>
        <v>DBA-2356</v>
      </c>
      <c r="B2553" s="6" t="s">
        <v>21</v>
      </c>
      <c r="C2553" s="6" t="s">
        <v>10866</v>
      </c>
      <c r="D2553" s="8" t="s">
        <v>17</v>
      </c>
      <c r="E2553" s="6" t="s">
        <v>23</v>
      </c>
      <c r="F2553" s="6" t="s">
        <v>96</v>
      </c>
      <c r="G2553" s="6" t="s">
        <v>10867</v>
      </c>
      <c r="H2553" s="10">
        <v>45908</v>
      </c>
      <c r="I2553" s="6" t="s">
        <v>10868</v>
      </c>
      <c r="J2553" s="6" t="s">
        <v>1000</v>
      </c>
      <c r="K2553" s="6" t="s">
        <v>28</v>
      </c>
      <c r="L2553" s="6" t="s">
        <v>1000</v>
      </c>
      <c r="M2553" s="6" t="s">
        <v>10869</v>
      </c>
    </row>
    <row r="2554" spans="1:13" ht="13" x14ac:dyDescent="0.15">
      <c r="A2554" s="5" t="str">
        <f>HYPERLINK("https://onemount.atlassian.net/browse/DBA-2355","DBA-2355")</f>
        <v>DBA-2355</v>
      </c>
      <c r="B2554" s="23" t="str">
        <f t="shared" ref="B2554:B2557" si="37">HYPERLINK("https://onemount.atlassian.net/browse/DBA-2062","DBA-2062")</f>
        <v>DBA-2062</v>
      </c>
      <c r="C2554" s="6" t="s">
        <v>10870</v>
      </c>
      <c r="D2554" s="8" t="s">
        <v>17</v>
      </c>
      <c r="E2554" s="6" t="s">
        <v>428</v>
      </c>
      <c r="F2554" s="6" t="s">
        <v>24</v>
      </c>
      <c r="G2554" s="6" t="s">
        <v>10871</v>
      </c>
      <c r="H2554" s="10">
        <v>45961</v>
      </c>
      <c r="I2554" s="6" t="s">
        <v>10872</v>
      </c>
      <c r="J2554" s="6" t="s">
        <v>10873</v>
      </c>
      <c r="K2554" s="6" t="s">
        <v>55</v>
      </c>
      <c r="L2554" s="6" t="s">
        <v>772</v>
      </c>
      <c r="M2554" s="6" t="s">
        <v>10874</v>
      </c>
    </row>
    <row r="2555" spans="1:13" ht="13" x14ac:dyDescent="0.15">
      <c r="A2555" s="5" t="str">
        <f>HYPERLINK("https://onemount.atlassian.net/browse/DBA-2354","DBA-2354")</f>
        <v>DBA-2354</v>
      </c>
      <c r="B2555" s="23" t="str">
        <f t="shared" si="37"/>
        <v>DBA-2062</v>
      </c>
      <c r="C2555" s="6" t="s">
        <v>10875</v>
      </c>
      <c r="D2555" s="8" t="s">
        <v>17</v>
      </c>
      <c r="E2555" s="6" t="s">
        <v>428</v>
      </c>
      <c r="F2555" s="6" t="s">
        <v>96</v>
      </c>
      <c r="G2555" s="6" t="s">
        <v>10876</v>
      </c>
      <c r="H2555" s="10">
        <v>45916</v>
      </c>
      <c r="I2555" s="6" t="s">
        <v>10877</v>
      </c>
      <c r="J2555" s="6" t="s">
        <v>628</v>
      </c>
      <c r="K2555" s="6" t="s">
        <v>55</v>
      </c>
      <c r="L2555" s="6" t="s">
        <v>55</v>
      </c>
      <c r="M2555" s="6" t="s">
        <v>10878</v>
      </c>
    </row>
    <row r="2556" spans="1:13" ht="13" x14ac:dyDescent="0.15">
      <c r="A2556" s="5" t="str">
        <f>HYPERLINK("https://onemount.atlassian.net/browse/DBA-2353","DBA-2353")</f>
        <v>DBA-2353</v>
      </c>
      <c r="B2556" s="23" t="str">
        <f t="shared" si="37"/>
        <v>DBA-2062</v>
      </c>
      <c r="C2556" s="6" t="s">
        <v>10879</v>
      </c>
      <c r="D2556" s="8" t="s">
        <v>17</v>
      </c>
      <c r="E2556" s="6" t="s">
        <v>428</v>
      </c>
      <c r="F2556" s="6" t="s">
        <v>24</v>
      </c>
      <c r="G2556" s="6" t="s">
        <v>10880</v>
      </c>
      <c r="H2556" s="10">
        <v>45929</v>
      </c>
      <c r="I2556" s="6" t="s">
        <v>10881</v>
      </c>
      <c r="J2556" s="6" t="s">
        <v>10873</v>
      </c>
      <c r="K2556" s="6" t="s">
        <v>55</v>
      </c>
      <c r="L2556" s="6" t="s">
        <v>772</v>
      </c>
      <c r="M2556" s="6" t="s">
        <v>10882</v>
      </c>
    </row>
    <row r="2557" spans="1:13" ht="13" x14ac:dyDescent="0.15">
      <c r="A2557" s="5" t="str">
        <f>HYPERLINK("https://onemount.atlassian.net/browse/DBA-2352","DBA-2352")</f>
        <v>DBA-2352</v>
      </c>
      <c r="B2557" s="23" t="str">
        <f t="shared" si="37"/>
        <v>DBA-2062</v>
      </c>
      <c r="C2557" s="6" t="s">
        <v>10517</v>
      </c>
      <c r="D2557" s="8" t="s">
        <v>17</v>
      </c>
      <c r="E2557" s="6" t="s">
        <v>428</v>
      </c>
      <c r="F2557" s="6" t="s">
        <v>96</v>
      </c>
      <c r="G2557" s="6" t="s">
        <v>10883</v>
      </c>
      <c r="H2557" s="10">
        <v>45916</v>
      </c>
      <c r="I2557" s="6" t="s">
        <v>10884</v>
      </c>
      <c r="J2557" s="6" t="s">
        <v>628</v>
      </c>
      <c r="K2557" s="6" t="s">
        <v>55</v>
      </c>
      <c r="L2557" s="6" t="s">
        <v>55</v>
      </c>
      <c r="M2557" s="6" t="s">
        <v>10885</v>
      </c>
    </row>
    <row r="2558" spans="1:13" ht="13" x14ac:dyDescent="0.15">
      <c r="A2558" s="5" t="str">
        <f>HYPERLINK("https://onemount.atlassian.net/browse/DBA-2351","DBA-2351")</f>
        <v>DBA-2351</v>
      </c>
      <c r="B2558" s="23" t="str">
        <f>HYPERLINK("https://onemount.atlassian.net/browse/DBA-2129","DBA-2129")</f>
        <v>DBA-2129</v>
      </c>
      <c r="C2558" s="6" t="s">
        <v>10886</v>
      </c>
      <c r="D2558" s="8" t="s">
        <v>17</v>
      </c>
      <c r="E2558" s="6" t="s">
        <v>428</v>
      </c>
      <c r="F2558" s="6" t="s">
        <v>41</v>
      </c>
      <c r="G2558" s="6" t="s">
        <v>10887</v>
      </c>
      <c r="H2558" s="10">
        <v>45921</v>
      </c>
      <c r="I2558" s="6" t="s">
        <v>10888</v>
      </c>
      <c r="J2558" s="6" t="s">
        <v>72</v>
      </c>
      <c r="K2558" s="6" t="s">
        <v>72</v>
      </c>
      <c r="L2558" s="6" t="s">
        <v>72</v>
      </c>
      <c r="M2558" s="6" t="s">
        <v>10889</v>
      </c>
    </row>
    <row r="2559" spans="1:13" ht="13" x14ac:dyDescent="0.15">
      <c r="A2559" s="5" t="str">
        <f>HYPERLINK("https://onemount.atlassian.net/browse/DBA-2350","DBA-2350")</f>
        <v>DBA-2350</v>
      </c>
      <c r="B2559" s="6" t="s">
        <v>21</v>
      </c>
      <c r="C2559" s="6" t="s">
        <v>10890</v>
      </c>
      <c r="D2559" s="8" t="s">
        <v>17</v>
      </c>
      <c r="E2559" s="6" t="s">
        <v>23</v>
      </c>
      <c r="F2559" s="6" t="s">
        <v>96</v>
      </c>
      <c r="G2559" s="6" t="s">
        <v>10891</v>
      </c>
      <c r="H2559" s="10">
        <v>45908</v>
      </c>
      <c r="I2559" s="6" t="s">
        <v>10892</v>
      </c>
      <c r="J2559" s="6" t="s">
        <v>1898</v>
      </c>
      <c r="K2559" s="6" t="s">
        <v>165</v>
      </c>
      <c r="L2559" s="6" t="s">
        <v>1097</v>
      </c>
      <c r="M2559" s="6" t="s">
        <v>10893</v>
      </c>
    </row>
    <row r="2560" spans="1:13" ht="13" x14ac:dyDescent="0.15">
      <c r="A2560" s="5" t="str">
        <f>HYPERLINK("https://onemount.atlassian.net/browse/DBA-2349","DBA-2349")</f>
        <v>DBA-2349</v>
      </c>
      <c r="B2560" s="23" t="str">
        <f>HYPERLINK("https://onemount.atlassian.net/browse/DBA-2333","DBA-2333")</f>
        <v>DBA-2333</v>
      </c>
      <c r="C2560" s="6" t="s">
        <v>10894</v>
      </c>
      <c r="D2560" s="8" t="s">
        <v>17</v>
      </c>
      <c r="E2560" s="6" t="s">
        <v>23</v>
      </c>
      <c r="F2560" s="6" t="s">
        <v>41</v>
      </c>
      <c r="G2560" s="6" t="s">
        <v>10895</v>
      </c>
      <c r="H2560" s="10">
        <v>45923</v>
      </c>
      <c r="I2560" s="6" t="s">
        <v>10896</v>
      </c>
      <c r="J2560" s="6" t="s">
        <v>3443</v>
      </c>
      <c r="K2560" s="6" t="s">
        <v>46</v>
      </c>
      <c r="L2560" s="6" t="s">
        <v>651</v>
      </c>
      <c r="M2560" s="6" t="s">
        <v>10897</v>
      </c>
    </row>
    <row r="2561" spans="1:13" ht="13" x14ac:dyDescent="0.15">
      <c r="A2561" s="5" t="str">
        <f>HYPERLINK("https://onemount.atlassian.net/browse/DBA-2348","DBA-2348")</f>
        <v>DBA-2348</v>
      </c>
      <c r="B2561" s="6" t="s">
        <v>21</v>
      </c>
      <c r="C2561" s="6" t="s">
        <v>10898</v>
      </c>
      <c r="D2561" s="8" t="s">
        <v>17</v>
      </c>
      <c r="E2561" s="6" t="s">
        <v>1810</v>
      </c>
      <c r="F2561" s="6" t="s">
        <v>41</v>
      </c>
      <c r="G2561" s="6" t="s">
        <v>10899</v>
      </c>
      <c r="H2561" s="10">
        <v>45968</v>
      </c>
      <c r="I2561" s="6" t="s">
        <v>10900</v>
      </c>
      <c r="J2561" s="6" t="s">
        <v>72</v>
      </c>
      <c r="K2561" s="6" t="s">
        <v>72</v>
      </c>
      <c r="L2561" s="6" t="s">
        <v>109</v>
      </c>
      <c r="M2561" s="6" t="s">
        <v>10901</v>
      </c>
    </row>
    <row r="2562" spans="1:13" ht="13" x14ac:dyDescent="0.15">
      <c r="A2562" s="5" t="str">
        <f>HYPERLINK("https://onemount.atlassian.net/browse/DBA-2347","DBA-2347")</f>
        <v>DBA-2347</v>
      </c>
      <c r="B2562" s="6" t="s">
        <v>21</v>
      </c>
      <c r="C2562" s="6" t="s">
        <v>10902</v>
      </c>
      <c r="D2562" s="8" t="s">
        <v>17</v>
      </c>
      <c r="E2562" s="6" t="s">
        <v>23</v>
      </c>
      <c r="F2562" s="6" t="s">
        <v>96</v>
      </c>
      <c r="G2562" s="6" t="s">
        <v>10903</v>
      </c>
      <c r="H2562" s="10">
        <v>45906</v>
      </c>
      <c r="I2562" s="6" t="s">
        <v>10904</v>
      </c>
      <c r="J2562" s="6" t="s">
        <v>46</v>
      </c>
      <c r="K2562" s="6" t="s">
        <v>46</v>
      </c>
      <c r="L2562" s="6" t="s">
        <v>46</v>
      </c>
      <c r="M2562" s="6" t="s">
        <v>10905</v>
      </c>
    </row>
    <row r="2563" spans="1:13" ht="13" x14ac:dyDescent="0.15">
      <c r="A2563" s="5" t="str">
        <f>HYPERLINK("https://onemount.atlassian.net/browse/DBA-2346","DBA-2346")</f>
        <v>DBA-2346</v>
      </c>
      <c r="B2563" s="6" t="s">
        <v>21</v>
      </c>
      <c r="C2563" s="6" t="s">
        <v>10906</v>
      </c>
      <c r="D2563" s="8" t="s">
        <v>17</v>
      </c>
      <c r="E2563" s="6" t="s">
        <v>23</v>
      </c>
      <c r="F2563" s="6" t="s">
        <v>96</v>
      </c>
      <c r="G2563" s="6" t="s">
        <v>10907</v>
      </c>
      <c r="H2563" s="10">
        <v>45906</v>
      </c>
      <c r="I2563" s="6" t="s">
        <v>10908</v>
      </c>
      <c r="J2563" s="6" t="s">
        <v>303</v>
      </c>
      <c r="K2563" s="6" t="s">
        <v>46</v>
      </c>
      <c r="L2563" s="6" t="s">
        <v>61</v>
      </c>
      <c r="M2563" s="6" t="s">
        <v>10909</v>
      </c>
    </row>
    <row r="2564" spans="1:13" ht="13" x14ac:dyDescent="0.15">
      <c r="A2564" s="5" t="str">
        <f>HYPERLINK("https://onemount.atlassian.net/browse/DBA-2345","DBA-2345")</f>
        <v>DBA-2345</v>
      </c>
      <c r="B2564" s="6" t="s">
        <v>21</v>
      </c>
      <c r="C2564" s="6" t="s">
        <v>10910</v>
      </c>
      <c r="D2564" s="8" t="s">
        <v>17</v>
      </c>
      <c r="E2564" s="6" t="s">
        <v>23</v>
      </c>
      <c r="F2564" s="6" t="s">
        <v>96</v>
      </c>
      <c r="G2564" s="6" t="s">
        <v>10911</v>
      </c>
      <c r="H2564" s="10">
        <v>45905</v>
      </c>
      <c r="I2564" s="6" t="s">
        <v>10912</v>
      </c>
      <c r="J2564" s="6" t="s">
        <v>1898</v>
      </c>
      <c r="K2564" s="6" t="s">
        <v>165</v>
      </c>
      <c r="L2564" s="6" t="s">
        <v>1097</v>
      </c>
      <c r="M2564" s="6" t="s">
        <v>10913</v>
      </c>
    </row>
    <row r="2565" spans="1:13" ht="13" x14ac:dyDescent="0.15">
      <c r="A2565" s="5" t="str">
        <f>HYPERLINK("https://onemount.atlassian.net/browse/DBA-2344","DBA-2344")</f>
        <v>DBA-2344</v>
      </c>
      <c r="B2565" s="6" t="s">
        <v>21</v>
      </c>
      <c r="C2565" s="6" t="s">
        <v>10914</v>
      </c>
      <c r="D2565" s="8" t="s">
        <v>17</v>
      </c>
      <c r="E2565" s="6" t="s">
        <v>23</v>
      </c>
      <c r="F2565" s="6" t="s">
        <v>24</v>
      </c>
      <c r="G2565" s="6" t="s">
        <v>10915</v>
      </c>
      <c r="H2565" s="10">
        <v>45905</v>
      </c>
      <c r="I2565" s="6" t="s">
        <v>10916</v>
      </c>
      <c r="J2565" s="6" t="s">
        <v>246</v>
      </c>
      <c r="K2565" s="6" t="s">
        <v>35</v>
      </c>
      <c r="L2565" s="6" t="s">
        <v>638</v>
      </c>
      <c r="M2565" s="6" t="s">
        <v>10917</v>
      </c>
    </row>
    <row r="2566" spans="1:13" ht="13" x14ac:dyDescent="0.15">
      <c r="A2566" s="5" t="str">
        <f>HYPERLINK("https://onemount.atlassian.net/browse/DBA-2343","DBA-2343")</f>
        <v>DBA-2343</v>
      </c>
      <c r="B2566" s="6" t="s">
        <v>21</v>
      </c>
      <c r="C2566" s="6" t="s">
        <v>10918</v>
      </c>
      <c r="D2566" s="8" t="s">
        <v>17</v>
      </c>
      <c r="E2566" s="6" t="s">
        <v>23</v>
      </c>
      <c r="F2566" s="6" t="s">
        <v>96</v>
      </c>
      <c r="G2566" s="6" t="s">
        <v>10919</v>
      </c>
      <c r="H2566" s="10">
        <v>45905</v>
      </c>
      <c r="I2566" s="6" t="s">
        <v>10920</v>
      </c>
      <c r="J2566" s="6" t="s">
        <v>1898</v>
      </c>
      <c r="K2566" s="6" t="s">
        <v>165</v>
      </c>
      <c r="L2566" s="6" t="s">
        <v>1097</v>
      </c>
      <c r="M2566" s="6" t="s">
        <v>10921</v>
      </c>
    </row>
    <row r="2567" spans="1:13" ht="13" x14ac:dyDescent="0.15">
      <c r="A2567" s="5" t="str">
        <f>HYPERLINK("https://onemount.atlassian.net/browse/DBA-2342","DBA-2342")</f>
        <v>DBA-2342</v>
      </c>
      <c r="B2567" s="6" t="s">
        <v>21</v>
      </c>
      <c r="C2567" s="6" t="s">
        <v>10922</v>
      </c>
      <c r="D2567" s="8" t="s">
        <v>17</v>
      </c>
      <c r="E2567" s="6" t="s">
        <v>23</v>
      </c>
      <c r="F2567" s="6" t="s">
        <v>96</v>
      </c>
      <c r="G2567" s="6" t="s">
        <v>10923</v>
      </c>
      <c r="H2567" s="10">
        <v>45905</v>
      </c>
      <c r="I2567" s="6" t="s">
        <v>10924</v>
      </c>
      <c r="J2567" s="6" t="s">
        <v>715</v>
      </c>
      <c r="K2567" s="6" t="s">
        <v>55</v>
      </c>
      <c r="L2567" s="6" t="s">
        <v>715</v>
      </c>
      <c r="M2567" s="6" t="s">
        <v>10925</v>
      </c>
    </row>
    <row r="2568" spans="1:13" ht="13" x14ac:dyDescent="0.15">
      <c r="A2568" s="5" t="str">
        <f>HYPERLINK("https://onemount.atlassian.net/browse/DBA-2341","DBA-2341")</f>
        <v>DBA-2341</v>
      </c>
      <c r="B2568" s="6" t="s">
        <v>21</v>
      </c>
      <c r="C2568" s="6" t="s">
        <v>10926</v>
      </c>
      <c r="D2568" s="8" t="s">
        <v>17</v>
      </c>
      <c r="E2568" s="6" t="s">
        <v>23</v>
      </c>
      <c r="F2568" s="6" t="s">
        <v>31</v>
      </c>
      <c r="G2568" s="6" t="s">
        <v>10927</v>
      </c>
      <c r="H2568" s="10">
        <v>45905</v>
      </c>
      <c r="I2568" s="6" t="s">
        <v>10928</v>
      </c>
      <c r="J2568" s="6" t="s">
        <v>374</v>
      </c>
      <c r="K2568" s="6" t="s">
        <v>35</v>
      </c>
      <c r="L2568" s="6" t="s">
        <v>374</v>
      </c>
      <c r="M2568" s="6" t="s">
        <v>10929</v>
      </c>
    </row>
    <row r="2569" spans="1:13" ht="13" x14ac:dyDescent="0.15">
      <c r="A2569" s="5" t="str">
        <f>HYPERLINK("https://onemount.atlassian.net/browse/DBA-2340","DBA-2340")</f>
        <v>DBA-2340</v>
      </c>
      <c r="B2569" s="6" t="s">
        <v>21</v>
      </c>
      <c r="C2569" s="6" t="s">
        <v>10733</v>
      </c>
      <c r="D2569" s="8" t="s">
        <v>17</v>
      </c>
      <c r="E2569" s="6" t="s">
        <v>23</v>
      </c>
      <c r="F2569" s="6" t="s">
        <v>31</v>
      </c>
      <c r="G2569" s="6" t="s">
        <v>10930</v>
      </c>
      <c r="H2569" s="10">
        <v>45905</v>
      </c>
      <c r="I2569" s="6" t="s">
        <v>10931</v>
      </c>
      <c r="J2569" s="6" t="s">
        <v>4033</v>
      </c>
      <c r="K2569" s="6" t="s">
        <v>35</v>
      </c>
      <c r="L2569" s="6" t="s">
        <v>129</v>
      </c>
      <c r="M2569" s="6" t="s">
        <v>10932</v>
      </c>
    </row>
    <row r="2570" spans="1:13" ht="13" x14ac:dyDescent="0.15">
      <c r="A2570" s="5" t="str">
        <f>HYPERLINK("https://onemount.atlassian.net/browse/DBA-2339","DBA-2339")</f>
        <v>DBA-2339</v>
      </c>
      <c r="B2570" s="6" t="s">
        <v>21</v>
      </c>
      <c r="C2570" s="6" t="s">
        <v>10933</v>
      </c>
      <c r="D2570" s="8" t="s">
        <v>17</v>
      </c>
      <c r="E2570" s="6" t="s">
        <v>23</v>
      </c>
      <c r="F2570" s="6" t="s">
        <v>96</v>
      </c>
      <c r="G2570" s="6" t="s">
        <v>10934</v>
      </c>
      <c r="H2570" s="10">
        <v>45905</v>
      </c>
      <c r="I2570" s="6" t="s">
        <v>10935</v>
      </c>
      <c r="J2570" s="6" t="s">
        <v>4979</v>
      </c>
      <c r="K2570" s="6" t="s">
        <v>28</v>
      </c>
      <c r="L2570" s="6" t="s">
        <v>1111</v>
      </c>
      <c r="M2570" s="6" t="s">
        <v>10936</v>
      </c>
    </row>
    <row r="2571" spans="1:13" ht="13" x14ac:dyDescent="0.15">
      <c r="A2571" s="5" t="str">
        <f>HYPERLINK("https://onemount.atlassian.net/browse/DBA-2338","DBA-2338")</f>
        <v>DBA-2338</v>
      </c>
      <c r="B2571" s="6" t="s">
        <v>21</v>
      </c>
      <c r="C2571" s="6" t="s">
        <v>10937</v>
      </c>
      <c r="D2571" s="8" t="s">
        <v>17</v>
      </c>
      <c r="E2571" s="6" t="s">
        <v>23</v>
      </c>
      <c r="F2571" s="6" t="s">
        <v>96</v>
      </c>
      <c r="G2571" s="6" t="s">
        <v>10938</v>
      </c>
      <c r="H2571" s="10">
        <v>45905</v>
      </c>
      <c r="I2571" s="6" t="s">
        <v>10939</v>
      </c>
      <c r="J2571" s="6" t="s">
        <v>1107</v>
      </c>
      <c r="K2571" s="6" t="s">
        <v>28</v>
      </c>
      <c r="L2571" s="6" t="s">
        <v>1109</v>
      </c>
      <c r="M2571" s="6" t="s">
        <v>10940</v>
      </c>
    </row>
    <row r="2572" spans="1:13" ht="13" x14ac:dyDescent="0.15">
      <c r="A2572" s="5" t="str">
        <f>HYPERLINK("https://onemount.atlassian.net/browse/DBA-2337","DBA-2337")</f>
        <v>DBA-2337</v>
      </c>
      <c r="B2572" s="6" t="s">
        <v>21</v>
      </c>
      <c r="C2572" s="6" t="s">
        <v>10941</v>
      </c>
      <c r="D2572" s="8" t="s">
        <v>17</v>
      </c>
      <c r="E2572" s="6" t="s">
        <v>23</v>
      </c>
      <c r="F2572" s="6" t="s">
        <v>96</v>
      </c>
      <c r="G2572" s="6" t="s">
        <v>10942</v>
      </c>
      <c r="H2572" s="10">
        <v>45905</v>
      </c>
      <c r="I2572" s="6" t="s">
        <v>10943</v>
      </c>
      <c r="J2572" s="6" t="s">
        <v>1898</v>
      </c>
      <c r="K2572" s="6" t="s">
        <v>165</v>
      </c>
      <c r="L2572" s="6" t="s">
        <v>1097</v>
      </c>
      <c r="M2572" s="6" t="s">
        <v>10944</v>
      </c>
    </row>
    <row r="2573" spans="1:13" ht="13" x14ac:dyDescent="0.15">
      <c r="A2573" s="5" t="str">
        <f>HYPERLINK("https://onemount.atlassian.net/browse/DBA-2336","DBA-2336")</f>
        <v>DBA-2336</v>
      </c>
      <c r="B2573" s="6" t="s">
        <v>21</v>
      </c>
      <c r="C2573" s="6" t="s">
        <v>10945</v>
      </c>
      <c r="D2573" s="8" t="s">
        <v>17</v>
      </c>
      <c r="E2573" s="6" t="s">
        <v>23</v>
      </c>
      <c r="F2573" s="6" t="s">
        <v>24</v>
      </c>
      <c r="G2573" s="6" t="s">
        <v>10946</v>
      </c>
      <c r="H2573" s="10">
        <v>45906</v>
      </c>
      <c r="I2573" s="6" t="s">
        <v>10947</v>
      </c>
      <c r="J2573" s="6" t="s">
        <v>56</v>
      </c>
      <c r="K2573" s="6" t="s">
        <v>55</v>
      </c>
      <c r="L2573" s="6" t="s">
        <v>56</v>
      </c>
      <c r="M2573" s="6" t="s">
        <v>10948</v>
      </c>
    </row>
    <row r="2574" spans="1:13" ht="13" x14ac:dyDescent="0.15">
      <c r="A2574" s="5" t="str">
        <f>HYPERLINK("https://onemount.atlassian.net/browse/DBA-2335","DBA-2335")</f>
        <v>DBA-2335</v>
      </c>
      <c r="B2574" s="6" t="s">
        <v>21</v>
      </c>
      <c r="C2574" s="6" t="s">
        <v>10405</v>
      </c>
      <c r="D2574" s="8" t="s">
        <v>17</v>
      </c>
      <c r="E2574" s="6" t="s">
        <v>23</v>
      </c>
      <c r="F2574" s="6" t="s">
        <v>96</v>
      </c>
      <c r="G2574" s="6" t="s">
        <v>10949</v>
      </c>
      <c r="H2574" s="10">
        <v>45905</v>
      </c>
      <c r="I2574" s="6" t="s">
        <v>10950</v>
      </c>
      <c r="J2574" s="6" t="s">
        <v>1030</v>
      </c>
      <c r="K2574" s="6" t="s">
        <v>165</v>
      </c>
      <c r="L2574" s="6" t="s">
        <v>1032</v>
      </c>
      <c r="M2574" s="6" t="s">
        <v>10951</v>
      </c>
    </row>
    <row r="2575" spans="1:13" ht="13" x14ac:dyDescent="0.15">
      <c r="A2575" s="5" t="str">
        <f>HYPERLINK("https://onemount.atlassian.net/browse/DBA-2333","DBA-2333")</f>
        <v>DBA-2333</v>
      </c>
      <c r="B2575" s="6" t="s">
        <v>21</v>
      </c>
      <c r="C2575" s="6" t="s">
        <v>10952</v>
      </c>
      <c r="D2575" s="8" t="s">
        <v>17</v>
      </c>
      <c r="E2575" s="6" t="s">
        <v>8986</v>
      </c>
      <c r="F2575" s="6" t="s">
        <v>94</v>
      </c>
      <c r="G2575" s="6" t="s">
        <v>10953</v>
      </c>
      <c r="H2575" s="10">
        <v>46173</v>
      </c>
      <c r="I2575" s="6" t="s">
        <v>44</v>
      </c>
      <c r="J2575" s="6" t="s">
        <v>10954</v>
      </c>
      <c r="K2575" s="6" t="s">
        <v>46</v>
      </c>
      <c r="L2575" s="6" t="s">
        <v>655</v>
      </c>
      <c r="M2575" s="6" t="s">
        <v>10955</v>
      </c>
    </row>
    <row r="2576" spans="1:13" ht="13" x14ac:dyDescent="0.15">
      <c r="A2576" s="5" t="str">
        <f>HYPERLINK("https://onemount.atlassian.net/browse/DBA-2332","DBA-2332")</f>
        <v>DBA-2332</v>
      </c>
      <c r="B2576" s="6" t="s">
        <v>21</v>
      </c>
      <c r="C2576" s="6" t="s">
        <v>10956</v>
      </c>
      <c r="D2576" s="8" t="s">
        <v>17</v>
      </c>
      <c r="E2576" s="6" t="s">
        <v>23</v>
      </c>
      <c r="F2576" s="6" t="s">
        <v>96</v>
      </c>
      <c r="G2576" s="6" t="s">
        <v>10957</v>
      </c>
      <c r="H2576" s="10">
        <v>45904</v>
      </c>
      <c r="I2576" s="6" t="s">
        <v>10958</v>
      </c>
      <c r="J2576" s="6" t="s">
        <v>1030</v>
      </c>
      <c r="K2576" s="6" t="s">
        <v>165</v>
      </c>
      <c r="L2576" s="6" t="s">
        <v>1032</v>
      </c>
      <c r="M2576" s="6" t="s">
        <v>10959</v>
      </c>
    </row>
    <row r="2577" spans="1:13" ht="13" x14ac:dyDescent="0.15">
      <c r="A2577" s="5" t="str">
        <f>HYPERLINK("https://onemount.atlassian.net/browse/DBA-2331","DBA-2331")</f>
        <v>DBA-2331</v>
      </c>
      <c r="B2577" s="6" t="s">
        <v>21</v>
      </c>
      <c r="C2577" s="6" t="s">
        <v>10960</v>
      </c>
      <c r="D2577" s="8" t="s">
        <v>17</v>
      </c>
      <c r="E2577" s="6" t="s">
        <v>23</v>
      </c>
      <c r="F2577" s="6" t="s">
        <v>96</v>
      </c>
      <c r="G2577" s="6" t="s">
        <v>10961</v>
      </c>
      <c r="H2577" s="10">
        <v>45904</v>
      </c>
      <c r="I2577" s="6" t="s">
        <v>10962</v>
      </c>
      <c r="J2577" s="6" t="s">
        <v>55</v>
      </c>
      <c r="K2577" s="6" t="s">
        <v>55</v>
      </c>
      <c r="L2577" s="6" t="s">
        <v>855</v>
      </c>
      <c r="M2577" s="6" t="s">
        <v>10963</v>
      </c>
    </row>
    <row r="2578" spans="1:13" ht="13" x14ac:dyDescent="0.15">
      <c r="A2578" s="5" t="str">
        <f>HYPERLINK("https://onemount.atlassian.net/browse/DBA-2330","DBA-2330")</f>
        <v>DBA-2330</v>
      </c>
      <c r="B2578" s="6" t="s">
        <v>21</v>
      </c>
      <c r="C2578" s="6" t="s">
        <v>10964</v>
      </c>
      <c r="D2578" s="8" t="s">
        <v>17</v>
      </c>
      <c r="E2578" s="6" t="s">
        <v>23</v>
      </c>
      <c r="F2578" s="6" t="s">
        <v>96</v>
      </c>
      <c r="G2578" s="6" t="s">
        <v>10965</v>
      </c>
      <c r="H2578" s="10">
        <v>45904</v>
      </c>
      <c r="I2578" s="6" t="s">
        <v>10966</v>
      </c>
      <c r="J2578" s="6" t="s">
        <v>715</v>
      </c>
      <c r="K2578" s="6" t="s">
        <v>55</v>
      </c>
      <c r="L2578" s="6" t="s">
        <v>715</v>
      </c>
      <c r="M2578" s="6" t="s">
        <v>10967</v>
      </c>
    </row>
    <row r="2579" spans="1:13" ht="13" x14ac:dyDescent="0.15">
      <c r="A2579" s="5" t="str">
        <f>HYPERLINK("https://onemount.atlassian.net/browse/DBA-2327","DBA-2327")</f>
        <v>DBA-2327</v>
      </c>
      <c r="B2579" s="6" t="s">
        <v>21</v>
      </c>
      <c r="C2579" s="6" t="s">
        <v>10968</v>
      </c>
      <c r="D2579" s="8" t="s">
        <v>17</v>
      </c>
      <c r="E2579" s="6" t="s">
        <v>23</v>
      </c>
      <c r="F2579" s="6" t="s">
        <v>96</v>
      </c>
      <c r="G2579" s="6" t="s">
        <v>10969</v>
      </c>
      <c r="H2579" s="10">
        <v>45905</v>
      </c>
      <c r="I2579" s="6" t="s">
        <v>10970</v>
      </c>
      <c r="J2579" s="6" t="s">
        <v>165</v>
      </c>
      <c r="K2579" s="6" t="s">
        <v>165</v>
      </c>
      <c r="L2579" s="6" t="s">
        <v>1050</v>
      </c>
      <c r="M2579" s="6" t="s">
        <v>10971</v>
      </c>
    </row>
    <row r="2580" spans="1:13" ht="13" x14ac:dyDescent="0.15">
      <c r="A2580" s="5" t="str">
        <f>HYPERLINK("https://onemount.atlassian.net/browse/DBA-2326","DBA-2326")</f>
        <v>DBA-2326</v>
      </c>
      <c r="B2580" s="6" t="s">
        <v>21</v>
      </c>
      <c r="C2580" s="6" t="s">
        <v>8889</v>
      </c>
      <c r="D2580" s="8" t="s">
        <v>17</v>
      </c>
      <c r="E2580" s="6" t="s">
        <v>23</v>
      </c>
      <c r="F2580" s="6" t="s">
        <v>24</v>
      </c>
      <c r="G2580" s="6" t="s">
        <v>10972</v>
      </c>
      <c r="H2580" s="10">
        <v>45905</v>
      </c>
      <c r="I2580" s="6" t="s">
        <v>10973</v>
      </c>
      <c r="J2580" s="6" t="s">
        <v>55</v>
      </c>
      <c r="K2580" s="6" t="s">
        <v>55</v>
      </c>
      <c r="L2580" s="6" t="s">
        <v>863</v>
      </c>
      <c r="M2580" s="6" t="s">
        <v>10974</v>
      </c>
    </row>
    <row r="2581" spans="1:13" ht="13" x14ac:dyDescent="0.15">
      <c r="A2581" s="5" t="str">
        <f>HYPERLINK("https://onemount.atlassian.net/browse/DBA-2325","DBA-2325")</f>
        <v>DBA-2325</v>
      </c>
      <c r="B2581" s="6" t="s">
        <v>21</v>
      </c>
      <c r="C2581" s="6" t="s">
        <v>10754</v>
      </c>
      <c r="D2581" s="8" t="s">
        <v>17</v>
      </c>
      <c r="E2581" s="6" t="s">
        <v>23</v>
      </c>
      <c r="F2581" s="6" t="s">
        <v>31</v>
      </c>
      <c r="G2581" s="6" t="s">
        <v>10975</v>
      </c>
      <c r="H2581" s="10">
        <v>45905</v>
      </c>
      <c r="I2581" s="6" t="s">
        <v>10976</v>
      </c>
      <c r="J2581" s="6" t="s">
        <v>843</v>
      </c>
      <c r="K2581" s="6" t="s">
        <v>55</v>
      </c>
      <c r="L2581" s="6" t="s">
        <v>843</v>
      </c>
      <c r="M2581" s="6" t="s">
        <v>10977</v>
      </c>
    </row>
    <row r="2582" spans="1:13" ht="13" x14ac:dyDescent="0.15">
      <c r="A2582" s="5" t="str">
        <f>HYPERLINK("https://onemount.atlassian.net/browse/DBA-2319","DBA-2319")</f>
        <v>DBA-2319</v>
      </c>
      <c r="B2582" s="6" t="s">
        <v>21</v>
      </c>
      <c r="C2582" s="6" t="s">
        <v>10978</v>
      </c>
      <c r="D2582" s="8" t="s">
        <v>17</v>
      </c>
      <c r="E2582" s="6" t="s">
        <v>23</v>
      </c>
      <c r="F2582" s="6" t="s">
        <v>24</v>
      </c>
      <c r="G2582" s="6" t="s">
        <v>10979</v>
      </c>
      <c r="H2582" s="10">
        <v>45904</v>
      </c>
      <c r="I2582" s="6" t="s">
        <v>10980</v>
      </c>
      <c r="J2582" s="6" t="s">
        <v>56</v>
      </c>
      <c r="K2582" s="6" t="s">
        <v>55</v>
      </c>
      <c r="L2582" s="6" t="s">
        <v>56</v>
      </c>
      <c r="M2582" s="6" t="s">
        <v>10981</v>
      </c>
    </row>
    <row r="2583" spans="1:13" ht="13" x14ac:dyDescent="0.15">
      <c r="A2583" s="5" t="str">
        <f>HYPERLINK("https://onemount.atlassian.net/browse/DBA-2318","DBA-2318")</f>
        <v>DBA-2318</v>
      </c>
      <c r="B2583" s="6" t="s">
        <v>21</v>
      </c>
      <c r="C2583" s="6" t="s">
        <v>10982</v>
      </c>
      <c r="D2583" s="8" t="s">
        <v>17</v>
      </c>
      <c r="E2583" s="6" t="s">
        <v>23</v>
      </c>
      <c r="F2583" s="6" t="s">
        <v>96</v>
      </c>
      <c r="G2583" s="6" t="s">
        <v>10983</v>
      </c>
      <c r="H2583" s="10">
        <v>45903</v>
      </c>
      <c r="I2583" s="6" t="s">
        <v>10984</v>
      </c>
      <c r="J2583" s="6" t="s">
        <v>1898</v>
      </c>
      <c r="K2583" s="6" t="s">
        <v>165</v>
      </c>
      <c r="L2583" s="6" t="s">
        <v>1097</v>
      </c>
      <c r="M2583" s="6" t="s">
        <v>10985</v>
      </c>
    </row>
    <row r="2584" spans="1:13" ht="13" x14ac:dyDescent="0.15">
      <c r="A2584" s="5" t="str">
        <f>HYPERLINK("https://onemount.atlassian.net/browse/DBA-2317","DBA-2317")</f>
        <v>DBA-2317</v>
      </c>
      <c r="B2584" s="6" t="s">
        <v>21</v>
      </c>
      <c r="C2584" s="6" t="s">
        <v>10986</v>
      </c>
      <c r="D2584" s="8" t="s">
        <v>17</v>
      </c>
      <c r="E2584" s="6" t="s">
        <v>23</v>
      </c>
      <c r="F2584" s="6" t="s">
        <v>31</v>
      </c>
      <c r="G2584" s="6" t="s">
        <v>10987</v>
      </c>
      <c r="H2584" s="10">
        <v>45903</v>
      </c>
      <c r="I2584" s="6" t="s">
        <v>10988</v>
      </c>
      <c r="J2584" s="6" t="s">
        <v>7042</v>
      </c>
      <c r="K2584" s="6" t="s">
        <v>35</v>
      </c>
      <c r="L2584" s="6" t="s">
        <v>1238</v>
      </c>
      <c r="M2584" s="6" t="s">
        <v>10989</v>
      </c>
    </row>
    <row r="2585" spans="1:13" ht="13" x14ac:dyDescent="0.15">
      <c r="A2585" s="5" t="str">
        <f>HYPERLINK("https://onemount.atlassian.net/browse/DBA-2313","DBA-2313")</f>
        <v>DBA-2313</v>
      </c>
      <c r="B2585" s="23" t="str">
        <f>HYPERLINK("https://onemount.atlassian.net/browse/DBA-2267","DBA-2267")</f>
        <v>DBA-2267</v>
      </c>
      <c r="C2585" s="6" t="s">
        <v>10990</v>
      </c>
      <c r="D2585" s="8" t="s">
        <v>17</v>
      </c>
      <c r="E2585" s="6" t="s">
        <v>428</v>
      </c>
      <c r="F2585" s="6" t="s">
        <v>87</v>
      </c>
      <c r="G2585" s="6" t="s">
        <v>10991</v>
      </c>
      <c r="H2585" s="10">
        <v>45904</v>
      </c>
      <c r="I2585" s="6" t="s">
        <v>10992</v>
      </c>
      <c r="J2585" s="6" t="s">
        <v>10993</v>
      </c>
      <c r="K2585" s="6" t="s">
        <v>46</v>
      </c>
      <c r="L2585" s="6" t="s">
        <v>146</v>
      </c>
      <c r="M2585" s="6" t="s">
        <v>10994</v>
      </c>
    </row>
    <row r="2586" spans="1:13" ht="13" x14ac:dyDescent="0.15">
      <c r="A2586" s="5" t="str">
        <f>HYPERLINK("https://onemount.atlassian.net/browse/DBA-2312","DBA-2312")</f>
        <v>DBA-2312</v>
      </c>
      <c r="B2586" s="6" t="s">
        <v>21</v>
      </c>
      <c r="C2586" s="6" t="s">
        <v>10995</v>
      </c>
      <c r="D2586" s="8" t="s">
        <v>17</v>
      </c>
      <c r="E2586" s="6" t="s">
        <v>23</v>
      </c>
      <c r="F2586" s="6" t="s">
        <v>96</v>
      </c>
      <c r="G2586" s="6" t="s">
        <v>10996</v>
      </c>
      <c r="H2586" s="10">
        <v>45903</v>
      </c>
      <c r="I2586" s="6" t="s">
        <v>10997</v>
      </c>
      <c r="J2586" s="6" t="s">
        <v>10998</v>
      </c>
      <c r="K2586" s="6" t="s">
        <v>165</v>
      </c>
      <c r="L2586" s="6" t="s">
        <v>1060</v>
      </c>
      <c r="M2586" s="6" t="s">
        <v>10999</v>
      </c>
    </row>
    <row r="2587" spans="1:13" ht="13" x14ac:dyDescent="0.15">
      <c r="A2587" s="5" t="str">
        <f>HYPERLINK("https://onemount.atlassian.net/browse/DBA-2310","DBA-2310")</f>
        <v>DBA-2310</v>
      </c>
      <c r="B2587" s="6" t="s">
        <v>21</v>
      </c>
      <c r="C2587" s="6" t="s">
        <v>10926</v>
      </c>
      <c r="D2587" s="8" t="s">
        <v>17</v>
      </c>
      <c r="E2587" s="6" t="s">
        <v>23</v>
      </c>
      <c r="F2587" s="6" t="s">
        <v>31</v>
      </c>
      <c r="G2587" s="6" t="s">
        <v>11000</v>
      </c>
      <c r="H2587" s="10">
        <v>45899</v>
      </c>
      <c r="I2587" s="6" t="s">
        <v>11001</v>
      </c>
      <c r="J2587" s="6" t="s">
        <v>374</v>
      </c>
      <c r="K2587" s="6" t="s">
        <v>35</v>
      </c>
      <c r="L2587" s="6" t="s">
        <v>36</v>
      </c>
      <c r="M2587" s="6" t="s">
        <v>11002</v>
      </c>
    </row>
    <row r="2588" spans="1:13" ht="13" x14ac:dyDescent="0.15">
      <c r="A2588" s="5" t="str">
        <f>HYPERLINK("https://onemount.atlassian.net/browse/DBA-2309","DBA-2309")</f>
        <v>DBA-2309</v>
      </c>
      <c r="B2588" s="6" t="s">
        <v>21</v>
      </c>
      <c r="C2588" s="6" t="s">
        <v>11003</v>
      </c>
      <c r="D2588" s="8" t="s">
        <v>17</v>
      </c>
      <c r="E2588" s="6" t="s">
        <v>23</v>
      </c>
      <c r="F2588" s="6" t="s">
        <v>24</v>
      </c>
      <c r="G2588" s="6" t="s">
        <v>11004</v>
      </c>
      <c r="H2588" s="10">
        <v>45920</v>
      </c>
      <c r="I2588" s="6" t="s">
        <v>11005</v>
      </c>
      <c r="J2588" s="6" t="s">
        <v>11006</v>
      </c>
      <c r="K2588" s="6" t="s">
        <v>28</v>
      </c>
      <c r="L2588" s="6" t="s">
        <v>1114</v>
      </c>
      <c r="M2588" s="6" t="s">
        <v>11007</v>
      </c>
    </row>
    <row r="2589" spans="1:13" ht="13" x14ac:dyDescent="0.15">
      <c r="A2589" s="5" t="str">
        <f>HYPERLINK("https://onemount.atlassian.net/browse/DBA-2308","DBA-2308")</f>
        <v>DBA-2308</v>
      </c>
      <c r="B2589" s="6" t="s">
        <v>21</v>
      </c>
      <c r="C2589" s="6" t="s">
        <v>11008</v>
      </c>
      <c r="D2589" s="8" t="s">
        <v>17</v>
      </c>
      <c r="E2589" s="6" t="s">
        <v>23</v>
      </c>
      <c r="F2589" s="6" t="s">
        <v>24</v>
      </c>
      <c r="G2589" s="6" t="s">
        <v>11009</v>
      </c>
      <c r="H2589" s="10">
        <v>45899</v>
      </c>
      <c r="I2589" s="6" t="s">
        <v>11010</v>
      </c>
      <c r="J2589" s="6" t="s">
        <v>85</v>
      </c>
      <c r="K2589" s="6" t="s">
        <v>55</v>
      </c>
      <c r="L2589" s="6" t="s">
        <v>85</v>
      </c>
      <c r="M2589" s="6" t="s">
        <v>11011</v>
      </c>
    </row>
    <row r="2590" spans="1:13" ht="13" x14ac:dyDescent="0.15">
      <c r="A2590" s="5" t="str">
        <f>HYPERLINK("https://onemount.atlassian.net/browse/DBA-2305","DBA-2305")</f>
        <v>DBA-2305</v>
      </c>
      <c r="B2590" s="6" t="s">
        <v>21</v>
      </c>
      <c r="C2590" s="6" t="s">
        <v>11012</v>
      </c>
      <c r="D2590" s="8" t="s">
        <v>17</v>
      </c>
      <c r="E2590" s="6" t="s">
        <v>23</v>
      </c>
      <c r="F2590" s="6" t="s">
        <v>31</v>
      </c>
      <c r="G2590" s="6" t="s">
        <v>11013</v>
      </c>
      <c r="H2590" s="10">
        <v>45899</v>
      </c>
      <c r="I2590" s="6" t="s">
        <v>11014</v>
      </c>
      <c r="J2590" s="6" t="s">
        <v>715</v>
      </c>
      <c r="K2590" s="6" t="s">
        <v>55</v>
      </c>
      <c r="L2590" s="6" t="s">
        <v>715</v>
      </c>
      <c r="M2590" s="6" t="s">
        <v>11015</v>
      </c>
    </row>
    <row r="2591" spans="1:13" ht="13" x14ac:dyDescent="0.15">
      <c r="A2591" s="21" t="str">
        <f>HYPERLINK("https://onemount.atlassian.net/browse/DBA-2302","DBA-2302")</f>
        <v>DBA-2302</v>
      </c>
      <c r="B2591" s="6" t="s">
        <v>21</v>
      </c>
      <c r="C2591" s="6" t="s">
        <v>11016</v>
      </c>
      <c r="D2591" s="8" t="s">
        <v>17</v>
      </c>
      <c r="E2591" s="6" t="s">
        <v>23</v>
      </c>
      <c r="F2591" s="6" t="s">
        <v>31</v>
      </c>
      <c r="G2591" s="6" t="s">
        <v>11017</v>
      </c>
      <c r="H2591" s="10">
        <v>45899</v>
      </c>
      <c r="I2591" s="6" t="s">
        <v>11018</v>
      </c>
      <c r="J2591" s="6" t="s">
        <v>2687</v>
      </c>
      <c r="K2591" s="6" t="s">
        <v>46</v>
      </c>
      <c r="L2591" s="6" t="s">
        <v>404</v>
      </c>
      <c r="M2591" s="6" t="s">
        <v>6940</v>
      </c>
    </row>
    <row r="2592" spans="1:13" ht="13" x14ac:dyDescent="0.15">
      <c r="A2592" s="5" t="str">
        <f>HYPERLINK("https://onemount.atlassian.net/browse/DBA-2299","DBA-2299")</f>
        <v>DBA-2299</v>
      </c>
      <c r="B2592" s="6" t="s">
        <v>21</v>
      </c>
      <c r="C2592" s="6" t="s">
        <v>11019</v>
      </c>
      <c r="D2592" s="8" t="s">
        <v>17</v>
      </c>
      <c r="E2592" s="6" t="s">
        <v>23</v>
      </c>
      <c r="F2592" s="6" t="s">
        <v>96</v>
      </c>
      <c r="G2592" s="6" t="s">
        <v>11020</v>
      </c>
      <c r="H2592" s="10">
        <v>45904</v>
      </c>
      <c r="I2592" s="6" t="s">
        <v>11021</v>
      </c>
      <c r="J2592" s="6" t="s">
        <v>55</v>
      </c>
      <c r="K2592" s="6" t="s">
        <v>55</v>
      </c>
      <c r="L2592" s="6" t="s">
        <v>55</v>
      </c>
      <c r="M2592" s="6" t="s">
        <v>11022</v>
      </c>
    </row>
    <row r="2593" spans="1:13" ht="13" x14ac:dyDescent="0.15">
      <c r="A2593" s="5" t="str">
        <f>HYPERLINK("https://onemount.atlassian.net/browse/DBA-2298","DBA-2298")</f>
        <v>DBA-2298</v>
      </c>
      <c r="B2593" s="6" t="s">
        <v>21</v>
      </c>
      <c r="C2593" s="6" t="s">
        <v>11023</v>
      </c>
      <c r="D2593" s="8" t="s">
        <v>17</v>
      </c>
      <c r="E2593" s="6" t="s">
        <v>23</v>
      </c>
      <c r="F2593" s="6" t="s">
        <v>96</v>
      </c>
      <c r="G2593" s="6" t="s">
        <v>11024</v>
      </c>
      <c r="H2593" s="10">
        <v>45904</v>
      </c>
      <c r="I2593" s="6" t="s">
        <v>11025</v>
      </c>
      <c r="J2593" s="6" t="s">
        <v>55</v>
      </c>
      <c r="K2593" s="6" t="s">
        <v>55</v>
      </c>
      <c r="L2593" s="6" t="s">
        <v>55</v>
      </c>
      <c r="M2593" s="6" t="s">
        <v>11026</v>
      </c>
    </row>
    <row r="2594" spans="1:13" ht="13" x14ac:dyDescent="0.15">
      <c r="A2594" s="5" t="str">
        <f>HYPERLINK("https://onemount.atlassian.net/browse/DBA-2294","DBA-2294")</f>
        <v>DBA-2294</v>
      </c>
      <c r="B2594" s="6" t="s">
        <v>21</v>
      </c>
      <c r="C2594" s="6" t="s">
        <v>11027</v>
      </c>
      <c r="D2594" s="8" t="s">
        <v>17</v>
      </c>
      <c r="E2594" s="6" t="s">
        <v>23</v>
      </c>
      <c r="F2594" s="6" t="s">
        <v>31</v>
      </c>
      <c r="G2594" s="6" t="s">
        <v>11028</v>
      </c>
      <c r="H2594" s="10">
        <v>45898</v>
      </c>
      <c r="I2594" s="6" t="s">
        <v>11029</v>
      </c>
      <c r="J2594" s="6" t="s">
        <v>276</v>
      </c>
      <c r="K2594" s="6" t="s">
        <v>35</v>
      </c>
      <c r="L2594" s="6" t="s">
        <v>276</v>
      </c>
      <c r="M2594" s="6" t="s">
        <v>11030</v>
      </c>
    </row>
    <row r="2595" spans="1:13" ht="13" x14ac:dyDescent="0.15">
      <c r="A2595" s="5" t="str">
        <f>HYPERLINK("https://onemount.atlassian.net/browse/DBA-2293","DBA-2293")</f>
        <v>DBA-2293</v>
      </c>
      <c r="B2595" s="6" t="s">
        <v>21</v>
      </c>
      <c r="C2595" s="6" t="s">
        <v>11031</v>
      </c>
      <c r="D2595" s="8" t="s">
        <v>17</v>
      </c>
      <c r="E2595" s="6" t="s">
        <v>23</v>
      </c>
      <c r="F2595" s="6" t="s">
        <v>31</v>
      </c>
      <c r="G2595" s="6" t="s">
        <v>11032</v>
      </c>
      <c r="H2595" s="10">
        <v>45897</v>
      </c>
      <c r="I2595" s="6" t="s">
        <v>11033</v>
      </c>
      <c r="J2595" s="6" t="s">
        <v>276</v>
      </c>
      <c r="K2595" s="6" t="s">
        <v>35</v>
      </c>
      <c r="L2595" s="6" t="s">
        <v>276</v>
      </c>
      <c r="M2595" s="6" t="s">
        <v>11034</v>
      </c>
    </row>
    <row r="2596" spans="1:13" ht="13" x14ac:dyDescent="0.15">
      <c r="A2596" s="5" t="str">
        <f>HYPERLINK("https://onemount.atlassian.net/browse/DBA-2292","DBA-2292")</f>
        <v>DBA-2292</v>
      </c>
      <c r="B2596" s="6" t="s">
        <v>21</v>
      </c>
      <c r="C2596" s="6" t="s">
        <v>11035</v>
      </c>
      <c r="D2596" s="8" t="s">
        <v>17</v>
      </c>
      <c r="E2596" s="6" t="s">
        <v>23</v>
      </c>
      <c r="F2596" s="6" t="s">
        <v>24</v>
      </c>
      <c r="G2596" s="6" t="s">
        <v>11036</v>
      </c>
      <c r="H2596" s="10">
        <v>45898</v>
      </c>
      <c r="I2596" s="6" t="s">
        <v>11037</v>
      </c>
      <c r="J2596" s="6" t="s">
        <v>165</v>
      </c>
      <c r="K2596" s="6" t="s">
        <v>165</v>
      </c>
      <c r="L2596" s="6" t="s">
        <v>39</v>
      </c>
      <c r="M2596" s="6" t="s">
        <v>11038</v>
      </c>
    </row>
    <row r="2597" spans="1:13" ht="13" x14ac:dyDescent="0.15">
      <c r="A2597" s="5" t="str">
        <f>HYPERLINK("https://onemount.atlassian.net/browse/DBA-2291","DBA-2291")</f>
        <v>DBA-2291</v>
      </c>
      <c r="B2597" s="6" t="s">
        <v>21</v>
      </c>
      <c r="C2597" s="6" t="s">
        <v>11039</v>
      </c>
      <c r="D2597" s="8" t="s">
        <v>17</v>
      </c>
      <c r="E2597" s="6" t="s">
        <v>23</v>
      </c>
      <c r="F2597" s="6" t="s">
        <v>96</v>
      </c>
      <c r="G2597" s="6" t="s">
        <v>11040</v>
      </c>
      <c r="H2597" s="10">
        <v>45897</v>
      </c>
      <c r="I2597" s="6" t="s">
        <v>11041</v>
      </c>
      <c r="J2597" s="6" t="s">
        <v>517</v>
      </c>
      <c r="K2597" s="6" t="s">
        <v>165</v>
      </c>
      <c r="L2597" s="6" t="s">
        <v>288</v>
      </c>
      <c r="M2597" s="6" t="s">
        <v>11042</v>
      </c>
    </row>
    <row r="2598" spans="1:13" ht="13" x14ac:dyDescent="0.15">
      <c r="A2598" s="5" t="str">
        <f>HYPERLINK("https://onemount.atlassian.net/browse/DBA-2290","DBA-2290")</f>
        <v>DBA-2290</v>
      </c>
      <c r="B2598" s="6" t="s">
        <v>21</v>
      </c>
      <c r="C2598" s="6" t="s">
        <v>11043</v>
      </c>
      <c r="D2598" s="8" t="s">
        <v>17</v>
      </c>
      <c r="E2598" s="6" t="s">
        <v>23</v>
      </c>
      <c r="F2598" s="6" t="s">
        <v>96</v>
      </c>
      <c r="G2598" s="6" t="s">
        <v>11044</v>
      </c>
      <c r="H2598" s="10">
        <v>45898</v>
      </c>
      <c r="I2598" s="6" t="s">
        <v>11045</v>
      </c>
      <c r="J2598" s="6" t="s">
        <v>55</v>
      </c>
      <c r="K2598" s="6" t="s">
        <v>55</v>
      </c>
      <c r="L2598" s="6" t="s">
        <v>55</v>
      </c>
      <c r="M2598" s="6" t="s">
        <v>11046</v>
      </c>
    </row>
    <row r="2599" spans="1:13" ht="13" x14ac:dyDescent="0.15">
      <c r="A2599" s="5" t="str">
        <f>HYPERLINK("https://onemount.atlassian.net/browse/DBA-2289","DBA-2289")</f>
        <v>DBA-2289</v>
      </c>
      <c r="B2599" s="6" t="s">
        <v>21</v>
      </c>
      <c r="C2599" s="6" t="s">
        <v>11047</v>
      </c>
      <c r="D2599" s="8" t="s">
        <v>17</v>
      </c>
      <c r="E2599" s="6" t="s">
        <v>23</v>
      </c>
      <c r="F2599" s="6" t="s">
        <v>31</v>
      </c>
      <c r="G2599" s="6" t="s">
        <v>11048</v>
      </c>
      <c r="H2599" s="10">
        <v>45897</v>
      </c>
      <c r="I2599" s="6" t="s">
        <v>11049</v>
      </c>
      <c r="J2599" s="6" t="s">
        <v>373</v>
      </c>
      <c r="K2599" s="6" t="s">
        <v>35</v>
      </c>
      <c r="L2599" s="6" t="s">
        <v>36</v>
      </c>
      <c r="M2599" s="6" t="s">
        <v>11050</v>
      </c>
    </row>
    <row r="2600" spans="1:13" ht="13" x14ac:dyDescent="0.15">
      <c r="A2600" s="5" t="str">
        <f>HYPERLINK("https://onemount.atlassian.net/browse/DBA-2286","DBA-2286")</f>
        <v>DBA-2286</v>
      </c>
      <c r="B2600" s="6" t="s">
        <v>21</v>
      </c>
      <c r="C2600" s="6" t="s">
        <v>11051</v>
      </c>
      <c r="D2600" s="8" t="s">
        <v>17</v>
      </c>
      <c r="E2600" s="6" t="s">
        <v>23</v>
      </c>
      <c r="F2600" s="6" t="s">
        <v>41</v>
      </c>
      <c r="G2600" s="6" t="s">
        <v>11052</v>
      </c>
      <c r="H2600" s="10">
        <v>45991</v>
      </c>
      <c r="I2600" s="6" t="s">
        <v>11053</v>
      </c>
      <c r="J2600" s="6" t="s">
        <v>11054</v>
      </c>
      <c r="K2600" s="6" t="s">
        <v>72</v>
      </c>
      <c r="L2600" s="6" t="s">
        <v>72</v>
      </c>
      <c r="M2600" s="6" t="s">
        <v>11051</v>
      </c>
    </row>
    <row r="2601" spans="1:13" ht="13" x14ac:dyDescent="0.15">
      <c r="A2601" s="5" t="str">
        <f>HYPERLINK("https://onemount.atlassian.net/browse/DBA-2285","DBA-2285")</f>
        <v>DBA-2285</v>
      </c>
      <c r="B2601" s="6" t="s">
        <v>21</v>
      </c>
      <c r="C2601" s="6" t="s">
        <v>11055</v>
      </c>
      <c r="D2601" s="8" t="s">
        <v>17</v>
      </c>
      <c r="E2601" s="6" t="s">
        <v>23</v>
      </c>
      <c r="F2601" s="6" t="s">
        <v>96</v>
      </c>
      <c r="G2601" s="6" t="s">
        <v>11056</v>
      </c>
      <c r="H2601" s="10">
        <v>45897</v>
      </c>
      <c r="I2601" s="6" t="s">
        <v>11057</v>
      </c>
      <c r="J2601" s="6" t="s">
        <v>55</v>
      </c>
      <c r="K2601" s="6" t="s">
        <v>55</v>
      </c>
      <c r="L2601" s="6" t="s">
        <v>956</v>
      </c>
      <c r="M2601" s="6" t="s">
        <v>11058</v>
      </c>
    </row>
    <row r="2602" spans="1:13" ht="13" x14ac:dyDescent="0.15">
      <c r="A2602" s="5" t="str">
        <f>HYPERLINK("https://onemount.atlassian.net/browse/DBA-2284","DBA-2284")</f>
        <v>DBA-2284</v>
      </c>
      <c r="B2602" s="6" t="s">
        <v>21</v>
      </c>
      <c r="C2602" s="6" t="s">
        <v>11059</v>
      </c>
      <c r="D2602" s="8" t="s">
        <v>17</v>
      </c>
      <c r="E2602" s="6" t="s">
        <v>23</v>
      </c>
      <c r="F2602" s="6" t="s">
        <v>31</v>
      </c>
      <c r="G2602" s="6" t="s">
        <v>11060</v>
      </c>
      <c r="H2602" s="10">
        <v>45897</v>
      </c>
      <c r="I2602" s="6" t="s">
        <v>11061</v>
      </c>
      <c r="J2602" s="6" t="s">
        <v>373</v>
      </c>
      <c r="K2602" s="6" t="s">
        <v>35</v>
      </c>
      <c r="L2602" s="6" t="s">
        <v>36</v>
      </c>
      <c r="M2602" s="6" t="s">
        <v>11062</v>
      </c>
    </row>
    <row r="2603" spans="1:13" ht="13" x14ac:dyDescent="0.15">
      <c r="A2603" s="5" t="str">
        <f>HYPERLINK("https://onemount.atlassian.net/browse/DBA-2281","DBA-2281")</f>
        <v>DBA-2281</v>
      </c>
      <c r="B2603" s="6" t="s">
        <v>21</v>
      </c>
      <c r="C2603" s="6" t="s">
        <v>11063</v>
      </c>
      <c r="D2603" s="8" t="s">
        <v>17</v>
      </c>
      <c r="E2603" s="6" t="s">
        <v>23</v>
      </c>
      <c r="F2603" s="6" t="s">
        <v>96</v>
      </c>
      <c r="G2603" s="6" t="s">
        <v>11064</v>
      </c>
      <c r="H2603" s="10">
        <v>45897</v>
      </c>
      <c r="I2603" s="6" t="s">
        <v>11065</v>
      </c>
      <c r="J2603" s="6" t="s">
        <v>6387</v>
      </c>
      <c r="K2603" s="6" t="s">
        <v>28</v>
      </c>
      <c r="L2603" s="6" t="s">
        <v>28</v>
      </c>
      <c r="M2603" s="6" t="s">
        <v>11066</v>
      </c>
    </row>
    <row r="2604" spans="1:13" ht="13" x14ac:dyDescent="0.15">
      <c r="A2604" s="5" t="str">
        <f>HYPERLINK("https://onemount.atlassian.net/browse/DBA-2280","DBA-2280")</f>
        <v>DBA-2280</v>
      </c>
      <c r="B2604" s="6" t="s">
        <v>21</v>
      </c>
      <c r="C2604" s="6" t="s">
        <v>11067</v>
      </c>
      <c r="D2604" s="8" t="s">
        <v>17</v>
      </c>
      <c r="E2604" s="6" t="s">
        <v>23</v>
      </c>
      <c r="F2604" s="6" t="s">
        <v>96</v>
      </c>
      <c r="G2604" s="6" t="s">
        <v>11068</v>
      </c>
      <c r="H2604" s="10">
        <v>45896</v>
      </c>
      <c r="I2604" s="6" t="s">
        <v>11069</v>
      </c>
      <c r="J2604" s="6" t="s">
        <v>1091</v>
      </c>
      <c r="K2604" s="6" t="s">
        <v>165</v>
      </c>
      <c r="L2604" s="6" t="s">
        <v>1091</v>
      </c>
      <c r="M2604" s="6" t="s">
        <v>11070</v>
      </c>
    </row>
    <row r="2605" spans="1:13" ht="13" x14ac:dyDescent="0.15">
      <c r="A2605" s="5" t="str">
        <f>HYPERLINK("https://onemount.atlassian.net/browse/DBA-2279","DBA-2279")</f>
        <v>DBA-2279</v>
      </c>
      <c r="B2605" s="6" t="s">
        <v>21</v>
      </c>
      <c r="C2605" s="6" t="s">
        <v>11071</v>
      </c>
      <c r="D2605" s="8" t="s">
        <v>17</v>
      </c>
      <c r="E2605" s="6" t="s">
        <v>23</v>
      </c>
      <c r="F2605" s="6" t="s">
        <v>31</v>
      </c>
      <c r="G2605" s="6" t="s">
        <v>11072</v>
      </c>
      <c r="H2605" s="10">
        <v>45898</v>
      </c>
      <c r="I2605" s="6" t="s">
        <v>11073</v>
      </c>
      <c r="J2605" s="6" t="s">
        <v>628</v>
      </c>
      <c r="K2605" s="6" t="s">
        <v>35</v>
      </c>
      <c r="L2605" s="6" t="s">
        <v>628</v>
      </c>
      <c r="M2605" s="6" t="s">
        <v>11074</v>
      </c>
    </row>
    <row r="2606" spans="1:13" ht="13" x14ac:dyDescent="0.15">
      <c r="A2606" s="5" t="str">
        <f>HYPERLINK("https://onemount.atlassian.net/browse/DBA-2278","DBA-2278")</f>
        <v>DBA-2278</v>
      </c>
      <c r="B2606" s="6" t="s">
        <v>21</v>
      </c>
      <c r="C2606" s="6" t="s">
        <v>11016</v>
      </c>
      <c r="D2606" s="8" t="s">
        <v>17</v>
      </c>
      <c r="E2606" s="6" t="s">
        <v>23</v>
      </c>
      <c r="F2606" s="6" t="s">
        <v>31</v>
      </c>
      <c r="G2606" s="6" t="s">
        <v>11075</v>
      </c>
      <c r="H2606" s="10">
        <v>45896</v>
      </c>
      <c r="I2606" s="6" t="s">
        <v>11076</v>
      </c>
      <c r="J2606" s="6" t="s">
        <v>2687</v>
      </c>
      <c r="K2606" s="6" t="s">
        <v>46</v>
      </c>
      <c r="L2606" s="6" t="s">
        <v>404</v>
      </c>
      <c r="M2606" s="6" t="s">
        <v>11077</v>
      </c>
    </row>
    <row r="2607" spans="1:13" ht="13" x14ac:dyDescent="0.15">
      <c r="A2607" s="5" t="str">
        <f>HYPERLINK("https://onemount.atlassian.net/browse/DBA-2277","DBA-2277")</f>
        <v>DBA-2277</v>
      </c>
      <c r="B2607" s="6" t="s">
        <v>21</v>
      </c>
      <c r="C2607" s="6" t="s">
        <v>11078</v>
      </c>
      <c r="D2607" s="8" t="s">
        <v>17</v>
      </c>
      <c r="E2607" s="6" t="s">
        <v>23</v>
      </c>
      <c r="F2607" s="6" t="s">
        <v>24</v>
      </c>
      <c r="G2607" s="6" t="s">
        <v>11079</v>
      </c>
      <c r="H2607" s="10">
        <v>45896</v>
      </c>
      <c r="I2607" s="6" t="s">
        <v>11080</v>
      </c>
      <c r="J2607" s="6" t="s">
        <v>85</v>
      </c>
      <c r="K2607" s="6" t="s">
        <v>55</v>
      </c>
      <c r="L2607" s="6" t="s">
        <v>270</v>
      </c>
      <c r="M2607" s="6" t="s">
        <v>11081</v>
      </c>
    </row>
    <row r="2608" spans="1:13" ht="13" x14ac:dyDescent="0.15">
      <c r="A2608" s="5" t="str">
        <f>HYPERLINK("https://onemount.atlassian.net/browse/DBA-2276","DBA-2276")</f>
        <v>DBA-2276</v>
      </c>
      <c r="B2608" s="6" t="s">
        <v>21</v>
      </c>
      <c r="C2608" s="6" t="s">
        <v>11082</v>
      </c>
      <c r="D2608" s="8" t="s">
        <v>17</v>
      </c>
      <c r="E2608" s="6" t="s">
        <v>23</v>
      </c>
      <c r="F2608" s="6" t="s">
        <v>24</v>
      </c>
      <c r="G2608" s="6" t="s">
        <v>11083</v>
      </c>
      <c r="H2608" s="10">
        <v>45897</v>
      </c>
      <c r="I2608" s="6" t="s">
        <v>11084</v>
      </c>
      <c r="J2608" s="6" t="s">
        <v>165</v>
      </c>
      <c r="K2608" s="6" t="s">
        <v>165</v>
      </c>
      <c r="L2608" s="6" t="s">
        <v>39</v>
      </c>
      <c r="M2608" s="6" t="s">
        <v>11085</v>
      </c>
    </row>
    <row r="2609" spans="1:13" ht="13" x14ac:dyDescent="0.15">
      <c r="A2609" s="5" t="str">
        <f>HYPERLINK("https://onemount.atlassian.net/browse/DBA-2275","DBA-2275")</f>
        <v>DBA-2275</v>
      </c>
      <c r="B2609" s="6" t="s">
        <v>21</v>
      </c>
      <c r="C2609" s="6" t="s">
        <v>3328</v>
      </c>
      <c r="D2609" s="8" t="s">
        <v>17</v>
      </c>
      <c r="E2609" s="6" t="s">
        <v>23</v>
      </c>
      <c r="F2609" s="6" t="s">
        <v>96</v>
      </c>
      <c r="G2609" s="6" t="s">
        <v>11086</v>
      </c>
      <c r="H2609" s="10">
        <v>45896</v>
      </c>
      <c r="I2609" s="6" t="s">
        <v>11087</v>
      </c>
      <c r="J2609" s="6" t="s">
        <v>214</v>
      </c>
      <c r="K2609" s="6" t="s">
        <v>165</v>
      </c>
      <c r="L2609" s="6" t="s">
        <v>288</v>
      </c>
      <c r="M2609" s="6" t="s">
        <v>11088</v>
      </c>
    </row>
    <row r="2610" spans="1:13" ht="13" x14ac:dyDescent="0.15">
      <c r="A2610" s="5" t="str">
        <f>HYPERLINK("https://onemount.atlassian.net/browse/DBA-2274","DBA-2274")</f>
        <v>DBA-2274</v>
      </c>
      <c r="B2610" s="6" t="s">
        <v>21</v>
      </c>
      <c r="C2610" s="6" t="s">
        <v>11089</v>
      </c>
      <c r="D2610" s="8" t="s">
        <v>17</v>
      </c>
      <c r="E2610" s="6" t="s">
        <v>23</v>
      </c>
      <c r="F2610" s="6" t="s">
        <v>96</v>
      </c>
      <c r="G2610" s="6" t="s">
        <v>11090</v>
      </c>
      <c r="H2610" s="10">
        <v>45896</v>
      </c>
      <c r="I2610" s="6" t="s">
        <v>11091</v>
      </c>
      <c r="J2610" s="6" t="s">
        <v>1898</v>
      </c>
      <c r="K2610" s="6" t="s">
        <v>165</v>
      </c>
      <c r="L2610" s="6" t="s">
        <v>1097</v>
      </c>
      <c r="M2610" s="6" t="s">
        <v>11092</v>
      </c>
    </row>
    <row r="2611" spans="1:13" ht="13" x14ac:dyDescent="0.15">
      <c r="A2611" s="5" t="str">
        <f>HYPERLINK("https://onemount.atlassian.net/browse/DBA-2273","DBA-2273")</f>
        <v>DBA-2273</v>
      </c>
      <c r="B2611" s="6" t="s">
        <v>21</v>
      </c>
      <c r="C2611" s="6" t="s">
        <v>11093</v>
      </c>
      <c r="D2611" s="8" t="s">
        <v>17</v>
      </c>
      <c r="E2611" s="6" t="s">
        <v>23</v>
      </c>
      <c r="F2611" s="6" t="s">
        <v>31</v>
      </c>
      <c r="G2611" s="6" t="s">
        <v>11094</v>
      </c>
      <c r="H2611" s="10">
        <v>45897</v>
      </c>
      <c r="I2611" s="6" t="s">
        <v>11095</v>
      </c>
      <c r="J2611" s="6" t="s">
        <v>276</v>
      </c>
      <c r="K2611" s="6" t="s">
        <v>35</v>
      </c>
      <c r="L2611" s="6" t="s">
        <v>276</v>
      </c>
      <c r="M2611" s="6" t="s">
        <v>11096</v>
      </c>
    </row>
    <row r="2612" spans="1:13" ht="13" x14ac:dyDescent="0.15">
      <c r="A2612" s="5" t="str">
        <f>HYPERLINK("https://onemount.atlassian.net/browse/DBA-2271","DBA-2271")</f>
        <v>DBA-2271</v>
      </c>
      <c r="B2612" s="6" t="s">
        <v>21</v>
      </c>
      <c r="C2612" s="6" t="s">
        <v>9764</v>
      </c>
      <c r="D2612" s="8" t="s">
        <v>17</v>
      </c>
      <c r="E2612" s="6" t="s">
        <v>23</v>
      </c>
      <c r="F2612" s="6" t="s">
        <v>24</v>
      </c>
      <c r="G2612" s="6" t="s">
        <v>11097</v>
      </c>
      <c r="H2612" s="10">
        <v>45897</v>
      </c>
      <c r="I2612" s="6" t="s">
        <v>11098</v>
      </c>
      <c r="J2612" s="6" t="s">
        <v>3553</v>
      </c>
      <c r="K2612" s="6" t="s">
        <v>165</v>
      </c>
      <c r="L2612" s="6" t="s">
        <v>1032</v>
      </c>
      <c r="M2612" s="6" t="s">
        <v>11099</v>
      </c>
    </row>
    <row r="2613" spans="1:13" ht="13" x14ac:dyDescent="0.15">
      <c r="A2613" s="5" t="str">
        <f>HYPERLINK("https://onemount.atlassian.net/browse/DBA-2270","DBA-2270")</f>
        <v>DBA-2270</v>
      </c>
      <c r="B2613" s="6" t="s">
        <v>21</v>
      </c>
      <c r="C2613" s="6" t="s">
        <v>11100</v>
      </c>
      <c r="D2613" s="8" t="s">
        <v>17</v>
      </c>
      <c r="E2613" s="6" t="s">
        <v>23</v>
      </c>
      <c r="F2613" s="6" t="s">
        <v>96</v>
      </c>
      <c r="G2613" s="6" t="s">
        <v>11101</v>
      </c>
      <c r="H2613" s="10">
        <v>45897</v>
      </c>
      <c r="I2613" s="6" t="s">
        <v>11102</v>
      </c>
      <c r="J2613" s="6" t="s">
        <v>715</v>
      </c>
      <c r="K2613" s="6" t="s">
        <v>28</v>
      </c>
      <c r="L2613" s="6" t="s">
        <v>27</v>
      </c>
      <c r="M2613" s="6" t="s">
        <v>11103</v>
      </c>
    </row>
    <row r="2614" spans="1:13" ht="13" x14ac:dyDescent="0.15">
      <c r="A2614" s="5" t="str">
        <f>HYPERLINK("https://onemount.atlassian.net/browse/DBA-2269","DBA-2269")</f>
        <v>DBA-2269</v>
      </c>
      <c r="B2614" s="6" t="s">
        <v>21</v>
      </c>
      <c r="C2614" s="6" t="s">
        <v>11104</v>
      </c>
      <c r="D2614" s="8" t="s">
        <v>17</v>
      </c>
      <c r="E2614" s="6" t="s">
        <v>23</v>
      </c>
      <c r="F2614" s="6" t="s">
        <v>96</v>
      </c>
      <c r="G2614" s="6" t="s">
        <v>11105</v>
      </c>
      <c r="H2614" s="10">
        <v>45899</v>
      </c>
      <c r="I2614" s="6" t="s">
        <v>11106</v>
      </c>
      <c r="J2614" s="6" t="s">
        <v>2453</v>
      </c>
      <c r="K2614" s="6" t="s">
        <v>165</v>
      </c>
      <c r="L2614" s="6" t="s">
        <v>119</v>
      </c>
      <c r="M2614" s="6" t="s">
        <v>11107</v>
      </c>
    </row>
    <row r="2615" spans="1:13" ht="13" x14ac:dyDescent="0.15">
      <c r="A2615" s="5" t="str">
        <f>HYPERLINK("https://onemount.atlassian.net/browse/DBA-2267","DBA-2267")</f>
        <v>DBA-2267</v>
      </c>
      <c r="B2615" s="23" t="str">
        <f>HYPERLINK("https://onemount.atlassian.net/browse/NEXA-3896","NEXA-3896")</f>
        <v>NEXA-3896</v>
      </c>
      <c r="C2615" s="6" t="s">
        <v>11108</v>
      </c>
      <c r="D2615" s="8" t="s">
        <v>17</v>
      </c>
      <c r="E2615" s="6" t="s">
        <v>23</v>
      </c>
      <c r="F2615" s="6" t="s">
        <v>94</v>
      </c>
      <c r="G2615" s="6" t="s">
        <v>11109</v>
      </c>
      <c r="H2615" s="10">
        <v>45940</v>
      </c>
      <c r="I2615" s="6" t="s">
        <v>11110</v>
      </c>
      <c r="J2615" s="6" t="s">
        <v>10993</v>
      </c>
      <c r="K2615" s="6" t="s">
        <v>46</v>
      </c>
      <c r="L2615" s="6" t="s">
        <v>146</v>
      </c>
      <c r="M2615" s="6" t="s">
        <v>11111</v>
      </c>
    </row>
    <row r="2616" spans="1:13" ht="13" x14ac:dyDescent="0.15">
      <c r="A2616" s="5" t="str">
        <f>HYPERLINK("https://onemount.atlassian.net/browse/DBA-2265","DBA-2265")</f>
        <v>DBA-2265</v>
      </c>
      <c r="B2616" s="6" t="s">
        <v>21</v>
      </c>
      <c r="C2616" s="6" t="s">
        <v>11112</v>
      </c>
      <c r="D2616" s="8" t="s">
        <v>17</v>
      </c>
      <c r="E2616" s="6" t="s">
        <v>23</v>
      </c>
      <c r="F2616" s="6" t="s">
        <v>31</v>
      </c>
      <c r="G2616" s="6" t="s">
        <v>11113</v>
      </c>
      <c r="H2616" s="10">
        <v>45897</v>
      </c>
      <c r="I2616" s="6" t="s">
        <v>11114</v>
      </c>
      <c r="J2616" s="6" t="s">
        <v>1564</v>
      </c>
      <c r="K2616" s="6" t="s">
        <v>35</v>
      </c>
      <c r="L2616" s="6" t="s">
        <v>36</v>
      </c>
      <c r="M2616" s="6" t="s">
        <v>11115</v>
      </c>
    </row>
    <row r="2617" spans="1:13" ht="13" x14ac:dyDescent="0.15">
      <c r="A2617" s="5" t="str">
        <f>HYPERLINK("https://onemount.atlassian.net/browse/DBA-2264","DBA-2264")</f>
        <v>DBA-2264</v>
      </c>
      <c r="B2617" s="6" t="s">
        <v>21</v>
      </c>
      <c r="C2617" s="6" t="s">
        <v>11116</v>
      </c>
      <c r="D2617" s="8" t="s">
        <v>17</v>
      </c>
      <c r="E2617" s="6" t="s">
        <v>23</v>
      </c>
      <c r="F2617" s="6" t="s">
        <v>31</v>
      </c>
      <c r="G2617" s="6" t="s">
        <v>11117</v>
      </c>
      <c r="H2617" s="10">
        <v>45897</v>
      </c>
      <c r="I2617" s="6" t="s">
        <v>11118</v>
      </c>
      <c r="J2617" s="6" t="s">
        <v>2984</v>
      </c>
      <c r="K2617" s="6" t="s">
        <v>35</v>
      </c>
      <c r="L2617" s="6" t="s">
        <v>638</v>
      </c>
      <c r="M2617" s="6" t="s">
        <v>11119</v>
      </c>
    </row>
    <row r="2618" spans="1:13" ht="13" x14ac:dyDescent="0.15">
      <c r="A2618" s="5" t="str">
        <f>HYPERLINK("https://onemount.atlassian.net/browse/DBA-2263","DBA-2263")</f>
        <v>DBA-2263</v>
      </c>
      <c r="B2618" s="6" t="s">
        <v>21</v>
      </c>
      <c r="C2618" s="6" t="s">
        <v>11120</v>
      </c>
      <c r="D2618" s="8" t="s">
        <v>17</v>
      </c>
      <c r="E2618" s="6" t="s">
        <v>23</v>
      </c>
      <c r="F2618" s="6" t="s">
        <v>31</v>
      </c>
      <c r="G2618" s="6" t="s">
        <v>11121</v>
      </c>
      <c r="H2618" s="10">
        <v>45897</v>
      </c>
      <c r="I2618" s="6" t="s">
        <v>11122</v>
      </c>
      <c r="J2618" s="6" t="s">
        <v>276</v>
      </c>
      <c r="K2618" s="6" t="s">
        <v>35</v>
      </c>
      <c r="L2618" s="6" t="s">
        <v>276</v>
      </c>
      <c r="M2618" s="6" t="s">
        <v>11123</v>
      </c>
    </row>
    <row r="2619" spans="1:13" ht="13" x14ac:dyDescent="0.15">
      <c r="A2619" s="5" t="str">
        <f>HYPERLINK("https://onemount.atlassian.net/browse/DBA-2262","DBA-2262")</f>
        <v>DBA-2262</v>
      </c>
      <c r="B2619" s="6" t="s">
        <v>21</v>
      </c>
      <c r="C2619" s="6" t="s">
        <v>11124</v>
      </c>
      <c r="D2619" s="8" t="s">
        <v>17</v>
      </c>
      <c r="E2619" s="6" t="s">
        <v>23</v>
      </c>
      <c r="F2619" s="6" t="s">
        <v>24</v>
      </c>
      <c r="G2619" s="6" t="s">
        <v>11125</v>
      </c>
      <c r="H2619" s="10">
        <v>45896</v>
      </c>
      <c r="I2619" s="6" t="s">
        <v>11126</v>
      </c>
      <c r="J2619" s="6" t="s">
        <v>11127</v>
      </c>
      <c r="K2619" s="6" t="s">
        <v>165</v>
      </c>
      <c r="L2619" s="6" t="s">
        <v>39</v>
      </c>
      <c r="M2619" s="6" t="s">
        <v>11128</v>
      </c>
    </row>
    <row r="2620" spans="1:13" ht="13" x14ac:dyDescent="0.15">
      <c r="A2620" s="5" t="str">
        <f>HYPERLINK("https://onemount.atlassian.net/browse/DBA-2261","DBA-2261")</f>
        <v>DBA-2261</v>
      </c>
      <c r="B2620" s="6" t="s">
        <v>21</v>
      </c>
      <c r="C2620" s="6" t="s">
        <v>11129</v>
      </c>
      <c r="D2620" s="8" t="s">
        <v>17</v>
      </c>
      <c r="E2620" s="6" t="s">
        <v>23</v>
      </c>
      <c r="F2620" s="6" t="s">
        <v>24</v>
      </c>
      <c r="G2620" s="6" t="s">
        <v>11130</v>
      </c>
      <c r="H2620" s="10">
        <v>45896</v>
      </c>
      <c r="I2620" s="6" t="s">
        <v>11131</v>
      </c>
      <c r="J2620" s="6" t="s">
        <v>3553</v>
      </c>
      <c r="K2620" s="6" t="s">
        <v>165</v>
      </c>
      <c r="L2620" s="6" t="s">
        <v>39</v>
      </c>
      <c r="M2620" s="6" t="s">
        <v>11132</v>
      </c>
    </row>
    <row r="2621" spans="1:13" ht="13" x14ac:dyDescent="0.15">
      <c r="A2621" s="5" t="str">
        <f>HYPERLINK("https://onemount.atlassian.net/browse/DBA-2260","DBA-2260")</f>
        <v>DBA-2260</v>
      </c>
      <c r="B2621" s="6" t="s">
        <v>21</v>
      </c>
      <c r="C2621" s="6" t="s">
        <v>11133</v>
      </c>
      <c r="D2621" s="8" t="s">
        <v>17</v>
      </c>
      <c r="E2621" s="6" t="s">
        <v>23</v>
      </c>
      <c r="F2621" s="6" t="s">
        <v>24</v>
      </c>
      <c r="G2621" s="6" t="s">
        <v>11134</v>
      </c>
      <c r="H2621" s="10">
        <v>45895</v>
      </c>
      <c r="I2621" s="6" t="s">
        <v>11135</v>
      </c>
      <c r="J2621" s="6" t="s">
        <v>55</v>
      </c>
      <c r="K2621" s="6" t="s">
        <v>55</v>
      </c>
      <c r="L2621" s="6" t="s">
        <v>772</v>
      </c>
      <c r="M2621" s="6" t="s">
        <v>11136</v>
      </c>
    </row>
    <row r="2622" spans="1:13" ht="13" x14ac:dyDescent="0.15">
      <c r="A2622" s="21" t="str">
        <f>HYPERLINK("https://onemount.atlassian.net/browse/DBA-2259","DBA-2259")</f>
        <v>DBA-2259</v>
      </c>
      <c r="B2622" s="6" t="s">
        <v>21</v>
      </c>
      <c r="C2622" s="6" t="s">
        <v>10827</v>
      </c>
      <c r="D2622" s="8" t="s">
        <v>17</v>
      </c>
      <c r="E2622" s="6" t="s">
        <v>23</v>
      </c>
      <c r="F2622" s="6" t="s">
        <v>24</v>
      </c>
      <c r="G2622" s="6" t="s">
        <v>11137</v>
      </c>
      <c r="H2622" s="10">
        <v>45909</v>
      </c>
      <c r="I2622" s="6" t="s">
        <v>11138</v>
      </c>
      <c r="J2622" s="6" t="s">
        <v>4792</v>
      </c>
      <c r="K2622" s="6" t="s">
        <v>55</v>
      </c>
      <c r="L2622" s="6" t="s">
        <v>270</v>
      </c>
      <c r="M2622" s="6" t="s">
        <v>10830</v>
      </c>
    </row>
    <row r="2623" spans="1:13" ht="13" x14ac:dyDescent="0.15">
      <c r="A2623" s="5" t="str">
        <f>HYPERLINK("https://onemount.atlassian.net/browse/DBA-2258","DBA-2258")</f>
        <v>DBA-2258</v>
      </c>
      <c r="B2623" s="6" t="s">
        <v>21</v>
      </c>
      <c r="C2623" s="6" t="s">
        <v>11139</v>
      </c>
      <c r="D2623" s="8" t="s">
        <v>17</v>
      </c>
      <c r="E2623" s="6" t="s">
        <v>23</v>
      </c>
      <c r="F2623" s="6" t="s">
        <v>96</v>
      </c>
      <c r="G2623" s="6" t="s">
        <v>11140</v>
      </c>
      <c r="H2623" s="10">
        <v>45895</v>
      </c>
      <c r="I2623" s="6" t="s">
        <v>11141</v>
      </c>
      <c r="J2623" s="6" t="s">
        <v>1898</v>
      </c>
      <c r="K2623" s="6" t="s">
        <v>165</v>
      </c>
      <c r="L2623" s="6" t="s">
        <v>1097</v>
      </c>
      <c r="M2623" s="6" t="s">
        <v>11142</v>
      </c>
    </row>
    <row r="2624" spans="1:13" ht="13" x14ac:dyDescent="0.15">
      <c r="A2624" s="5" t="str">
        <f>HYPERLINK("https://onemount.atlassian.net/browse/DBA-2257","DBA-2257")</f>
        <v>DBA-2257</v>
      </c>
      <c r="B2624" s="6" t="s">
        <v>21</v>
      </c>
      <c r="C2624" s="6" t="s">
        <v>10978</v>
      </c>
      <c r="D2624" s="8" t="s">
        <v>17</v>
      </c>
      <c r="E2624" s="6" t="s">
        <v>23</v>
      </c>
      <c r="F2624" s="6" t="s">
        <v>24</v>
      </c>
      <c r="G2624" s="6" t="s">
        <v>11143</v>
      </c>
      <c r="H2624" s="10">
        <v>45896</v>
      </c>
      <c r="I2624" s="6" t="s">
        <v>11144</v>
      </c>
      <c r="J2624" s="6" t="s">
        <v>56</v>
      </c>
      <c r="K2624" s="6" t="s">
        <v>55</v>
      </c>
      <c r="L2624" s="6" t="s">
        <v>56</v>
      </c>
      <c r="M2624" s="6" t="s">
        <v>11145</v>
      </c>
    </row>
    <row r="2625" spans="1:13" ht="13" x14ac:dyDescent="0.15">
      <c r="A2625" s="5" t="str">
        <f>HYPERLINK("https://onemount.atlassian.net/browse/DBA-2256","DBA-2256")</f>
        <v>DBA-2256</v>
      </c>
      <c r="B2625" s="6" t="s">
        <v>21</v>
      </c>
      <c r="C2625" s="6" t="s">
        <v>11146</v>
      </c>
      <c r="D2625" s="8" t="s">
        <v>17</v>
      </c>
      <c r="E2625" s="6" t="s">
        <v>23</v>
      </c>
      <c r="F2625" s="6" t="s">
        <v>31</v>
      </c>
      <c r="G2625" s="6" t="s">
        <v>11147</v>
      </c>
      <c r="H2625" s="10">
        <v>45896</v>
      </c>
      <c r="I2625" s="6" t="s">
        <v>11148</v>
      </c>
      <c r="J2625" s="6" t="s">
        <v>374</v>
      </c>
      <c r="K2625" s="6" t="s">
        <v>35</v>
      </c>
      <c r="L2625" s="6" t="s">
        <v>374</v>
      </c>
      <c r="M2625" s="6" t="s">
        <v>11149</v>
      </c>
    </row>
    <row r="2626" spans="1:13" ht="13" x14ac:dyDescent="0.15">
      <c r="A2626" s="5" t="str">
        <f>HYPERLINK("https://onemount.atlassian.net/browse/DBA-2255","DBA-2255")</f>
        <v>DBA-2255</v>
      </c>
      <c r="B2626" s="6" t="s">
        <v>21</v>
      </c>
      <c r="C2626" s="6" t="s">
        <v>11150</v>
      </c>
      <c r="D2626" s="8" t="s">
        <v>17</v>
      </c>
      <c r="E2626" s="6" t="s">
        <v>23</v>
      </c>
      <c r="F2626" s="6" t="s">
        <v>31</v>
      </c>
      <c r="G2626" s="6" t="s">
        <v>11151</v>
      </c>
      <c r="H2626" s="10">
        <v>45895</v>
      </c>
      <c r="I2626" s="6" t="s">
        <v>11152</v>
      </c>
      <c r="J2626" s="6" t="s">
        <v>2687</v>
      </c>
      <c r="K2626" s="6" t="s">
        <v>46</v>
      </c>
      <c r="L2626" s="6" t="s">
        <v>404</v>
      </c>
      <c r="M2626" s="6" t="s">
        <v>11153</v>
      </c>
    </row>
    <row r="2627" spans="1:13" ht="13" x14ac:dyDescent="0.15">
      <c r="A2627" s="5" t="str">
        <f>HYPERLINK("https://onemount.atlassian.net/browse/DBA-2254","DBA-2254")</f>
        <v>DBA-2254</v>
      </c>
      <c r="B2627" s="6" t="s">
        <v>21</v>
      </c>
      <c r="C2627" s="6" t="s">
        <v>11154</v>
      </c>
      <c r="D2627" s="8" t="s">
        <v>17</v>
      </c>
      <c r="E2627" s="6" t="s">
        <v>23</v>
      </c>
      <c r="F2627" s="6" t="s">
        <v>31</v>
      </c>
      <c r="G2627" s="6" t="s">
        <v>11155</v>
      </c>
      <c r="H2627" s="10">
        <v>45895</v>
      </c>
      <c r="I2627" s="6" t="s">
        <v>11156</v>
      </c>
      <c r="J2627" s="6" t="s">
        <v>55</v>
      </c>
      <c r="K2627" s="6" t="s">
        <v>55</v>
      </c>
      <c r="L2627" s="6" t="s">
        <v>85</v>
      </c>
      <c r="M2627" s="6" t="s">
        <v>11157</v>
      </c>
    </row>
    <row r="2628" spans="1:13" ht="13" x14ac:dyDescent="0.15">
      <c r="A2628" s="5" t="str">
        <f>HYPERLINK("https://onemount.atlassian.net/browse/DBA-2253","DBA-2253")</f>
        <v>DBA-2253</v>
      </c>
      <c r="B2628" s="6" t="s">
        <v>21</v>
      </c>
      <c r="C2628" s="6" t="s">
        <v>11158</v>
      </c>
      <c r="D2628" s="8" t="s">
        <v>17</v>
      </c>
      <c r="E2628" s="6" t="s">
        <v>23</v>
      </c>
      <c r="F2628" s="6" t="s">
        <v>96</v>
      </c>
      <c r="G2628" s="6" t="s">
        <v>11159</v>
      </c>
      <c r="H2628" s="10">
        <v>45895</v>
      </c>
      <c r="I2628" s="6" t="s">
        <v>11160</v>
      </c>
      <c r="J2628" s="6" t="s">
        <v>85</v>
      </c>
      <c r="K2628" s="6" t="s">
        <v>55</v>
      </c>
      <c r="L2628" s="6" t="s">
        <v>85</v>
      </c>
      <c r="M2628" s="6" t="s">
        <v>11161</v>
      </c>
    </row>
    <row r="2629" spans="1:13" ht="13" x14ac:dyDescent="0.15">
      <c r="A2629" s="5" t="str">
        <f>HYPERLINK("https://onemount.atlassian.net/browse/DBA-2252","DBA-2252")</f>
        <v>DBA-2252</v>
      </c>
      <c r="B2629" s="6" t="s">
        <v>21</v>
      </c>
      <c r="C2629" s="6" t="s">
        <v>11162</v>
      </c>
      <c r="D2629" s="8" t="s">
        <v>17</v>
      </c>
      <c r="E2629" s="6" t="s">
        <v>23</v>
      </c>
      <c r="F2629" s="6" t="s">
        <v>96</v>
      </c>
      <c r="G2629" s="6" t="s">
        <v>11163</v>
      </c>
      <c r="H2629" s="10">
        <v>45897</v>
      </c>
      <c r="I2629" s="6" t="s">
        <v>11164</v>
      </c>
      <c r="J2629" s="6" t="s">
        <v>2453</v>
      </c>
      <c r="K2629" s="6" t="s">
        <v>165</v>
      </c>
      <c r="L2629" s="6" t="s">
        <v>119</v>
      </c>
      <c r="M2629" s="6" t="s">
        <v>11165</v>
      </c>
    </row>
    <row r="2630" spans="1:13" ht="13" x14ac:dyDescent="0.15">
      <c r="A2630" s="5" t="str">
        <f>HYPERLINK("https://onemount.atlassian.net/browse/DBA-2251","DBA-2251")</f>
        <v>DBA-2251</v>
      </c>
      <c r="B2630" s="6" t="s">
        <v>21</v>
      </c>
      <c r="C2630" s="6" t="s">
        <v>11166</v>
      </c>
      <c r="D2630" s="8" t="s">
        <v>17</v>
      </c>
      <c r="E2630" s="6" t="s">
        <v>23</v>
      </c>
      <c r="F2630" s="6" t="s">
        <v>24</v>
      </c>
      <c r="G2630" s="6" t="s">
        <v>11167</v>
      </c>
      <c r="H2630" s="10">
        <v>45895</v>
      </c>
      <c r="I2630" s="6" t="s">
        <v>11168</v>
      </c>
      <c r="J2630" s="6" t="s">
        <v>55</v>
      </c>
      <c r="K2630" s="6" t="s">
        <v>55</v>
      </c>
      <c r="L2630" s="6" t="s">
        <v>984</v>
      </c>
      <c r="M2630" s="6" t="s">
        <v>11169</v>
      </c>
    </row>
    <row r="2631" spans="1:13" ht="13" x14ac:dyDescent="0.15">
      <c r="A2631" s="5" t="str">
        <f>HYPERLINK("https://onemount.atlassian.net/browse/DBA-2249","DBA-2249")</f>
        <v>DBA-2249</v>
      </c>
      <c r="B2631" s="6" t="s">
        <v>21</v>
      </c>
      <c r="C2631" s="6" t="s">
        <v>11170</v>
      </c>
      <c r="D2631" s="8" t="s">
        <v>17</v>
      </c>
      <c r="E2631" s="6" t="s">
        <v>23</v>
      </c>
      <c r="F2631" s="6" t="s">
        <v>31</v>
      </c>
      <c r="G2631" s="6" t="s">
        <v>11171</v>
      </c>
      <c r="H2631" s="10">
        <v>45898</v>
      </c>
      <c r="I2631" s="6" t="s">
        <v>11172</v>
      </c>
      <c r="J2631" s="6" t="s">
        <v>165</v>
      </c>
      <c r="K2631" s="6" t="s">
        <v>165</v>
      </c>
      <c r="L2631" s="6" t="s">
        <v>1052</v>
      </c>
      <c r="M2631" s="6" t="s">
        <v>11173</v>
      </c>
    </row>
    <row r="2632" spans="1:13" ht="13" x14ac:dyDescent="0.15">
      <c r="A2632" s="5" t="str">
        <f>HYPERLINK("https://onemount.atlassian.net/browse/DBA-2248","DBA-2248")</f>
        <v>DBA-2248</v>
      </c>
      <c r="B2632" s="6" t="s">
        <v>21</v>
      </c>
      <c r="C2632" s="6" t="s">
        <v>11174</v>
      </c>
      <c r="D2632" s="8" t="s">
        <v>17</v>
      </c>
      <c r="E2632" s="6" t="s">
        <v>23</v>
      </c>
      <c r="F2632" s="6" t="s">
        <v>96</v>
      </c>
      <c r="G2632" s="6" t="s">
        <v>11175</v>
      </c>
      <c r="H2632" s="10">
        <v>45896</v>
      </c>
      <c r="I2632" s="6" t="s">
        <v>11176</v>
      </c>
      <c r="J2632" s="6" t="s">
        <v>1898</v>
      </c>
      <c r="K2632" s="6" t="s">
        <v>165</v>
      </c>
      <c r="L2632" s="6" t="s">
        <v>1097</v>
      </c>
      <c r="M2632" s="6" t="s">
        <v>11177</v>
      </c>
    </row>
    <row r="2633" spans="1:13" ht="13" x14ac:dyDescent="0.15">
      <c r="A2633" s="5" t="str">
        <f>HYPERLINK("https://onemount.atlassian.net/browse/DBA-2247","DBA-2247")</f>
        <v>DBA-2247</v>
      </c>
      <c r="B2633" s="23" t="str">
        <f t="shared" ref="B2633:B2634" si="38">HYPERLINK("https://onemount.atlassian.net/browse/DBA-2245","DBA-2245")</f>
        <v>DBA-2245</v>
      </c>
      <c r="C2633" s="6" t="s">
        <v>11178</v>
      </c>
      <c r="D2633" s="8" t="s">
        <v>17</v>
      </c>
      <c r="E2633" s="6" t="s">
        <v>428</v>
      </c>
      <c r="F2633" s="6" t="s">
        <v>31</v>
      </c>
      <c r="G2633" s="6" t="s">
        <v>11179</v>
      </c>
      <c r="H2633" s="10">
        <v>45895</v>
      </c>
      <c r="I2633" s="6" t="s">
        <v>11180</v>
      </c>
      <c r="J2633" s="6" t="s">
        <v>323</v>
      </c>
      <c r="K2633" s="6" t="s">
        <v>46</v>
      </c>
      <c r="L2633" s="6" t="s">
        <v>323</v>
      </c>
      <c r="M2633" s="6" t="s">
        <v>11181</v>
      </c>
    </row>
    <row r="2634" spans="1:13" ht="13" x14ac:dyDescent="0.15">
      <c r="A2634" s="5" t="str">
        <f>HYPERLINK("https://onemount.atlassian.net/browse/DBA-2246","DBA-2246")</f>
        <v>DBA-2246</v>
      </c>
      <c r="B2634" s="23" t="str">
        <f t="shared" si="38"/>
        <v>DBA-2245</v>
      </c>
      <c r="C2634" s="6" t="s">
        <v>11182</v>
      </c>
      <c r="D2634" s="8" t="s">
        <v>17</v>
      </c>
      <c r="E2634" s="6" t="s">
        <v>428</v>
      </c>
      <c r="F2634" s="6" t="s">
        <v>31</v>
      </c>
      <c r="G2634" s="6" t="s">
        <v>11183</v>
      </c>
      <c r="H2634" s="10">
        <v>45895</v>
      </c>
      <c r="I2634" s="6" t="s">
        <v>11184</v>
      </c>
      <c r="J2634" s="6" t="s">
        <v>323</v>
      </c>
      <c r="K2634" s="6" t="s">
        <v>46</v>
      </c>
      <c r="L2634" s="6" t="s">
        <v>323</v>
      </c>
      <c r="M2634" s="6" t="s">
        <v>11185</v>
      </c>
    </row>
    <row r="2635" spans="1:13" ht="13" x14ac:dyDescent="0.15">
      <c r="A2635" s="5" t="str">
        <f>HYPERLINK("https://onemount.atlassian.net/browse/DBA-2245","DBA-2245")</f>
        <v>DBA-2245</v>
      </c>
      <c r="B2635" s="6" t="s">
        <v>21</v>
      </c>
      <c r="C2635" s="6" t="s">
        <v>11186</v>
      </c>
      <c r="D2635" s="8" t="s">
        <v>17</v>
      </c>
      <c r="E2635" s="6" t="s">
        <v>23</v>
      </c>
      <c r="F2635" s="6" t="s">
        <v>31</v>
      </c>
      <c r="G2635" s="6" t="s">
        <v>11187</v>
      </c>
      <c r="H2635" s="10">
        <v>46023</v>
      </c>
      <c r="I2635" s="6" t="s">
        <v>11188</v>
      </c>
      <c r="J2635" s="6" t="s">
        <v>323</v>
      </c>
      <c r="K2635" s="6" t="s">
        <v>46</v>
      </c>
      <c r="L2635" s="6" t="s">
        <v>323</v>
      </c>
      <c r="M2635" s="6" t="s">
        <v>11189</v>
      </c>
    </row>
    <row r="2636" spans="1:13" ht="13" x14ac:dyDescent="0.15">
      <c r="A2636" s="5" t="str">
        <f>HYPERLINK("https://onemount.atlassian.net/browse/DBA-2244","DBA-2244")</f>
        <v>DBA-2244</v>
      </c>
      <c r="B2636" s="6" t="s">
        <v>21</v>
      </c>
      <c r="C2636" s="6" t="s">
        <v>11190</v>
      </c>
      <c r="D2636" s="8" t="s">
        <v>17</v>
      </c>
      <c r="E2636" s="6" t="s">
        <v>23</v>
      </c>
      <c r="F2636" s="6" t="s">
        <v>31</v>
      </c>
      <c r="G2636" s="6" t="s">
        <v>11191</v>
      </c>
      <c r="H2636" s="10">
        <v>45894</v>
      </c>
      <c r="I2636" s="6" t="s">
        <v>11192</v>
      </c>
      <c r="J2636" s="6" t="s">
        <v>373</v>
      </c>
      <c r="K2636" s="6" t="s">
        <v>35</v>
      </c>
      <c r="L2636" s="6" t="s">
        <v>36</v>
      </c>
      <c r="M2636" s="6" t="s">
        <v>11193</v>
      </c>
    </row>
    <row r="2637" spans="1:13" ht="13" x14ac:dyDescent="0.15">
      <c r="A2637" s="21" t="str">
        <f>HYPERLINK("https://onemount.atlassian.net/browse/DBA-2243","DBA-2243")</f>
        <v>DBA-2243</v>
      </c>
      <c r="B2637" s="23" t="str">
        <f t="shared" ref="B2637:B2639" si="39">HYPERLINK("https://onemount.atlassian.net/browse/DBA-2240","DBA-2240")</f>
        <v>DBA-2240</v>
      </c>
      <c r="C2637" s="6" t="s">
        <v>11194</v>
      </c>
      <c r="D2637" s="8" t="s">
        <v>17</v>
      </c>
      <c r="E2637" s="6" t="s">
        <v>428</v>
      </c>
      <c r="F2637" s="6" t="s">
        <v>87</v>
      </c>
      <c r="G2637" s="6" t="s">
        <v>11195</v>
      </c>
      <c r="H2637" s="10">
        <v>45933</v>
      </c>
      <c r="I2637" s="6" t="s">
        <v>11196</v>
      </c>
      <c r="J2637" s="6" t="s">
        <v>11197</v>
      </c>
      <c r="K2637" s="6" t="s">
        <v>46</v>
      </c>
      <c r="L2637" s="6" t="s">
        <v>651</v>
      </c>
      <c r="M2637" s="6" t="s">
        <v>11198</v>
      </c>
    </row>
    <row r="2638" spans="1:13" ht="13" x14ac:dyDescent="0.15">
      <c r="A2638" s="5" t="str">
        <f>HYPERLINK("https://onemount.atlassian.net/browse/DBA-2242","DBA-2242")</f>
        <v>DBA-2242</v>
      </c>
      <c r="B2638" s="23" t="str">
        <f t="shared" si="39"/>
        <v>DBA-2240</v>
      </c>
      <c r="C2638" s="6" t="s">
        <v>11199</v>
      </c>
      <c r="D2638" s="8" t="s">
        <v>17</v>
      </c>
      <c r="E2638" s="6" t="s">
        <v>428</v>
      </c>
      <c r="F2638" s="6" t="s">
        <v>87</v>
      </c>
      <c r="G2638" s="6" t="s">
        <v>11200</v>
      </c>
      <c r="H2638" s="10">
        <v>45932</v>
      </c>
      <c r="I2638" s="6" t="s">
        <v>11201</v>
      </c>
      <c r="J2638" s="6" t="s">
        <v>11197</v>
      </c>
      <c r="K2638" s="6" t="s">
        <v>46</v>
      </c>
      <c r="L2638" s="6" t="s">
        <v>651</v>
      </c>
      <c r="M2638" s="6" t="s">
        <v>11202</v>
      </c>
    </row>
    <row r="2639" spans="1:13" ht="13" x14ac:dyDescent="0.15">
      <c r="A2639" s="21" t="str">
        <f>HYPERLINK("https://onemount.atlassian.net/browse/DBA-2241","DBA-2241")</f>
        <v>DBA-2241</v>
      </c>
      <c r="B2639" s="23" t="str">
        <f t="shared" si="39"/>
        <v>DBA-2240</v>
      </c>
      <c r="C2639" s="6" t="s">
        <v>11203</v>
      </c>
      <c r="D2639" s="8" t="s">
        <v>17</v>
      </c>
      <c r="E2639" s="6" t="s">
        <v>428</v>
      </c>
      <c r="F2639" s="6" t="s">
        <v>87</v>
      </c>
      <c r="G2639" s="6" t="s">
        <v>11204</v>
      </c>
      <c r="H2639" s="10">
        <v>45932</v>
      </c>
      <c r="I2639" s="6" t="s">
        <v>11205</v>
      </c>
      <c r="J2639" s="6" t="s">
        <v>11197</v>
      </c>
      <c r="K2639" s="6" t="s">
        <v>46</v>
      </c>
      <c r="L2639" s="6" t="s">
        <v>651</v>
      </c>
      <c r="M2639" s="6" t="s">
        <v>11198</v>
      </c>
    </row>
    <row r="2640" spans="1:13" ht="13" x14ac:dyDescent="0.15">
      <c r="A2640" s="21" t="str">
        <f>HYPERLINK("https://onemount.atlassian.net/browse/DBA-2240","DBA-2240")</f>
        <v>DBA-2240</v>
      </c>
      <c r="B2640" s="6" t="s">
        <v>21</v>
      </c>
      <c r="C2640" s="6" t="s">
        <v>11206</v>
      </c>
      <c r="D2640" s="8" t="s">
        <v>17</v>
      </c>
      <c r="E2640" s="6" t="s">
        <v>23</v>
      </c>
      <c r="F2640" s="6" t="s">
        <v>87</v>
      </c>
      <c r="G2640" s="6" t="s">
        <v>11207</v>
      </c>
      <c r="H2640" s="10">
        <v>45986</v>
      </c>
      <c r="I2640" s="6" t="s">
        <v>11208</v>
      </c>
      <c r="J2640" s="6" t="s">
        <v>11197</v>
      </c>
      <c r="K2640" s="6" t="s">
        <v>46</v>
      </c>
      <c r="L2640" s="6" t="s">
        <v>651</v>
      </c>
      <c r="M2640" s="6" t="s">
        <v>11198</v>
      </c>
    </row>
    <row r="2641" spans="1:13" ht="13" x14ac:dyDescent="0.15">
      <c r="A2641" s="5" t="str">
        <f>HYPERLINK("https://onemount.atlassian.net/browse/DBA-2239","DBA-2239")</f>
        <v>DBA-2239</v>
      </c>
      <c r="B2641" s="6" t="s">
        <v>21</v>
      </c>
      <c r="C2641" s="6" t="s">
        <v>11209</v>
      </c>
      <c r="D2641" s="8" t="s">
        <v>17</v>
      </c>
      <c r="E2641" s="6" t="s">
        <v>23</v>
      </c>
      <c r="F2641" s="6" t="s">
        <v>31</v>
      </c>
      <c r="G2641" s="6" t="s">
        <v>11210</v>
      </c>
      <c r="H2641" s="10">
        <v>45894</v>
      </c>
      <c r="I2641" s="6" t="s">
        <v>11211</v>
      </c>
      <c r="J2641" s="6" t="s">
        <v>276</v>
      </c>
      <c r="K2641" s="6" t="s">
        <v>35</v>
      </c>
      <c r="L2641" s="6" t="s">
        <v>276</v>
      </c>
      <c r="M2641" s="6" t="s">
        <v>11212</v>
      </c>
    </row>
    <row r="2642" spans="1:13" ht="13" x14ac:dyDescent="0.15">
      <c r="A2642" s="5" t="str">
        <f>HYPERLINK("https://onemount.atlassian.net/browse/DBA-2238","DBA-2238")</f>
        <v>DBA-2238</v>
      </c>
      <c r="B2642" s="23" t="str">
        <f t="shared" ref="B2642:B2648" si="40">HYPERLINK("https://onemount.atlassian.net/browse/DBA-2129","DBA-2129")</f>
        <v>DBA-2129</v>
      </c>
      <c r="C2642" s="6" t="s">
        <v>11213</v>
      </c>
      <c r="D2642" s="8" t="s">
        <v>17</v>
      </c>
      <c r="E2642" s="6" t="s">
        <v>428</v>
      </c>
      <c r="F2642" s="6" t="s">
        <v>41</v>
      </c>
      <c r="G2642" s="6" t="s">
        <v>11214</v>
      </c>
      <c r="H2642" s="10">
        <v>45921</v>
      </c>
      <c r="I2642" s="6" t="s">
        <v>11215</v>
      </c>
      <c r="J2642" s="6" t="s">
        <v>72</v>
      </c>
      <c r="K2642" s="6" t="s">
        <v>72</v>
      </c>
      <c r="L2642" s="6" t="s">
        <v>72</v>
      </c>
      <c r="M2642" s="6" t="s">
        <v>11216</v>
      </c>
    </row>
    <row r="2643" spans="1:13" ht="13" x14ac:dyDescent="0.15">
      <c r="A2643" s="5" t="str">
        <f>HYPERLINK("https://onemount.atlassian.net/browse/DBA-2237","DBA-2237")</f>
        <v>DBA-2237</v>
      </c>
      <c r="B2643" s="23" t="str">
        <f t="shared" si="40"/>
        <v>DBA-2129</v>
      </c>
      <c r="C2643" s="6" t="s">
        <v>11217</v>
      </c>
      <c r="D2643" s="8" t="s">
        <v>17</v>
      </c>
      <c r="E2643" s="6" t="s">
        <v>428</v>
      </c>
      <c r="F2643" s="6" t="s">
        <v>41</v>
      </c>
      <c r="G2643" s="6" t="s">
        <v>11218</v>
      </c>
      <c r="H2643" s="10">
        <v>45908</v>
      </c>
      <c r="I2643" s="6" t="s">
        <v>11219</v>
      </c>
      <c r="J2643" s="6" t="s">
        <v>72</v>
      </c>
      <c r="K2643" s="6" t="s">
        <v>72</v>
      </c>
      <c r="L2643" s="6" t="s">
        <v>72</v>
      </c>
      <c r="M2643" s="6" t="s">
        <v>11220</v>
      </c>
    </row>
    <row r="2644" spans="1:13" ht="13" x14ac:dyDescent="0.15">
      <c r="A2644" s="5" t="str">
        <f>HYPERLINK("https://onemount.atlassian.net/browse/DBA-2236","DBA-2236")</f>
        <v>DBA-2236</v>
      </c>
      <c r="B2644" s="23" t="str">
        <f t="shared" si="40"/>
        <v>DBA-2129</v>
      </c>
      <c r="C2644" s="6" t="s">
        <v>11221</v>
      </c>
      <c r="D2644" s="8" t="s">
        <v>17</v>
      </c>
      <c r="E2644" s="6" t="s">
        <v>428</v>
      </c>
      <c r="F2644" s="6" t="s">
        <v>41</v>
      </c>
      <c r="G2644" s="6" t="s">
        <v>11222</v>
      </c>
      <c r="H2644" s="10">
        <v>45898</v>
      </c>
      <c r="I2644" s="6" t="s">
        <v>11223</v>
      </c>
      <c r="J2644" s="6" t="s">
        <v>72</v>
      </c>
      <c r="K2644" s="6" t="s">
        <v>72</v>
      </c>
      <c r="L2644" s="6" t="s">
        <v>72</v>
      </c>
      <c r="M2644" s="6" t="s">
        <v>11224</v>
      </c>
    </row>
    <row r="2645" spans="1:13" ht="13" x14ac:dyDescent="0.15">
      <c r="A2645" s="5" t="str">
        <f>HYPERLINK("https://onemount.atlassian.net/browse/DBA-2235","DBA-2235")</f>
        <v>DBA-2235</v>
      </c>
      <c r="B2645" s="23" t="str">
        <f t="shared" si="40"/>
        <v>DBA-2129</v>
      </c>
      <c r="C2645" s="6" t="s">
        <v>11225</v>
      </c>
      <c r="D2645" s="8" t="s">
        <v>17</v>
      </c>
      <c r="E2645" s="6" t="s">
        <v>428</v>
      </c>
      <c r="F2645" s="6" t="s">
        <v>41</v>
      </c>
      <c r="G2645" s="6" t="s">
        <v>11226</v>
      </c>
      <c r="H2645" s="10">
        <v>45921</v>
      </c>
      <c r="I2645" s="6" t="s">
        <v>11227</v>
      </c>
      <c r="J2645" s="6" t="s">
        <v>72</v>
      </c>
      <c r="K2645" s="6" t="s">
        <v>72</v>
      </c>
      <c r="L2645" s="6" t="s">
        <v>72</v>
      </c>
      <c r="M2645" s="6" t="s">
        <v>11225</v>
      </c>
    </row>
    <row r="2646" spans="1:13" ht="13" x14ac:dyDescent="0.15">
      <c r="A2646" s="5" t="str">
        <f>HYPERLINK("https://onemount.atlassian.net/browse/DBA-2234","DBA-2234")</f>
        <v>DBA-2234</v>
      </c>
      <c r="B2646" s="23" t="str">
        <f t="shared" si="40"/>
        <v>DBA-2129</v>
      </c>
      <c r="C2646" s="6" t="s">
        <v>11228</v>
      </c>
      <c r="D2646" s="8" t="s">
        <v>17</v>
      </c>
      <c r="E2646" s="6" t="s">
        <v>428</v>
      </c>
      <c r="F2646" s="6" t="s">
        <v>41</v>
      </c>
      <c r="G2646" s="6" t="s">
        <v>11229</v>
      </c>
      <c r="H2646" s="10">
        <v>45908</v>
      </c>
      <c r="I2646" s="6" t="s">
        <v>11230</v>
      </c>
      <c r="J2646" s="6" t="s">
        <v>72</v>
      </c>
      <c r="K2646" s="6" t="s">
        <v>72</v>
      </c>
      <c r="L2646" s="6" t="s">
        <v>72</v>
      </c>
      <c r="M2646" s="6" t="s">
        <v>11231</v>
      </c>
    </row>
    <row r="2647" spans="1:13" ht="13" x14ac:dyDescent="0.15">
      <c r="A2647" s="5" t="str">
        <f>HYPERLINK("https://onemount.atlassian.net/browse/DBA-2233","DBA-2233")</f>
        <v>DBA-2233</v>
      </c>
      <c r="B2647" s="23" t="str">
        <f t="shared" si="40"/>
        <v>DBA-2129</v>
      </c>
      <c r="C2647" s="6" t="s">
        <v>11232</v>
      </c>
      <c r="D2647" s="8" t="s">
        <v>17</v>
      </c>
      <c r="E2647" s="6" t="s">
        <v>428</v>
      </c>
      <c r="F2647" s="6" t="s">
        <v>41</v>
      </c>
      <c r="G2647" s="6" t="s">
        <v>11233</v>
      </c>
      <c r="H2647" s="10">
        <v>45909</v>
      </c>
      <c r="I2647" s="6" t="s">
        <v>11234</v>
      </c>
      <c r="J2647" s="6" t="s">
        <v>72</v>
      </c>
      <c r="K2647" s="6" t="s">
        <v>72</v>
      </c>
      <c r="L2647" s="6" t="s">
        <v>72</v>
      </c>
      <c r="M2647" s="6" t="s">
        <v>11235</v>
      </c>
    </row>
    <row r="2648" spans="1:13" ht="13" x14ac:dyDescent="0.15">
      <c r="A2648" s="5" t="str">
        <f>HYPERLINK("https://onemount.atlassian.net/browse/DBA-2232","DBA-2232")</f>
        <v>DBA-2232</v>
      </c>
      <c r="B2648" s="23" t="str">
        <f t="shared" si="40"/>
        <v>DBA-2129</v>
      </c>
      <c r="C2648" s="6" t="s">
        <v>11236</v>
      </c>
      <c r="D2648" s="8" t="s">
        <v>17</v>
      </c>
      <c r="E2648" s="6" t="s">
        <v>428</v>
      </c>
      <c r="F2648" s="6" t="s">
        <v>41</v>
      </c>
      <c r="G2648" s="6" t="s">
        <v>11237</v>
      </c>
      <c r="H2648" s="10">
        <v>45895</v>
      </c>
      <c r="I2648" s="6" t="s">
        <v>11238</v>
      </c>
      <c r="J2648" s="6" t="s">
        <v>72</v>
      </c>
      <c r="K2648" s="6" t="s">
        <v>72</v>
      </c>
      <c r="L2648" s="6" t="s">
        <v>72</v>
      </c>
      <c r="M2648" s="6" t="s">
        <v>11236</v>
      </c>
    </row>
    <row r="2649" spans="1:13" ht="13" x14ac:dyDescent="0.15">
      <c r="A2649" s="21" t="str">
        <f>HYPERLINK("https://onemount.atlassian.net/browse/DBA-2231","DBA-2231")</f>
        <v>DBA-2231</v>
      </c>
      <c r="B2649" s="6" t="s">
        <v>21</v>
      </c>
      <c r="C2649" s="6" t="s">
        <v>11239</v>
      </c>
      <c r="D2649" s="8" t="s">
        <v>17</v>
      </c>
      <c r="E2649" s="6" t="s">
        <v>23</v>
      </c>
      <c r="F2649" s="6" t="s">
        <v>96</v>
      </c>
      <c r="G2649" s="6" t="s">
        <v>11240</v>
      </c>
      <c r="H2649" s="10">
        <v>45894</v>
      </c>
      <c r="I2649" s="6" t="s">
        <v>11241</v>
      </c>
      <c r="J2649" s="6" t="s">
        <v>165</v>
      </c>
      <c r="K2649" s="6" t="s">
        <v>165</v>
      </c>
      <c r="L2649" s="6" t="s">
        <v>1016</v>
      </c>
      <c r="M2649" s="6" t="s">
        <v>11242</v>
      </c>
    </row>
    <row r="2650" spans="1:13" ht="13" x14ac:dyDescent="0.15">
      <c r="A2650" s="5" t="str">
        <f>HYPERLINK("https://onemount.atlassian.net/browse/DBA-2230","DBA-2230")</f>
        <v>DBA-2230</v>
      </c>
      <c r="B2650" s="6" t="s">
        <v>21</v>
      </c>
      <c r="C2650" s="6" t="s">
        <v>11243</v>
      </c>
      <c r="D2650" s="8" t="s">
        <v>17</v>
      </c>
      <c r="E2650" s="6" t="s">
        <v>23</v>
      </c>
      <c r="F2650" s="6" t="s">
        <v>24</v>
      </c>
      <c r="G2650" s="6" t="s">
        <v>11244</v>
      </c>
      <c r="H2650" s="10">
        <v>45894</v>
      </c>
      <c r="I2650" s="6" t="s">
        <v>11245</v>
      </c>
      <c r="J2650" s="6" t="s">
        <v>7506</v>
      </c>
      <c r="K2650" s="6" t="s">
        <v>55</v>
      </c>
      <c r="L2650" s="6" t="s">
        <v>738</v>
      </c>
      <c r="M2650" s="6" t="s">
        <v>11246</v>
      </c>
    </row>
    <row r="2651" spans="1:13" ht="13" x14ac:dyDescent="0.15">
      <c r="A2651" s="21" t="str">
        <f>HYPERLINK("https://onemount.atlassian.net/browse/DBA-2229","DBA-2229")</f>
        <v>DBA-2229</v>
      </c>
      <c r="B2651" s="6" t="s">
        <v>21</v>
      </c>
      <c r="C2651" s="6" t="s">
        <v>11239</v>
      </c>
      <c r="D2651" s="8" t="s">
        <v>17</v>
      </c>
      <c r="E2651" s="6" t="s">
        <v>23</v>
      </c>
      <c r="F2651" s="6" t="s">
        <v>96</v>
      </c>
      <c r="G2651" s="6" t="s">
        <v>11247</v>
      </c>
      <c r="H2651" s="10">
        <v>45894</v>
      </c>
      <c r="I2651" s="6" t="s">
        <v>11248</v>
      </c>
      <c r="J2651" s="6" t="s">
        <v>11249</v>
      </c>
      <c r="K2651" s="6" t="s">
        <v>165</v>
      </c>
      <c r="L2651" s="6" t="s">
        <v>1016</v>
      </c>
      <c r="M2651" s="6" t="s">
        <v>11242</v>
      </c>
    </row>
    <row r="2652" spans="1:13" ht="13" x14ac:dyDescent="0.15">
      <c r="A2652" s="5" t="str">
        <f>HYPERLINK("https://onemount.atlassian.net/browse/DBA-2228","DBA-2228")</f>
        <v>DBA-2228</v>
      </c>
      <c r="B2652" s="6" t="s">
        <v>21</v>
      </c>
      <c r="C2652" s="6" t="s">
        <v>11250</v>
      </c>
      <c r="D2652" s="8" t="s">
        <v>17</v>
      </c>
      <c r="E2652" s="6" t="s">
        <v>23</v>
      </c>
      <c r="F2652" s="6" t="s">
        <v>24</v>
      </c>
      <c r="G2652" s="6" t="s">
        <v>11251</v>
      </c>
      <c r="H2652" s="10">
        <v>45894</v>
      </c>
      <c r="I2652" s="6" t="s">
        <v>11252</v>
      </c>
      <c r="J2652" s="6" t="s">
        <v>56</v>
      </c>
      <c r="K2652" s="6" t="s">
        <v>55</v>
      </c>
      <c r="L2652" s="6" t="s">
        <v>56</v>
      </c>
      <c r="M2652" s="6" t="s">
        <v>11253</v>
      </c>
    </row>
    <row r="2653" spans="1:13" ht="13" x14ac:dyDescent="0.15">
      <c r="A2653" s="5" t="str">
        <f>HYPERLINK("https://onemount.atlassian.net/browse/DBA-2227","DBA-2227")</f>
        <v>DBA-2227</v>
      </c>
      <c r="B2653" s="6" t="s">
        <v>21</v>
      </c>
      <c r="C2653" s="6" t="s">
        <v>11254</v>
      </c>
      <c r="D2653" s="8" t="s">
        <v>17</v>
      </c>
      <c r="E2653" s="6" t="s">
        <v>23</v>
      </c>
      <c r="F2653" s="6" t="s">
        <v>24</v>
      </c>
      <c r="G2653" s="6" t="s">
        <v>11255</v>
      </c>
      <c r="H2653" s="10">
        <v>45893</v>
      </c>
      <c r="I2653" s="6" t="s">
        <v>11256</v>
      </c>
      <c r="J2653" s="6" t="s">
        <v>55</v>
      </c>
      <c r="K2653" s="6" t="s">
        <v>55</v>
      </c>
      <c r="L2653" s="6" t="s">
        <v>984</v>
      </c>
      <c r="M2653" s="6" t="s">
        <v>11257</v>
      </c>
    </row>
    <row r="2654" spans="1:13" ht="13" x14ac:dyDescent="0.15">
      <c r="A2654" s="5" t="str">
        <f>HYPERLINK("https://onemount.atlassian.net/browse/DBA-2226","DBA-2226")</f>
        <v>DBA-2226</v>
      </c>
      <c r="B2654" s="6" t="s">
        <v>21</v>
      </c>
      <c r="C2654" s="6" t="s">
        <v>11258</v>
      </c>
      <c r="D2654" s="8" t="s">
        <v>17</v>
      </c>
      <c r="E2654" s="6" t="s">
        <v>23</v>
      </c>
      <c r="F2654" s="6" t="s">
        <v>96</v>
      </c>
      <c r="G2654" s="6" t="s">
        <v>11259</v>
      </c>
      <c r="H2654" s="10">
        <v>45893</v>
      </c>
      <c r="I2654" s="6" t="s">
        <v>11260</v>
      </c>
      <c r="J2654" s="6" t="s">
        <v>288</v>
      </c>
      <c r="K2654" s="6" t="s">
        <v>165</v>
      </c>
      <c r="L2654" s="6" t="s">
        <v>288</v>
      </c>
      <c r="M2654" s="6" t="s">
        <v>11261</v>
      </c>
    </row>
    <row r="2655" spans="1:13" ht="13" x14ac:dyDescent="0.15">
      <c r="A2655" s="5" t="str">
        <f>HYPERLINK("https://onemount.atlassian.net/browse/DBA-2225","DBA-2225")</f>
        <v>DBA-2225</v>
      </c>
      <c r="B2655" s="6" t="s">
        <v>21</v>
      </c>
      <c r="C2655" s="6" t="s">
        <v>11262</v>
      </c>
      <c r="D2655" s="8" t="s">
        <v>17</v>
      </c>
      <c r="E2655" s="6" t="s">
        <v>23</v>
      </c>
      <c r="F2655" s="6" t="s">
        <v>96</v>
      </c>
      <c r="G2655" s="6" t="s">
        <v>11263</v>
      </c>
      <c r="H2655" s="10">
        <v>45893</v>
      </c>
      <c r="I2655" s="6" t="s">
        <v>11264</v>
      </c>
      <c r="J2655" s="6" t="s">
        <v>10361</v>
      </c>
      <c r="K2655" s="6" t="s">
        <v>165</v>
      </c>
      <c r="L2655" s="6" t="s">
        <v>1047</v>
      </c>
      <c r="M2655" s="6" t="s">
        <v>11265</v>
      </c>
    </row>
    <row r="2656" spans="1:13" ht="13" x14ac:dyDescent="0.15">
      <c r="A2656" s="5" t="str">
        <f>HYPERLINK("https://onemount.atlassian.net/browse/DBA-2224","DBA-2224")</f>
        <v>DBA-2224</v>
      </c>
      <c r="B2656" s="6" t="s">
        <v>21</v>
      </c>
      <c r="C2656" s="6" t="s">
        <v>11266</v>
      </c>
      <c r="D2656" s="8" t="s">
        <v>17</v>
      </c>
      <c r="E2656" s="6" t="s">
        <v>23</v>
      </c>
      <c r="F2656" s="6" t="s">
        <v>96</v>
      </c>
      <c r="G2656" s="6" t="s">
        <v>11267</v>
      </c>
      <c r="H2656" s="10">
        <v>45893</v>
      </c>
      <c r="I2656" s="6" t="s">
        <v>11268</v>
      </c>
      <c r="J2656" s="6" t="s">
        <v>1091</v>
      </c>
      <c r="K2656" s="6" t="s">
        <v>165</v>
      </c>
      <c r="L2656" s="6" t="s">
        <v>1091</v>
      </c>
      <c r="M2656" s="6" t="s">
        <v>11269</v>
      </c>
    </row>
    <row r="2657" spans="1:13" ht="13" x14ac:dyDescent="0.15">
      <c r="A2657" s="21" t="str">
        <f>HYPERLINK("https://onemount.atlassian.net/browse/DBA-2223","DBA-2223")</f>
        <v>DBA-2223</v>
      </c>
      <c r="B2657" s="6" t="s">
        <v>21</v>
      </c>
      <c r="C2657" s="6" t="s">
        <v>6112</v>
      </c>
      <c r="D2657" s="8" t="s">
        <v>17</v>
      </c>
      <c r="E2657" s="6" t="s">
        <v>23</v>
      </c>
      <c r="F2657" s="6" t="s">
        <v>31</v>
      </c>
      <c r="G2657" s="6" t="s">
        <v>11270</v>
      </c>
      <c r="H2657" s="10">
        <v>45894</v>
      </c>
      <c r="I2657" s="6" t="s">
        <v>11271</v>
      </c>
      <c r="J2657" s="6" t="s">
        <v>1564</v>
      </c>
      <c r="K2657" s="6" t="s">
        <v>35</v>
      </c>
      <c r="L2657" s="6" t="s">
        <v>36</v>
      </c>
      <c r="M2657" s="6" t="s">
        <v>11272</v>
      </c>
    </row>
    <row r="2658" spans="1:13" ht="13" x14ac:dyDescent="0.15">
      <c r="A2658" s="5" t="str">
        <f>HYPERLINK("https://onemount.atlassian.net/browse/DBA-2222","DBA-2222")</f>
        <v>DBA-2222</v>
      </c>
      <c r="B2658" s="6" t="s">
        <v>21</v>
      </c>
      <c r="C2658" s="6" t="s">
        <v>11273</v>
      </c>
      <c r="D2658" s="8" t="s">
        <v>17</v>
      </c>
      <c r="E2658" s="6" t="s">
        <v>23</v>
      </c>
      <c r="F2658" s="6" t="s">
        <v>31</v>
      </c>
      <c r="G2658" s="6" t="s">
        <v>11274</v>
      </c>
      <c r="H2658" s="10">
        <v>45894</v>
      </c>
      <c r="I2658" s="6" t="s">
        <v>11275</v>
      </c>
      <c r="J2658" s="6" t="s">
        <v>10503</v>
      </c>
      <c r="K2658" s="6" t="s">
        <v>55</v>
      </c>
      <c r="L2658" s="6" t="s">
        <v>55</v>
      </c>
      <c r="M2658" s="6" t="s">
        <v>11276</v>
      </c>
    </row>
    <row r="2659" spans="1:13" ht="13" x14ac:dyDescent="0.15">
      <c r="A2659" s="5" t="str">
        <f>HYPERLINK("https://onemount.atlassian.net/browse/DBA-2221","DBA-2221")</f>
        <v>DBA-2221</v>
      </c>
      <c r="B2659" s="6" t="s">
        <v>21</v>
      </c>
      <c r="C2659" s="6" t="s">
        <v>11277</v>
      </c>
      <c r="D2659" s="8" t="s">
        <v>17</v>
      </c>
      <c r="E2659" s="6" t="s">
        <v>23</v>
      </c>
      <c r="F2659" s="6" t="s">
        <v>96</v>
      </c>
      <c r="G2659" s="6" t="s">
        <v>11278</v>
      </c>
      <c r="H2659" s="10">
        <v>45893</v>
      </c>
      <c r="I2659" s="6" t="s">
        <v>11279</v>
      </c>
      <c r="J2659" s="6" t="s">
        <v>11280</v>
      </c>
      <c r="K2659" s="6" t="s">
        <v>165</v>
      </c>
      <c r="L2659" s="6" t="s">
        <v>288</v>
      </c>
      <c r="M2659" s="6" t="s">
        <v>11281</v>
      </c>
    </row>
    <row r="2660" spans="1:13" ht="13" x14ac:dyDescent="0.15">
      <c r="A2660" s="5" t="str">
        <f>HYPERLINK("https://onemount.atlassian.net/browse/DBA-2220","DBA-2220")</f>
        <v>DBA-2220</v>
      </c>
      <c r="B2660" s="6" t="s">
        <v>21</v>
      </c>
      <c r="C2660" s="6" t="s">
        <v>11282</v>
      </c>
      <c r="D2660" s="8" t="s">
        <v>17</v>
      </c>
      <c r="E2660" s="6" t="s">
        <v>23</v>
      </c>
      <c r="F2660" s="6" t="s">
        <v>96</v>
      </c>
      <c r="G2660" s="6" t="s">
        <v>11283</v>
      </c>
      <c r="H2660" s="10">
        <v>45892</v>
      </c>
      <c r="I2660" s="6" t="s">
        <v>11284</v>
      </c>
      <c r="J2660" s="6" t="s">
        <v>11280</v>
      </c>
      <c r="K2660" s="6" t="s">
        <v>165</v>
      </c>
      <c r="L2660" s="6" t="s">
        <v>288</v>
      </c>
      <c r="M2660" s="6" t="s">
        <v>11285</v>
      </c>
    </row>
    <row r="2661" spans="1:13" ht="13" x14ac:dyDescent="0.15">
      <c r="A2661" s="5" t="str">
        <f>HYPERLINK("https://onemount.atlassian.net/browse/DBA-2219","DBA-2219")</f>
        <v>DBA-2219</v>
      </c>
      <c r="B2661" s="6" t="s">
        <v>21</v>
      </c>
      <c r="C2661" s="6" t="s">
        <v>11286</v>
      </c>
      <c r="D2661" s="8" t="s">
        <v>17</v>
      </c>
      <c r="E2661" s="6" t="s">
        <v>23</v>
      </c>
      <c r="F2661" s="6" t="s">
        <v>96</v>
      </c>
      <c r="G2661" s="6" t="s">
        <v>11287</v>
      </c>
      <c r="H2661" s="10">
        <v>45893</v>
      </c>
      <c r="I2661" s="6" t="s">
        <v>11288</v>
      </c>
      <c r="J2661" s="6" t="s">
        <v>10120</v>
      </c>
      <c r="K2661" s="6" t="s">
        <v>165</v>
      </c>
      <c r="L2661" s="6" t="s">
        <v>288</v>
      </c>
      <c r="M2661" s="6" t="s">
        <v>11289</v>
      </c>
    </row>
    <row r="2662" spans="1:13" ht="13" x14ac:dyDescent="0.15">
      <c r="A2662" s="5" t="str">
        <f>HYPERLINK("https://onemount.atlassian.net/browse/DBA-2218","DBA-2218")</f>
        <v>DBA-2218</v>
      </c>
      <c r="B2662" s="6" t="s">
        <v>21</v>
      </c>
      <c r="C2662" s="6" t="s">
        <v>11290</v>
      </c>
      <c r="D2662" s="8" t="s">
        <v>17</v>
      </c>
      <c r="E2662" s="6" t="s">
        <v>23</v>
      </c>
      <c r="F2662" s="6" t="s">
        <v>96</v>
      </c>
      <c r="G2662" s="6" t="s">
        <v>11291</v>
      </c>
      <c r="H2662" s="10">
        <v>45893</v>
      </c>
      <c r="I2662" s="6" t="s">
        <v>11292</v>
      </c>
      <c r="J2662" s="6" t="s">
        <v>10120</v>
      </c>
      <c r="K2662" s="6" t="s">
        <v>165</v>
      </c>
      <c r="L2662" s="6" t="s">
        <v>288</v>
      </c>
      <c r="M2662" s="6" t="s">
        <v>11293</v>
      </c>
    </row>
    <row r="2663" spans="1:13" ht="13" x14ac:dyDescent="0.15">
      <c r="A2663" s="5" t="str">
        <f>HYPERLINK("https://onemount.atlassian.net/browse/DBA-2217","DBA-2217")</f>
        <v>DBA-2217</v>
      </c>
      <c r="B2663" s="6" t="s">
        <v>21</v>
      </c>
      <c r="C2663" s="6" t="s">
        <v>11294</v>
      </c>
      <c r="D2663" s="8" t="s">
        <v>17</v>
      </c>
      <c r="E2663" s="6" t="s">
        <v>23</v>
      </c>
      <c r="F2663" s="6" t="s">
        <v>31</v>
      </c>
      <c r="G2663" s="6" t="s">
        <v>11295</v>
      </c>
      <c r="H2663" s="10">
        <v>45892</v>
      </c>
      <c r="I2663" s="6" t="s">
        <v>11296</v>
      </c>
      <c r="J2663" s="6" t="s">
        <v>55</v>
      </c>
      <c r="K2663" s="6" t="s">
        <v>55</v>
      </c>
      <c r="L2663" s="6" t="s">
        <v>55</v>
      </c>
      <c r="M2663" s="6" t="s">
        <v>11297</v>
      </c>
    </row>
    <row r="2664" spans="1:13" ht="13" x14ac:dyDescent="0.15">
      <c r="A2664" s="5" t="str">
        <f>HYPERLINK("https://onemount.atlassian.net/browse/DBA-2216","DBA-2216")</f>
        <v>DBA-2216</v>
      </c>
      <c r="B2664" s="6" t="s">
        <v>21</v>
      </c>
      <c r="C2664" s="6" t="s">
        <v>11298</v>
      </c>
      <c r="D2664" s="8" t="s">
        <v>17</v>
      </c>
      <c r="E2664" s="6" t="s">
        <v>23</v>
      </c>
      <c r="F2664" s="6" t="s">
        <v>96</v>
      </c>
      <c r="G2664" s="6" t="s">
        <v>11299</v>
      </c>
      <c r="H2664" s="10">
        <v>45893</v>
      </c>
      <c r="I2664" s="6" t="s">
        <v>11300</v>
      </c>
      <c r="J2664" s="6" t="s">
        <v>2453</v>
      </c>
      <c r="K2664" s="6" t="s">
        <v>165</v>
      </c>
      <c r="L2664" s="6" t="s">
        <v>119</v>
      </c>
      <c r="M2664" s="6" t="s">
        <v>11301</v>
      </c>
    </row>
    <row r="2665" spans="1:13" ht="13" x14ac:dyDescent="0.15">
      <c r="A2665" s="5" t="str">
        <f>HYPERLINK("https://onemount.atlassian.net/browse/DBA-2215","DBA-2215")</f>
        <v>DBA-2215</v>
      </c>
      <c r="B2665" s="6" t="s">
        <v>21</v>
      </c>
      <c r="C2665" s="6" t="s">
        <v>11302</v>
      </c>
      <c r="D2665" s="8" t="s">
        <v>17</v>
      </c>
      <c r="E2665" s="6" t="s">
        <v>23</v>
      </c>
      <c r="F2665" s="6" t="s">
        <v>96</v>
      </c>
      <c r="G2665" s="6" t="s">
        <v>11303</v>
      </c>
      <c r="H2665" s="10">
        <v>45893</v>
      </c>
      <c r="I2665" s="6" t="s">
        <v>11304</v>
      </c>
      <c r="J2665" s="6" t="s">
        <v>288</v>
      </c>
      <c r="K2665" s="6" t="s">
        <v>165</v>
      </c>
      <c r="L2665" s="6" t="s">
        <v>288</v>
      </c>
      <c r="M2665" s="6" t="s">
        <v>11305</v>
      </c>
    </row>
    <row r="2666" spans="1:13" ht="13" x14ac:dyDescent="0.15">
      <c r="A2666" s="5" t="str">
        <f>HYPERLINK("https://onemount.atlassian.net/browse/DBA-2214","DBA-2214")</f>
        <v>DBA-2214</v>
      </c>
      <c r="B2666" s="6" t="s">
        <v>21</v>
      </c>
      <c r="C2666" s="6" t="s">
        <v>11306</v>
      </c>
      <c r="D2666" s="8" t="s">
        <v>17</v>
      </c>
      <c r="E2666" s="6" t="s">
        <v>23</v>
      </c>
      <c r="F2666" s="6" t="s">
        <v>96</v>
      </c>
      <c r="G2666" s="6" t="s">
        <v>11307</v>
      </c>
      <c r="H2666" s="10">
        <v>45893</v>
      </c>
      <c r="I2666" s="6" t="s">
        <v>11308</v>
      </c>
      <c r="J2666" s="6" t="s">
        <v>288</v>
      </c>
      <c r="K2666" s="6" t="s">
        <v>165</v>
      </c>
      <c r="L2666" s="6" t="s">
        <v>288</v>
      </c>
      <c r="M2666" s="6" t="s">
        <v>11309</v>
      </c>
    </row>
    <row r="2667" spans="1:13" ht="13" x14ac:dyDescent="0.15">
      <c r="A2667" s="5" t="str">
        <f>HYPERLINK("https://onemount.atlassian.net/browse/DBA-2213","DBA-2213")</f>
        <v>DBA-2213</v>
      </c>
      <c r="B2667" s="6" t="s">
        <v>21</v>
      </c>
      <c r="C2667" s="6" t="s">
        <v>11310</v>
      </c>
      <c r="D2667" s="8" t="s">
        <v>17</v>
      </c>
      <c r="E2667" s="6" t="s">
        <v>23</v>
      </c>
      <c r="F2667" s="6" t="s">
        <v>96</v>
      </c>
      <c r="G2667" s="6" t="s">
        <v>11311</v>
      </c>
      <c r="H2667" s="10">
        <v>45893</v>
      </c>
      <c r="I2667" s="6" t="s">
        <v>11312</v>
      </c>
      <c r="J2667" s="6" t="s">
        <v>288</v>
      </c>
      <c r="K2667" s="6" t="s">
        <v>165</v>
      </c>
      <c r="L2667" s="6" t="s">
        <v>288</v>
      </c>
      <c r="M2667" s="6" t="s">
        <v>11313</v>
      </c>
    </row>
    <row r="2668" spans="1:13" ht="13" x14ac:dyDescent="0.15">
      <c r="A2668" s="5" t="str">
        <f>HYPERLINK("https://onemount.atlassian.net/browse/DBA-2212","DBA-2212")</f>
        <v>DBA-2212</v>
      </c>
      <c r="B2668" s="6" t="s">
        <v>21</v>
      </c>
      <c r="C2668" s="6" t="s">
        <v>2330</v>
      </c>
      <c r="D2668" s="8" t="s">
        <v>17</v>
      </c>
      <c r="E2668" s="6" t="s">
        <v>23</v>
      </c>
      <c r="F2668" s="6" t="s">
        <v>96</v>
      </c>
      <c r="G2668" s="6" t="s">
        <v>11314</v>
      </c>
      <c r="H2668" s="10">
        <v>45893</v>
      </c>
      <c r="I2668" s="6" t="s">
        <v>11315</v>
      </c>
      <c r="J2668" s="6" t="s">
        <v>55</v>
      </c>
      <c r="K2668" s="6" t="s">
        <v>55</v>
      </c>
      <c r="L2668" s="6" t="s">
        <v>712</v>
      </c>
      <c r="M2668" s="6" t="s">
        <v>11316</v>
      </c>
    </row>
    <row r="2669" spans="1:13" ht="13" x14ac:dyDescent="0.15">
      <c r="A2669" s="5" t="str">
        <f>HYPERLINK("https://onemount.atlassian.net/browse/DBA-2211","DBA-2211")</f>
        <v>DBA-2211</v>
      </c>
      <c r="B2669" s="6" t="s">
        <v>21</v>
      </c>
      <c r="C2669" s="6" t="s">
        <v>11317</v>
      </c>
      <c r="D2669" s="8" t="s">
        <v>17</v>
      </c>
      <c r="E2669" s="6" t="s">
        <v>23</v>
      </c>
      <c r="F2669" s="6" t="s">
        <v>96</v>
      </c>
      <c r="G2669" s="6" t="s">
        <v>11318</v>
      </c>
      <c r="H2669" s="10">
        <v>45893</v>
      </c>
      <c r="I2669" s="6" t="s">
        <v>11319</v>
      </c>
      <c r="J2669" s="6" t="s">
        <v>8907</v>
      </c>
      <c r="K2669" s="6" t="s">
        <v>55</v>
      </c>
      <c r="L2669" s="6" t="s">
        <v>254</v>
      </c>
      <c r="M2669" s="6" t="s">
        <v>11320</v>
      </c>
    </row>
    <row r="2670" spans="1:13" ht="13" x14ac:dyDescent="0.15">
      <c r="A2670" s="5" t="str">
        <f>HYPERLINK("https://onemount.atlassian.net/browse/DBA-2210","DBA-2210")</f>
        <v>DBA-2210</v>
      </c>
      <c r="B2670" s="6" t="s">
        <v>21</v>
      </c>
      <c r="C2670" s="6" t="s">
        <v>11321</v>
      </c>
      <c r="D2670" s="8" t="s">
        <v>17</v>
      </c>
      <c r="E2670" s="6" t="s">
        <v>23</v>
      </c>
      <c r="F2670" s="6" t="s">
        <v>96</v>
      </c>
      <c r="G2670" s="6" t="s">
        <v>11322</v>
      </c>
      <c r="H2670" s="10">
        <v>45893</v>
      </c>
      <c r="I2670" s="6" t="s">
        <v>11323</v>
      </c>
      <c r="J2670" s="6" t="s">
        <v>165</v>
      </c>
      <c r="K2670" s="6" t="s">
        <v>165</v>
      </c>
      <c r="L2670" s="6" t="s">
        <v>998</v>
      </c>
      <c r="M2670" s="6" t="s">
        <v>11324</v>
      </c>
    </row>
    <row r="2671" spans="1:13" ht="13" x14ac:dyDescent="0.15">
      <c r="A2671" s="5" t="str">
        <f>HYPERLINK("https://onemount.atlassian.net/browse/DBA-2209","DBA-2209")</f>
        <v>DBA-2209</v>
      </c>
      <c r="B2671" s="6" t="s">
        <v>21</v>
      </c>
      <c r="C2671" s="6" t="s">
        <v>11325</v>
      </c>
      <c r="D2671" s="8" t="s">
        <v>17</v>
      </c>
      <c r="E2671" s="6" t="s">
        <v>23</v>
      </c>
      <c r="F2671" s="6" t="s">
        <v>96</v>
      </c>
      <c r="G2671" s="6" t="s">
        <v>11326</v>
      </c>
      <c r="H2671" s="10">
        <v>45893</v>
      </c>
      <c r="I2671" s="6" t="s">
        <v>11327</v>
      </c>
      <c r="J2671" s="6" t="s">
        <v>1898</v>
      </c>
      <c r="K2671" s="6" t="s">
        <v>165</v>
      </c>
      <c r="L2671" s="6" t="s">
        <v>1097</v>
      </c>
      <c r="M2671" s="6" t="s">
        <v>11328</v>
      </c>
    </row>
    <row r="2672" spans="1:13" ht="13" x14ac:dyDescent="0.15">
      <c r="A2672" s="5" t="str">
        <f>HYPERLINK("https://onemount.atlassian.net/browse/DBA-2208","DBA-2208")</f>
        <v>DBA-2208</v>
      </c>
      <c r="B2672" s="6" t="s">
        <v>21</v>
      </c>
      <c r="C2672" s="6" t="s">
        <v>11329</v>
      </c>
      <c r="D2672" s="8" t="s">
        <v>17</v>
      </c>
      <c r="E2672" s="6" t="s">
        <v>23</v>
      </c>
      <c r="F2672" s="6" t="s">
        <v>96</v>
      </c>
      <c r="G2672" s="6" t="s">
        <v>11330</v>
      </c>
      <c r="H2672" s="10">
        <v>45893</v>
      </c>
      <c r="I2672" s="6" t="s">
        <v>11331</v>
      </c>
      <c r="J2672" s="6" t="s">
        <v>254</v>
      </c>
      <c r="K2672" s="6" t="s">
        <v>55</v>
      </c>
      <c r="L2672" s="6" t="s">
        <v>254</v>
      </c>
      <c r="M2672" s="6" t="s">
        <v>11332</v>
      </c>
    </row>
    <row r="2673" spans="1:13" ht="13" x14ac:dyDescent="0.15">
      <c r="A2673" s="5" t="str">
        <f>HYPERLINK("https://onemount.atlassian.net/browse/DBA-2207","DBA-2207")</f>
        <v>DBA-2207</v>
      </c>
      <c r="B2673" s="6" t="s">
        <v>21</v>
      </c>
      <c r="C2673" s="6" t="s">
        <v>11333</v>
      </c>
      <c r="D2673" s="8" t="s">
        <v>17</v>
      </c>
      <c r="E2673" s="6" t="s">
        <v>23</v>
      </c>
      <c r="F2673" s="6" t="s">
        <v>96</v>
      </c>
      <c r="G2673" s="6" t="s">
        <v>11334</v>
      </c>
      <c r="H2673" s="10">
        <v>45892</v>
      </c>
      <c r="I2673" s="6" t="s">
        <v>11335</v>
      </c>
      <c r="J2673" s="6" t="s">
        <v>288</v>
      </c>
      <c r="K2673" s="6" t="s">
        <v>165</v>
      </c>
      <c r="L2673" s="6" t="s">
        <v>288</v>
      </c>
      <c r="M2673" s="6" t="s">
        <v>11336</v>
      </c>
    </row>
    <row r="2674" spans="1:13" ht="13" x14ac:dyDescent="0.15">
      <c r="A2674" s="5" t="str">
        <f>HYPERLINK("https://onemount.atlassian.net/browse/DBA-2206","DBA-2206")</f>
        <v>DBA-2206</v>
      </c>
      <c r="B2674" s="6" t="s">
        <v>21</v>
      </c>
      <c r="C2674" s="6" t="s">
        <v>11337</v>
      </c>
      <c r="D2674" s="8" t="s">
        <v>17</v>
      </c>
      <c r="E2674" s="6" t="s">
        <v>23</v>
      </c>
      <c r="F2674" s="6" t="s">
        <v>96</v>
      </c>
      <c r="G2674" s="6" t="s">
        <v>11338</v>
      </c>
      <c r="H2674" s="10">
        <v>45893</v>
      </c>
      <c r="I2674" s="6" t="s">
        <v>11339</v>
      </c>
      <c r="J2674" s="6" t="s">
        <v>1898</v>
      </c>
      <c r="K2674" s="6" t="s">
        <v>165</v>
      </c>
      <c r="L2674" s="6" t="s">
        <v>1097</v>
      </c>
      <c r="M2674" s="6" t="s">
        <v>11340</v>
      </c>
    </row>
    <row r="2675" spans="1:13" ht="13" x14ac:dyDescent="0.15">
      <c r="A2675" s="5" t="str">
        <f>HYPERLINK("https://onemount.atlassian.net/browse/DBA-2205","DBA-2205")</f>
        <v>DBA-2205</v>
      </c>
      <c r="B2675" s="6" t="s">
        <v>21</v>
      </c>
      <c r="C2675" s="6" t="s">
        <v>11341</v>
      </c>
      <c r="D2675" s="8" t="s">
        <v>17</v>
      </c>
      <c r="E2675" s="6" t="s">
        <v>23</v>
      </c>
      <c r="F2675" s="6" t="s">
        <v>31</v>
      </c>
      <c r="G2675" s="6" t="s">
        <v>11342</v>
      </c>
      <c r="H2675" s="10">
        <v>45892</v>
      </c>
      <c r="I2675" s="6" t="s">
        <v>11343</v>
      </c>
      <c r="J2675" s="6" t="s">
        <v>855</v>
      </c>
      <c r="K2675" s="6" t="s">
        <v>55</v>
      </c>
      <c r="L2675" s="6" t="s">
        <v>855</v>
      </c>
      <c r="M2675" s="6" t="s">
        <v>11344</v>
      </c>
    </row>
    <row r="2676" spans="1:13" ht="13" x14ac:dyDescent="0.15">
      <c r="A2676" s="5" t="str">
        <f>HYPERLINK("https://onemount.atlassian.net/browse/DBA-2202","DBA-2202")</f>
        <v>DBA-2202</v>
      </c>
      <c r="B2676" s="6" t="s">
        <v>21</v>
      </c>
      <c r="C2676" s="6" t="s">
        <v>11345</v>
      </c>
      <c r="D2676" s="8" t="s">
        <v>17</v>
      </c>
      <c r="E2676" s="6" t="s">
        <v>23</v>
      </c>
      <c r="F2676" s="6" t="s">
        <v>96</v>
      </c>
      <c r="G2676" s="6" t="s">
        <v>11346</v>
      </c>
      <c r="H2676" s="10">
        <v>45893</v>
      </c>
      <c r="I2676" s="6" t="s">
        <v>11347</v>
      </c>
      <c r="J2676" s="6" t="s">
        <v>1091</v>
      </c>
      <c r="K2676" s="6" t="s">
        <v>165</v>
      </c>
      <c r="L2676" s="6" t="s">
        <v>1091</v>
      </c>
      <c r="M2676" s="6" t="s">
        <v>11348</v>
      </c>
    </row>
    <row r="2677" spans="1:13" ht="13" x14ac:dyDescent="0.15">
      <c r="A2677" s="5" t="str">
        <f>HYPERLINK("https://onemount.atlassian.net/browse/DBA-2200","DBA-2200")</f>
        <v>DBA-2200</v>
      </c>
      <c r="B2677" s="6" t="s">
        <v>21</v>
      </c>
      <c r="C2677" s="6" t="s">
        <v>11349</v>
      </c>
      <c r="D2677" s="8" t="s">
        <v>17</v>
      </c>
      <c r="E2677" s="6" t="s">
        <v>23</v>
      </c>
      <c r="F2677" s="6" t="s">
        <v>96</v>
      </c>
      <c r="G2677" s="6" t="s">
        <v>11350</v>
      </c>
      <c r="H2677" s="10">
        <v>45892</v>
      </c>
      <c r="I2677" s="6" t="s">
        <v>11351</v>
      </c>
      <c r="J2677" s="6" t="s">
        <v>165</v>
      </c>
      <c r="K2677" s="6" t="s">
        <v>165</v>
      </c>
      <c r="L2677" s="6" t="s">
        <v>998</v>
      </c>
      <c r="M2677" s="6" t="s">
        <v>11352</v>
      </c>
    </row>
    <row r="2678" spans="1:13" ht="13" x14ac:dyDescent="0.15">
      <c r="A2678" s="5" t="str">
        <f>HYPERLINK("https://onemount.atlassian.net/browse/DBA-2199","DBA-2199")</f>
        <v>DBA-2199</v>
      </c>
      <c r="B2678" s="6" t="s">
        <v>21</v>
      </c>
      <c r="C2678" s="6" t="s">
        <v>11353</v>
      </c>
      <c r="D2678" s="8" t="s">
        <v>17</v>
      </c>
      <c r="E2678" s="6" t="s">
        <v>23</v>
      </c>
      <c r="F2678" s="6" t="s">
        <v>24</v>
      </c>
      <c r="G2678" s="6" t="s">
        <v>11354</v>
      </c>
      <c r="H2678" s="10">
        <v>45892</v>
      </c>
      <c r="I2678" s="6" t="s">
        <v>11355</v>
      </c>
      <c r="J2678" s="6" t="s">
        <v>85</v>
      </c>
      <c r="K2678" s="6" t="s">
        <v>55</v>
      </c>
      <c r="L2678" s="6" t="s">
        <v>270</v>
      </c>
      <c r="M2678" s="6" t="s">
        <v>11356</v>
      </c>
    </row>
    <row r="2679" spans="1:13" ht="13" x14ac:dyDescent="0.15">
      <c r="A2679" s="5" t="str">
        <f>HYPERLINK("https://onemount.atlassian.net/browse/DBA-2197","DBA-2197")</f>
        <v>DBA-2197</v>
      </c>
      <c r="B2679" s="6" t="s">
        <v>21</v>
      </c>
      <c r="C2679" s="6" t="s">
        <v>11357</v>
      </c>
      <c r="D2679" s="8" t="s">
        <v>17</v>
      </c>
      <c r="E2679" s="6" t="s">
        <v>23</v>
      </c>
      <c r="F2679" s="6" t="s">
        <v>96</v>
      </c>
      <c r="G2679" s="6" t="s">
        <v>11358</v>
      </c>
      <c r="H2679" s="10">
        <v>45892</v>
      </c>
      <c r="I2679" s="6" t="s">
        <v>11359</v>
      </c>
      <c r="J2679" s="6" t="s">
        <v>55</v>
      </c>
      <c r="K2679" s="6" t="s">
        <v>55</v>
      </c>
      <c r="L2679" s="6" t="s">
        <v>855</v>
      </c>
      <c r="M2679" s="6" t="s">
        <v>11360</v>
      </c>
    </row>
    <row r="2680" spans="1:13" ht="13" x14ac:dyDescent="0.15">
      <c r="A2680" s="5" t="str">
        <f>HYPERLINK("https://onemount.atlassian.net/browse/DBA-2196","DBA-2196")</f>
        <v>DBA-2196</v>
      </c>
      <c r="B2680" s="6" t="s">
        <v>21</v>
      </c>
      <c r="C2680" s="6" t="s">
        <v>11361</v>
      </c>
      <c r="D2680" s="8" t="s">
        <v>17</v>
      </c>
      <c r="E2680" s="6" t="s">
        <v>23</v>
      </c>
      <c r="F2680" s="6" t="s">
        <v>24</v>
      </c>
      <c r="G2680" s="6" t="s">
        <v>11362</v>
      </c>
      <c r="H2680" s="10">
        <v>45893</v>
      </c>
      <c r="I2680" s="6" t="s">
        <v>11363</v>
      </c>
      <c r="J2680" s="6" t="s">
        <v>56</v>
      </c>
      <c r="K2680" s="6" t="s">
        <v>55</v>
      </c>
      <c r="L2680" s="6" t="s">
        <v>56</v>
      </c>
      <c r="M2680" s="6" t="s">
        <v>11364</v>
      </c>
    </row>
    <row r="2681" spans="1:13" ht="13" x14ac:dyDescent="0.15">
      <c r="A2681" s="5" t="str">
        <f>HYPERLINK("https://onemount.atlassian.net/browse/DBA-2195","DBA-2195")</f>
        <v>DBA-2195</v>
      </c>
      <c r="B2681" s="6" t="s">
        <v>21</v>
      </c>
      <c r="C2681" s="6" t="s">
        <v>11365</v>
      </c>
      <c r="D2681" s="8" t="s">
        <v>17</v>
      </c>
      <c r="E2681" s="6" t="s">
        <v>23</v>
      </c>
      <c r="F2681" s="6" t="s">
        <v>96</v>
      </c>
      <c r="G2681" s="6" t="s">
        <v>11366</v>
      </c>
      <c r="H2681" s="10">
        <v>45892</v>
      </c>
      <c r="I2681" s="6" t="s">
        <v>11367</v>
      </c>
      <c r="J2681" s="6" t="s">
        <v>46</v>
      </c>
      <c r="K2681" s="6" t="s">
        <v>46</v>
      </c>
      <c r="L2681" s="6" t="s">
        <v>46</v>
      </c>
      <c r="M2681" s="6" t="s">
        <v>11368</v>
      </c>
    </row>
    <row r="2682" spans="1:13" ht="13" x14ac:dyDescent="0.15">
      <c r="A2682" s="5" t="str">
        <f>HYPERLINK("https://onemount.atlassian.net/browse/DBA-2194","DBA-2194")</f>
        <v>DBA-2194</v>
      </c>
      <c r="B2682" s="23" t="str">
        <f>HYPERLINK("https://onemount.atlassian.net/browse/DBA-2190","DBA-2190")</f>
        <v>DBA-2190</v>
      </c>
      <c r="C2682" s="6" t="s">
        <v>11369</v>
      </c>
      <c r="D2682" s="8" t="s">
        <v>17</v>
      </c>
      <c r="E2682" s="6" t="s">
        <v>428</v>
      </c>
      <c r="F2682" s="6" t="s">
        <v>41</v>
      </c>
      <c r="G2682" s="6" t="s">
        <v>11370</v>
      </c>
      <c r="H2682" s="10">
        <v>45904</v>
      </c>
      <c r="I2682" s="6" t="s">
        <v>11371</v>
      </c>
      <c r="J2682" s="6" t="s">
        <v>72</v>
      </c>
      <c r="K2682" s="6" t="s">
        <v>72</v>
      </c>
      <c r="L2682" s="6" t="s">
        <v>72</v>
      </c>
      <c r="M2682" s="6" t="s">
        <v>11369</v>
      </c>
    </row>
    <row r="2683" spans="1:13" ht="13" x14ac:dyDescent="0.15">
      <c r="A2683" s="5" t="str">
        <f>HYPERLINK("https://onemount.atlassian.net/browse/DBA-2193","DBA-2193")</f>
        <v>DBA-2193</v>
      </c>
      <c r="B2683" s="23" t="str">
        <f t="shared" ref="B2683:B2684" si="41">HYPERLINK("https://onemount.atlassian.net/browse/DBA-2129","DBA-2129")</f>
        <v>DBA-2129</v>
      </c>
      <c r="C2683" s="6" t="s">
        <v>11372</v>
      </c>
      <c r="D2683" s="8" t="s">
        <v>17</v>
      </c>
      <c r="E2683" s="6" t="s">
        <v>428</v>
      </c>
      <c r="F2683" s="6" t="s">
        <v>41</v>
      </c>
      <c r="G2683" s="6" t="s">
        <v>11373</v>
      </c>
      <c r="H2683" s="10">
        <v>45908</v>
      </c>
      <c r="I2683" s="6" t="s">
        <v>11374</v>
      </c>
      <c r="J2683" s="6" t="s">
        <v>72</v>
      </c>
      <c r="K2683" s="6" t="s">
        <v>72</v>
      </c>
      <c r="L2683" s="6" t="s">
        <v>72</v>
      </c>
      <c r="M2683" s="6" t="s">
        <v>11375</v>
      </c>
    </row>
    <row r="2684" spans="1:13" ht="13" x14ac:dyDescent="0.15">
      <c r="A2684" s="5" t="str">
        <f>HYPERLINK("https://onemount.atlassian.net/browse/DBA-2192","DBA-2192")</f>
        <v>DBA-2192</v>
      </c>
      <c r="B2684" s="23" t="str">
        <f t="shared" si="41"/>
        <v>DBA-2129</v>
      </c>
      <c r="C2684" s="6" t="s">
        <v>11376</v>
      </c>
      <c r="D2684" s="8" t="s">
        <v>17</v>
      </c>
      <c r="E2684" s="6" t="s">
        <v>428</v>
      </c>
      <c r="F2684" s="6" t="s">
        <v>41</v>
      </c>
      <c r="G2684" s="6" t="s">
        <v>11377</v>
      </c>
      <c r="H2684" s="10">
        <v>45892</v>
      </c>
      <c r="I2684" s="6" t="s">
        <v>11378</v>
      </c>
      <c r="J2684" s="6" t="s">
        <v>72</v>
      </c>
      <c r="K2684" s="6" t="s">
        <v>72</v>
      </c>
      <c r="L2684" s="6" t="s">
        <v>72</v>
      </c>
      <c r="M2684" s="6" t="s">
        <v>11376</v>
      </c>
    </row>
    <row r="2685" spans="1:13" ht="13" x14ac:dyDescent="0.15">
      <c r="A2685" s="5" t="str">
        <f>HYPERLINK("https://onemount.atlassian.net/browse/DBA-2191","DBA-2191")</f>
        <v>DBA-2191</v>
      </c>
      <c r="B2685" s="23" t="str">
        <f>HYPERLINK("https://onemount.atlassian.net/browse/DBA-2190","DBA-2190")</f>
        <v>DBA-2190</v>
      </c>
      <c r="C2685" s="6" t="s">
        <v>11379</v>
      </c>
      <c r="D2685" s="8" t="s">
        <v>17</v>
      </c>
      <c r="E2685" s="6" t="s">
        <v>428</v>
      </c>
      <c r="F2685" s="6" t="s">
        <v>41</v>
      </c>
      <c r="G2685" s="6" t="s">
        <v>11380</v>
      </c>
      <c r="H2685" s="10">
        <v>45904</v>
      </c>
      <c r="I2685" s="6" t="s">
        <v>11381</v>
      </c>
      <c r="J2685" s="6" t="s">
        <v>72</v>
      </c>
      <c r="K2685" s="6" t="s">
        <v>72</v>
      </c>
      <c r="L2685" s="6" t="s">
        <v>72</v>
      </c>
      <c r="M2685" s="6" t="s">
        <v>11379</v>
      </c>
    </row>
    <row r="2686" spans="1:13" ht="13" x14ac:dyDescent="0.15">
      <c r="A2686" s="5" t="str">
        <f>HYPERLINK("https://onemount.atlassian.net/browse/DBA-2190","DBA-2190")</f>
        <v>DBA-2190</v>
      </c>
      <c r="B2686" s="6" t="s">
        <v>21</v>
      </c>
      <c r="C2686" s="6" t="s">
        <v>11382</v>
      </c>
      <c r="D2686" s="8" t="s">
        <v>17</v>
      </c>
      <c r="E2686" s="6" t="s">
        <v>23</v>
      </c>
      <c r="F2686" s="6" t="s">
        <v>41</v>
      </c>
      <c r="G2686" s="6" t="s">
        <v>11383</v>
      </c>
      <c r="H2686" s="10">
        <v>45926</v>
      </c>
      <c r="I2686" s="6" t="s">
        <v>11384</v>
      </c>
      <c r="J2686" s="6" t="s">
        <v>11385</v>
      </c>
      <c r="K2686" s="6" t="s">
        <v>72</v>
      </c>
      <c r="L2686" s="6" t="s">
        <v>185</v>
      </c>
      <c r="M2686" s="6" t="s">
        <v>11386</v>
      </c>
    </row>
    <row r="2687" spans="1:13" ht="13" x14ac:dyDescent="0.15">
      <c r="A2687" s="5" t="str">
        <f>HYPERLINK("https://onemount.atlassian.net/browse/DBA-2189","DBA-2189")</f>
        <v>DBA-2189</v>
      </c>
      <c r="B2687" s="23" t="str">
        <f t="shared" ref="B2687:B2689" si="42">HYPERLINK("https://onemount.atlassian.net/browse/DBA-2128","DBA-2128")</f>
        <v>DBA-2128</v>
      </c>
      <c r="C2687" s="6" t="s">
        <v>11387</v>
      </c>
      <c r="D2687" s="8" t="s">
        <v>17</v>
      </c>
      <c r="E2687" s="6" t="s">
        <v>428</v>
      </c>
      <c r="F2687" s="6" t="s">
        <v>41</v>
      </c>
      <c r="G2687" s="6" t="s">
        <v>11388</v>
      </c>
      <c r="H2687" s="10">
        <v>45892</v>
      </c>
      <c r="I2687" s="6" t="s">
        <v>11389</v>
      </c>
      <c r="J2687" s="6" t="s">
        <v>72</v>
      </c>
      <c r="K2687" s="6" t="s">
        <v>72</v>
      </c>
      <c r="L2687" s="6" t="s">
        <v>72</v>
      </c>
      <c r="M2687" s="6" t="s">
        <v>11387</v>
      </c>
    </row>
    <row r="2688" spans="1:13" ht="13" x14ac:dyDescent="0.15">
      <c r="A2688" s="5" t="str">
        <f>HYPERLINK("https://onemount.atlassian.net/browse/DBA-2188","DBA-2188")</f>
        <v>DBA-2188</v>
      </c>
      <c r="B2688" s="23" t="str">
        <f t="shared" si="42"/>
        <v>DBA-2128</v>
      </c>
      <c r="C2688" s="6" t="s">
        <v>11390</v>
      </c>
      <c r="D2688" s="8" t="s">
        <v>17</v>
      </c>
      <c r="E2688" s="6" t="s">
        <v>428</v>
      </c>
      <c r="F2688" s="6" t="s">
        <v>41</v>
      </c>
      <c r="G2688" s="6" t="s">
        <v>11391</v>
      </c>
      <c r="H2688" s="10">
        <v>45892</v>
      </c>
      <c r="I2688" s="6" t="s">
        <v>11392</v>
      </c>
      <c r="J2688" s="6" t="s">
        <v>72</v>
      </c>
      <c r="K2688" s="6" t="s">
        <v>72</v>
      </c>
      <c r="L2688" s="6" t="s">
        <v>72</v>
      </c>
      <c r="M2688" s="6" t="s">
        <v>11393</v>
      </c>
    </row>
    <row r="2689" spans="1:13" ht="13" x14ac:dyDescent="0.15">
      <c r="A2689" s="5" t="str">
        <f>HYPERLINK("https://onemount.atlassian.net/browse/DBA-2187","DBA-2187")</f>
        <v>DBA-2187</v>
      </c>
      <c r="B2689" s="23" t="str">
        <f t="shared" si="42"/>
        <v>DBA-2128</v>
      </c>
      <c r="C2689" s="6" t="s">
        <v>11394</v>
      </c>
      <c r="D2689" s="8" t="s">
        <v>17</v>
      </c>
      <c r="E2689" s="6" t="s">
        <v>428</v>
      </c>
      <c r="F2689" s="6" t="s">
        <v>41</v>
      </c>
      <c r="G2689" s="6" t="s">
        <v>11395</v>
      </c>
      <c r="H2689" s="10">
        <v>45892</v>
      </c>
      <c r="I2689" s="6" t="s">
        <v>11396</v>
      </c>
      <c r="J2689" s="6" t="s">
        <v>72</v>
      </c>
      <c r="K2689" s="6" t="s">
        <v>72</v>
      </c>
      <c r="L2689" s="6" t="s">
        <v>72</v>
      </c>
      <c r="M2689" s="6" t="s">
        <v>11397</v>
      </c>
    </row>
    <row r="2690" spans="1:13" ht="13" x14ac:dyDescent="0.15">
      <c r="A2690" s="5" t="str">
        <f>HYPERLINK("https://onemount.atlassian.net/browse/DBA-2183","DBA-2183")</f>
        <v>DBA-2183</v>
      </c>
      <c r="B2690" s="6" t="s">
        <v>21</v>
      </c>
      <c r="C2690" s="6" t="s">
        <v>11398</v>
      </c>
      <c r="D2690" s="8" t="s">
        <v>17</v>
      </c>
      <c r="E2690" s="6" t="s">
        <v>23</v>
      </c>
      <c r="F2690" s="6" t="s">
        <v>96</v>
      </c>
      <c r="G2690" s="6" t="s">
        <v>11399</v>
      </c>
      <c r="H2690" s="10">
        <v>45892</v>
      </c>
      <c r="I2690" s="6" t="s">
        <v>11400</v>
      </c>
      <c r="J2690" s="6" t="s">
        <v>2453</v>
      </c>
      <c r="K2690" s="6" t="s">
        <v>165</v>
      </c>
      <c r="L2690" s="6" t="s">
        <v>119</v>
      </c>
      <c r="M2690" s="6" t="s">
        <v>11401</v>
      </c>
    </row>
    <row r="2691" spans="1:13" ht="13" x14ac:dyDescent="0.15">
      <c r="A2691" s="5" t="str">
        <f>HYPERLINK("https://onemount.atlassian.net/browse/DBA-2174","DBA-2174")</f>
        <v>DBA-2174</v>
      </c>
      <c r="B2691" s="6" t="s">
        <v>21</v>
      </c>
      <c r="C2691" s="6" t="s">
        <v>11402</v>
      </c>
      <c r="D2691" s="8" t="s">
        <v>17</v>
      </c>
      <c r="E2691" s="6" t="s">
        <v>23</v>
      </c>
      <c r="F2691" s="6" t="s">
        <v>96</v>
      </c>
      <c r="G2691" s="6" t="s">
        <v>11403</v>
      </c>
      <c r="H2691" s="10">
        <v>45890</v>
      </c>
      <c r="I2691" s="6" t="s">
        <v>11404</v>
      </c>
      <c r="J2691" s="6" t="s">
        <v>164</v>
      </c>
      <c r="K2691" s="6" t="s">
        <v>46</v>
      </c>
      <c r="L2691" s="6" t="s">
        <v>164</v>
      </c>
      <c r="M2691" s="6" t="s">
        <v>11405</v>
      </c>
    </row>
    <row r="2692" spans="1:13" ht="13" x14ac:dyDescent="0.15">
      <c r="A2692" s="5" t="str">
        <f>HYPERLINK("https://onemount.atlassian.net/browse/DBA-2157","DBA-2157")</f>
        <v>DBA-2157</v>
      </c>
      <c r="B2692" s="6" t="s">
        <v>21</v>
      </c>
      <c r="C2692" s="6" t="s">
        <v>10709</v>
      </c>
      <c r="D2692" s="8" t="s">
        <v>17</v>
      </c>
      <c r="E2692" s="6" t="s">
        <v>23</v>
      </c>
      <c r="F2692" s="6" t="s">
        <v>31</v>
      </c>
      <c r="G2692" s="6" t="s">
        <v>11406</v>
      </c>
      <c r="H2692" s="10">
        <v>45891</v>
      </c>
      <c r="I2692" s="6" t="s">
        <v>11407</v>
      </c>
      <c r="J2692" s="6" t="s">
        <v>1229</v>
      </c>
      <c r="K2692" s="6" t="s">
        <v>35</v>
      </c>
      <c r="L2692" s="6" t="s">
        <v>1229</v>
      </c>
      <c r="M2692" s="6" t="s">
        <v>11408</v>
      </c>
    </row>
    <row r="2693" spans="1:13" ht="13" x14ac:dyDescent="0.15">
      <c r="A2693" s="5" t="str">
        <f>HYPERLINK("https://onemount.atlassian.net/browse/DBA-2156","DBA-2156")</f>
        <v>DBA-2156</v>
      </c>
      <c r="B2693" s="6" t="s">
        <v>21</v>
      </c>
      <c r="C2693" s="6" t="s">
        <v>11409</v>
      </c>
      <c r="D2693" s="8" t="s">
        <v>17</v>
      </c>
      <c r="E2693" s="6" t="s">
        <v>23</v>
      </c>
      <c r="F2693" s="6" t="s">
        <v>96</v>
      </c>
      <c r="G2693" s="6" t="s">
        <v>11410</v>
      </c>
      <c r="H2693" s="10">
        <v>45891</v>
      </c>
      <c r="I2693" s="6" t="s">
        <v>11411</v>
      </c>
      <c r="J2693" s="6" t="s">
        <v>353</v>
      </c>
      <c r="K2693" s="6" t="s">
        <v>46</v>
      </c>
      <c r="L2693" s="6" t="s">
        <v>164</v>
      </c>
      <c r="M2693" s="6" t="s">
        <v>11412</v>
      </c>
    </row>
    <row r="2694" spans="1:13" ht="13" x14ac:dyDescent="0.15">
      <c r="A2694" s="5" t="str">
        <f>HYPERLINK("https://onemount.atlassian.net/browse/DBA-2154","DBA-2154")</f>
        <v>DBA-2154</v>
      </c>
      <c r="B2694" s="6" t="s">
        <v>21</v>
      </c>
      <c r="C2694" s="6" t="s">
        <v>8587</v>
      </c>
      <c r="D2694" s="8" t="s">
        <v>17</v>
      </c>
      <c r="E2694" s="6" t="s">
        <v>23</v>
      </c>
      <c r="F2694" s="6" t="s">
        <v>96</v>
      </c>
      <c r="G2694" s="6" t="s">
        <v>11413</v>
      </c>
      <c r="H2694" s="10">
        <v>45891</v>
      </c>
      <c r="I2694" s="6" t="s">
        <v>11414</v>
      </c>
      <c r="J2694" s="6" t="s">
        <v>55</v>
      </c>
      <c r="K2694" s="6" t="s">
        <v>55</v>
      </c>
      <c r="L2694" s="6" t="s">
        <v>55</v>
      </c>
      <c r="M2694" s="6" t="s">
        <v>11415</v>
      </c>
    </row>
    <row r="2695" spans="1:13" ht="13" x14ac:dyDescent="0.15">
      <c r="A2695" s="5" t="str">
        <f>HYPERLINK("https://onemount.atlassian.net/browse/DBA-2153","DBA-2153")</f>
        <v>DBA-2153</v>
      </c>
      <c r="B2695" s="6" t="s">
        <v>21</v>
      </c>
      <c r="C2695" s="6" t="s">
        <v>10815</v>
      </c>
      <c r="D2695" s="8" t="s">
        <v>17</v>
      </c>
      <c r="E2695" s="6" t="s">
        <v>23</v>
      </c>
      <c r="F2695" s="6" t="s">
        <v>96</v>
      </c>
      <c r="G2695" s="6" t="s">
        <v>11416</v>
      </c>
      <c r="H2695" s="10">
        <v>45890</v>
      </c>
      <c r="I2695" s="6" t="s">
        <v>11417</v>
      </c>
      <c r="J2695" s="6" t="s">
        <v>6269</v>
      </c>
      <c r="K2695" s="6" t="s">
        <v>28</v>
      </c>
      <c r="L2695" s="6" t="s">
        <v>1000</v>
      </c>
      <c r="M2695" s="6" t="s">
        <v>11418</v>
      </c>
    </row>
    <row r="2696" spans="1:13" ht="13" x14ac:dyDescent="0.15">
      <c r="A2696" s="5" t="str">
        <f>HYPERLINK("https://onemount.atlassian.net/browse/DBA-2150","DBA-2150")</f>
        <v>DBA-2150</v>
      </c>
      <c r="B2696" s="6" t="s">
        <v>21</v>
      </c>
      <c r="C2696" s="6" t="s">
        <v>11419</v>
      </c>
      <c r="D2696" s="8" t="s">
        <v>17</v>
      </c>
      <c r="E2696" s="6" t="s">
        <v>23</v>
      </c>
      <c r="F2696" s="6" t="s">
        <v>96</v>
      </c>
      <c r="G2696" s="6" t="s">
        <v>11420</v>
      </c>
      <c r="H2696" s="10">
        <v>45889</v>
      </c>
      <c r="I2696" s="6" t="s">
        <v>11421</v>
      </c>
      <c r="J2696" s="6" t="s">
        <v>10120</v>
      </c>
      <c r="K2696" s="6" t="s">
        <v>165</v>
      </c>
      <c r="L2696" s="6" t="s">
        <v>288</v>
      </c>
      <c r="M2696" s="6" t="s">
        <v>11422</v>
      </c>
    </row>
    <row r="2697" spans="1:13" ht="13" x14ac:dyDescent="0.15">
      <c r="A2697" s="5" t="str">
        <f>HYPERLINK("https://onemount.atlassian.net/browse/DBA-2149","DBA-2149")</f>
        <v>DBA-2149</v>
      </c>
      <c r="B2697" s="6" t="s">
        <v>21</v>
      </c>
      <c r="C2697" s="6" t="s">
        <v>10235</v>
      </c>
      <c r="D2697" s="8" t="s">
        <v>17</v>
      </c>
      <c r="E2697" s="6" t="s">
        <v>23</v>
      </c>
      <c r="F2697" s="6" t="s">
        <v>31</v>
      </c>
      <c r="G2697" s="6" t="s">
        <v>11423</v>
      </c>
      <c r="H2697" s="10">
        <v>45890</v>
      </c>
      <c r="I2697" s="6" t="s">
        <v>11424</v>
      </c>
      <c r="J2697" s="6" t="s">
        <v>715</v>
      </c>
      <c r="K2697" s="6" t="s">
        <v>55</v>
      </c>
      <c r="L2697" s="6" t="s">
        <v>715</v>
      </c>
      <c r="M2697" s="6" t="s">
        <v>11425</v>
      </c>
    </row>
    <row r="2698" spans="1:13" ht="13" x14ac:dyDescent="0.15">
      <c r="A2698" s="5" t="str">
        <f>HYPERLINK("https://onemount.atlassian.net/browse/DBA-2147","DBA-2147")</f>
        <v>DBA-2147</v>
      </c>
      <c r="B2698" s="6" t="s">
        <v>21</v>
      </c>
      <c r="C2698" s="6" t="s">
        <v>11426</v>
      </c>
      <c r="D2698" s="8" t="s">
        <v>17</v>
      </c>
      <c r="E2698" s="6" t="s">
        <v>23</v>
      </c>
      <c r="F2698" s="6" t="s">
        <v>31</v>
      </c>
      <c r="G2698" s="6" t="s">
        <v>11427</v>
      </c>
      <c r="H2698" s="10">
        <v>45889</v>
      </c>
      <c r="I2698" s="6" t="s">
        <v>11428</v>
      </c>
      <c r="J2698" s="6" t="s">
        <v>628</v>
      </c>
      <c r="K2698" s="6" t="s">
        <v>35</v>
      </c>
      <c r="L2698" s="6" t="s">
        <v>628</v>
      </c>
      <c r="M2698" s="6" t="s">
        <v>11429</v>
      </c>
    </row>
    <row r="2699" spans="1:13" ht="13" x14ac:dyDescent="0.15">
      <c r="A2699" s="5" t="str">
        <f>HYPERLINK("https://onemount.atlassian.net/browse/DBA-2146","DBA-2146")</f>
        <v>DBA-2146</v>
      </c>
      <c r="B2699" s="6" t="s">
        <v>21</v>
      </c>
      <c r="C2699" s="6" t="s">
        <v>11430</v>
      </c>
      <c r="D2699" s="8" t="s">
        <v>17</v>
      </c>
      <c r="E2699" s="6" t="s">
        <v>23</v>
      </c>
      <c r="F2699" s="6" t="s">
        <v>96</v>
      </c>
      <c r="G2699" s="6" t="s">
        <v>11431</v>
      </c>
      <c r="H2699" s="10">
        <v>45890</v>
      </c>
      <c r="I2699" s="6" t="s">
        <v>11432</v>
      </c>
      <c r="J2699" s="6" t="s">
        <v>1107</v>
      </c>
      <c r="K2699" s="6" t="s">
        <v>28</v>
      </c>
      <c r="L2699" s="6" t="s">
        <v>1114</v>
      </c>
      <c r="M2699" s="6" t="s">
        <v>11433</v>
      </c>
    </row>
    <row r="2700" spans="1:13" ht="13" x14ac:dyDescent="0.15">
      <c r="A2700" s="5" t="str">
        <f>HYPERLINK("https://onemount.atlassian.net/browse/DBA-2145","DBA-2145")</f>
        <v>DBA-2145</v>
      </c>
      <c r="B2700" s="6" t="s">
        <v>21</v>
      </c>
      <c r="C2700" s="6" t="s">
        <v>11434</v>
      </c>
      <c r="D2700" s="8" t="s">
        <v>17</v>
      </c>
      <c r="E2700" s="6" t="s">
        <v>23</v>
      </c>
      <c r="F2700" s="6" t="s">
        <v>31</v>
      </c>
      <c r="G2700" s="6" t="s">
        <v>11435</v>
      </c>
      <c r="H2700" s="10">
        <v>45890</v>
      </c>
      <c r="I2700" s="6" t="s">
        <v>11436</v>
      </c>
      <c r="J2700" s="6" t="s">
        <v>38</v>
      </c>
      <c r="K2700" s="6" t="s">
        <v>38</v>
      </c>
      <c r="L2700" s="6" t="s">
        <v>49</v>
      </c>
      <c r="M2700" s="6" t="s">
        <v>11437</v>
      </c>
    </row>
    <row r="2701" spans="1:13" ht="13" x14ac:dyDescent="0.15">
      <c r="A2701" s="5" t="str">
        <f>HYPERLINK("https://onemount.atlassian.net/browse/DBA-2142","DBA-2142")</f>
        <v>DBA-2142</v>
      </c>
      <c r="B2701" s="6" t="s">
        <v>21</v>
      </c>
      <c r="C2701" s="6" t="s">
        <v>10180</v>
      </c>
      <c r="D2701" s="8" t="s">
        <v>17</v>
      </c>
      <c r="E2701" s="6" t="s">
        <v>23</v>
      </c>
      <c r="F2701" s="6" t="s">
        <v>31</v>
      </c>
      <c r="G2701" s="6" t="s">
        <v>11438</v>
      </c>
      <c r="H2701" s="10">
        <v>45890</v>
      </c>
      <c r="I2701" s="6" t="s">
        <v>11439</v>
      </c>
      <c r="J2701" s="6" t="s">
        <v>276</v>
      </c>
      <c r="K2701" s="6" t="s">
        <v>35</v>
      </c>
      <c r="L2701" s="6" t="s">
        <v>276</v>
      </c>
      <c r="M2701" s="6" t="s">
        <v>11440</v>
      </c>
    </row>
    <row r="2702" spans="1:13" ht="13" x14ac:dyDescent="0.15">
      <c r="A2702" s="5" t="str">
        <f>HYPERLINK("https://onemount.atlassian.net/browse/DBA-2141","DBA-2141")</f>
        <v>DBA-2141</v>
      </c>
      <c r="B2702" s="6" t="s">
        <v>21</v>
      </c>
      <c r="C2702" s="6" t="s">
        <v>11426</v>
      </c>
      <c r="D2702" s="8" t="s">
        <v>17</v>
      </c>
      <c r="E2702" s="6" t="s">
        <v>23</v>
      </c>
      <c r="F2702" s="6" t="s">
        <v>31</v>
      </c>
      <c r="G2702" s="6" t="s">
        <v>11441</v>
      </c>
      <c r="H2702" s="10">
        <v>45889</v>
      </c>
      <c r="I2702" s="6" t="s">
        <v>11442</v>
      </c>
      <c r="J2702" s="6" t="s">
        <v>628</v>
      </c>
      <c r="K2702" s="6" t="s">
        <v>35</v>
      </c>
      <c r="L2702" s="6" t="s">
        <v>628</v>
      </c>
      <c r="M2702" s="6" t="s">
        <v>11443</v>
      </c>
    </row>
    <row r="2703" spans="1:13" ht="13" x14ac:dyDescent="0.15">
      <c r="A2703" s="5" t="str">
        <f>HYPERLINK("https://onemount.atlassian.net/browse/DBA-2140","DBA-2140")</f>
        <v>DBA-2140</v>
      </c>
      <c r="B2703" s="6" t="s">
        <v>21</v>
      </c>
      <c r="C2703" s="6" t="s">
        <v>11444</v>
      </c>
      <c r="D2703" s="8" t="s">
        <v>17</v>
      </c>
      <c r="E2703" s="6" t="s">
        <v>23</v>
      </c>
      <c r="F2703" s="6" t="s">
        <v>96</v>
      </c>
      <c r="G2703" s="6" t="s">
        <v>11445</v>
      </c>
      <c r="H2703" s="10">
        <v>45891</v>
      </c>
      <c r="I2703" s="6" t="s">
        <v>11446</v>
      </c>
      <c r="J2703" s="6" t="s">
        <v>93</v>
      </c>
      <c r="K2703" s="6" t="s">
        <v>55</v>
      </c>
      <c r="L2703" s="6" t="s">
        <v>956</v>
      </c>
      <c r="M2703" s="6" t="s">
        <v>11447</v>
      </c>
    </row>
    <row r="2704" spans="1:13" ht="13" x14ac:dyDescent="0.15">
      <c r="A2704" s="5" t="str">
        <f>HYPERLINK("https://onemount.atlassian.net/browse/DBA-2139","DBA-2139")</f>
        <v>DBA-2139</v>
      </c>
      <c r="B2704" s="6" t="s">
        <v>21</v>
      </c>
      <c r="C2704" s="6" t="s">
        <v>11448</v>
      </c>
      <c r="D2704" s="8" t="s">
        <v>17</v>
      </c>
      <c r="E2704" s="6" t="s">
        <v>23</v>
      </c>
      <c r="F2704" s="6" t="s">
        <v>96</v>
      </c>
      <c r="G2704" s="6" t="s">
        <v>11449</v>
      </c>
      <c r="H2704" s="10">
        <v>45891</v>
      </c>
      <c r="I2704" s="6" t="s">
        <v>11450</v>
      </c>
      <c r="J2704" s="6" t="s">
        <v>165</v>
      </c>
      <c r="K2704" s="6" t="s">
        <v>165</v>
      </c>
      <c r="L2704" s="6" t="s">
        <v>1050</v>
      </c>
      <c r="M2704" s="6" t="s">
        <v>11451</v>
      </c>
    </row>
    <row r="2705" spans="1:13" ht="13" x14ac:dyDescent="0.15">
      <c r="A2705" s="5" t="str">
        <f>HYPERLINK("https://onemount.atlassian.net/browse/DBA-2136","DBA-2136")</f>
        <v>DBA-2136</v>
      </c>
      <c r="B2705" s="6" t="s">
        <v>21</v>
      </c>
      <c r="C2705" s="6" t="s">
        <v>11452</v>
      </c>
      <c r="D2705" s="8" t="s">
        <v>17</v>
      </c>
      <c r="E2705" s="6" t="s">
        <v>23</v>
      </c>
      <c r="F2705" s="6" t="s">
        <v>96</v>
      </c>
      <c r="G2705" s="6" t="s">
        <v>11453</v>
      </c>
      <c r="H2705" s="10">
        <v>45891</v>
      </c>
      <c r="I2705" s="6" t="s">
        <v>11454</v>
      </c>
      <c r="J2705" s="6" t="s">
        <v>11006</v>
      </c>
      <c r="K2705" s="6" t="s">
        <v>28</v>
      </c>
      <c r="L2705" s="6" t="s">
        <v>1114</v>
      </c>
      <c r="M2705" s="6" t="s">
        <v>11455</v>
      </c>
    </row>
    <row r="2706" spans="1:13" ht="13" x14ac:dyDescent="0.15">
      <c r="A2706" s="5" t="str">
        <f>HYPERLINK("https://onemount.atlassian.net/browse/DBA-2135","DBA-2135")</f>
        <v>DBA-2135</v>
      </c>
      <c r="B2706" s="6" t="s">
        <v>21</v>
      </c>
      <c r="C2706" s="6" t="s">
        <v>11456</v>
      </c>
      <c r="D2706" s="8" t="s">
        <v>17</v>
      </c>
      <c r="E2706" s="6" t="s">
        <v>23</v>
      </c>
      <c r="F2706" s="6" t="s">
        <v>96</v>
      </c>
      <c r="G2706" s="6" t="s">
        <v>11457</v>
      </c>
      <c r="H2706" s="10">
        <v>45888</v>
      </c>
      <c r="I2706" s="6" t="s">
        <v>11458</v>
      </c>
      <c r="J2706" s="6" t="s">
        <v>11459</v>
      </c>
      <c r="K2706" s="6" t="s">
        <v>28</v>
      </c>
      <c r="L2706" s="6" t="s">
        <v>1140</v>
      </c>
      <c r="M2706" s="6" t="s">
        <v>11460</v>
      </c>
    </row>
    <row r="2707" spans="1:13" ht="13" x14ac:dyDescent="0.15">
      <c r="A2707" s="5" t="str">
        <f>HYPERLINK("https://onemount.atlassian.net/browse/DBA-2134","DBA-2134")</f>
        <v>DBA-2134</v>
      </c>
      <c r="B2707" s="6" t="s">
        <v>21</v>
      </c>
      <c r="C2707" s="6" t="s">
        <v>11461</v>
      </c>
      <c r="D2707" s="8" t="s">
        <v>17</v>
      </c>
      <c r="E2707" s="6" t="s">
        <v>23</v>
      </c>
      <c r="F2707" s="6" t="s">
        <v>96</v>
      </c>
      <c r="G2707" s="6" t="s">
        <v>11462</v>
      </c>
      <c r="H2707" s="10">
        <v>45888</v>
      </c>
      <c r="I2707" s="6" t="s">
        <v>11463</v>
      </c>
      <c r="J2707" s="6" t="s">
        <v>1898</v>
      </c>
      <c r="K2707" s="6" t="s">
        <v>165</v>
      </c>
      <c r="L2707" s="6" t="s">
        <v>1097</v>
      </c>
      <c r="M2707" s="6" t="s">
        <v>11464</v>
      </c>
    </row>
    <row r="2708" spans="1:13" ht="13" x14ac:dyDescent="0.15">
      <c r="A2708" s="5" t="str">
        <f>HYPERLINK("https://onemount.atlassian.net/browse/DBA-2133","DBA-2133")</f>
        <v>DBA-2133</v>
      </c>
      <c r="B2708" s="6" t="s">
        <v>21</v>
      </c>
      <c r="C2708" s="6" t="s">
        <v>10180</v>
      </c>
      <c r="D2708" s="8" t="s">
        <v>17</v>
      </c>
      <c r="E2708" s="6" t="s">
        <v>23</v>
      </c>
      <c r="F2708" s="6" t="s">
        <v>31</v>
      </c>
      <c r="G2708" s="6" t="s">
        <v>11465</v>
      </c>
      <c r="H2708" s="10">
        <v>45887</v>
      </c>
      <c r="I2708" s="6" t="s">
        <v>11466</v>
      </c>
      <c r="J2708" s="6" t="s">
        <v>276</v>
      </c>
      <c r="K2708" s="6" t="s">
        <v>35</v>
      </c>
      <c r="L2708" s="6" t="s">
        <v>276</v>
      </c>
      <c r="M2708" s="6" t="s">
        <v>11467</v>
      </c>
    </row>
    <row r="2709" spans="1:13" ht="13" x14ac:dyDescent="0.15">
      <c r="A2709" s="5" t="str">
        <f>HYPERLINK("https://onemount.atlassian.net/browse/DBA-2132","DBA-2132")</f>
        <v>DBA-2132</v>
      </c>
      <c r="B2709" s="6" t="s">
        <v>21</v>
      </c>
      <c r="C2709" s="6" t="s">
        <v>11468</v>
      </c>
      <c r="D2709" s="8" t="s">
        <v>17</v>
      </c>
      <c r="E2709" s="6" t="s">
        <v>23</v>
      </c>
      <c r="F2709" s="6" t="s">
        <v>96</v>
      </c>
      <c r="G2709" s="6" t="s">
        <v>11469</v>
      </c>
      <c r="H2709" s="10">
        <v>45891</v>
      </c>
      <c r="I2709" s="6" t="s">
        <v>11470</v>
      </c>
      <c r="J2709" s="6" t="s">
        <v>93</v>
      </c>
      <c r="K2709" s="6" t="s">
        <v>55</v>
      </c>
      <c r="L2709" s="6" t="s">
        <v>956</v>
      </c>
      <c r="M2709" s="6" t="s">
        <v>11471</v>
      </c>
    </row>
    <row r="2710" spans="1:13" ht="13" x14ac:dyDescent="0.15">
      <c r="A2710" s="5" t="str">
        <f>HYPERLINK("https://onemount.atlassian.net/browse/DBA-2131","DBA-2131")</f>
        <v>DBA-2131</v>
      </c>
      <c r="B2710" s="6" t="s">
        <v>21</v>
      </c>
      <c r="C2710" s="6" t="s">
        <v>10978</v>
      </c>
      <c r="D2710" s="8" t="s">
        <v>17</v>
      </c>
      <c r="E2710" s="6" t="s">
        <v>23</v>
      </c>
      <c r="F2710" s="6" t="s">
        <v>24</v>
      </c>
      <c r="G2710" s="6" t="s">
        <v>11472</v>
      </c>
      <c r="H2710" s="10">
        <v>45888</v>
      </c>
      <c r="I2710" s="6" t="s">
        <v>11473</v>
      </c>
      <c r="J2710" s="6" t="s">
        <v>56</v>
      </c>
      <c r="K2710" s="6" t="s">
        <v>55</v>
      </c>
      <c r="L2710" s="6" t="s">
        <v>56</v>
      </c>
      <c r="M2710" s="6" t="s">
        <v>11474</v>
      </c>
    </row>
    <row r="2711" spans="1:13" ht="13" x14ac:dyDescent="0.15">
      <c r="A2711" s="5" t="str">
        <f>HYPERLINK("https://onemount.atlassian.net/browse/DBA-2129","DBA-2129")</f>
        <v>DBA-2129</v>
      </c>
      <c r="B2711" s="6" t="s">
        <v>21</v>
      </c>
      <c r="C2711" s="6" t="s">
        <v>11475</v>
      </c>
      <c r="D2711" s="8" t="s">
        <v>17</v>
      </c>
      <c r="E2711" s="6" t="s">
        <v>23</v>
      </c>
      <c r="F2711" s="6" t="s">
        <v>41</v>
      </c>
      <c r="G2711" s="6" t="s">
        <v>11476</v>
      </c>
      <c r="H2711" s="10">
        <v>45920</v>
      </c>
      <c r="I2711" s="6" t="s">
        <v>11477</v>
      </c>
      <c r="J2711" s="6" t="s">
        <v>72</v>
      </c>
      <c r="K2711" s="6" t="s">
        <v>72</v>
      </c>
      <c r="L2711" s="6" t="s">
        <v>72</v>
      </c>
      <c r="M2711" s="6" t="s">
        <v>11478</v>
      </c>
    </row>
    <row r="2712" spans="1:13" ht="13" x14ac:dyDescent="0.15">
      <c r="A2712" s="5" t="str">
        <f>HYPERLINK("https://onemount.atlassian.net/browse/DBA-2128","DBA-2128")</f>
        <v>DBA-2128</v>
      </c>
      <c r="B2712" s="6" t="s">
        <v>21</v>
      </c>
      <c r="C2712" s="6" t="s">
        <v>11479</v>
      </c>
      <c r="D2712" s="8" t="s">
        <v>17</v>
      </c>
      <c r="E2712" s="6" t="s">
        <v>23</v>
      </c>
      <c r="F2712" s="6" t="s">
        <v>41</v>
      </c>
      <c r="G2712" s="6" t="s">
        <v>11480</v>
      </c>
      <c r="H2712" s="10">
        <v>45895</v>
      </c>
      <c r="I2712" s="6" t="s">
        <v>11481</v>
      </c>
      <c r="J2712" s="6" t="s">
        <v>11482</v>
      </c>
      <c r="K2712" s="6" t="s">
        <v>72</v>
      </c>
      <c r="L2712" s="6" t="s">
        <v>72</v>
      </c>
      <c r="M2712" s="6" t="s">
        <v>11483</v>
      </c>
    </row>
    <row r="2713" spans="1:13" ht="13" x14ac:dyDescent="0.15">
      <c r="A2713" s="5" t="str">
        <f>HYPERLINK("https://onemount.atlassian.net/browse/DBA-2127","DBA-2127")</f>
        <v>DBA-2127</v>
      </c>
      <c r="B2713" s="6" t="s">
        <v>21</v>
      </c>
      <c r="C2713" s="6" t="s">
        <v>11484</v>
      </c>
      <c r="D2713" s="8" t="s">
        <v>17</v>
      </c>
      <c r="E2713" s="6" t="s">
        <v>23</v>
      </c>
      <c r="F2713" s="6" t="s">
        <v>31</v>
      </c>
      <c r="G2713" s="6" t="s">
        <v>11485</v>
      </c>
      <c r="H2713" s="10">
        <v>45887</v>
      </c>
      <c r="I2713" s="6" t="s">
        <v>11486</v>
      </c>
      <c r="J2713" s="6" t="s">
        <v>6575</v>
      </c>
      <c r="K2713" s="6" t="s">
        <v>35</v>
      </c>
      <c r="L2713" s="6" t="s">
        <v>962</v>
      </c>
      <c r="M2713" s="6" t="s">
        <v>11487</v>
      </c>
    </row>
    <row r="2714" spans="1:13" ht="13" x14ac:dyDescent="0.15">
      <c r="A2714" s="5" t="str">
        <f>HYPERLINK("https://onemount.atlassian.net/browse/DBA-2126","DBA-2126")</f>
        <v>DBA-2126</v>
      </c>
      <c r="B2714" s="6" t="s">
        <v>21</v>
      </c>
      <c r="C2714" s="6" t="s">
        <v>11488</v>
      </c>
      <c r="D2714" s="8" t="s">
        <v>17</v>
      </c>
      <c r="E2714" s="6" t="s">
        <v>23</v>
      </c>
      <c r="F2714" s="6" t="s">
        <v>31</v>
      </c>
      <c r="G2714" s="6" t="s">
        <v>11489</v>
      </c>
      <c r="H2714" s="10">
        <v>45888</v>
      </c>
      <c r="I2714" s="6" t="s">
        <v>11490</v>
      </c>
      <c r="J2714" s="6" t="s">
        <v>11491</v>
      </c>
      <c r="K2714" s="6" t="s">
        <v>35</v>
      </c>
      <c r="L2714" s="6" t="s">
        <v>628</v>
      </c>
      <c r="M2714" s="6" t="s">
        <v>11492</v>
      </c>
    </row>
    <row r="2715" spans="1:13" ht="13" x14ac:dyDescent="0.15">
      <c r="A2715" s="5" t="str">
        <f>HYPERLINK("https://onemount.atlassian.net/browse/DBA-2125","DBA-2125")</f>
        <v>DBA-2125</v>
      </c>
      <c r="B2715" s="6" t="s">
        <v>21</v>
      </c>
      <c r="C2715" s="6" t="s">
        <v>11493</v>
      </c>
      <c r="D2715" s="8" t="s">
        <v>17</v>
      </c>
      <c r="E2715" s="6" t="s">
        <v>23</v>
      </c>
      <c r="F2715" s="6" t="s">
        <v>31</v>
      </c>
      <c r="G2715" s="6" t="s">
        <v>11494</v>
      </c>
      <c r="H2715" s="10">
        <v>45887</v>
      </c>
      <c r="I2715" s="6" t="s">
        <v>11495</v>
      </c>
      <c r="J2715" s="6" t="s">
        <v>489</v>
      </c>
      <c r="K2715" s="6" t="s">
        <v>35</v>
      </c>
      <c r="L2715" s="6" t="s">
        <v>489</v>
      </c>
      <c r="M2715" s="6" t="s">
        <v>11496</v>
      </c>
    </row>
    <row r="2716" spans="1:13" ht="13" x14ac:dyDescent="0.15">
      <c r="A2716" s="5" t="str">
        <f>HYPERLINK("https://onemount.atlassian.net/browse/DBA-2124","DBA-2124")</f>
        <v>DBA-2124</v>
      </c>
      <c r="B2716" s="6" t="s">
        <v>21</v>
      </c>
      <c r="C2716" s="6" t="s">
        <v>11497</v>
      </c>
      <c r="D2716" s="8" t="s">
        <v>17</v>
      </c>
      <c r="E2716" s="6" t="s">
        <v>23</v>
      </c>
      <c r="F2716" s="6" t="s">
        <v>96</v>
      </c>
      <c r="G2716" s="6" t="s">
        <v>11498</v>
      </c>
      <c r="H2716" s="10">
        <v>45885</v>
      </c>
      <c r="I2716" s="6" t="s">
        <v>11499</v>
      </c>
      <c r="J2716" s="6" t="s">
        <v>55</v>
      </c>
      <c r="K2716" s="6" t="s">
        <v>55</v>
      </c>
      <c r="L2716" s="6" t="s">
        <v>712</v>
      </c>
      <c r="M2716" s="6" t="s">
        <v>11500</v>
      </c>
    </row>
    <row r="2717" spans="1:13" ht="13" x14ac:dyDescent="0.15">
      <c r="A2717" s="5" t="str">
        <f>HYPERLINK("https://onemount.atlassian.net/browse/DBA-2123","DBA-2123")</f>
        <v>DBA-2123</v>
      </c>
      <c r="B2717" s="6" t="s">
        <v>21</v>
      </c>
      <c r="C2717" s="6" t="s">
        <v>11310</v>
      </c>
      <c r="D2717" s="8" t="s">
        <v>17</v>
      </c>
      <c r="E2717" s="6" t="s">
        <v>23</v>
      </c>
      <c r="F2717" s="6" t="s">
        <v>96</v>
      </c>
      <c r="G2717" s="6" t="s">
        <v>11501</v>
      </c>
      <c r="H2717" s="10">
        <v>45888</v>
      </c>
      <c r="I2717" s="6" t="s">
        <v>11502</v>
      </c>
      <c r="J2717" s="6" t="s">
        <v>1066</v>
      </c>
      <c r="K2717" s="6" t="s">
        <v>165</v>
      </c>
      <c r="L2717" s="6" t="s">
        <v>288</v>
      </c>
      <c r="M2717" s="6" t="s">
        <v>11503</v>
      </c>
    </row>
    <row r="2718" spans="1:13" ht="13" x14ac:dyDescent="0.15">
      <c r="A2718" s="21" t="str">
        <f>HYPERLINK("https://onemount.atlassian.net/browse/DBA-2122","DBA-2122")</f>
        <v>DBA-2122</v>
      </c>
      <c r="B2718" s="6" t="s">
        <v>21</v>
      </c>
      <c r="C2718" s="6" t="s">
        <v>11504</v>
      </c>
      <c r="D2718" s="8" t="s">
        <v>17</v>
      </c>
      <c r="E2718" s="6" t="s">
        <v>23</v>
      </c>
      <c r="F2718" s="6" t="s">
        <v>96</v>
      </c>
      <c r="G2718" s="6" t="s">
        <v>11505</v>
      </c>
      <c r="H2718" s="10">
        <v>45885</v>
      </c>
      <c r="I2718" s="6" t="s">
        <v>11506</v>
      </c>
      <c r="J2718" s="6" t="s">
        <v>3369</v>
      </c>
      <c r="K2718" s="6" t="s">
        <v>168</v>
      </c>
      <c r="L2718" s="6" t="s">
        <v>164</v>
      </c>
      <c r="M2718" s="6" t="s">
        <v>11507</v>
      </c>
    </row>
    <row r="2719" spans="1:13" ht="13" x14ac:dyDescent="0.15">
      <c r="A2719" s="5" t="str">
        <f>HYPERLINK("https://onemount.atlassian.net/browse/DBA-2121","DBA-2121")</f>
        <v>DBA-2121</v>
      </c>
      <c r="B2719" s="6" t="s">
        <v>21</v>
      </c>
      <c r="C2719" s="6" t="s">
        <v>11508</v>
      </c>
      <c r="D2719" s="8" t="s">
        <v>17</v>
      </c>
      <c r="E2719" s="6" t="s">
        <v>23</v>
      </c>
      <c r="F2719" s="6" t="s">
        <v>96</v>
      </c>
      <c r="G2719" s="6" t="s">
        <v>11509</v>
      </c>
      <c r="H2719" s="10">
        <v>45885</v>
      </c>
      <c r="I2719" s="6" t="s">
        <v>11510</v>
      </c>
      <c r="J2719" s="6" t="s">
        <v>517</v>
      </c>
      <c r="K2719" s="6" t="s">
        <v>165</v>
      </c>
      <c r="L2719" s="6" t="s">
        <v>288</v>
      </c>
      <c r="M2719" s="6" t="s">
        <v>11511</v>
      </c>
    </row>
    <row r="2720" spans="1:13" ht="13" x14ac:dyDescent="0.15">
      <c r="A2720" s="5" t="str">
        <f>HYPERLINK("https://onemount.atlassian.net/browse/DBA-2119","DBA-2119")</f>
        <v>DBA-2119</v>
      </c>
      <c r="B2720" s="23" t="str">
        <f>HYPERLINK("https://onemount.atlassian.net/browse/DBA-2062","DBA-2062")</f>
        <v>DBA-2062</v>
      </c>
      <c r="C2720" s="6" t="s">
        <v>11512</v>
      </c>
      <c r="D2720" s="8" t="s">
        <v>17</v>
      </c>
      <c r="E2720" s="6" t="s">
        <v>428</v>
      </c>
      <c r="F2720" s="6" t="s">
        <v>24</v>
      </c>
      <c r="G2720" s="6" t="s">
        <v>11513</v>
      </c>
      <c r="H2720" s="10">
        <v>45885</v>
      </c>
      <c r="I2720" s="6" t="s">
        <v>11514</v>
      </c>
      <c r="J2720" s="6" t="s">
        <v>7825</v>
      </c>
      <c r="K2720" s="6" t="s">
        <v>55</v>
      </c>
      <c r="L2720" s="6" t="s">
        <v>802</v>
      </c>
      <c r="M2720" s="6" t="s">
        <v>11515</v>
      </c>
    </row>
    <row r="2721" spans="1:13" ht="13" x14ac:dyDescent="0.15">
      <c r="A2721" s="5" t="str">
        <f>HYPERLINK("https://onemount.atlassian.net/browse/DBA-2118","DBA-2118")</f>
        <v>DBA-2118</v>
      </c>
      <c r="B2721" s="6" t="s">
        <v>21</v>
      </c>
      <c r="C2721" s="6" t="s">
        <v>11516</v>
      </c>
      <c r="D2721" s="8" t="s">
        <v>17</v>
      </c>
      <c r="E2721" s="6" t="s">
        <v>23</v>
      </c>
      <c r="F2721" s="6" t="s">
        <v>31</v>
      </c>
      <c r="G2721" s="6" t="s">
        <v>11517</v>
      </c>
      <c r="H2721" s="10">
        <v>45888</v>
      </c>
      <c r="I2721" s="6" t="s">
        <v>11518</v>
      </c>
      <c r="J2721" s="6" t="s">
        <v>11491</v>
      </c>
      <c r="K2721" s="6" t="s">
        <v>35</v>
      </c>
      <c r="L2721" s="6" t="s">
        <v>628</v>
      </c>
      <c r="M2721" s="6" t="s">
        <v>11519</v>
      </c>
    </row>
    <row r="2722" spans="1:13" ht="13" x14ac:dyDescent="0.15">
      <c r="A2722" s="5" t="str">
        <f>HYPERLINK("https://onemount.atlassian.net/browse/DBA-2117","DBA-2117")</f>
        <v>DBA-2117</v>
      </c>
      <c r="B2722" s="6" t="s">
        <v>21</v>
      </c>
      <c r="C2722" s="6" t="s">
        <v>11520</v>
      </c>
      <c r="D2722" s="8" t="s">
        <v>17</v>
      </c>
      <c r="E2722" s="6" t="s">
        <v>23</v>
      </c>
      <c r="F2722" s="6" t="s">
        <v>96</v>
      </c>
      <c r="G2722" s="6" t="s">
        <v>11521</v>
      </c>
      <c r="H2722" s="10">
        <v>45884</v>
      </c>
      <c r="I2722" s="6" t="s">
        <v>11522</v>
      </c>
      <c r="J2722" s="6" t="s">
        <v>85</v>
      </c>
      <c r="K2722" s="6" t="s">
        <v>55</v>
      </c>
      <c r="L2722" s="6" t="s">
        <v>85</v>
      </c>
      <c r="M2722" s="6" t="s">
        <v>11523</v>
      </c>
    </row>
    <row r="2723" spans="1:13" ht="13" x14ac:dyDescent="0.15">
      <c r="A2723" s="5" t="str">
        <f>HYPERLINK("https://onemount.atlassian.net/browse/DBA-2116","DBA-2116")</f>
        <v>DBA-2116</v>
      </c>
      <c r="B2723" s="6" t="s">
        <v>21</v>
      </c>
      <c r="C2723" s="6" t="s">
        <v>11524</v>
      </c>
      <c r="D2723" s="8" t="s">
        <v>17</v>
      </c>
      <c r="E2723" s="6" t="s">
        <v>23</v>
      </c>
      <c r="F2723" s="6" t="s">
        <v>96</v>
      </c>
      <c r="G2723" s="6" t="s">
        <v>11525</v>
      </c>
      <c r="H2723" s="10">
        <v>45884</v>
      </c>
      <c r="I2723" s="6" t="s">
        <v>11526</v>
      </c>
      <c r="J2723" s="6" t="s">
        <v>628</v>
      </c>
      <c r="K2723" s="6" t="s">
        <v>165</v>
      </c>
      <c r="L2723" s="6" t="s">
        <v>119</v>
      </c>
      <c r="M2723" s="6" t="s">
        <v>11527</v>
      </c>
    </row>
    <row r="2724" spans="1:13" ht="13" x14ac:dyDescent="0.15">
      <c r="A2724" s="5" t="str">
        <f>HYPERLINK("https://onemount.atlassian.net/browse/DBA-2115","DBA-2115")</f>
        <v>DBA-2115</v>
      </c>
      <c r="B2724" s="6" t="s">
        <v>21</v>
      </c>
      <c r="C2724" s="6" t="s">
        <v>11528</v>
      </c>
      <c r="D2724" s="8" t="s">
        <v>17</v>
      </c>
      <c r="E2724" s="6" t="s">
        <v>23</v>
      </c>
      <c r="F2724" s="6" t="s">
        <v>31</v>
      </c>
      <c r="G2724" s="6" t="s">
        <v>11529</v>
      </c>
      <c r="H2724" s="10">
        <v>45885</v>
      </c>
      <c r="I2724" s="6" t="s">
        <v>11530</v>
      </c>
      <c r="J2724" s="6" t="s">
        <v>6575</v>
      </c>
      <c r="K2724" s="6" t="s">
        <v>35</v>
      </c>
      <c r="L2724" s="6" t="s">
        <v>962</v>
      </c>
      <c r="M2724" s="6" t="s">
        <v>11531</v>
      </c>
    </row>
    <row r="2725" spans="1:13" ht="13" x14ac:dyDescent="0.15">
      <c r="A2725" s="5" t="str">
        <f>HYPERLINK("https://onemount.atlassian.net/browse/DBA-2114","DBA-2114")</f>
        <v>DBA-2114</v>
      </c>
      <c r="B2725" s="6" t="s">
        <v>21</v>
      </c>
      <c r="C2725" s="6" t="s">
        <v>11532</v>
      </c>
      <c r="D2725" s="8" t="s">
        <v>17</v>
      </c>
      <c r="E2725" s="6" t="s">
        <v>23</v>
      </c>
      <c r="F2725" s="6" t="s">
        <v>96</v>
      </c>
      <c r="G2725" s="6" t="s">
        <v>11533</v>
      </c>
      <c r="H2725" s="10">
        <v>45884</v>
      </c>
      <c r="I2725" s="6" t="s">
        <v>11534</v>
      </c>
      <c r="J2725" s="6" t="s">
        <v>1898</v>
      </c>
      <c r="K2725" s="6" t="s">
        <v>165</v>
      </c>
      <c r="L2725" s="6" t="s">
        <v>1097</v>
      </c>
      <c r="M2725" s="6" t="s">
        <v>11535</v>
      </c>
    </row>
    <row r="2726" spans="1:13" ht="13" x14ac:dyDescent="0.15">
      <c r="A2726" s="5" t="str">
        <f>HYPERLINK("https://onemount.atlassian.net/browse/DBA-2113","DBA-2113")</f>
        <v>DBA-2113</v>
      </c>
      <c r="B2726" s="6" t="s">
        <v>21</v>
      </c>
      <c r="C2726" s="6" t="s">
        <v>11536</v>
      </c>
      <c r="D2726" s="8" t="s">
        <v>17</v>
      </c>
      <c r="E2726" s="6" t="s">
        <v>23</v>
      </c>
      <c r="F2726" s="6" t="s">
        <v>31</v>
      </c>
      <c r="G2726" s="6" t="s">
        <v>11537</v>
      </c>
      <c r="H2726" s="10">
        <v>45884</v>
      </c>
      <c r="I2726" s="6" t="s">
        <v>11538</v>
      </c>
      <c r="J2726" s="6" t="s">
        <v>1229</v>
      </c>
      <c r="K2726" s="6" t="s">
        <v>35</v>
      </c>
      <c r="L2726" s="6" t="s">
        <v>1229</v>
      </c>
      <c r="M2726" s="6" t="s">
        <v>11539</v>
      </c>
    </row>
    <row r="2727" spans="1:13" ht="13" x14ac:dyDescent="0.15">
      <c r="A2727" s="5" t="str">
        <f>HYPERLINK("https://onemount.atlassian.net/browse/DBA-2112","DBA-2112")</f>
        <v>DBA-2112</v>
      </c>
      <c r="B2727" s="6" t="s">
        <v>21</v>
      </c>
      <c r="C2727" s="6" t="s">
        <v>11540</v>
      </c>
      <c r="D2727" s="8" t="s">
        <v>17</v>
      </c>
      <c r="E2727" s="6" t="s">
        <v>23</v>
      </c>
      <c r="F2727" s="6" t="s">
        <v>96</v>
      </c>
      <c r="G2727" s="6" t="s">
        <v>11541</v>
      </c>
      <c r="H2727" s="10">
        <v>45897</v>
      </c>
      <c r="I2727" s="6" t="s">
        <v>11542</v>
      </c>
      <c r="J2727" s="6" t="s">
        <v>11543</v>
      </c>
      <c r="K2727" s="6" t="s">
        <v>55</v>
      </c>
      <c r="L2727" s="6" t="s">
        <v>254</v>
      </c>
      <c r="M2727" s="6" t="s">
        <v>11544</v>
      </c>
    </row>
    <row r="2728" spans="1:13" ht="13" x14ac:dyDescent="0.15">
      <c r="A2728" s="5" t="str">
        <f>HYPERLINK("https://onemount.atlassian.net/browse/DBA-2111","DBA-2111")</f>
        <v>DBA-2111</v>
      </c>
      <c r="B2728" s="6" t="s">
        <v>21</v>
      </c>
      <c r="C2728" s="6" t="s">
        <v>11545</v>
      </c>
      <c r="D2728" s="8" t="s">
        <v>17</v>
      </c>
      <c r="E2728" s="6" t="s">
        <v>23</v>
      </c>
      <c r="F2728" s="6" t="s">
        <v>96</v>
      </c>
      <c r="G2728" s="6" t="s">
        <v>11546</v>
      </c>
      <c r="H2728" s="10">
        <v>45883</v>
      </c>
      <c r="I2728" s="6" t="s">
        <v>11547</v>
      </c>
      <c r="J2728" s="6" t="s">
        <v>1898</v>
      </c>
      <c r="K2728" s="6" t="s">
        <v>165</v>
      </c>
      <c r="L2728" s="6" t="s">
        <v>1097</v>
      </c>
      <c r="M2728" s="6" t="s">
        <v>11548</v>
      </c>
    </row>
    <row r="2729" spans="1:13" ht="13" x14ac:dyDescent="0.15">
      <c r="A2729" s="5" t="str">
        <f>HYPERLINK("https://onemount.atlassian.net/browse/DBA-2110","DBA-2110")</f>
        <v>DBA-2110</v>
      </c>
      <c r="B2729" s="23" t="str">
        <f>HYPERLINK("https://onemount.atlassian.net/browse/DBA-2062","DBA-2062")</f>
        <v>DBA-2062</v>
      </c>
      <c r="C2729" s="6" t="s">
        <v>11549</v>
      </c>
      <c r="D2729" s="8" t="s">
        <v>17</v>
      </c>
      <c r="E2729" s="6" t="s">
        <v>428</v>
      </c>
      <c r="F2729" s="6" t="s">
        <v>24</v>
      </c>
      <c r="G2729" s="6" t="s">
        <v>11550</v>
      </c>
      <c r="H2729" s="10">
        <v>45884</v>
      </c>
      <c r="I2729" s="6" t="s">
        <v>11551</v>
      </c>
      <c r="J2729" s="6" t="s">
        <v>7825</v>
      </c>
      <c r="K2729" s="6" t="s">
        <v>55</v>
      </c>
      <c r="L2729" s="6" t="s">
        <v>56</v>
      </c>
      <c r="M2729" s="6" t="s">
        <v>11552</v>
      </c>
    </row>
    <row r="2730" spans="1:13" ht="13" x14ac:dyDescent="0.15">
      <c r="A2730" s="5" t="str">
        <f>HYPERLINK("https://onemount.atlassian.net/browse/DBA-2109","DBA-2109")</f>
        <v>DBA-2109</v>
      </c>
      <c r="B2730" s="6" t="s">
        <v>21</v>
      </c>
      <c r="C2730" s="6" t="s">
        <v>11553</v>
      </c>
      <c r="D2730" s="8" t="s">
        <v>17</v>
      </c>
      <c r="E2730" s="6" t="s">
        <v>23</v>
      </c>
      <c r="F2730" s="6" t="s">
        <v>96</v>
      </c>
      <c r="G2730" s="6" t="s">
        <v>11554</v>
      </c>
      <c r="H2730" s="10">
        <v>45883</v>
      </c>
      <c r="I2730" s="6" t="s">
        <v>11555</v>
      </c>
      <c r="J2730" s="6" t="s">
        <v>165</v>
      </c>
      <c r="K2730" s="6" t="s">
        <v>165</v>
      </c>
      <c r="L2730" s="6" t="s">
        <v>1050</v>
      </c>
      <c r="M2730" s="6" t="s">
        <v>11556</v>
      </c>
    </row>
    <row r="2731" spans="1:13" ht="13" x14ac:dyDescent="0.15">
      <c r="A2731" s="5" t="str">
        <f>HYPERLINK("https://onemount.atlassian.net/browse/DBA-2107","DBA-2107")</f>
        <v>DBA-2107</v>
      </c>
      <c r="B2731" s="6" t="s">
        <v>21</v>
      </c>
      <c r="C2731" s="6" t="s">
        <v>10180</v>
      </c>
      <c r="D2731" s="8" t="s">
        <v>17</v>
      </c>
      <c r="E2731" s="6" t="s">
        <v>23</v>
      </c>
      <c r="F2731" s="6" t="s">
        <v>31</v>
      </c>
      <c r="G2731" s="6" t="s">
        <v>11557</v>
      </c>
      <c r="H2731" s="10">
        <v>45883</v>
      </c>
      <c r="I2731" s="6" t="s">
        <v>11558</v>
      </c>
      <c r="J2731" s="6" t="s">
        <v>276</v>
      </c>
      <c r="K2731" s="6" t="s">
        <v>35</v>
      </c>
      <c r="L2731" s="6" t="s">
        <v>276</v>
      </c>
      <c r="M2731" s="6" t="s">
        <v>11559</v>
      </c>
    </row>
    <row r="2732" spans="1:13" ht="13" x14ac:dyDescent="0.15">
      <c r="A2732" s="5" t="str">
        <f>HYPERLINK("https://onemount.atlassian.net/browse/DBA-2106","DBA-2106")</f>
        <v>DBA-2106</v>
      </c>
      <c r="B2732" s="6" t="s">
        <v>21</v>
      </c>
      <c r="C2732" s="6" t="s">
        <v>11560</v>
      </c>
      <c r="D2732" s="8" t="s">
        <v>17</v>
      </c>
      <c r="E2732" s="6" t="s">
        <v>23</v>
      </c>
      <c r="F2732" s="6" t="s">
        <v>31</v>
      </c>
      <c r="G2732" s="6" t="s">
        <v>11561</v>
      </c>
      <c r="H2732" s="10">
        <v>45883</v>
      </c>
      <c r="I2732" s="6" t="s">
        <v>11562</v>
      </c>
      <c r="J2732" s="6" t="s">
        <v>715</v>
      </c>
      <c r="K2732" s="6" t="s">
        <v>55</v>
      </c>
      <c r="L2732" s="6" t="s">
        <v>715</v>
      </c>
      <c r="M2732" s="6" t="s">
        <v>11563</v>
      </c>
    </row>
    <row r="2733" spans="1:13" ht="13" x14ac:dyDescent="0.15">
      <c r="A2733" s="5" t="str">
        <f>HYPERLINK("https://onemount.atlassian.net/browse/DBA-2105","DBA-2105")</f>
        <v>DBA-2105</v>
      </c>
      <c r="B2733" s="6" t="s">
        <v>21</v>
      </c>
      <c r="C2733" s="6" t="s">
        <v>11564</v>
      </c>
      <c r="D2733" s="8" t="s">
        <v>17</v>
      </c>
      <c r="E2733" s="6" t="s">
        <v>23</v>
      </c>
      <c r="F2733" s="6" t="s">
        <v>96</v>
      </c>
      <c r="G2733" s="6" t="s">
        <v>11565</v>
      </c>
      <c r="H2733" s="10">
        <v>45882</v>
      </c>
      <c r="I2733" s="6" t="s">
        <v>11566</v>
      </c>
      <c r="J2733" s="6" t="s">
        <v>1898</v>
      </c>
      <c r="K2733" s="6" t="s">
        <v>165</v>
      </c>
      <c r="L2733" s="6" t="s">
        <v>1097</v>
      </c>
      <c r="M2733" s="6" t="s">
        <v>11567</v>
      </c>
    </row>
    <row r="2734" spans="1:13" ht="13" x14ac:dyDescent="0.15">
      <c r="A2734" s="5" t="str">
        <f>HYPERLINK("https://onemount.atlassian.net/browse/DBA-2104","DBA-2104")</f>
        <v>DBA-2104</v>
      </c>
      <c r="B2734" s="6" t="s">
        <v>21</v>
      </c>
      <c r="C2734" s="6" t="s">
        <v>10180</v>
      </c>
      <c r="D2734" s="8" t="s">
        <v>17</v>
      </c>
      <c r="E2734" s="6" t="s">
        <v>23</v>
      </c>
      <c r="F2734" s="6" t="s">
        <v>31</v>
      </c>
      <c r="G2734" s="6" t="s">
        <v>11568</v>
      </c>
      <c r="H2734" s="10">
        <v>45882</v>
      </c>
      <c r="I2734" s="6" t="s">
        <v>11569</v>
      </c>
      <c r="J2734" s="6" t="s">
        <v>276</v>
      </c>
      <c r="K2734" s="6" t="s">
        <v>35</v>
      </c>
      <c r="L2734" s="6" t="s">
        <v>276</v>
      </c>
      <c r="M2734" s="6" t="s">
        <v>11570</v>
      </c>
    </row>
    <row r="2735" spans="1:13" ht="13" x14ac:dyDescent="0.15">
      <c r="A2735" s="5" t="str">
        <f>HYPERLINK("https://onemount.atlassian.net/browse/DBA-2103","DBA-2103")</f>
        <v>DBA-2103</v>
      </c>
      <c r="B2735" s="6" t="s">
        <v>21</v>
      </c>
      <c r="C2735" s="6" t="s">
        <v>11571</v>
      </c>
      <c r="D2735" s="8" t="s">
        <v>17</v>
      </c>
      <c r="E2735" s="6" t="s">
        <v>23</v>
      </c>
      <c r="F2735" s="6" t="s">
        <v>96</v>
      </c>
      <c r="G2735" s="6" t="s">
        <v>11572</v>
      </c>
      <c r="H2735" s="10">
        <v>45884</v>
      </c>
      <c r="I2735" s="6" t="s">
        <v>11573</v>
      </c>
      <c r="J2735" s="6" t="s">
        <v>39</v>
      </c>
      <c r="K2735" s="6" t="s">
        <v>165</v>
      </c>
      <c r="L2735" s="6" t="s">
        <v>1054</v>
      </c>
      <c r="M2735" s="6" t="s">
        <v>11574</v>
      </c>
    </row>
    <row r="2736" spans="1:13" ht="13" x14ac:dyDescent="0.15">
      <c r="A2736" s="5" t="str">
        <f>HYPERLINK("https://onemount.atlassian.net/browse/DBA-2102","DBA-2102")</f>
        <v>DBA-2102</v>
      </c>
      <c r="B2736" s="6" t="s">
        <v>21</v>
      </c>
      <c r="C2736" s="6" t="s">
        <v>11553</v>
      </c>
      <c r="D2736" s="8" t="s">
        <v>17</v>
      </c>
      <c r="E2736" s="6" t="s">
        <v>23</v>
      </c>
      <c r="F2736" s="6" t="s">
        <v>96</v>
      </c>
      <c r="G2736" s="6" t="s">
        <v>11575</v>
      </c>
      <c r="H2736" s="10">
        <v>45882</v>
      </c>
      <c r="I2736" s="6" t="s">
        <v>11576</v>
      </c>
      <c r="J2736" s="6" t="s">
        <v>165</v>
      </c>
      <c r="K2736" s="6" t="s">
        <v>165</v>
      </c>
      <c r="L2736" s="6" t="s">
        <v>1050</v>
      </c>
      <c r="M2736" s="6" t="s">
        <v>11577</v>
      </c>
    </row>
    <row r="2737" spans="1:13" ht="13" x14ac:dyDescent="0.15">
      <c r="A2737" s="5" t="str">
        <f>HYPERLINK("https://onemount.atlassian.net/browse/DBA-2101","DBA-2101")</f>
        <v>DBA-2101</v>
      </c>
      <c r="B2737" s="6" t="s">
        <v>21</v>
      </c>
      <c r="C2737" s="6" t="s">
        <v>11571</v>
      </c>
      <c r="D2737" s="8" t="s">
        <v>17</v>
      </c>
      <c r="E2737" s="6" t="s">
        <v>23</v>
      </c>
      <c r="F2737" s="6" t="s">
        <v>96</v>
      </c>
      <c r="G2737" s="6" t="s">
        <v>11578</v>
      </c>
      <c r="H2737" s="10">
        <v>45884</v>
      </c>
      <c r="I2737" s="6" t="s">
        <v>11579</v>
      </c>
      <c r="J2737" s="6" t="s">
        <v>39</v>
      </c>
      <c r="K2737" s="6" t="s">
        <v>165</v>
      </c>
      <c r="L2737" s="6" t="s">
        <v>1054</v>
      </c>
      <c r="M2737" s="6" t="s">
        <v>11580</v>
      </c>
    </row>
    <row r="2738" spans="1:13" ht="13" x14ac:dyDescent="0.15">
      <c r="A2738" s="5" t="str">
        <f>HYPERLINK("https://onemount.atlassian.net/browse/DBA-2100","DBA-2100")</f>
        <v>DBA-2100</v>
      </c>
      <c r="B2738" s="6" t="s">
        <v>21</v>
      </c>
      <c r="C2738" s="6" t="s">
        <v>11581</v>
      </c>
      <c r="D2738" s="8" t="s">
        <v>17</v>
      </c>
      <c r="E2738" s="6" t="s">
        <v>23</v>
      </c>
      <c r="F2738" s="6" t="s">
        <v>96</v>
      </c>
      <c r="G2738" s="6" t="s">
        <v>11582</v>
      </c>
      <c r="H2738" s="10">
        <v>45882</v>
      </c>
      <c r="I2738" s="6" t="s">
        <v>11583</v>
      </c>
      <c r="J2738" s="6" t="s">
        <v>1030</v>
      </c>
      <c r="K2738" s="6" t="s">
        <v>165</v>
      </c>
      <c r="L2738" s="6" t="s">
        <v>1032</v>
      </c>
      <c r="M2738" s="6" t="s">
        <v>11584</v>
      </c>
    </row>
    <row r="2739" spans="1:13" ht="13" x14ac:dyDescent="0.15">
      <c r="A2739" s="5" t="str">
        <f>HYPERLINK("https://onemount.atlassian.net/browse/DBA-2099","DBA-2099")</f>
        <v>DBA-2099</v>
      </c>
      <c r="B2739" s="6" t="s">
        <v>21</v>
      </c>
      <c r="C2739" s="6" t="s">
        <v>11585</v>
      </c>
      <c r="D2739" s="8" t="s">
        <v>17</v>
      </c>
      <c r="E2739" s="6" t="s">
        <v>23</v>
      </c>
      <c r="F2739" s="6" t="s">
        <v>96</v>
      </c>
      <c r="G2739" s="6" t="s">
        <v>11586</v>
      </c>
      <c r="H2739" s="10">
        <v>45882</v>
      </c>
      <c r="I2739" s="6" t="s">
        <v>11587</v>
      </c>
      <c r="J2739" s="6" t="s">
        <v>11588</v>
      </c>
      <c r="K2739" s="6" t="s">
        <v>28</v>
      </c>
      <c r="L2739" s="6" t="s">
        <v>27</v>
      </c>
      <c r="M2739" s="6" t="s">
        <v>11589</v>
      </c>
    </row>
    <row r="2740" spans="1:13" ht="13" x14ac:dyDescent="0.15">
      <c r="A2740" s="5" t="str">
        <f>HYPERLINK("https://onemount.atlassian.net/browse/DBA-2098","DBA-2098")</f>
        <v>DBA-2098</v>
      </c>
      <c r="B2740" s="6" t="s">
        <v>21</v>
      </c>
      <c r="C2740" s="6" t="s">
        <v>11590</v>
      </c>
      <c r="D2740" s="8" t="s">
        <v>17</v>
      </c>
      <c r="E2740" s="6" t="s">
        <v>23</v>
      </c>
      <c r="F2740" s="6" t="s">
        <v>96</v>
      </c>
      <c r="G2740" s="6" t="s">
        <v>11591</v>
      </c>
      <c r="H2740" s="10">
        <v>45883</v>
      </c>
      <c r="I2740" s="6" t="s">
        <v>11592</v>
      </c>
      <c r="J2740" s="6" t="s">
        <v>85</v>
      </c>
      <c r="K2740" s="6" t="s">
        <v>55</v>
      </c>
      <c r="L2740" s="6" t="s">
        <v>85</v>
      </c>
      <c r="M2740" s="6" t="s">
        <v>11593</v>
      </c>
    </row>
    <row r="2741" spans="1:13" ht="13" x14ac:dyDescent="0.15">
      <c r="A2741" s="5" t="str">
        <f>HYPERLINK("https://onemount.atlassian.net/browse/DBA-2097","DBA-2097")</f>
        <v>DBA-2097</v>
      </c>
      <c r="B2741" s="6" t="s">
        <v>21</v>
      </c>
      <c r="C2741" s="6" t="s">
        <v>11594</v>
      </c>
      <c r="D2741" s="8" t="s">
        <v>17</v>
      </c>
      <c r="E2741" s="6" t="s">
        <v>23</v>
      </c>
      <c r="F2741" s="6" t="s">
        <v>96</v>
      </c>
      <c r="G2741" s="6" t="s">
        <v>11595</v>
      </c>
      <c r="H2741" s="10">
        <v>45882</v>
      </c>
      <c r="I2741" s="6" t="s">
        <v>11596</v>
      </c>
      <c r="J2741" s="6" t="s">
        <v>628</v>
      </c>
      <c r="K2741" s="6" t="s">
        <v>165</v>
      </c>
      <c r="L2741" s="6" t="s">
        <v>119</v>
      </c>
      <c r="M2741" s="6" t="s">
        <v>11597</v>
      </c>
    </row>
    <row r="2742" spans="1:13" ht="13" x14ac:dyDescent="0.15">
      <c r="A2742" s="5" t="str">
        <f>HYPERLINK("https://onemount.atlassian.net/browse/DBA-2096","DBA-2096")</f>
        <v>DBA-2096</v>
      </c>
      <c r="B2742" s="6" t="s">
        <v>21</v>
      </c>
      <c r="C2742" s="6" t="s">
        <v>11598</v>
      </c>
      <c r="D2742" s="8" t="s">
        <v>17</v>
      </c>
      <c r="E2742" s="6" t="s">
        <v>23</v>
      </c>
      <c r="F2742" s="6" t="s">
        <v>96</v>
      </c>
      <c r="G2742" s="6" t="s">
        <v>11599</v>
      </c>
      <c r="H2742" s="10">
        <v>45882</v>
      </c>
      <c r="I2742" s="6" t="s">
        <v>11600</v>
      </c>
      <c r="J2742" s="6" t="s">
        <v>1898</v>
      </c>
      <c r="K2742" s="6" t="s">
        <v>165</v>
      </c>
      <c r="L2742" s="6" t="s">
        <v>1097</v>
      </c>
      <c r="M2742" s="6" t="s">
        <v>11601</v>
      </c>
    </row>
    <row r="2743" spans="1:13" ht="13" x14ac:dyDescent="0.15">
      <c r="A2743" s="5" t="str">
        <f>HYPERLINK("https://onemount.atlassian.net/browse/DBA-2095","DBA-2095")</f>
        <v>DBA-2095</v>
      </c>
      <c r="B2743" s="6" t="s">
        <v>21</v>
      </c>
      <c r="C2743" s="6" t="s">
        <v>11602</v>
      </c>
      <c r="D2743" s="8" t="s">
        <v>17</v>
      </c>
      <c r="E2743" s="6" t="s">
        <v>23</v>
      </c>
      <c r="F2743" s="6" t="s">
        <v>24</v>
      </c>
      <c r="G2743" s="6" t="s">
        <v>11603</v>
      </c>
      <c r="H2743" s="10">
        <v>45883</v>
      </c>
      <c r="I2743" s="6" t="s">
        <v>11604</v>
      </c>
      <c r="J2743" s="6" t="s">
        <v>56</v>
      </c>
      <c r="K2743" s="6" t="s">
        <v>55</v>
      </c>
      <c r="L2743" s="6" t="s">
        <v>56</v>
      </c>
      <c r="M2743" s="6" t="s">
        <v>11605</v>
      </c>
    </row>
    <row r="2744" spans="1:13" ht="13" x14ac:dyDescent="0.15">
      <c r="A2744" s="5" t="str">
        <f>HYPERLINK("https://onemount.atlassian.net/browse/DBA-2094","DBA-2094")</f>
        <v>DBA-2094</v>
      </c>
      <c r="B2744" s="6" t="s">
        <v>21</v>
      </c>
      <c r="C2744" s="6" t="s">
        <v>3328</v>
      </c>
      <c r="D2744" s="8" t="s">
        <v>17</v>
      </c>
      <c r="E2744" s="6" t="s">
        <v>23</v>
      </c>
      <c r="F2744" s="6" t="s">
        <v>96</v>
      </c>
      <c r="G2744" s="6" t="s">
        <v>11606</v>
      </c>
      <c r="H2744" s="10">
        <v>45882</v>
      </c>
      <c r="I2744" s="6" t="s">
        <v>11607</v>
      </c>
      <c r="J2744" s="6" t="s">
        <v>214</v>
      </c>
      <c r="K2744" s="6" t="s">
        <v>165</v>
      </c>
      <c r="L2744" s="6" t="s">
        <v>288</v>
      </c>
      <c r="M2744" s="6" t="s">
        <v>11608</v>
      </c>
    </row>
    <row r="2745" spans="1:13" ht="13" x14ac:dyDescent="0.15">
      <c r="A2745" s="5" t="str">
        <f>HYPERLINK("https://onemount.atlassian.net/browse/DBA-2093","DBA-2093")</f>
        <v>DBA-2093</v>
      </c>
      <c r="B2745" s="6" t="s">
        <v>21</v>
      </c>
      <c r="C2745" s="6" t="s">
        <v>11609</v>
      </c>
      <c r="D2745" s="8" t="s">
        <v>17</v>
      </c>
      <c r="E2745" s="6" t="s">
        <v>23</v>
      </c>
      <c r="F2745" s="6" t="s">
        <v>96</v>
      </c>
      <c r="G2745" s="6" t="s">
        <v>11610</v>
      </c>
      <c r="H2745" s="10">
        <v>45882</v>
      </c>
      <c r="I2745" s="6" t="s">
        <v>11611</v>
      </c>
      <c r="J2745" s="6" t="s">
        <v>2453</v>
      </c>
      <c r="K2745" s="6" t="s">
        <v>165</v>
      </c>
      <c r="L2745" s="6" t="s">
        <v>119</v>
      </c>
      <c r="M2745" s="6" t="s">
        <v>11612</v>
      </c>
    </row>
    <row r="2746" spans="1:13" ht="13" x14ac:dyDescent="0.15">
      <c r="A2746" s="5" t="str">
        <f>HYPERLINK("https://onemount.atlassian.net/browse/DBA-2092","DBA-2092")</f>
        <v>DBA-2092</v>
      </c>
      <c r="B2746" s="6" t="s">
        <v>21</v>
      </c>
      <c r="C2746" s="6" t="s">
        <v>11613</v>
      </c>
      <c r="D2746" s="8" t="s">
        <v>17</v>
      </c>
      <c r="E2746" s="6" t="s">
        <v>23</v>
      </c>
      <c r="F2746" s="6" t="s">
        <v>96</v>
      </c>
      <c r="G2746" s="6" t="s">
        <v>11614</v>
      </c>
      <c r="H2746" s="10">
        <v>45882</v>
      </c>
      <c r="I2746" s="6" t="s">
        <v>11615</v>
      </c>
      <c r="J2746" s="6" t="s">
        <v>85</v>
      </c>
      <c r="K2746" s="6" t="s">
        <v>55</v>
      </c>
      <c r="L2746" s="6" t="s">
        <v>85</v>
      </c>
      <c r="M2746" s="6" t="s">
        <v>11616</v>
      </c>
    </row>
    <row r="2747" spans="1:13" ht="13" x14ac:dyDescent="0.15">
      <c r="A2747" s="5" t="str">
        <f>HYPERLINK("https://onemount.atlassian.net/browse/DBA-2091","DBA-2091")</f>
        <v>DBA-2091</v>
      </c>
      <c r="B2747" s="6" t="s">
        <v>21</v>
      </c>
      <c r="C2747" s="6" t="s">
        <v>11617</v>
      </c>
      <c r="D2747" s="8" t="s">
        <v>17</v>
      </c>
      <c r="E2747" s="6" t="s">
        <v>23</v>
      </c>
      <c r="F2747" s="6" t="s">
        <v>96</v>
      </c>
      <c r="G2747" s="6" t="s">
        <v>11618</v>
      </c>
      <c r="H2747" s="10">
        <v>45881</v>
      </c>
      <c r="I2747" s="6" t="s">
        <v>11619</v>
      </c>
      <c r="J2747" s="6" t="s">
        <v>1898</v>
      </c>
      <c r="K2747" s="6" t="s">
        <v>165</v>
      </c>
      <c r="L2747" s="6" t="s">
        <v>1097</v>
      </c>
      <c r="M2747" s="6" t="s">
        <v>11620</v>
      </c>
    </row>
    <row r="2748" spans="1:13" ht="13" x14ac:dyDescent="0.15">
      <c r="A2748" s="5" t="str">
        <f>HYPERLINK("https://onemount.atlassian.net/browse/DBA-2090","DBA-2090")</f>
        <v>DBA-2090</v>
      </c>
      <c r="B2748" s="6" t="s">
        <v>21</v>
      </c>
      <c r="C2748" s="6" t="s">
        <v>11621</v>
      </c>
      <c r="D2748" s="8" t="s">
        <v>17</v>
      </c>
      <c r="E2748" s="6" t="s">
        <v>23</v>
      </c>
      <c r="F2748" s="6" t="s">
        <v>96</v>
      </c>
      <c r="G2748" s="6" t="s">
        <v>11622</v>
      </c>
      <c r="H2748" s="10">
        <v>45881</v>
      </c>
      <c r="I2748" s="6" t="s">
        <v>11623</v>
      </c>
      <c r="J2748" s="6" t="s">
        <v>11624</v>
      </c>
      <c r="K2748" s="6" t="s">
        <v>28</v>
      </c>
      <c r="L2748" s="6" t="s">
        <v>27</v>
      </c>
      <c r="M2748" s="6" t="s">
        <v>11625</v>
      </c>
    </row>
    <row r="2749" spans="1:13" ht="13" x14ac:dyDescent="0.15">
      <c r="A2749" s="5" t="str">
        <f>HYPERLINK("https://onemount.atlassian.net/browse/DBA-2089","DBA-2089")</f>
        <v>DBA-2089</v>
      </c>
      <c r="B2749" s="6" t="s">
        <v>21</v>
      </c>
      <c r="C2749" s="6" t="s">
        <v>10180</v>
      </c>
      <c r="D2749" s="8" t="s">
        <v>17</v>
      </c>
      <c r="E2749" s="6" t="s">
        <v>23</v>
      </c>
      <c r="F2749" s="6" t="s">
        <v>31</v>
      </c>
      <c r="G2749" s="6" t="s">
        <v>11626</v>
      </c>
      <c r="H2749" s="10">
        <v>45881</v>
      </c>
      <c r="I2749" s="6" t="s">
        <v>11627</v>
      </c>
      <c r="J2749" s="6" t="s">
        <v>11628</v>
      </c>
      <c r="K2749" s="6" t="s">
        <v>35</v>
      </c>
      <c r="L2749" s="6" t="s">
        <v>276</v>
      </c>
      <c r="M2749" s="6" t="s">
        <v>11629</v>
      </c>
    </row>
    <row r="2750" spans="1:13" ht="13" x14ac:dyDescent="0.15">
      <c r="A2750" s="5" t="str">
        <f>HYPERLINK("https://onemount.atlassian.net/browse/DBA-2088","DBA-2088")</f>
        <v>DBA-2088</v>
      </c>
      <c r="B2750" s="6" t="s">
        <v>21</v>
      </c>
      <c r="C2750" s="6" t="s">
        <v>11630</v>
      </c>
      <c r="D2750" s="8" t="s">
        <v>17</v>
      </c>
      <c r="E2750" s="6" t="s">
        <v>23</v>
      </c>
      <c r="F2750" s="6" t="s">
        <v>96</v>
      </c>
      <c r="G2750" s="6" t="s">
        <v>11631</v>
      </c>
      <c r="H2750" s="10">
        <v>45881</v>
      </c>
      <c r="I2750" s="6" t="s">
        <v>11632</v>
      </c>
      <c r="J2750" s="6" t="s">
        <v>1091</v>
      </c>
      <c r="K2750" s="6" t="s">
        <v>165</v>
      </c>
      <c r="L2750" s="6" t="s">
        <v>1091</v>
      </c>
      <c r="M2750" s="6" t="s">
        <v>11633</v>
      </c>
    </row>
    <row r="2751" spans="1:13" ht="13" x14ac:dyDescent="0.15">
      <c r="A2751" s="5" t="str">
        <f>HYPERLINK("https://onemount.atlassian.net/browse/DBA-2086","DBA-2086")</f>
        <v>DBA-2086</v>
      </c>
      <c r="B2751" s="6" t="s">
        <v>21</v>
      </c>
      <c r="C2751" s="6" t="s">
        <v>11560</v>
      </c>
      <c r="D2751" s="8" t="s">
        <v>17</v>
      </c>
      <c r="E2751" s="6" t="s">
        <v>23</v>
      </c>
      <c r="F2751" s="6" t="s">
        <v>31</v>
      </c>
      <c r="G2751" s="6" t="s">
        <v>11634</v>
      </c>
      <c r="H2751" s="10">
        <v>45881</v>
      </c>
      <c r="I2751" s="6" t="s">
        <v>11635</v>
      </c>
      <c r="J2751" s="6" t="s">
        <v>715</v>
      </c>
      <c r="K2751" s="6" t="s">
        <v>55</v>
      </c>
      <c r="L2751" s="6" t="s">
        <v>715</v>
      </c>
      <c r="M2751" s="6" t="s">
        <v>11636</v>
      </c>
    </row>
    <row r="2752" spans="1:13" ht="13" x14ac:dyDescent="0.15">
      <c r="A2752" s="5" t="str">
        <f>HYPERLINK("https://onemount.atlassian.net/browse/DBA-2085","DBA-2085")</f>
        <v>DBA-2085</v>
      </c>
      <c r="B2752" s="6" t="s">
        <v>21</v>
      </c>
      <c r="C2752" s="6" t="s">
        <v>11637</v>
      </c>
      <c r="D2752" s="8" t="s">
        <v>17</v>
      </c>
      <c r="E2752" s="6" t="s">
        <v>23</v>
      </c>
      <c r="F2752" s="6" t="s">
        <v>31</v>
      </c>
      <c r="G2752" s="6" t="s">
        <v>11638</v>
      </c>
      <c r="H2752" s="10">
        <v>45881</v>
      </c>
      <c r="I2752" s="6" t="s">
        <v>11639</v>
      </c>
      <c r="J2752" s="6" t="s">
        <v>49</v>
      </c>
      <c r="K2752" s="6" t="s">
        <v>35</v>
      </c>
      <c r="L2752" s="6" t="s">
        <v>49</v>
      </c>
      <c r="M2752" s="6" t="s">
        <v>11640</v>
      </c>
    </row>
    <row r="2753" spans="1:13" ht="13" x14ac:dyDescent="0.15">
      <c r="A2753" s="5" t="str">
        <f>HYPERLINK("https://onemount.atlassian.net/browse/DBA-2084","DBA-2084")</f>
        <v>DBA-2084</v>
      </c>
      <c r="B2753" s="6" t="s">
        <v>21</v>
      </c>
      <c r="C2753" s="6" t="s">
        <v>11641</v>
      </c>
      <c r="D2753" s="8" t="s">
        <v>17</v>
      </c>
      <c r="E2753" s="6" t="s">
        <v>23</v>
      </c>
      <c r="F2753" s="6" t="s">
        <v>96</v>
      </c>
      <c r="G2753" s="6" t="s">
        <v>11642</v>
      </c>
      <c r="H2753" s="10">
        <v>45881</v>
      </c>
      <c r="I2753" s="6" t="s">
        <v>11643</v>
      </c>
      <c r="J2753" s="6" t="s">
        <v>715</v>
      </c>
      <c r="K2753" s="6" t="s">
        <v>28</v>
      </c>
      <c r="L2753" s="6" t="s">
        <v>27</v>
      </c>
      <c r="M2753" s="6" t="s">
        <v>11644</v>
      </c>
    </row>
    <row r="2754" spans="1:13" ht="13" x14ac:dyDescent="0.15">
      <c r="A2754" s="5" t="str">
        <f>HYPERLINK("https://onemount.atlassian.net/browse/DBA-2083","DBA-2083")</f>
        <v>DBA-2083</v>
      </c>
      <c r="B2754" s="6" t="s">
        <v>21</v>
      </c>
      <c r="C2754" s="6" t="s">
        <v>11645</v>
      </c>
      <c r="D2754" s="8" t="s">
        <v>17</v>
      </c>
      <c r="E2754" s="6" t="s">
        <v>1810</v>
      </c>
      <c r="F2754" s="6" t="s">
        <v>41</v>
      </c>
      <c r="G2754" s="6" t="s">
        <v>11646</v>
      </c>
      <c r="H2754" s="10">
        <v>45895</v>
      </c>
      <c r="I2754" s="6" t="s">
        <v>11647</v>
      </c>
      <c r="J2754" s="6" t="s">
        <v>11385</v>
      </c>
      <c r="K2754" s="6" t="s">
        <v>72</v>
      </c>
      <c r="L2754" s="6" t="s">
        <v>72</v>
      </c>
      <c r="M2754" s="6" t="s">
        <v>11645</v>
      </c>
    </row>
    <row r="2755" spans="1:13" ht="13" x14ac:dyDescent="0.15">
      <c r="A2755" s="5" t="str">
        <f>HYPERLINK("https://onemount.atlassian.net/browse/DBA-2081","DBA-2081")</f>
        <v>DBA-2081</v>
      </c>
      <c r="B2755" s="23" t="str">
        <f t="shared" ref="B2755:B2757" si="43">HYPERLINK("https://onemount.atlassian.net/browse/DBA-2078","DBA-2078")</f>
        <v>DBA-2078</v>
      </c>
      <c r="C2755" s="6" t="s">
        <v>10835</v>
      </c>
      <c r="D2755" s="8" t="s">
        <v>17</v>
      </c>
      <c r="E2755" s="6" t="s">
        <v>428</v>
      </c>
      <c r="F2755" s="6" t="s">
        <v>24</v>
      </c>
      <c r="G2755" s="6" t="s">
        <v>11648</v>
      </c>
      <c r="H2755" s="10">
        <v>45899</v>
      </c>
      <c r="I2755" s="6" t="s">
        <v>11649</v>
      </c>
      <c r="J2755" s="6" t="s">
        <v>55</v>
      </c>
      <c r="K2755" s="6" t="s">
        <v>55</v>
      </c>
      <c r="L2755" s="6" t="s">
        <v>56</v>
      </c>
      <c r="M2755" s="6" t="s">
        <v>11650</v>
      </c>
    </row>
    <row r="2756" spans="1:13" ht="13" x14ac:dyDescent="0.15">
      <c r="A2756" s="5" t="str">
        <f>HYPERLINK("https://onemount.atlassian.net/browse/DBA-2080","DBA-2080")</f>
        <v>DBA-2080</v>
      </c>
      <c r="B2756" s="23" t="str">
        <f t="shared" si="43"/>
        <v>DBA-2078</v>
      </c>
      <c r="C2756" s="6" t="s">
        <v>10839</v>
      </c>
      <c r="D2756" s="8" t="s">
        <v>17</v>
      </c>
      <c r="E2756" s="6" t="s">
        <v>428</v>
      </c>
      <c r="F2756" s="6" t="s">
        <v>24</v>
      </c>
      <c r="G2756" s="6" t="s">
        <v>11651</v>
      </c>
      <c r="H2756" s="10">
        <v>45899</v>
      </c>
      <c r="I2756" s="6" t="s">
        <v>11652</v>
      </c>
      <c r="J2756" s="6" t="s">
        <v>55</v>
      </c>
      <c r="K2756" s="6" t="s">
        <v>55</v>
      </c>
      <c r="L2756" s="6" t="s">
        <v>56</v>
      </c>
      <c r="M2756" s="6" t="s">
        <v>11653</v>
      </c>
    </row>
    <row r="2757" spans="1:13" ht="13" x14ac:dyDescent="0.15">
      <c r="A2757" s="21" t="str">
        <f>HYPERLINK("https://onemount.atlassian.net/browse/DBA-2079","DBA-2079")</f>
        <v>DBA-2079</v>
      </c>
      <c r="B2757" s="23" t="str">
        <f t="shared" si="43"/>
        <v>DBA-2078</v>
      </c>
      <c r="C2757" s="6" t="s">
        <v>10843</v>
      </c>
      <c r="D2757" s="8" t="s">
        <v>17</v>
      </c>
      <c r="E2757" s="6" t="s">
        <v>428</v>
      </c>
      <c r="F2757" s="6" t="s">
        <v>24</v>
      </c>
      <c r="G2757" s="6" t="s">
        <v>11654</v>
      </c>
      <c r="H2757" s="10">
        <v>45887</v>
      </c>
      <c r="I2757" s="6" t="s">
        <v>11655</v>
      </c>
      <c r="J2757" s="6" t="s">
        <v>2796</v>
      </c>
      <c r="K2757" s="6" t="s">
        <v>55</v>
      </c>
      <c r="L2757" s="6" t="s">
        <v>56</v>
      </c>
      <c r="M2757" s="6" t="s">
        <v>6194</v>
      </c>
    </row>
    <row r="2758" spans="1:13" ht="13" x14ac:dyDescent="0.15">
      <c r="A2758" s="5" t="str">
        <f>HYPERLINK("https://onemount.atlassian.net/browse/DBA-2078","DBA-2078")</f>
        <v>DBA-2078</v>
      </c>
      <c r="B2758" s="23" t="str">
        <f>HYPERLINK("https://onemount.atlassian.net/browse/DBA-3006","DBA-3006")</f>
        <v>DBA-3006</v>
      </c>
      <c r="C2758" s="6" t="s">
        <v>11656</v>
      </c>
      <c r="D2758" s="8" t="s">
        <v>17</v>
      </c>
      <c r="E2758" s="6" t="s">
        <v>23</v>
      </c>
      <c r="F2758" s="6" t="s">
        <v>24</v>
      </c>
      <c r="G2758" s="6" t="s">
        <v>11657</v>
      </c>
      <c r="H2758" s="10">
        <v>45900</v>
      </c>
      <c r="I2758" s="6" t="s">
        <v>11658</v>
      </c>
      <c r="J2758" s="6" t="s">
        <v>2796</v>
      </c>
      <c r="K2758" s="6" t="s">
        <v>55</v>
      </c>
      <c r="L2758" s="6" t="s">
        <v>56</v>
      </c>
      <c r="M2758" s="6" t="s">
        <v>11659</v>
      </c>
    </row>
    <row r="2759" spans="1:13" ht="13" x14ac:dyDescent="0.15">
      <c r="A2759" s="5" t="str">
        <f>HYPERLINK("https://onemount.atlassian.net/browse/DBA-2077","DBA-2077")</f>
        <v>DBA-2077</v>
      </c>
      <c r="B2759" s="6" t="s">
        <v>21</v>
      </c>
      <c r="C2759" s="6" t="s">
        <v>11660</v>
      </c>
      <c r="D2759" s="8" t="s">
        <v>17</v>
      </c>
      <c r="E2759" s="6" t="s">
        <v>23</v>
      </c>
      <c r="F2759" s="6" t="s">
        <v>96</v>
      </c>
      <c r="G2759" s="6" t="s">
        <v>11661</v>
      </c>
      <c r="H2759" s="10">
        <v>45878</v>
      </c>
      <c r="I2759" s="6" t="s">
        <v>11662</v>
      </c>
      <c r="J2759" s="6" t="s">
        <v>6387</v>
      </c>
      <c r="K2759" s="6" t="s">
        <v>28</v>
      </c>
      <c r="L2759" s="6" t="s">
        <v>27</v>
      </c>
      <c r="M2759" s="6" t="s">
        <v>11663</v>
      </c>
    </row>
    <row r="2760" spans="1:13" ht="13" x14ac:dyDescent="0.15">
      <c r="A2760" s="5" t="str">
        <f>HYPERLINK("https://onemount.atlassian.net/browse/DBA-2076","DBA-2076")</f>
        <v>DBA-2076</v>
      </c>
      <c r="B2760" s="6" t="s">
        <v>21</v>
      </c>
      <c r="C2760" s="6" t="s">
        <v>11664</v>
      </c>
      <c r="D2760" s="8" t="s">
        <v>17</v>
      </c>
      <c r="E2760" s="6" t="s">
        <v>23</v>
      </c>
      <c r="F2760" s="6" t="s">
        <v>96</v>
      </c>
      <c r="G2760" s="6" t="s">
        <v>11665</v>
      </c>
      <c r="H2760" s="10">
        <v>45877</v>
      </c>
      <c r="I2760" s="6" t="s">
        <v>11666</v>
      </c>
      <c r="J2760" s="6" t="s">
        <v>1066</v>
      </c>
      <c r="K2760" s="6" t="s">
        <v>165</v>
      </c>
      <c r="L2760" s="6" t="s">
        <v>1066</v>
      </c>
      <c r="M2760" s="6" t="s">
        <v>11667</v>
      </c>
    </row>
    <row r="2761" spans="1:13" ht="13" x14ac:dyDescent="0.15">
      <c r="A2761" s="5" t="str">
        <f>HYPERLINK("https://onemount.atlassian.net/browse/DBA-2075","DBA-2075")</f>
        <v>DBA-2075</v>
      </c>
      <c r="B2761" s="6" t="s">
        <v>21</v>
      </c>
      <c r="C2761" s="6" t="s">
        <v>11209</v>
      </c>
      <c r="D2761" s="8" t="s">
        <v>17</v>
      </c>
      <c r="E2761" s="6" t="s">
        <v>23</v>
      </c>
      <c r="F2761" s="6" t="s">
        <v>31</v>
      </c>
      <c r="G2761" s="6" t="s">
        <v>11668</v>
      </c>
      <c r="H2761" s="10">
        <v>45878</v>
      </c>
      <c r="I2761" s="6" t="s">
        <v>11669</v>
      </c>
      <c r="J2761" s="6" t="s">
        <v>276</v>
      </c>
      <c r="K2761" s="6" t="s">
        <v>35</v>
      </c>
      <c r="L2761" s="6" t="s">
        <v>276</v>
      </c>
      <c r="M2761" s="6" t="s">
        <v>11670</v>
      </c>
    </row>
    <row r="2762" spans="1:13" ht="13" x14ac:dyDescent="0.15">
      <c r="A2762" s="5" t="str">
        <f>HYPERLINK("https://onemount.atlassian.net/browse/DBA-2074","DBA-2074")</f>
        <v>DBA-2074</v>
      </c>
      <c r="B2762" s="6" t="s">
        <v>21</v>
      </c>
      <c r="C2762" s="6" t="s">
        <v>11671</v>
      </c>
      <c r="D2762" s="8" t="s">
        <v>17</v>
      </c>
      <c r="E2762" s="6" t="s">
        <v>23</v>
      </c>
      <c r="F2762" s="6" t="s">
        <v>96</v>
      </c>
      <c r="G2762" s="6" t="s">
        <v>11672</v>
      </c>
      <c r="H2762" s="10">
        <v>45879</v>
      </c>
      <c r="I2762" s="6" t="s">
        <v>11673</v>
      </c>
      <c r="J2762" s="6" t="s">
        <v>1898</v>
      </c>
      <c r="K2762" s="6" t="s">
        <v>165</v>
      </c>
      <c r="L2762" s="6" t="s">
        <v>1097</v>
      </c>
      <c r="M2762" s="6" t="s">
        <v>11674</v>
      </c>
    </row>
    <row r="2763" spans="1:13" ht="13" x14ac:dyDescent="0.15">
      <c r="A2763" s="5" t="str">
        <f>HYPERLINK("https://onemount.atlassian.net/browse/DBA-2073","DBA-2073")</f>
        <v>DBA-2073</v>
      </c>
      <c r="B2763" s="6" t="s">
        <v>21</v>
      </c>
      <c r="C2763" s="6" t="s">
        <v>11675</v>
      </c>
      <c r="D2763" s="8" t="s">
        <v>17</v>
      </c>
      <c r="E2763" s="6" t="s">
        <v>23</v>
      </c>
      <c r="F2763" s="6" t="s">
        <v>24</v>
      </c>
      <c r="G2763" s="6" t="s">
        <v>11676</v>
      </c>
      <c r="H2763" s="10">
        <v>45878</v>
      </c>
      <c r="I2763" s="6" t="s">
        <v>11677</v>
      </c>
      <c r="J2763" s="6" t="s">
        <v>9084</v>
      </c>
      <c r="K2763" s="6" t="s">
        <v>28</v>
      </c>
      <c r="L2763" s="6" t="s">
        <v>1116</v>
      </c>
      <c r="M2763" s="6" t="s">
        <v>11678</v>
      </c>
    </row>
    <row r="2764" spans="1:13" ht="13" x14ac:dyDescent="0.15">
      <c r="A2764" s="5" t="str">
        <f>HYPERLINK("https://onemount.atlassian.net/browse/DBA-2072","DBA-2072")</f>
        <v>DBA-2072</v>
      </c>
      <c r="B2764" s="6" t="s">
        <v>21</v>
      </c>
      <c r="C2764" s="6" t="s">
        <v>11679</v>
      </c>
      <c r="D2764" s="8" t="s">
        <v>17</v>
      </c>
      <c r="E2764" s="6" t="s">
        <v>23</v>
      </c>
      <c r="F2764" s="6" t="s">
        <v>24</v>
      </c>
      <c r="G2764" s="6" t="s">
        <v>11680</v>
      </c>
      <c r="H2764" s="10">
        <v>45881</v>
      </c>
      <c r="I2764" s="6" t="s">
        <v>11681</v>
      </c>
      <c r="J2764" s="6" t="s">
        <v>55</v>
      </c>
      <c r="K2764" s="6" t="s">
        <v>55</v>
      </c>
      <c r="L2764" s="6" t="s">
        <v>547</v>
      </c>
      <c r="M2764" s="6" t="s">
        <v>11682</v>
      </c>
    </row>
    <row r="2765" spans="1:13" ht="13" x14ac:dyDescent="0.15">
      <c r="A2765" s="5" t="str">
        <f>HYPERLINK("https://onemount.atlassian.net/browse/DBA-2071","DBA-2071")</f>
        <v>DBA-2071</v>
      </c>
      <c r="B2765" s="6" t="s">
        <v>21</v>
      </c>
      <c r="C2765" s="6" t="s">
        <v>10180</v>
      </c>
      <c r="D2765" s="8" t="s">
        <v>17</v>
      </c>
      <c r="E2765" s="6" t="s">
        <v>23</v>
      </c>
      <c r="F2765" s="6" t="s">
        <v>31</v>
      </c>
      <c r="G2765" s="6" t="s">
        <v>11683</v>
      </c>
      <c r="H2765" s="10">
        <v>45877</v>
      </c>
      <c r="I2765" s="6" t="s">
        <v>11684</v>
      </c>
      <c r="J2765" s="6" t="s">
        <v>276</v>
      </c>
      <c r="K2765" s="6" t="s">
        <v>35</v>
      </c>
      <c r="L2765" s="6" t="s">
        <v>276</v>
      </c>
      <c r="M2765" s="6" t="s">
        <v>11685</v>
      </c>
    </row>
    <row r="2766" spans="1:13" ht="13" x14ac:dyDescent="0.15">
      <c r="A2766" s="5" t="str">
        <f>HYPERLINK("https://onemount.atlassian.net/browse/DBA-2070","DBA-2070")</f>
        <v>DBA-2070</v>
      </c>
      <c r="B2766" s="6" t="s">
        <v>21</v>
      </c>
      <c r="C2766" s="6" t="s">
        <v>11686</v>
      </c>
      <c r="D2766" s="8" t="s">
        <v>17</v>
      </c>
      <c r="E2766" s="6" t="s">
        <v>23</v>
      </c>
      <c r="F2766" s="6" t="s">
        <v>96</v>
      </c>
      <c r="G2766" s="6" t="s">
        <v>11687</v>
      </c>
      <c r="H2766" s="10">
        <v>45877</v>
      </c>
      <c r="I2766" s="6" t="s">
        <v>11688</v>
      </c>
      <c r="J2766" s="6" t="s">
        <v>715</v>
      </c>
      <c r="K2766" s="6" t="s">
        <v>165</v>
      </c>
      <c r="L2766" s="6" t="s">
        <v>715</v>
      </c>
      <c r="M2766" s="6" t="s">
        <v>11689</v>
      </c>
    </row>
    <row r="2767" spans="1:13" ht="13" x14ac:dyDescent="0.15">
      <c r="A2767" s="5" t="str">
        <f>HYPERLINK("https://onemount.atlassian.net/browse/DBA-2069","DBA-2069")</f>
        <v>DBA-2069</v>
      </c>
      <c r="B2767" s="23" t="str">
        <f t="shared" ref="B2767:B2771" si="44">HYPERLINK("https://onemount.atlassian.net/browse/DBA-2064","DBA-2064")</f>
        <v>DBA-2064</v>
      </c>
      <c r="C2767" s="6" t="s">
        <v>11690</v>
      </c>
      <c r="D2767" s="8" t="s">
        <v>17</v>
      </c>
      <c r="E2767" s="6" t="s">
        <v>428</v>
      </c>
      <c r="F2767" s="6" t="s">
        <v>87</v>
      </c>
      <c r="G2767" s="6" t="s">
        <v>11691</v>
      </c>
      <c r="H2767" s="10">
        <v>45899</v>
      </c>
      <c r="I2767" s="6" t="s">
        <v>11692</v>
      </c>
      <c r="J2767" s="6" t="s">
        <v>11197</v>
      </c>
      <c r="K2767" s="6" t="s">
        <v>55</v>
      </c>
      <c r="L2767" s="6" t="s">
        <v>400</v>
      </c>
      <c r="M2767" s="6" t="s">
        <v>11693</v>
      </c>
    </row>
    <row r="2768" spans="1:13" ht="13" x14ac:dyDescent="0.15">
      <c r="A2768" s="5" t="str">
        <f>HYPERLINK("https://onemount.atlassian.net/browse/DBA-2068","DBA-2068")</f>
        <v>DBA-2068</v>
      </c>
      <c r="B2768" s="23" t="str">
        <f t="shared" si="44"/>
        <v>DBA-2064</v>
      </c>
      <c r="C2768" s="6" t="s">
        <v>11694</v>
      </c>
      <c r="D2768" s="8" t="s">
        <v>17</v>
      </c>
      <c r="E2768" s="6" t="s">
        <v>428</v>
      </c>
      <c r="F2768" s="6" t="s">
        <v>87</v>
      </c>
      <c r="G2768" s="6" t="s">
        <v>11695</v>
      </c>
      <c r="H2768" s="10">
        <v>45902</v>
      </c>
      <c r="I2768" s="6" t="s">
        <v>11696</v>
      </c>
      <c r="J2768" s="6" t="s">
        <v>11197</v>
      </c>
      <c r="K2768" s="6" t="s">
        <v>55</v>
      </c>
      <c r="L2768" s="6" t="s">
        <v>400</v>
      </c>
      <c r="M2768" s="6" t="s">
        <v>11697</v>
      </c>
    </row>
    <row r="2769" spans="1:13" ht="13" x14ac:dyDescent="0.15">
      <c r="A2769" s="5" t="str">
        <f>HYPERLINK("https://onemount.atlassian.net/browse/DBA-2067","DBA-2067")</f>
        <v>DBA-2067</v>
      </c>
      <c r="B2769" s="23" t="str">
        <f t="shared" si="44"/>
        <v>DBA-2064</v>
      </c>
      <c r="C2769" s="6" t="s">
        <v>11698</v>
      </c>
      <c r="D2769" s="8" t="s">
        <v>17</v>
      </c>
      <c r="E2769" s="6" t="s">
        <v>428</v>
      </c>
      <c r="F2769" s="6" t="s">
        <v>87</v>
      </c>
      <c r="G2769" s="6" t="s">
        <v>11699</v>
      </c>
      <c r="H2769" s="10">
        <v>45902</v>
      </c>
      <c r="I2769" s="6" t="s">
        <v>11700</v>
      </c>
      <c r="J2769" s="6" t="s">
        <v>11197</v>
      </c>
      <c r="K2769" s="6" t="s">
        <v>55</v>
      </c>
      <c r="L2769" s="6" t="s">
        <v>400</v>
      </c>
      <c r="M2769" s="6" t="s">
        <v>11701</v>
      </c>
    </row>
    <row r="2770" spans="1:13" ht="13" x14ac:dyDescent="0.15">
      <c r="A2770" s="5" t="str">
        <f>HYPERLINK("https://onemount.atlassian.net/browse/DBA-2066","DBA-2066")</f>
        <v>DBA-2066</v>
      </c>
      <c r="B2770" s="23" t="str">
        <f t="shared" si="44"/>
        <v>DBA-2064</v>
      </c>
      <c r="C2770" s="6" t="s">
        <v>11702</v>
      </c>
      <c r="D2770" s="8" t="s">
        <v>17</v>
      </c>
      <c r="E2770" s="6" t="s">
        <v>428</v>
      </c>
      <c r="F2770" s="6" t="s">
        <v>87</v>
      </c>
      <c r="G2770" s="6" t="s">
        <v>11703</v>
      </c>
      <c r="H2770" s="10">
        <v>45886</v>
      </c>
      <c r="I2770" s="6" t="s">
        <v>11704</v>
      </c>
      <c r="J2770" s="6" t="s">
        <v>11197</v>
      </c>
      <c r="K2770" s="6" t="s">
        <v>55</v>
      </c>
      <c r="L2770" s="6" t="s">
        <v>400</v>
      </c>
      <c r="M2770" s="6" t="s">
        <v>11705</v>
      </c>
    </row>
    <row r="2771" spans="1:13" ht="13" x14ac:dyDescent="0.15">
      <c r="A2771" s="5" t="str">
        <f>HYPERLINK("https://onemount.atlassian.net/browse/DBA-2065","DBA-2065")</f>
        <v>DBA-2065</v>
      </c>
      <c r="B2771" s="23" t="str">
        <f t="shared" si="44"/>
        <v>DBA-2064</v>
      </c>
      <c r="C2771" s="6" t="s">
        <v>11706</v>
      </c>
      <c r="D2771" s="8" t="s">
        <v>17</v>
      </c>
      <c r="E2771" s="6" t="s">
        <v>428</v>
      </c>
      <c r="F2771" s="6" t="s">
        <v>87</v>
      </c>
      <c r="G2771" s="6" t="s">
        <v>11707</v>
      </c>
      <c r="H2771" s="10">
        <v>45899</v>
      </c>
      <c r="I2771" s="6" t="s">
        <v>11708</v>
      </c>
      <c r="J2771" s="6" t="s">
        <v>11197</v>
      </c>
      <c r="K2771" s="6" t="s">
        <v>55</v>
      </c>
      <c r="L2771" s="6" t="s">
        <v>400</v>
      </c>
      <c r="M2771" s="6" t="s">
        <v>11709</v>
      </c>
    </row>
    <row r="2772" spans="1:13" ht="13" x14ac:dyDescent="0.15">
      <c r="A2772" s="5" t="str">
        <f>HYPERLINK("https://onemount.atlassian.net/browse/DBA-2064","DBA-2064")</f>
        <v>DBA-2064</v>
      </c>
      <c r="B2772" s="6" t="s">
        <v>21</v>
      </c>
      <c r="C2772" s="6" t="s">
        <v>11710</v>
      </c>
      <c r="D2772" s="8" t="s">
        <v>17</v>
      </c>
      <c r="E2772" s="6" t="s">
        <v>1810</v>
      </c>
      <c r="F2772" s="6" t="s">
        <v>87</v>
      </c>
      <c r="G2772" s="6" t="s">
        <v>11711</v>
      </c>
      <c r="H2772" s="10">
        <v>45902</v>
      </c>
      <c r="I2772" s="6" t="s">
        <v>11712</v>
      </c>
      <c r="J2772" s="6" t="s">
        <v>11197</v>
      </c>
      <c r="K2772" s="6" t="s">
        <v>55</v>
      </c>
      <c r="L2772" s="6" t="s">
        <v>400</v>
      </c>
      <c r="M2772" s="6" t="s">
        <v>11713</v>
      </c>
    </row>
    <row r="2773" spans="1:13" ht="13" x14ac:dyDescent="0.15">
      <c r="A2773" s="5" t="str">
        <f>HYPERLINK("https://onemount.atlassian.net/browse/DBA-2063","DBA-2063")</f>
        <v>DBA-2063</v>
      </c>
      <c r="B2773" s="6" t="s">
        <v>21</v>
      </c>
      <c r="C2773" s="6" t="s">
        <v>11031</v>
      </c>
      <c r="D2773" s="8" t="s">
        <v>17</v>
      </c>
      <c r="E2773" s="6" t="s">
        <v>23</v>
      </c>
      <c r="F2773" s="6" t="s">
        <v>31</v>
      </c>
      <c r="G2773" s="6" t="s">
        <v>11714</v>
      </c>
      <c r="H2773" s="10">
        <v>45877</v>
      </c>
      <c r="I2773" s="6" t="s">
        <v>11715</v>
      </c>
      <c r="J2773" s="6" t="s">
        <v>276</v>
      </c>
      <c r="K2773" s="6" t="s">
        <v>35</v>
      </c>
      <c r="L2773" s="6" t="s">
        <v>276</v>
      </c>
      <c r="M2773" s="6" t="s">
        <v>11716</v>
      </c>
    </row>
    <row r="2774" spans="1:13" ht="13" x14ac:dyDescent="0.15">
      <c r="A2774" s="5" t="str">
        <f>HYPERLINK("https://onemount.atlassian.net/browse/DBA-2062","DBA-2062")</f>
        <v>DBA-2062</v>
      </c>
      <c r="B2774" s="6" t="s">
        <v>21</v>
      </c>
      <c r="C2774" s="6" t="s">
        <v>11717</v>
      </c>
      <c r="D2774" s="24" t="s">
        <v>18</v>
      </c>
      <c r="E2774" s="6" t="s">
        <v>1810</v>
      </c>
      <c r="F2774" s="6" t="s">
        <v>24</v>
      </c>
      <c r="G2774" s="6" t="s">
        <v>11718</v>
      </c>
      <c r="H2774" s="10">
        <v>46388</v>
      </c>
      <c r="I2774" s="6" t="s">
        <v>44</v>
      </c>
      <c r="J2774" s="6" t="s">
        <v>7825</v>
      </c>
      <c r="K2774" s="6" t="s">
        <v>55</v>
      </c>
      <c r="L2774" s="6" t="s">
        <v>772</v>
      </c>
      <c r="M2774" s="6" t="s">
        <v>11719</v>
      </c>
    </row>
    <row r="2775" spans="1:13" ht="13" x14ac:dyDescent="0.15">
      <c r="A2775" s="5" t="str">
        <f>HYPERLINK("https://onemount.atlassian.net/browse/DBA-2061","DBA-2061")</f>
        <v>DBA-2061</v>
      </c>
      <c r="B2775" s="6" t="s">
        <v>21</v>
      </c>
      <c r="C2775" s="6" t="s">
        <v>11720</v>
      </c>
      <c r="D2775" s="8" t="s">
        <v>17</v>
      </c>
      <c r="E2775" s="6" t="s">
        <v>23</v>
      </c>
      <c r="F2775" s="6" t="s">
        <v>31</v>
      </c>
      <c r="G2775" s="6" t="s">
        <v>11721</v>
      </c>
      <c r="H2775" s="10">
        <v>45877</v>
      </c>
      <c r="I2775" s="6" t="s">
        <v>11722</v>
      </c>
      <c r="J2775" s="6" t="s">
        <v>715</v>
      </c>
      <c r="K2775" s="6" t="s">
        <v>55</v>
      </c>
      <c r="L2775" s="6" t="s">
        <v>715</v>
      </c>
      <c r="M2775" s="6" t="s">
        <v>11723</v>
      </c>
    </row>
    <row r="2776" spans="1:13" ht="13" x14ac:dyDescent="0.15">
      <c r="A2776" s="5" t="str">
        <f>HYPERLINK("https://onemount.atlassian.net/browse/DBA-2060","DBA-2060")</f>
        <v>DBA-2060</v>
      </c>
      <c r="B2776" s="6" t="s">
        <v>21</v>
      </c>
      <c r="C2776" s="6" t="s">
        <v>11724</v>
      </c>
      <c r="D2776" s="8" t="s">
        <v>17</v>
      </c>
      <c r="E2776" s="6" t="s">
        <v>23</v>
      </c>
      <c r="F2776" s="6" t="s">
        <v>96</v>
      </c>
      <c r="G2776" s="6" t="s">
        <v>11725</v>
      </c>
      <c r="H2776" s="10">
        <v>45875</v>
      </c>
      <c r="I2776" s="6" t="s">
        <v>11726</v>
      </c>
      <c r="J2776" s="6" t="s">
        <v>1091</v>
      </c>
      <c r="K2776" s="6" t="s">
        <v>165</v>
      </c>
      <c r="L2776" s="6" t="s">
        <v>1091</v>
      </c>
      <c r="M2776" s="6" t="s">
        <v>11727</v>
      </c>
    </row>
    <row r="2777" spans="1:13" ht="13" x14ac:dyDescent="0.15">
      <c r="A2777" s="5" t="str">
        <f>HYPERLINK("https://onemount.atlassian.net/browse/DBA-2059","DBA-2059")</f>
        <v>DBA-2059</v>
      </c>
      <c r="B2777" s="6" t="s">
        <v>21</v>
      </c>
      <c r="C2777" s="6" t="s">
        <v>11728</v>
      </c>
      <c r="D2777" s="8" t="s">
        <v>17</v>
      </c>
      <c r="E2777" s="6" t="s">
        <v>23</v>
      </c>
      <c r="F2777" s="6" t="s">
        <v>31</v>
      </c>
      <c r="G2777" s="6" t="s">
        <v>11729</v>
      </c>
      <c r="H2777" s="10">
        <v>45875</v>
      </c>
      <c r="I2777" s="6" t="s">
        <v>11730</v>
      </c>
      <c r="J2777" s="6" t="s">
        <v>2119</v>
      </c>
      <c r="K2777" s="6" t="s">
        <v>35</v>
      </c>
      <c r="L2777" s="6" t="s">
        <v>628</v>
      </c>
      <c r="M2777" s="6" t="s">
        <v>11731</v>
      </c>
    </row>
    <row r="2778" spans="1:13" ht="13" x14ac:dyDescent="0.15">
      <c r="A2778" s="5" t="str">
        <f>HYPERLINK("https://onemount.atlassian.net/browse/DBA-2058","DBA-2058")</f>
        <v>DBA-2058</v>
      </c>
      <c r="B2778" s="6" t="s">
        <v>21</v>
      </c>
      <c r="C2778" s="6" t="s">
        <v>11732</v>
      </c>
      <c r="D2778" s="8" t="s">
        <v>17</v>
      </c>
      <c r="E2778" s="6" t="s">
        <v>23</v>
      </c>
      <c r="F2778" s="6" t="s">
        <v>31</v>
      </c>
      <c r="G2778" s="6" t="s">
        <v>11733</v>
      </c>
      <c r="H2778" s="10">
        <v>45875</v>
      </c>
      <c r="I2778" s="6" t="s">
        <v>11734</v>
      </c>
      <c r="J2778" s="6" t="s">
        <v>276</v>
      </c>
      <c r="K2778" s="6" t="s">
        <v>35</v>
      </c>
      <c r="L2778" s="6" t="s">
        <v>276</v>
      </c>
      <c r="M2778" s="6" t="s">
        <v>11735</v>
      </c>
    </row>
    <row r="2779" spans="1:13" ht="13" x14ac:dyDescent="0.15">
      <c r="A2779" s="5" t="str">
        <f>HYPERLINK("https://onemount.atlassian.net/browse/DBA-2057","DBA-2057")</f>
        <v>DBA-2057</v>
      </c>
      <c r="B2779" s="6" t="s">
        <v>21</v>
      </c>
      <c r="C2779" s="6" t="s">
        <v>11736</v>
      </c>
      <c r="D2779" s="8" t="s">
        <v>17</v>
      </c>
      <c r="E2779" s="6" t="s">
        <v>23</v>
      </c>
      <c r="F2779" s="6" t="s">
        <v>31</v>
      </c>
      <c r="G2779" s="6" t="s">
        <v>11737</v>
      </c>
      <c r="H2779" s="10">
        <v>45875</v>
      </c>
      <c r="I2779" s="6" t="s">
        <v>11738</v>
      </c>
      <c r="J2779" s="6" t="s">
        <v>55</v>
      </c>
      <c r="K2779" s="6" t="s">
        <v>55</v>
      </c>
      <c r="L2779" s="6" t="s">
        <v>55</v>
      </c>
      <c r="M2779" s="6" t="s">
        <v>11739</v>
      </c>
    </row>
    <row r="2780" spans="1:13" ht="13" x14ac:dyDescent="0.15">
      <c r="A2780" s="5" t="str">
        <f>HYPERLINK("https://onemount.atlassian.net/browse/DBA-2056","DBA-2056")</f>
        <v>DBA-2056</v>
      </c>
      <c r="B2780" s="6" t="s">
        <v>21</v>
      </c>
      <c r="C2780" s="6" t="s">
        <v>11740</v>
      </c>
      <c r="D2780" s="8" t="s">
        <v>17</v>
      </c>
      <c r="E2780" s="6" t="s">
        <v>23</v>
      </c>
      <c r="F2780" s="6" t="s">
        <v>24</v>
      </c>
      <c r="G2780" s="6" t="s">
        <v>11741</v>
      </c>
      <c r="H2780" s="10">
        <v>45875</v>
      </c>
      <c r="I2780" s="6" t="s">
        <v>11742</v>
      </c>
      <c r="J2780" s="6" t="s">
        <v>9084</v>
      </c>
      <c r="K2780" s="6" t="s">
        <v>28</v>
      </c>
      <c r="L2780" s="6" t="s">
        <v>1116</v>
      </c>
      <c r="M2780" s="6" t="s">
        <v>11743</v>
      </c>
    </row>
    <row r="2781" spans="1:13" ht="13" x14ac:dyDescent="0.15">
      <c r="A2781" s="5" t="str">
        <f>HYPERLINK("https://onemount.atlassian.net/browse/DBA-2055","DBA-2055")</f>
        <v>DBA-2055</v>
      </c>
      <c r="B2781" s="6" t="s">
        <v>21</v>
      </c>
      <c r="C2781" s="6" t="s">
        <v>11744</v>
      </c>
      <c r="D2781" s="8" t="s">
        <v>17</v>
      </c>
      <c r="E2781" s="6" t="s">
        <v>23</v>
      </c>
      <c r="F2781" s="6" t="s">
        <v>24</v>
      </c>
      <c r="G2781" s="6" t="s">
        <v>11745</v>
      </c>
      <c r="H2781" s="10">
        <v>45875</v>
      </c>
      <c r="I2781" s="6" t="s">
        <v>11746</v>
      </c>
      <c r="J2781" s="6" t="s">
        <v>56</v>
      </c>
      <c r="K2781" s="6" t="s">
        <v>55</v>
      </c>
      <c r="L2781" s="6" t="s">
        <v>56</v>
      </c>
      <c r="M2781" s="6" t="s">
        <v>11747</v>
      </c>
    </row>
    <row r="2782" spans="1:13" ht="13" x14ac:dyDescent="0.15">
      <c r="A2782" s="5" t="str">
        <f>HYPERLINK("https://onemount.atlassian.net/browse/DBA-2054","DBA-2054")</f>
        <v>DBA-2054</v>
      </c>
      <c r="B2782" s="6" t="s">
        <v>21</v>
      </c>
      <c r="C2782" s="6" t="s">
        <v>11748</v>
      </c>
      <c r="D2782" s="8" t="s">
        <v>17</v>
      </c>
      <c r="E2782" s="6" t="s">
        <v>23</v>
      </c>
      <c r="F2782" s="6" t="s">
        <v>31</v>
      </c>
      <c r="G2782" s="6" t="s">
        <v>11749</v>
      </c>
      <c r="H2782" s="10">
        <v>45874</v>
      </c>
      <c r="I2782" s="6" t="s">
        <v>11750</v>
      </c>
      <c r="J2782" s="6" t="s">
        <v>6575</v>
      </c>
      <c r="K2782" s="6" t="s">
        <v>35</v>
      </c>
      <c r="L2782" s="6" t="s">
        <v>962</v>
      </c>
      <c r="M2782" s="6" t="s">
        <v>11751</v>
      </c>
    </row>
    <row r="2783" spans="1:13" ht="13" x14ac:dyDescent="0.15">
      <c r="A2783" s="5" t="str">
        <f>HYPERLINK("https://onemount.atlassian.net/browse/DBA-2052","DBA-2052")</f>
        <v>DBA-2052</v>
      </c>
      <c r="B2783" s="6" t="s">
        <v>21</v>
      </c>
      <c r="C2783" s="6" t="s">
        <v>11752</v>
      </c>
      <c r="D2783" s="8" t="s">
        <v>17</v>
      </c>
      <c r="E2783" s="6" t="s">
        <v>23</v>
      </c>
      <c r="F2783" s="6" t="s">
        <v>96</v>
      </c>
      <c r="G2783" s="6" t="s">
        <v>11753</v>
      </c>
      <c r="H2783" s="10">
        <v>45873</v>
      </c>
      <c r="I2783" s="6" t="s">
        <v>11754</v>
      </c>
      <c r="J2783" s="6" t="s">
        <v>55</v>
      </c>
      <c r="K2783" s="6" t="s">
        <v>55</v>
      </c>
      <c r="L2783" s="6" t="s">
        <v>956</v>
      </c>
      <c r="M2783" s="6" t="s">
        <v>11755</v>
      </c>
    </row>
    <row r="2784" spans="1:13" ht="13" x14ac:dyDescent="0.15">
      <c r="A2784" s="5" t="str">
        <f>HYPERLINK("https://onemount.atlassian.net/browse/DBA-2051","DBA-2051")</f>
        <v>DBA-2051</v>
      </c>
      <c r="B2784" s="6" t="s">
        <v>21</v>
      </c>
      <c r="C2784" s="6" t="s">
        <v>11756</v>
      </c>
      <c r="D2784" s="8" t="s">
        <v>17</v>
      </c>
      <c r="E2784" s="6" t="s">
        <v>23</v>
      </c>
      <c r="F2784" s="6" t="s">
        <v>31</v>
      </c>
      <c r="G2784" s="6" t="s">
        <v>11757</v>
      </c>
      <c r="H2784" s="10">
        <v>45871</v>
      </c>
      <c r="I2784" s="6" t="s">
        <v>11758</v>
      </c>
      <c r="J2784" s="6" t="s">
        <v>855</v>
      </c>
      <c r="K2784" s="6" t="s">
        <v>55</v>
      </c>
      <c r="L2784" s="6" t="s">
        <v>855</v>
      </c>
      <c r="M2784" s="6" t="s">
        <v>11759</v>
      </c>
    </row>
    <row r="2785" spans="1:13" ht="13" x14ac:dyDescent="0.15">
      <c r="A2785" s="5" t="str">
        <f>HYPERLINK("https://onemount.atlassian.net/browse/DBA-2050","DBA-2050")</f>
        <v>DBA-2050</v>
      </c>
      <c r="B2785" s="6" t="s">
        <v>21</v>
      </c>
      <c r="C2785" s="6" t="s">
        <v>11760</v>
      </c>
      <c r="D2785" s="8" t="s">
        <v>17</v>
      </c>
      <c r="E2785" s="6" t="s">
        <v>23</v>
      </c>
      <c r="F2785" s="6" t="s">
        <v>31</v>
      </c>
      <c r="G2785" s="6" t="s">
        <v>11761</v>
      </c>
      <c r="H2785" s="10">
        <v>45870</v>
      </c>
      <c r="I2785" s="6" t="s">
        <v>11762</v>
      </c>
      <c r="J2785" s="6" t="s">
        <v>55</v>
      </c>
      <c r="K2785" s="6" t="s">
        <v>55</v>
      </c>
      <c r="L2785" s="6" t="s">
        <v>956</v>
      </c>
      <c r="M2785" s="6" t="s">
        <v>11763</v>
      </c>
    </row>
    <row r="2786" spans="1:13" ht="13" x14ac:dyDescent="0.15">
      <c r="A2786" s="5" t="str">
        <f>HYPERLINK("https://onemount.atlassian.net/browse/DBA-2049","DBA-2049")</f>
        <v>DBA-2049</v>
      </c>
      <c r="B2786" s="6" t="s">
        <v>21</v>
      </c>
      <c r="C2786" s="6" t="s">
        <v>11764</v>
      </c>
      <c r="D2786" s="8" t="s">
        <v>17</v>
      </c>
      <c r="E2786" s="6" t="s">
        <v>23</v>
      </c>
      <c r="F2786" s="6" t="s">
        <v>31</v>
      </c>
      <c r="G2786" s="6" t="s">
        <v>11765</v>
      </c>
      <c r="H2786" s="10">
        <v>45870</v>
      </c>
      <c r="I2786" s="6" t="s">
        <v>11766</v>
      </c>
      <c r="J2786" s="6" t="s">
        <v>707</v>
      </c>
      <c r="K2786" s="6" t="s">
        <v>35</v>
      </c>
      <c r="L2786" s="6" t="s">
        <v>707</v>
      </c>
      <c r="M2786" s="6" t="s">
        <v>11767</v>
      </c>
    </row>
    <row r="2787" spans="1:13" ht="13" x14ac:dyDescent="0.15">
      <c r="A2787" s="5" t="str">
        <f>HYPERLINK("https://onemount.atlassian.net/browse/DBA-2048","DBA-2048")</f>
        <v>DBA-2048</v>
      </c>
      <c r="B2787" s="6" t="s">
        <v>21</v>
      </c>
      <c r="C2787" s="6" t="s">
        <v>11768</v>
      </c>
      <c r="D2787" s="8" t="s">
        <v>17</v>
      </c>
      <c r="E2787" s="6" t="s">
        <v>23</v>
      </c>
      <c r="F2787" s="6" t="s">
        <v>96</v>
      </c>
      <c r="G2787" s="6" t="s">
        <v>11769</v>
      </c>
      <c r="H2787" s="10">
        <v>45870</v>
      </c>
      <c r="I2787" s="6" t="s">
        <v>11770</v>
      </c>
      <c r="J2787" s="6" t="s">
        <v>1898</v>
      </c>
      <c r="K2787" s="6" t="s">
        <v>165</v>
      </c>
      <c r="L2787" s="6" t="s">
        <v>1097</v>
      </c>
      <c r="M2787" s="6" t="s">
        <v>11771</v>
      </c>
    </row>
    <row r="2788" spans="1:13" ht="13" x14ac:dyDescent="0.15">
      <c r="A2788" s="5" t="str">
        <f>HYPERLINK("https://onemount.atlassian.net/browse/DBA-2047","DBA-2047")</f>
        <v>DBA-2047</v>
      </c>
      <c r="B2788" s="6" t="s">
        <v>21</v>
      </c>
      <c r="C2788" s="6" t="s">
        <v>11772</v>
      </c>
      <c r="D2788" s="8" t="s">
        <v>17</v>
      </c>
      <c r="E2788" s="6" t="s">
        <v>23</v>
      </c>
      <c r="F2788" s="6" t="s">
        <v>96</v>
      </c>
      <c r="G2788" s="6" t="s">
        <v>11773</v>
      </c>
      <c r="H2788" s="10">
        <v>45870</v>
      </c>
      <c r="I2788" s="6" t="s">
        <v>11774</v>
      </c>
      <c r="J2788" s="6" t="s">
        <v>11775</v>
      </c>
      <c r="K2788" s="6" t="s">
        <v>55</v>
      </c>
      <c r="L2788" s="6" t="s">
        <v>85</v>
      </c>
      <c r="M2788" s="6" t="s">
        <v>11776</v>
      </c>
    </row>
    <row r="2789" spans="1:13" ht="13" x14ac:dyDescent="0.15">
      <c r="A2789" s="5" t="str">
        <f>HYPERLINK("https://onemount.atlassian.net/browse/DBA-2044","DBA-2044")</f>
        <v>DBA-2044</v>
      </c>
      <c r="B2789" s="6" t="s">
        <v>21</v>
      </c>
      <c r="C2789" s="6" t="s">
        <v>11777</v>
      </c>
      <c r="D2789" s="8" t="s">
        <v>17</v>
      </c>
      <c r="E2789" s="6" t="s">
        <v>23</v>
      </c>
      <c r="F2789" s="6" t="s">
        <v>31</v>
      </c>
      <c r="G2789" s="6" t="s">
        <v>11778</v>
      </c>
      <c r="H2789" s="10">
        <v>45870</v>
      </c>
      <c r="I2789" s="6" t="s">
        <v>11779</v>
      </c>
      <c r="J2789" s="6" t="s">
        <v>1564</v>
      </c>
      <c r="K2789" s="6" t="s">
        <v>35</v>
      </c>
      <c r="L2789" s="6" t="s">
        <v>36</v>
      </c>
      <c r="M2789" s="6" t="s">
        <v>11780</v>
      </c>
    </row>
    <row r="2790" spans="1:13" ht="13" x14ac:dyDescent="0.15">
      <c r="A2790" s="5" t="str">
        <f>HYPERLINK("https://onemount.atlassian.net/browse/DBA-2043","DBA-2043")</f>
        <v>DBA-2043</v>
      </c>
      <c r="B2790" s="6" t="s">
        <v>21</v>
      </c>
      <c r="C2790" s="6" t="s">
        <v>11781</v>
      </c>
      <c r="D2790" s="8" t="s">
        <v>17</v>
      </c>
      <c r="E2790" s="6" t="s">
        <v>23</v>
      </c>
      <c r="F2790" s="6" t="s">
        <v>31</v>
      </c>
      <c r="G2790" s="6" t="s">
        <v>11782</v>
      </c>
      <c r="H2790" s="10">
        <v>45870</v>
      </c>
      <c r="I2790" s="6" t="s">
        <v>11783</v>
      </c>
      <c r="J2790" s="6" t="s">
        <v>34</v>
      </c>
      <c r="K2790" s="6" t="s">
        <v>35</v>
      </c>
      <c r="L2790" s="6" t="s">
        <v>36</v>
      </c>
      <c r="M2790" s="6" t="s">
        <v>11784</v>
      </c>
    </row>
    <row r="2791" spans="1:13" ht="13" x14ac:dyDescent="0.15">
      <c r="A2791" s="5" t="str">
        <f>HYPERLINK("https://onemount.atlassian.net/browse/DBA-2042","DBA-2042")</f>
        <v>DBA-2042</v>
      </c>
      <c r="B2791" s="23" t="str">
        <f t="shared" ref="B2791:B2795" si="45">HYPERLINK("https://onemount.atlassian.net/browse/DBA-2037","DBA-2037")</f>
        <v>DBA-2037</v>
      </c>
      <c r="C2791" s="6" t="s">
        <v>11785</v>
      </c>
      <c r="D2791" s="8" t="s">
        <v>17</v>
      </c>
      <c r="E2791" s="6" t="s">
        <v>428</v>
      </c>
      <c r="F2791" s="6" t="s">
        <v>87</v>
      </c>
      <c r="G2791" s="6" t="s">
        <v>11786</v>
      </c>
      <c r="H2791" s="10">
        <v>45888</v>
      </c>
      <c r="I2791" s="6" t="s">
        <v>11787</v>
      </c>
      <c r="J2791" s="6" t="s">
        <v>11197</v>
      </c>
      <c r="K2791" s="6" t="s">
        <v>165</v>
      </c>
      <c r="L2791" s="6" t="s">
        <v>400</v>
      </c>
      <c r="M2791" s="6" t="s">
        <v>11788</v>
      </c>
    </row>
    <row r="2792" spans="1:13" ht="13" x14ac:dyDescent="0.15">
      <c r="A2792" s="5" t="str">
        <f>HYPERLINK("https://onemount.atlassian.net/browse/DBA-2041","DBA-2041")</f>
        <v>DBA-2041</v>
      </c>
      <c r="B2792" s="23" t="str">
        <f t="shared" si="45"/>
        <v>DBA-2037</v>
      </c>
      <c r="C2792" s="6" t="s">
        <v>11789</v>
      </c>
      <c r="D2792" s="8" t="s">
        <v>17</v>
      </c>
      <c r="E2792" s="6" t="s">
        <v>428</v>
      </c>
      <c r="F2792" s="6" t="s">
        <v>87</v>
      </c>
      <c r="G2792" s="6" t="s">
        <v>11790</v>
      </c>
      <c r="H2792" s="10">
        <v>45888</v>
      </c>
      <c r="I2792" s="6" t="s">
        <v>11791</v>
      </c>
      <c r="J2792" s="6" t="s">
        <v>11197</v>
      </c>
      <c r="K2792" s="6" t="s">
        <v>165</v>
      </c>
      <c r="L2792" s="6" t="s">
        <v>400</v>
      </c>
      <c r="M2792" s="6" t="s">
        <v>11792</v>
      </c>
    </row>
    <row r="2793" spans="1:13" ht="13" x14ac:dyDescent="0.15">
      <c r="A2793" s="5" t="str">
        <f>HYPERLINK("https://onemount.atlassian.net/browse/DBA-2040","DBA-2040")</f>
        <v>DBA-2040</v>
      </c>
      <c r="B2793" s="23" t="str">
        <f t="shared" si="45"/>
        <v>DBA-2037</v>
      </c>
      <c r="C2793" s="6" t="s">
        <v>11793</v>
      </c>
      <c r="D2793" s="8" t="s">
        <v>17</v>
      </c>
      <c r="E2793" s="6" t="s">
        <v>428</v>
      </c>
      <c r="F2793" s="6" t="s">
        <v>87</v>
      </c>
      <c r="G2793" s="6" t="s">
        <v>11794</v>
      </c>
      <c r="H2793" s="10">
        <v>45888</v>
      </c>
      <c r="I2793" s="6" t="s">
        <v>11795</v>
      </c>
      <c r="J2793" s="6" t="s">
        <v>11197</v>
      </c>
      <c r="K2793" s="6" t="s">
        <v>165</v>
      </c>
      <c r="L2793" s="6" t="s">
        <v>400</v>
      </c>
      <c r="M2793" s="6" t="s">
        <v>11796</v>
      </c>
    </row>
    <row r="2794" spans="1:13" ht="13" x14ac:dyDescent="0.15">
      <c r="A2794" s="5" t="str">
        <f>HYPERLINK("https://onemount.atlassian.net/browse/DBA-2039","DBA-2039")</f>
        <v>DBA-2039</v>
      </c>
      <c r="B2794" s="23" t="str">
        <f t="shared" si="45"/>
        <v>DBA-2037</v>
      </c>
      <c r="C2794" s="6" t="s">
        <v>11797</v>
      </c>
      <c r="D2794" s="8" t="s">
        <v>17</v>
      </c>
      <c r="E2794" s="6" t="s">
        <v>428</v>
      </c>
      <c r="F2794" s="6" t="s">
        <v>87</v>
      </c>
      <c r="G2794" s="6" t="s">
        <v>11798</v>
      </c>
      <c r="H2794" s="10">
        <v>45874</v>
      </c>
      <c r="I2794" s="6" t="s">
        <v>11799</v>
      </c>
      <c r="J2794" s="6" t="s">
        <v>11197</v>
      </c>
      <c r="K2794" s="6" t="s">
        <v>165</v>
      </c>
      <c r="L2794" s="6" t="s">
        <v>400</v>
      </c>
      <c r="M2794" s="6" t="s">
        <v>11800</v>
      </c>
    </row>
    <row r="2795" spans="1:13" ht="13" x14ac:dyDescent="0.15">
      <c r="A2795" s="5" t="str">
        <f>HYPERLINK("https://onemount.atlassian.net/browse/DBA-2038","DBA-2038")</f>
        <v>DBA-2038</v>
      </c>
      <c r="B2795" s="23" t="str">
        <f t="shared" si="45"/>
        <v>DBA-2037</v>
      </c>
      <c r="C2795" s="6" t="s">
        <v>11801</v>
      </c>
      <c r="D2795" s="8" t="s">
        <v>17</v>
      </c>
      <c r="E2795" s="6" t="s">
        <v>428</v>
      </c>
      <c r="F2795" s="6" t="s">
        <v>87</v>
      </c>
      <c r="G2795" s="6" t="s">
        <v>11802</v>
      </c>
      <c r="H2795" s="10">
        <v>45877</v>
      </c>
      <c r="I2795" s="6" t="s">
        <v>11803</v>
      </c>
      <c r="J2795" s="6" t="s">
        <v>11197</v>
      </c>
      <c r="K2795" s="6" t="s">
        <v>165</v>
      </c>
      <c r="L2795" s="6" t="s">
        <v>400</v>
      </c>
      <c r="M2795" s="6" t="s">
        <v>11804</v>
      </c>
    </row>
    <row r="2796" spans="1:13" ht="13" x14ac:dyDescent="0.15">
      <c r="A2796" s="5" t="str">
        <f>HYPERLINK("https://onemount.atlassian.net/browse/DBA-2037","DBA-2037")</f>
        <v>DBA-2037</v>
      </c>
      <c r="B2796" s="6" t="s">
        <v>21</v>
      </c>
      <c r="C2796" s="6" t="s">
        <v>11805</v>
      </c>
      <c r="D2796" s="8" t="s">
        <v>17</v>
      </c>
      <c r="E2796" s="6" t="s">
        <v>1810</v>
      </c>
      <c r="F2796" s="6" t="s">
        <v>87</v>
      </c>
      <c r="G2796" s="6" t="s">
        <v>11806</v>
      </c>
      <c r="H2796" s="10">
        <v>45889</v>
      </c>
      <c r="I2796" s="6" t="s">
        <v>11807</v>
      </c>
      <c r="J2796" s="6" t="s">
        <v>11197</v>
      </c>
      <c r="K2796" s="6" t="s">
        <v>165</v>
      </c>
      <c r="L2796" s="6" t="s">
        <v>400</v>
      </c>
      <c r="M2796" s="6" t="s">
        <v>11808</v>
      </c>
    </row>
    <row r="2797" spans="1:13" ht="13" x14ac:dyDescent="0.15">
      <c r="A2797" s="5" t="str">
        <f>HYPERLINK("https://onemount.atlassian.net/browse/DBA-2036","DBA-2036")</f>
        <v>DBA-2036</v>
      </c>
      <c r="B2797" s="6" t="s">
        <v>21</v>
      </c>
      <c r="C2797" s="6" t="s">
        <v>11809</v>
      </c>
      <c r="D2797" s="8" t="s">
        <v>17</v>
      </c>
      <c r="E2797" s="6" t="s">
        <v>23</v>
      </c>
      <c r="F2797" s="6" t="s">
        <v>31</v>
      </c>
      <c r="G2797" s="6" t="s">
        <v>11810</v>
      </c>
      <c r="H2797" s="10">
        <v>45869</v>
      </c>
      <c r="I2797" s="6" t="s">
        <v>11811</v>
      </c>
      <c r="J2797" s="6" t="s">
        <v>55</v>
      </c>
      <c r="K2797" s="6" t="s">
        <v>55</v>
      </c>
      <c r="L2797" s="6" t="s">
        <v>956</v>
      </c>
      <c r="M2797" s="6" t="s">
        <v>11812</v>
      </c>
    </row>
    <row r="2798" spans="1:13" ht="13" x14ac:dyDescent="0.15">
      <c r="A2798" s="5" t="str">
        <f>HYPERLINK("https://onemount.atlassian.net/browse/DBA-2034","DBA-2034")</f>
        <v>DBA-2034</v>
      </c>
      <c r="B2798" s="6" t="s">
        <v>21</v>
      </c>
      <c r="C2798" s="6" t="s">
        <v>11813</v>
      </c>
      <c r="D2798" s="8" t="s">
        <v>17</v>
      </c>
      <c r="E2798" s="6" t="s">
        <v>23</v>
      </c>
      <c r="F2798" s="6" t="s">
        <v>96</v>
      </c>
      <c r="G2798" s="6" t="s">
        <v>11814</v>
      </c>
      <c r="H2798" s="10">
        <v>45869</v>
      </c>
      <c r="I2798" s="6" t="s">
        <v>11815</v>
      </c>
      <c r="J2798" s="6" t="s">
        <v>715</v>
      </c>
      <c r="K2798" s="6" t="s">
        <v>55</v>
      </c>
      <c r="L2798" s="6" t="s">
        <v>715</v>
      </c>
      <c r="M2798" s="6" t="s">
        <v>11816</v>
      </c>
    </row>
    <row r="2799" spans="1:13" ht="13" x14ac:dyDescent="0.15">
      <c r="A2799" s="5" t="str">
        <f>HYPERLINK("https://onemount.atlassian.net/browse/DBA-2033","DBA-2033")</f>
        <v>DBA-2033</v>
      </c>
      <c r="B2799" s="6" t="s">
        <v>21</v>
      </c>
      <c r="C2799" s="6" t="s">
        <v>11817</v>
      </c>
      <c r="D2799" s="8" t="s">
        <v>17</v>
      </c>
      <c r="E2799" s="6" t="s">
        <v>23</v>
      </c>
      <c r="F2799" s="6" t="s">
        <v>31</v>
      </c>
      <c r="G2799" s="6" t="s">
        <v>11818</v>
      </c>
      <c r="H2799" s="10">
        <v>45870</v>
      </c>
      <c r="I2799" s="6" t="s">
        <v>11819</v>
      </c>
      <c r="J2799" s="6" t="s">
        <v>6804</v>
      </c>
      <c r="K2799" s="6" t="s">
        <v>35</v>
      </c>
      <c r="L2799" s="6" t="s">
        <v>129</v>
      </c>
      <c r="M2799" s="6" t="s">
        <v>11820</v>
      </c>
    </row>
    <row r="2800" spans="1:13" ht="13" x14ac:dyDescent="0.15">
      <c r="A2800" s="5" t="str">
        <f>HYPERLINK("https://onemount.atlassian.net/browse/DBA-2032","DBA-2032")</f>
        <v>DBA-2032</v>
      </c>
      <c r="B2800" s="6" t="s">
        <v>21</v>
      </c>
      <c r="C2800" s="6" t="s">
        <v>10388</v>
      </c>
      <c r="D2800" s="8" t="s">
        <v>17</v>
      </c>
      <c r="E2800" s="6" t="s">
        <v>23</v>
      </c>
      <c r="F2800" s="6" t="s">
        <v>31</v>
      </c>
      <c r="G2800" s="6" t="s">
        <v>11821</v>
      </c>
      <c r="H2800" s="10">
        <v>45870</v>
      </c>
      <c r="I2800" s="6" t="s">
        <v>11822</v>
      </c>
      <c r="J2800" s="6" t="s">
        <v>11823</v>
      </c>
      <c r="K2800" s="6" t="s">
        <v>55</v>
      </c>
      <c r="L2800" s="6" t="s">
        <v>715</v>
      </c>
      <c r="M2800" s="6" t="s">
        <v>11824</v>
      </c>
    </row>
    <row r="2801" spans="1:13" ht="13" x14ac:dyDescent="0.15">
      <c r="A2801" s="5" t="str">
        <f>HYPERLINK("https://onemount.atlassian.net/browse/DBA-2031","DBA-2031")</f>
        <v>DBA-2031</v>
      </c>
      <c r="B2801" s="6" t="s">
        <v>21</v>
      </c>
      <c r="C2801" s="6" t="s">
        <v>11772</v>
      </c>
      <c r="D2801" s="8" t="s">
        <v>17</v>
      </c>
      <c r="E2801" s="6" t="s">
        <v>23</v>
      </c>
      <c r="F2801" s="6" t="s">
        <v>96</v>
      </c>
      <c r="G2801" s="6" t="s">
        <v>11825</v>
      </c>
      <c r="H2801" s="10">
        <v>45869</v>
      </c>
      <c r="I2801" s="6" t="s">
        <v>11826</v>
      </c>
      <c r="J2801" s="6" t="s">
        <v>85</v>
      </c>
      <c r="K2801" s="6" t="s">
        <v>55</v>
      </c>
      <c r="L2801" s="6" t="s">
        <v>85</v>
      </c>
      <c r="M2801" s="6" t="s">
        <v>11827</v>
      </c>
    </row>
    <row r="2802" spans="1:13" ht="13" x14ac:dyDescent="0.15">
      <c r="A2802" s="5" t="str">
        <f>HYPERLINK("https://onemount.atlassian.net/browse/DBA-2030","DBA-2030")</f>
        <v>DBA-2030</v>
      </c>
      <c r="B2802" s="6" t="s">
        <v>21</v>
      </c>
      <c r="C2802" s="6" t="s">
        <v>11828</v>
      </c>
      <c r="D2802" s="8" t="s">
        <v>17</v>
      </c>
      <c r="E2802" s="6" t="s">
        <v>23</v>
      </c>
      <c r="F2802" s="6" t="s">
        <v>31</v>
      </c>
      <c r="G2802" s="6" t="s">
        <v>11829</v>
      </c>
      <c r="H2802" s="10">
        <v>45869</v>
      </c>
      <c r="I2802" s="6" t="s">
        <v>11830</v>
      </c>
      <c r="J2802" s="6" t="s">
        <v>34</v>
      </c>
      <c r="K2802" s="6" t="s">
        <v>35</v>
      </c>
      <c r="L2802" s="6" t="s">
        <v>36</v>
      </c>
      <c r="M2802" s="6" t="s">
        <v>11831</v>
      </c>
    </row>
    <row r="2803" spans="1:13" ht="13" x14ac:dyDescent="0.15">
      <c r="A2803" s="21" t="str">
        <f>HYPERLINK("https://onemount.atlassian.net/browse/DBA-2028","DBA-2028")</f>
        <v>DBA-2028</v>
      </c>
      <c r="B2803" s="6" t="s">
        <v>21</v>
      </c>
      <c r="C2803" s="6" t="s">
        <v>11832</v>
      </c>
      <c r="D2803" s="8" t="s">
        <v>17</v>
      </c>
      <c r="E2803" s="6" t="s">
        <v>23</v>
      </c>
      <c r="F2803" s="6" t="s">
        <v>96</v>
      </c>
      <c r="G2803" s="6" t="s">
        <v>11833</v>
      </c>
      <c r="H2803" s="10">
        <v>45869</v>
      </c>
      <c r="I2803" s="6" t="s">
        <v>11834</v>
      </c>
      <c r="J2803" s="6" t="s">
        <v>55</v>
      </c>
      <c r="K2803" s="6" t="s">
        <v>55</v>
      </c>
      <c r="L2803" s="6" t="s">
        <v>956</v>
      </c>
      <c r="M2803" s="6" t="s">
        <v>11835</v>
      </c>
    </row>
    <row r="2804" spans="1:13" ht="13" x14ac:dyDescent="0.15">
      <c r="A2804" s="21" t="str">
        <f>HYPERLINK("https://onemount.atlassian.net/browse/DBA-2027","DBA-2027")</f>
        <v>DBA-2027</v>
      </c>
      <c r="B2804" s="6" t="s">
        <v>21</v>
      </c>
      <c r="C2804" s="6" t="s">
        <v>11832</v>
      </c>
      <c r="D2804" s="8" t="s">
        <v>17</v>
      </c>
      <c r="E2804" s="6" t="s">
        <v>23</v>
      </c>
      <c r="F2804" s="6" t="s">
        <v>96</v>
      </c>
      <c r="G2804" s="6" t="s">
        <v>11836</v>
      </c>
      <c r="H2804" s="10">
        <v>45869</v>
      </c>
      <c r="I2804" s="6" t="s">
        <v>11837</v>
      </c>
      <c r="J2804" s="6" t="s">
        <v>55</v>
      </c>
      <c r="K2804" s="6" t="s">
        <v>55</v>
      </c>
      <c r="L2804" s="6" t="s">
        <v>956</v>
      </c>
      <c r="M2804" s="6" t="s">
        <v>11835</v>
      </c>
    </row>
    <row r="2805" spans="1:13" ht="13" x14ac:dyDescent="0.15">
      <c r="A2805" s="21" t="str">
        <f>HYPERLINK("https://onemount.atlassian.net/browse/DBA-2026","DBA-2026")</f>
        <v>DBA-2026</v>
      </c>
      <c r="B2805" s="6" t="s">
        <v>21</v>
      </c>
      <c r="C2805" s="6" t="s">
        <v>11832</v>
      </c>
      <c r="D2805" s="8" t="s">
        <v>17</v>
      </c>
      <c r="E2805" s="6" t="s">
        <v>23</v>
      </c>
      <c r="F2805" s="6" t="s">
        <v>96</v>
      </c>
      <c r="G2805" s="6" t="s">
        <v>11838</v>
      </c>
      <c r="H2805" s="10">
        <v>45869</v>
      </c>
      <c r="I2805" s="6" t="s">
        <v>11839</v>
      </c>
      <c r="J2805" s="6" t="s">
        <v>55</v>
      </c>
      <c r="K2805" s="6" t="s">
        <v>55</v>
      </c>
      <c r="L2805" s="6" t="s">
        <v>956</v>
      </c>
      <c r="M2805" s="6" t="s">
        <v>11835</v>
      </c>
    </row>
    <row r="2806" spans="1:13" ht="13" x14ac:dyDescent="0.15">
      <c r="A2806" s="5" t="str">
        <f>HYPERLINK("https://onemount.atlassian.net/browse/DBA-2025","DBA-2025")</f>
        <v>DBA-2025</v>
      </c>
      <c r="B2806" s="6" t="s">
        <v>21</v>
      </c>
      <c r="C2806" s="6" t="s">
        <v>11840</v>
      </c>
      <c r="D2806" s="8" t="s">
        <v>17</v>
      </c>
      <c r="E2806" s="6" t="s">
        <v>23</v>
      </c>
      <c r="F2806" s="6" t="s">
        <v>24</v>
      </c>
      <c r="G2806" s="6" t="s">
        <v>11841</v>
      </c>
      <c r="H2806" s="10">
        <v>45870</v>
      </c>
      <c r="I2806" s="6" t="s">
        <v>11842</v>
      </c>
      <c r="J2806" s="6" t="s">
        <v>56</v>
      </c>
      <c r="K2806" s="6" t="s">
        <v>55</v>
      </c>
      <c r="L2806" s="6" t="s">
        <v>56</v>
      </c>
      <c r="M2806" s="6" t="s">
        <v>11843</v>
      </c>
    </row>
    <row r="2807" spans="1:13" ht="13" x14ac:dyDescent="0.15">
      <c r="A2807" s="5" t="str">
        <f>HYPERLINK("https://onemount.atlassian.net/browse/DBA-2024","DBA-2024")</f>
        <v>DBA-2024</v>
      </c>
      <c r="B2807" s="23" t="str">
        <f>HYPERLINK("https://onemount.atlassian.net/browse/DBA-2062","DBA-2062")</f>
        <v>DBA-2062</v>
      </c>
      <c r="C2807" s="6" t="s">
        <v>11844</v>
      </c>
      <c r="D2807" s="8" t="s">
        <v>17</v>
      </c>
      <c r="E2807" s="6" t="s">
        <v>428</v>
      </c>
      <c r="F2807" s="6" t="s">
        <v>24</v>
      </c>
      <c r="G2807" s="6" t="s">
        <v>11845</v>
      </c>
      <c r="H2807" s="10">
        <v>45870</v>
      </c>
      <c r="I2807" s="6" t="s">
        <v>11846</v>
      </c>
      <c r="J2807" s="6" t="s">
        <v>7825</v>
      </c>
      <c r="K2807" s="6" t="s">
        <v>55</v>
      </c>
      <c r="L2807" s="6" t="s">
        <v>925</v>
      </c>
      <c r="M2807" s="6" t="s">
        <v>11847</v>
      </c>
    </row>
    <row r="2808" spans="1:13" ht="13" x14ac:dyDescent="0.15">
      <c r="A2808" s="5" t="str">
        <f>HYPERLINK("https://onemount.atlassian.net/browse/DBA-2023","DBA-2023")</f>
        <v>DBA-2023</v>
      </c>
      <c r="B2808" s="23" t="str">
        <f>HYPERLINK("https://onemount.atlassian.net/browse/DBA-2021","DBA-2021")</f>
        <v>DBA-2021</v>
      </c>
      <c r="C2808" s="6" t="s">
        <v>11848</v>
      </c>
      <c r="D2808" s="8" t="s">
        <v>17</v>
      </c>
      <c r="E2808" s="6" t="s">
        <v>1810</v>
      </c>
      <c r="F2808" s="6" t="s">
        <v>24</v>
      </c>
      <c r="G2808" s="6" t="s">
        <v>11849</v>
      </c>
      <c r="H2808" s="10">
        <v>46023</v>
      </c>
      <c r="I2808" s="6" t="s">
        <v>11850</v>
      </c>
      <c r="J2808" s="6" t="s">
        <v>2924</v>
      </c>
      <c r="K2808" s="6" t="s">
        <v>46</v>
      </c>
      <c r="L2808" s="6" t="s">
        <v>600</v>
      </c>
      <c r="M2808" s="6" t="s">
        <v>11851</v>
      </c>
    </row>
    <row r="2809" spans="1:13" ht="13" x14ac:dyDescent="0.15">
      <c r="A2809" s="5" t="str">
        <f>HYPERLINK("https://onemount.atlassian.net/browse/DBA-2021","DBA-2021")</f>
        <v>DBA-2021</v>
      </c>
      <c r="B2809" s="6" t="s">
        <v>21</v>
      </c>
      <c r="C2809" s="6" t="s">
        <v>11852</v>
      </c>
      <c r="D2809" s="8" t="s">
        <v>17</v>
      </c>
      <c r="E2809" s="6" t="s">
        <v>8986</v>
      </c>
      <c r="F2809" s="6" t="s">
        <v>94</v>
      </c>
      <c r="G2809" s="6" t="s">
        <v>11853</v>
      </c>
      <c r="H2809" s="10">
        <v>46023</v>
      </c>
      <c r="I2809" s="6" t="s">
        <v>44</v>
      </c>
      <c r="J2809" s="6" t="s">
        <v>2924</v>
      </c>
      <c r="K2809" s="6" t="s">
        <v>46</v>
      </c>
      <c r="L2809" s="6" t="s">
        <v>600</v>
      </c>
      <c r="M2809" s="6" t="s">
        <v>11854</v>
      </c>
    </row>
    <row r="2810" spans="1:13" ht="13" x14ac:dyDescent="0.15">
      <c r="A2810" s="5" t="str">
        <f>HYPERLINK("https://onemount.atlassian.net/browse/DBA-2019","DBA-2019")</f>
        <v>DBA-2019</v>
      </c>
      <c r="B2810" s="23" t="str">
        <f>HYPERLINK("https://onemount.atlassian.net/browse/DBA-1909","DBA-1909")</f>
        <v>DBA-1909</v>
      </c>
      <c r="C2810" s="6" t="s">
        <v>11855</v>
      </c>
      <c r="D2810" s="8" t="s">
        <v>17</v>
      </c>
      <c r="E2810" s="6" t="s">
        <v>428</v>
      </c>
      <c r="F2810" s="6" t="s">
        <v>31</v>
      </c>
      <c r="G2810" s="6" t="s">
        <v>11856</v>
      </c>
      <c r="H2810" s="10">
        <v>45870</v>
      </c>
      <c r="I2810" s="6" t="s">
        <v>11857</v>
      </c>
      <c r="J2810" s="6" t="s">
        <v>2924</v>
      </c>
      <c r="K2810" s="6" t="s">
        <v>55</v>
      </c>
      <c r="L2810" s="6" t="s">
        <v>600</v>
      </c>
      <c r="M2810" s="6" t="s">
        <v>11858</v>
      </c>
    </row>
    <row r="2811" spans="1:13" ht="13" x14ac:dyDescent="0.15">
      <c r="A2811" s="21" t="str">
        <f>HYPERLINK("https://onemount.atlassian.net/browse/DBA-2018","DBA-2018")</f>
        <v>DBA-2018</v>
      </c>
      <c r="B2811" s="6" t="s">
        <v>21</v>
      </c>
      <c r="C2811" s="6" t="s">
        <v>11859</v>
      </c>
      <c r="D2811" s="8" t="s">
        <v>17</v>
      </c>
      <c r="E2811" s="6" t="s">
        <v>23</v>
      </c>
      <c r="F2811" s="6" t="s">
        <v>96</v>
      </c>
      <c r="G2811" s="6" t="s">
        <v>11860</v>
      </c>
      <c r="H2811" s="10">
        <v>45868</v>
      </c>
      <c r="I2811" s="6" t="s">
        <v>11861</v>
      </c>
      <c r="J2811" s="6" t="s">
        <v>11862</v>
      </c>
      <c r="K2811" s="6" t="s">
        <v>165</v>
      </c>
      <c r="L2811" s="6" t="s">
        <v>1032</v>
      </c>
      <c r="M2811" s="6" t="s">
        <v>11863</v>
      </c>
    </row>
    <row r="2812" spans="1:13" ht="13" x14ac:dyDescent="0.15">
      <c r="A2812" s="5" t="str">
        <f>HYPERLINK("https://onemount.atlassian.net/browse/DBA-2017","DBA-2017")</f>
        <v>DBA-2017</v>
      </c>
      <c r="B2812" s="6" t="s">
        <v>21</v>
      </c>
      <c r="C2812" s="6" t="s">
        <v>9336</v>
      </c>
      <c r="D2812" s="8" t="s">
        <v>17</v>
      </c>
      <c r="E2812" s="6" t="s">
        <v>23</v>
      </c>
      <c r="F2812" s="6" t="s">
        <v>96</v>
      </c>
      <c r="G2812" s="6" t="s">
        <v>11864</v>
      </c>
      <c r="H2812" s="10">
        <v>45868</v>
      </c>
      <c r="I2812" s="6" t="s">
        <v>11865</v>
      </c>
      <c r="J2812" s="6" t="s">
        <v>1898</v>
      </c>
      <c r="K2812" s="6" t="s">
        <v>165</v>
      </c>
      <c r="L2812" s="6" t="s">
        <v>1097</v>
      </c>
      <c r="M2812" s="6" t="s">
        <v>11866</v>
      </c>
    </row>
    <row r="2813" spans="1:13" ht="13" x14ac:dyDescent="0.15">
      <c r="A2813" s="5" t="str">
        <f>HYPERLINK("https://onemount.atlassian.net/browse/DBA-2016","DBA-2016")</f>
        <v>DBA-2016</v>
      </c>
      <c r="B2813" s="6" t="s">
        <v>21</v>
      </c>
      <c r="C2813" s="6" t="s">
        <v>11867</v>
      </c>
      <c r="D2813" s="8" t="s">
        <v>17</v>
      </c>
      <c r="E2813" s="6" t="s">
        <v>23</v>
      </c>
      <c r="F2813" s="6" t="s">
        <v>96</v>
      </c>
      <c r="G2813" s="6" t="s">
        <v>11868</v>
      </c>
      <c r="H2813" s="10">
        <v>45868</v>
      </c>
      <c r="I2813" s="6" t="s">
        <v>11869</v>
      </c>
      <c r="J2813" s="6" t="s">
        <v>254</v>
      </c>
      <c r="K2813" s="6" t="s">
        <v>55</v>
      </c>
      <c r="L2813" s="6" t="s">
        <v>254</v>
      </c>
      <c r="M2813" s="6" t="s">
        <v>11870</v>
      </c>
    </row>
    <row r="2814" spans="1:13" ht="13" x14ac:dyDescent="0.15">
      <c r="A2814" s="5" t="str">
        <f>HYPERLINK("https://onemount.atlassian.net/browse/DBA-2015","DBA-2015")</f>
        <v>DBA-2015</v>
      </c>
      <c r="B2814" s="6" t="s">
        <v>21</v>
      </c>
      <c r="C2814" s="6" t="s">
        <v>11871</v>
      </c>
      <c r="D2814" s="8" t="s">
        <v>17</v>
      </c>
      <c r="E2814" s="6" t="s">
        <v>23</v>
      </c>
      <c r="F2814" s="6" t="s">
        <v>96</v>
      </c>
      <c r="G2814" s="6" t="s">
        <v>11872</v>
      </c>
      <c r="H2814" s="10">
        <v>45868</v>
      </c>
      <c r="I2814" s="6" t="s">
        <v>11873</v>
      </c>
      <c r="J2814" s="6" t="s">
        <v>1898</v>
      </c>
      <c r="K2814" s="6" t="s">
        <v>165</v>
      </c>
      <c r="L2814" s="6" t="s">
        <v>1097</v>
      </c>
      <c r="M2814" s="6" t="s">
        <v>11874</v>
      </c>
    </row>
    <row r="2815" spans="1:13" ht="13" x14ac:dyDescent="0.15">
      <c r="A2815" s="5" t="str">
        <f>HYPERLINK("https://onemount.atlassian.net/browse/DBA-2014","DBA-2014")</f>
        <v>DBA-2014</v>
      </c>
      <c r="B2815" s="6" t="s">
        <v>21</v>
      </c>
      <c r="C2815" s="6" t="s">
        <v>11875</v>
      </c>
      <c r="D2815" s="8" t="s">
        <v>17</v>
      </c>
      <c r="E2815" s="6" t="s">
        <v>23</v>
      </c>
      <c r="F2815" s="6" t="s">
        <v>96</v>
      </c>
      <c r="G2815" s="6" t="s">
        <v>11876</v>
      </c>
      <c r="H2815" s="10">
        <v>45868</v>
      </c>
      <c r="I2815" s="6" t="s">
        <v>11877</v>
      </c>
      <c r="J2815" s="6" t="s">
        <v>55</v>
      </c>
      <c r="K2815" s="6" t="s">
        <v>55</v>
      </c>
      <c r="L2815" s="6" t="s">
        <v>956</v>
      </c>
      <c r="M2815" s="6" t="s">
        <v>11878</v>
      </c>
    </row>
    <row r="2816" spans="1:13" ht="13" x14ac:dyDescent="0.15">
      <c r="A2816" s="5" t="str">
        <f>HYPERLINK("https://onemount.atlassian.net/browse/DBA-2013","DBA-2013")</f>
        <v>DBA-2013</v>
      </c>
      <c r="B2816" s="23" t="str">
        <f t="shared" ref="B2816:B2817" si="46">HYPERLINK("https://onemount.atlassian.net/browse/DBA-1992","DBA-1992")</f>
        <v>DBA-1992</v>
      </c>
      <c r="C2816" s="6" t="s">
        <v>11879</v>
      </c>
      <c r="D2816" s="8" t="s">
        <v>17</v>
      </c>
      <c r="E2816" s="6" t="s">
        <v>428</v>
      </c>
      <c r="F2816" s="6" t="s">
        <v>87</v>
      </c>
      <c r="G2816" s="6" t="s">
        <v>11880</v>
      </c>
      <c r="H2816" s="10">
        <v>45876</v>
      </c>
      <c r="I2816" s="6" t="s">
        <v>11881</v>
      </c>
      <c r="J2816" s="6" t="s">
        <v>11197</v>
      </c>
      <c r="K2816" s="6" t="s">
        <v>46</v>
      </c>
      <c r="L2816" s="6" t="s">
        <v>400</v>
      </c>
      <c r="M2816" s="6" t="s">
        <v>11882</v>
      </c>
    </row>
    <row r="2817" spans="1:13" ht="13" x14ac:dyDescent="0.15">
      <c r="A2817" s="5" t="str">
        <f>HYPERLINK("https://onemount.atlassian.net/browse/DBA-2012","DBA-2012")</f>
        <v>DBA-2012</v>
      </c>
      <c r="B2817" s="23" t="str">
        <f t="shared" si="46"/>
        <v>DBA-1992</v>
      </c>
      <c r="C2817" s="6" t="s">
        <v>11883</v>
      </c>
      <c r="D2817" s="8" t="s">
        <v>17</v>
      </c>
      <c r="E2817" s="6" t="s">
        <v>428</v>
      </c>
      <c r="F2817" s="6" t="s">
        <v>87</v>
      </c>
      <c r="G2817" s="6" t="s">
        <v>11884</v>
      </c>
      <c r="H2817" s="10">
        <v>45874</v>
      </c>
      <c r="I2817" s="6" t="s">
        <v>11885</v>
      </c>
      <c r="J2817" s="6" t="s">
        <v>11197</v>
      </c>
      <c r="K2817" s="6" t="s">
        <v>46</v>
      </c>
      <c r="L2817" s="6" t="s">
        <v>400</v>
      </c>
      <c r="M2817" s="6" t="s">
        <v>11886</v>
      </c>
    </row>
    <row r="2818" spans="1:13" ht="13" x14ac:dyDescent="0.15">
      <c r="A2818" s="5" t="str">
        <f>HYPERLINK("https://onemount.atlassian.net/browse/DBA-2011","DBA-2011")</f>
        <v>DBA-2011</v>
      </c>
      <c r="B2818" s="6" t="s">
        <v>21</v>
      </c>
      <c r="C2818" s="6" t="s">
        <v>11887</v>
      </c>
      <c r="D2818" s="8" t="s">
        <v>17</v>
      </c>
      <c r="E2818" s="6" t="s">
        <v>23</v>
      </c>
      <c r="F2818" s="6" t="s">
        <v>31</v>
      </c>
      <c r="G2818" s="6" t="s">
        <v>11888</v>
      </c>
      <c r="H2818" s="10">
        <v>45869</v>
      </c>
      <c r="I2818" s="6" t="s">
        <v>11889</v>
      </c>
      <c r="J2818" s="6" t="s">
        <v>373</v>
      </c>
      <c r="K2818" s="6" t="s">
        <v>35</v>
      </c>
      <c r="L2818" s="6" t="s">
        <v>36</v>
      </c>
      <c r="M2818" s="6" t="s">
        <v>11890</v>
      </c>
    </row>
    <row r="2819" spans="1:13" ht="13" x14ac:dyDescent="0.15">
      <c r="A2819" s="5" t="str">
        <f>HYPERLINK("https://onemount.atlassian.net/browse/DBA-2010","DBA-2010")</f>
        <v>DBA-2010</v>
      </c>
      <c r="B2819" s="6" t="s">
        <v>21</v>
      </c>
      <c r="C2819" s="6" t="s">
        <v>11891</v>
      </c>
      <c r="D2819" s="8" t="s">
        <v>17</v>
      </c>
      <c r="E2819" s="6" t="s">
        <v>23</v>
      </c>
      <c r="F2819" s="6" t="s">
        <v>24</v>
      </c>
      <c r="G2819" s="6" t="s">
        <v>11892</v>
      </c>
      <c r="H2819" s="10">
        <v>45869</v>
      </c>
      <c r="I2819" s="6" t="s">
        <v>11893</v>
      </c>
      <c r="J2819" s="6" t="s">
        <v>39</v>
      </c>
      <c r="K2819" s="6" t="s">
        <v>55</v>
      </c>
      <c r="L2819" s="6" t="s">
        <v>55</v>
      </c>
      <c r="M2819" s="6" t="s">
        <v>11894</v>
      </c>
    </row>
    <row r="2820" spans="1:13" ht="13" x14ac:dyDescent="0.15">
      <c r="A2820" s="5" t="str">
        <f>HYPERLINK("https://onemount.atlassian.net/browse/DBA-2009","DBA-2009")</f>
        <v>DBA-2009</v>
      </c>
      <c r="B2820" s="6" t="s">
        <v>21</v>
      </c>
      <c r="C2820" s="6" t="s">
        <v>11895</v>
      </c>
      <c r="D2820" s="8" t="s">
        <v>17</v>
      </c>
      <c r="E2820" s="6" t="s">
        <v>23</v>
      </c>
      <c r="F2820" s="6" t="s">
        <v>24</v>
      </c>
      <c r="G2820" s="6" t="s">
        <v>11896</v>
      </c>
      <c r="H2820" s="10">
        <v>45869</v>
      </c>
      <c r="I2820" s="6" t="s">
        <v>11897</v>
      </c>
      <c r="J2820" s="6" t="s">
        <v>55</v>
      </c>
      <c r="K2820" s="6" t="s">
        <v>55</v>
      </c>
      <c r="L2820" s="6" t="s">
        <v>39</v>
      </c>
      <c r="M2820" s="6" t="s">
        <v>11898</v>
      </c>
    </row>
    <row r="2821" spans="1:13" ht="13" x14ac:dyDescent="0.15">
      <c r="A2821" s="5" t="str">
        <f>HYPERLINK("https://onemount.atlassian.net/browse/DBA-2008","DBA-2008")</f>
        <v>DBA-2008</v>
      </c>
      <c r="B2821" s="6" t="s">
        <v>21</v>
      </c>
      <c r="C2821" s="6" t="s">
        <v>11899</v>
      </c>
      <c r="D2821" s="8" t="s">
        <v>17</v>
      </c>
      <c r="E2821" s="6" t="s">
        <v>23</v>
      </c>
      <c r="F2821" s="6" t="s">
        <v>96</v>
      </c>
      <c r="G2821" s="6" t="s">
        <v>11900</v>
      </c>
      <c r="H2821" s="10">
        <v>45871</v>
      </c>
      <c r="I2821" s="6" t="s">
        <v>11901</v>
      </c>
      <c r="J2821" s="6" t="s">
        <v>715</v>
      </c>
      <c r="K2821" s="6" t="s">
        <v>165</v>
      </c>
      <c r="L2821" s="6" t="s">
        <v>715</v>
      </c>
      <c r="M2821" s="6" t="s">
        <v>11902</v>
      </c>
    </row>
    <row r="2822" spans="1:13" ht="13" x14ac:dyDescent="0.15">
      <c r="A2822" s="5" t="str">
        <f>HYPERLINK("https://onemount.atlassian.net/browse/DBA-2007","DBA-2007")</f>
        <v>DBA-2007</v>
      </c>
      <c r="B2822" s="6" t="s">
        <v>21</v>
      </c>
      <c r="C2822" s="6" t="s">
        <v>11903</v>
      </c>
      <c r="D2822" s="8" t="s">
        <v>17</v>
      </c>
      <c r="E2822" s="6" t="s">
        <v>23</v>
      </c>
      <c r="F2822" s="6" t="s">
        <v>31</v>
      </c>
      <c r="G2822" s="6" t="s">
        <v>11904</v>
      </c>
      <c r="H2822" s="10">
        <v>45867</v>
      </c>
      <c r="I2822" s="6" t="s">
        <v>11905</v>
      </c>
      <c r="J2822" s="6" t="s">
        <v>11906</v>
      </c>
      <c r="K2822" s="6" t="s">
        <v>35</v>
      </c>
      <c r="L2822" s="6" t="s">
        <v>962</v>
      </c>
      <c r="M2822" s="6" t="s">
        <v>11907</v>
      </c>
    </row>
    <row r="2823" spans="1:13" ht="13" x14ac:dyDescent="0.15">
      <c r="A2823" s="5" t="str">
        <f>HYPERLINK("https://onemount.atlassian.net/browse/DBA-2005","DBA-2005")</f>
        <v>DBA-2005</v>
      </c>
      <c r="B2823" s="6" t="s">
        <v>21</v>
      </c>
      <c r="C2823" s="6" t="s">
        <v>11908</v>
      </c>
      <c r="D2823" s="8" t="s">
        <v>17</v>
      </c>
      <c r="E2823" s="6" t="s">
        <v>23</v>
      </c>
      <c r="F2823" s="6" t="s">
        <v>31</v>
      </c>
      <c r="G2823" s="6" t="s">
        <v>11909</v>
      </c>
      <c r="H2823" s="10">
        <v>45868</v>
      </c>
      <c r="I2823" s="6" t="s">
        <v>11910</v>
      </c>
      <c r="J2823" s="6" t="s">
        <v>34</v>
      </c>
      <c r="K2823" s="6" t="s">
        <v>35</v>
      </c>
      <c r="L2823" s="6" t="s">
        <v>36</v>
      </c>
      <c r="M2823" s="6" t="s">
        <v>11911</v>
      </c>
    </row>
    <row r="2824" spans="1:13" ht="13" x14ac:dyDescent="0.15">
      <c r="A2824" s="5" t="str">
        <f>HYPERLINK("https://onemount.atlassian.net/browse/DBA-2004","DBA-2004")</f>
        <v>DBA-2004</v>
      </c>
      <c r="B2824" s="6" t="s">
        <v>21</v>
      </c>
      <c r="C2824" s="6" t="s">
        <v>11912</v>
      </c>
      <c r="D2824" s="8" t="s">
        <v>17</v>
      </c>
      <c r="E2824" s="6" t="s">
        <v>23</v>
      </c>
      <c r="F2824" s="6" t="s">
        <v>96</v>
      </c>
      <c r="G2824" s="6" t="s">
        <v>11913</v>
      </c>
      <c r="H2824" s="10">
        <v>45868</v>
      </c>
      <c r="I2824" s="6" t="s">
        <v>11914</v>
      </c>
      <c r="J2824" s="6" t="s">
        <v>85</v>
      </c>
      <c r="K2824" s="6" t="s">
        <v>55</v>
      </c>
      <c r="L2824" s="6" t="s">
        <v>85</v>
      </c>
      <c r="M2824" s="6" t="s">
        <v>11915</v>
      </c>
    </row>
    <row r="2825" spans="1:13" ht="13" x14ac:dyDescent="0.15">
      <c r="A2825" s="5" t="str">
        <f>HYPERLINK("https://onemount.atlassian.net/browse/DBA-2003","DBA-2003")</f>
        <v>DBA-2003</v>
      </c>
      <c r="B2825" s="6" t="s">
        <v>21</v>
      </c>
      <c r="C2825" s="6" t="s">
        <v>11916</v>
      </c>
      <c r="D2825" s="8" t="s">
        <v>17</v>
      </c>
      <c r="E2825" s="6" t="s">
        <v>23</v>
      </c>
      <c r="F2825" s="6" t="s">
        <v>96</v>
      </c>
      <c r="G2825" s="6" t="s">
        <v>11917</v>
      </c>
      <c r="H2825" s="10">
        <v>45867</v>
      </c>
      <c r="I2825" s="6" t="s">
        <v>11918</v>
      </c>
      <c r="J2825" s="6" t="s">
        <v>6387</v>
      </c>
      <c r="K2825" s="6" t="s">
        <v>28</v>
      </c>
      <c r="L2825" s="6" t="s">
        <v>27</v>
      </c>
      <c r="M2825" s="6" t="s">
        <v>11919</v>
      </c>
    </row>
    <row r="2826" spans="1:13" ht="13" x14ac:dyDescent="0.15">
      <c r="A2826" s="5" t="str">
        <f>HYPERLINK("https://onemount.atlassian.net/browse/DBA-2001","DBA-2001")</f>
        <v>DBA-2001</v>
      </c>
      <c r="B2826" s="6" t="s">
        <v>21</v>
      </c>
      <c r="C2826" s="6" t="s">
        <v>11920</v>
      </c>
      <c r="D2826" s="8" t="s">
        <v>17</v>
      </c>
      <c r="E2826" s="6" t="s">
        <v>23</v>
      </c>
      <c r="F2826" s="6" t="s">
        <v>96</v>
      </c>
      <c r="G2826" s="6" t="s">
        <v>11921</v>
      </c>
      <c r="H2826" s="10">
        <v>45868</v>
      </c>
      <c r="I2826" s="6" t="s">
        <v>11922</v>
      </c>
      <c r="J2826" s="6" t="s">
        <v>11923</v>
      </c>
      <c r="K2826" s="6" t="s">
        <v>165</v>
      </c>
      <c r="L2826" s="6" t="s">
        <v>1028</v>
      </c>
      <c r="M2826" s="6" t="s">
        <v>11924</v>
      </c>
    </row>
    <row r="2827" spans="1:13" ht="13" x14ac:dyDescent="0.15">
      <c r="A2827" s="5" t="str">
        <f>HYPERLINK("https://onemount.atlassian.net/browse/DBA-2000","DBA-2000")</f>
        <v>DBA-2000</v>
      </c>
      <c r="B2827" s="6" t="s">
        <v>21</v>
      </c>
      <c r="C2827" s="6" t="s">
        <v>11925</v>
      </c>
      <c r="D2827" s="8" t="s">
        <v>17</v>
      </c>
      <c r="E2827" s="6" t="s">
        <v>23</v>
      </c>
      <c r="F2827" s="6" t="s">
        <v>24</v>
      </c>
      <c r="G2827" s="6" t="s">
        <v>11926</v>
      </c>
      <c r="H2827" s="10">
        <v>45866</v>
      </c>
      <c r="I2827" s="6" t="s">
        <v>11927</v>
      </c>
      <c r="J2827" s="6" t="s">
        <v>85</v>
      </c>
      <c r="K2827" s="6" t="s">
        <v>55</v>
      </c>
      <c r="L2827" s="6" t="s">
        <v>270</v>
      </c>
      <c r="M2827" s="6" t="s">
        <v>11928</v>
      </c>
    </row>
    <row r="2828" spans="1:13" ht="13" x14ac:dyDescent="0.15">
      <c r="A2828" s="5" t="str">
        <f>HYPERLINK("https://onemount.atlassian.net/browse/DBA-1999","DBA-1999")</f>
        <v>DBA-1999</v>
      </c>
      <c r="B2828" s="6" t="s">
        <v>21</v>
      </c>
      <c r="C2828" s="6" t="s">
        <v>11929</v>
      </c>
      <c r="D2828" s="8" t="s">
        <v>17</v>
      </c>
      <c r="E2828" s="6" t="s">
        <v>23</v>
      </c>
      <c r="F2828" s="6" t="s">
        <v>96</v>
      </c>
      <c r="G2828" s="6" t="s">
        <v>11930</v>
      </c>
      <c r="H2828" s="10">
        <v>45866</v>
      </c>
      <c r="I2828" s="6" t="s">
        <v>11931</v>
      </c>
      <c r="J2828" s="6" t="s">
        <v>1898</v>
      </c>
      <c r="K2828" s="6" t="s">
        <v>165</v>
      </c>
      <c r="L2828" s="6" t="s">
        <v>1097</v>
      </c>
      <c r="M2828" s="6" t="s">
        <v>11932</v>
      </c>
    </row>
    <row r="2829" spans="1:13" ht="13" x14ac:dyDescent="0.15">
      <c r="A2829" s="5" t="str">
        <f>HYPERLINK("https://onemount.atlassian.net/browse/DBA-1998","DBA-1998")</f>
        <v>DBA-1998</v>
      </c>
      <c r="B2829" s="6" t="s">
        <v>21</v>
      </c>
      <c r="C2829" s="6" t="s">
        <v>11933</v>
      </c>
      <c r="D2829" s="8" t="s">
        <v>17</v>
      </c>
      <c r="E2829" s="6" t="s">
        <v>23</v>
      </c>
      <c r="F2829" s="6" t="s">
        <v>31</v>
      </c>
      <c r="G2829" s="6" t="s">
        <v>11934</v>
      </c>
      <c r="H2829" s="10">
        <v>45867</v>
      </c>
      <c r="I2829" s="6" t="s">
        <v>11935</v>
      </c>
      <c r="J2829" s="6" t="s">
        <v>1182</v>
      </c>
      <c r="K2829" s="6" t="s">
        <v>35</v>
      </c>
      <c r="L2829" s="6" t="s">
        <v>1182</v>
      </c>
      <c r="M2829" s="6" t="s">
        <v>11936</v>
      </c>
    </row>
    <row r="2830" spans="1:13" ht="13" x14ac:dyDescent="0.15">
      <c r="A2830" s="5" t="str">
        <f>HYPERLINK("https://onemount.atlassian.net/browse/DBA-1997","DBA-1997")</f>
        <v>DBA-1997</v>
      </c>
      <c r="B2830" s="6" t="s">
        <v>21</v>
      </c>
      <c r="C2830" s="6" t="s">
        <v>2330</v>
      </c>
      <c r="D2830" s="8" t="s">
        <v>17</v>
      </c>
      <c r="E2830" s="6" t="s">
        <v>23</v>
      </c>
      <c r="F2830" s="6" t="s">
        <v>96</v>
      </c>
      <c r="G2830" s="6" t="s">
        <v>11937</v>
      </c>
      <c r="H2830" s="10">
        <v>45866</v>
      </c>
      <c r="I2830" s="6" t="s">
        <v>11938</v>
      </c>
      <c r="J2830" s="6" t="s">
        <v>55</v>
      </c>
      <c r="K2830" s="6" t="s">
        <v>55</v>
      </c>
      <c r="L2830" s="6" t="s">
        <v>956</v>
      </c>
      <c r="M2830" s="6" t="s">
        <v>11939</v>
      </c>
    </row>
    <row r="2831" spans="1:13" ht="13" x14ac:dyDescent="0.15">
      <c r="A2831" s="5" t="str">
        <f>HYPERLINK("https://onemount.atlassian.net/browse/DBA-1996","DBA-1996")</f>
        <v>DBA-1996</v>
      </c>
      <c r="B2831" s="6" t="s">
        <v>21</v>
      </c>
      <c r="C2831" s="6" t="s">
        <v>11940</v>
      </c>
      <c r="D2831" s="8" t="s">
        <v>17</v>
      </c>
      <c r="E2831" s="6" t="s">
        <v>23</v>
      </c>
      <c r="F2831" s="6" t="s">
        <v>94</v>
      </c>
      <c r="G2831" s="6" t="s">
        <v>11941</v>
      </c>
      <c r="H2831" s="10">
        <v>45866</v>
      </c>
      <c r="I2831" s="6" t="s">
        <v>11942</v>
      </c>
      <c r="J2831" s="6" t="s">
        <v>46</v>
      </c>
      <c r="K2831" s="6" t="s">
        <v>46</v>
      </c>
      <c r="L2831" s="6" t="s">
        <v>46</v>
      </c>
      <c r="M2831" s="6" t="s">
        <v>11943</v>
      </c>
    </row>
    <row r="2832" spans="1:13" ht="13" x14ac:dyDescent="0.15">
      <c r="A2832" s="5" t="str">
        <f>HYPERLINK("https://onemount.atlassian.net/browse/DBA-1995","DBA-1995")</f>
        <v>DBA-1995</v>
      </c>
      <c r="B2832" s="23" t="str">
        <f t="shared" ref="B2832:B2834" si="47">HYPERLINK("https://onemount.atlassian.net/browse/DBA-1992","DBA-1992")</f>
        <v>DBA-1992</v>
      </c>
      <c r="C2832" s="6" t="s">
        <v>11944</v>
      </c>
      <c r="D2832" s="8" t="s">
        <v>17</v>
      </c>
      <c r="E2832" s="6" t="s">
        <v>428</v>
      </c>
      <c r="F2832" s="6" t="s">
        <v>87</v>
      </c>
      <c r="G2832" s="6" t="s">
        <v>11945</v>
      </c>
      <c r="H2832" s="10">
        <v>45871</v>
      </c>
      <c r="I2832" s="6" t="s">
        <v>11946</v>
      </c>
      <c r="J2832" s="6" t="s">
        <v>11197</v>
      </c>
      <c r="K2832" s="6" t="s">
        <v>46</v>
      </c>
      <c r="L2832" s="6" t="s">
        <v>400</v>
      </c>
      <c r="M2832" s="6" t="s">
        <v>11947</v>
      </c>
    </row>
    <row r="2833" spans="1:13" ht="13" x14ac:dyDescent="0.15">
      <c r="A2833" s="5" t="str">
        <f>HYPERLINK("https://onemount.atlassian.net/browse/DBA-1994","DBA-1994")</f>
        <v>DBA-1994</v>
      </c>
      <c r="B2833" s="23" t="str">
        <f t="shared" si="47"/>
        <v>DBA-1992</v>
      </c>
      <c r="C2833" s="6" t="s">
        <v>11948</v>
      </c>
      <c r="D2833" s="8" t="s">
        <v>17</v>
      </c>
      <c r="E2833" s="6" t="s">
        <v>428</v>
      </c>
      <c r="F2833" s="6" t="s">
        <v>87</v>
      </c>
      <c r="G2833" s="6" t="s">
        <v>11949</v>
      </c>
      <c r="H2833" s="10">
        <v>45870</v>
      </c>
      <c r="I2833" s="6" t="s">
        <v>11950</v>
      </c>
      <c r="J2833" s="6" t="s">
        <v>11197</v>
      </c>
      <c r="K2833" s="6" t="s">
        <v>46</v>
      </c>
      <c r="L2833" s="6" t="s">
        <v>400</v>
      </c>
      <c r="M2833" s="6" t="s">
        <v>11951</v>
      </c>
    </row>
    <row r="2834" spans="1:13" ht="13" x14ac:dyDescent="0.15">
      <c r="A2834" s="5" t="str">
        <f>HYPERLINK("https://onemount.atlassian.net/browse/DBA-1993","DBA-1993")</f>
        <v>DBA-1993</v>
      </c>
      <c r="B2834" s="23" t="str">
        <f t="shared" si="47"/>
        <v>DBA-1992</v>
      </c>
      <c r="C2834" s="6" t="s">
        <v>11952</v>
      </c>
      <c r="D2834" s="8" t="s">
        <v>17</v>
      </c>
      <c r="E2834" s="6" t="s">
        <v>428</v>
      </c>
      <c r="F2834" s="6" t="s">
        <v>87</v>
      </c>
      <c r="G2834" s="6" t="s">
        <v>11953</v>
      </c>
      <c r="H2834" s="10">
        <v>45870</v>
      </c>
      <c r="I2834" s="6" t="s">
        <v>11954</v>
      </c>
      <c r="J2834" s="6" t="s">
        <v>11197</v>
      </c>
      <c r="K2834" s="6" t="s">
        <v>46</v>
      </c>
      <c r="L2834" s="6" t="s">
        <v>400</v>
      </c>
      <c r="M2834" s="6" t="s">
        <v>11955</v>
      </c>
    </row>
    <row r="2835" spans="1:13" ht="13" x14ac:dyDescent="0.15">
      <c r="A2835" s="5" t="str">
        <f>HYPERLINK("https://onemount.atlassian.net/browse/DBA-1992","DBA-1992")</f>
        <v>DBA-1992</v>
      </c>
      <c r="B2835" s="6" t="s">
        <v>21</v>
      </c>
      <c r="C2835" s="6" t="s">
        <v>11956</v>
      </c>
      <c r="D2835" s="8" t="s">
        <v>17</v>
      </c>
      <c r="E2835" s="6" t="s">
        <v>1810</v>
      </c>
      <c r="F2835" s="6" t="s">
        <v>87</v>
      </c>
      <c r="G2835" s="6" t="s">
        <v>11957</v>
      </c>
      <c r="H2835" s="10">
        <v>45884</v>
      </c>
      <c r="I2835" s="6" t="s">
        <v>11958</v>
      </c>
      <c r="J2835" s="6" t="s">
        <v>11197</v>
      </c>
      <c r="K2835" s="6" t="s">
        <v>46</v>
      </c>
      <c r="L2835" s="6" t="s">
        <v>400</v>
      </c>
      <c r="M2835" s="6" t="s">
        <v>11959</v>
      </c>
    </row>
    <row r="2836" spans="1:13" ht="13" x14ac:dyDescent="0.15">
      <c r="A2836" s="5" t="str">
        <f>HYPERLINK("https://onemount.atlassian.net/browse/DBA-1991","DBA-1991")</f>
        <v>DBA-1991</v>
      </c>
      <c r="B2836" s="6" t="s">
        <v>21</v>
      </c>
      <c r="C2836" s="6" t="s">
        <v>11960</v>
      </c>
      <c r="D2836" s="8" t="s">
        <v>17</v>
      </c>
      <c r="E2836" s="6" t="s">
        <v>23</v>
      </c>
      <c r="F2836" s="6" t="s">
        <v>96</v>
      </c>
      <c r="G2836" s="6" t="s">
        <v>11961</v>
      </c>
      <c r="H2836" s="10">
        <v>45866</v>
      </c>
      <c r="I2836" s="6" t="s">
        <v>11962</v>
      </c>
      <c r="J2836" s="6" t="s">
        <v>2453</v>
      </c>
      <c r="K2836" s="6" t="s">
        <v>165</v>
      </c>
      <c r="L2836" s="6" t="s">
        <v>119</v>
      </c>
      <c r="M2836" s="6" t="s">
        <v>11963</v>
      </c>
    </row>
    <row r="2837" spans="1:13" ht="13" x14ac:dyDescent="0.15">
      <c r="A2837" s="5" t="str">
        <f>HYPERLINK("https://onemount.atlassian.net/browse/DBA-1990","DBA-1990")</f>
        <v>DBA-1990</v>
      </c>
      <c r="B2837" s="23" t="str">
        <f t="shared" ref="B2837:B2838" si="48">HYPERLINK("https://onemount.atlassian.net/browse/DBA-2023","DBA-2023")</f>
        <v>DBA-2023</v>
      </c>
      <c r="C2837" s="6" t="s">
        <v>11964</v>
      </c>
      <c r="D2837" s="8" t="s">
        <v>17</v>
      </c>
      <c r="E2837" s="6" t="s">
        <v>428</v>
      </c>
      <c r="F2837" s="6" t="s">
        <v>24</v>
      </c>
      <c r="G2837" s="6" t="s">
        <v>11965</v>
      </c>
      <c r="H2837" s="10">
        <v>45867</v>
      </c>
      <c r="I2837" s="6" t="s">
        <v>11966</v>
      </c>
      <c r="J2837" s="6" t="s">
        <v>600</v>
      </c>
      <c r="K2837" s="6" t="s">
        <v>35</v>
      </c>
      <c r="L2837" s="6" t="s">
        <v>600</v>
      </c>
      <c r="M2837" s="6" t="s">
        <v>11967</v>
      </c>
    </row>
    <row r="2838" spans="1:13" ht="13" x14ac:dyDescent="0.15">
      <c r="A2838" s="5" t="str">
        <f>HYPERLINK("https://onemount.atlassian.net/browse/DBA-1989","DBA-1989")</f>
        <v>DBA-1989</v>
      </c>
      <c r="B2838" s="23" t="str">
        <f t="shared" si="48"/>
        <v>DBA-2023</v>
      </c>
      <c r="C2838" s="6" t="s">
        <v>11968</v>
      </c>
      <c r="D2838" s="8" t="s">
        <v>17</v>
      </c>
      <c r="E2838" s="6" t="s">
        <v>428</v>
      </c>
      <c r="F2838" s="6" t="s">
        <v>24</v>
      </c>
      <c r="G2838" s="6" t="s">
        <v>11969</v>
      </c>
      <c r="H2838" s="10">
        <v>45866</v>
      </c>
      <c r="I2838" s="6" t="s">
        <v>11970</v>
      </c>
      <c r="J2838" s="6" t="s">
        <v>600</v>
      </c>
      <c r="K2838" s="6" t="s">
        <v>55</v>
      </c>
      <c r="L2838" s="6" t="s">
        <v>600</v>
      </c>
      <c r="M2838" s="6" t="s">
        <v>11971</v>
      </c>
    </row>
    <row r="2839" spans="1:13" ht="13" x14ac:dyDescent="0.15">
      <c r="A2839" s="5" t="str">
        <f>HYPERLINK("https://onemount.atlassian.net/browse/DBA-1988","DBA-1988")</f>
        <v>DBA-1988</v>
      </c>
      <c r="B2839" s="6" t="s">
        <v>21</v>
      </c>
      <c r="C2839" s="6" t="s">
        <v>11972</v>
      </c>
      <c r="D2839" s="8" t="s">
        <v>17</v>
      </c>
      <c r="E2839" s="6" t="s">
        <v>23</v>
      </c>
      <c r="F2839" s="6" t="s">
        <v>96</v>
      </c>
      <c r="G2839" s="6" t="s">
        <v>11973</v>
      </c>
      <c r="H2839" s="10">
        <v>45866</v>
      </c>
      <c r="I2839" s="6" t="s">
        <v>11974</v>
      </c>
      <c r="J2839" s="6" t="s">
        <v>1091</v>
      </c>
      <c r="K2839" s="6" t="s">
        <v>165</v>
      </c>
      <c r="L2839" s="6" t="s">
        <v>1091</v>
      </c>
      <c r="M2839" s="6" t="s">
        <v>11975</v>
      </c>
    </row>
    <row r="2840" spans="1:13" ht="13" x14ac:dyDescent="0.15">
      <c r="A2840" s="5" t="str">
        <f>HYPERLINK("https://onemount.atlassian.net/browse/DBA-1987","DBA-1987")</f>
        <v>DBA-1987</v>
      </c>
      <c r="B2840" s="6" t="s">
        <v>21</v>
      </c>
      <c r="C2840" s="6" t="s">
        <v>11976</v>
      </c>
      <c r="D2840" s="8" t="s">
        <v>17</v>
      </c>
      <c r="E2840" s="6" t="s">
        <v>23</v>
      </c>
      <c r="F2840" s="6" t="s">
        <v>96</v>
      </c>
      <c r="G2840" s="6" t="s">
        <v>11977</v>
      </c>
      <c r="H2840" s="10">
        <v>45866</v>
      </c>
      <c r="I2840" s="6" t="s">
        <v>11978</v>
      </c>
      <c r="J2840" s="6" t="s">
        <v>1898</v>
      </c>
      <c r="K2840" s="6" t="s">
        <v>165</v>
      </c>
      <c r="L2840" s="6" t="s">
        <v>1097</v>
      </c>
      <c r="M2840" s="6" t="s">
        <v>11979</v>
      </c>
    </row>
    <row r="2841" spans="1:13" ht="13" x14ac:dyDescent="0.15">
      <c r="A2841" s="5" t="str">
        <f>HYPERLINK("https://onemount.atlassian.net/browse/DBA-1986","DBA-1986")</f>
        <v>DBA-1986</v>
      </c>
      <c r="B2841" s="23" t="str">
        <f>HYPERLINK("https://onemount.atlassian.net/browse/DBA-1909","DBA-1909")</f>
        <v>DBA-1909</v>
      </c>
      <c r="C2841" s="6" t="s">
        <v>11980</v>
      </c>
      <c r="D2841" s="8" t="s">
        <v>17</v>
      </c>
      <c r="E2841" s="6" t="s">
        <v>428</v>
      </c>
      <c r="F2841" s="6" t="s">
        <v>31</v>
      </c>
      <c r="G2841" s="6" t="s">
        <v>11981</v>
      </c>
      <c r="H2841" s="10">
        <v>45877</v>
      </c>
      <c r="I2841" s="6" t="s">
        <v>11982</v>
      </c>
      <c r="J2841" s="6" t="s">
        <v>2924</v>
      </c>
      <c r="K2841" s="6" t="s">
        <v>165</v>
      </c>
      <c r="L2841" s="6" t="s">
        <v>600</v>
      </c>
      <c r="M2841" s="6" t="s">
        <v>11983</v>
      </c>
    </row>
    <row r="2842" spans="1:13" ht="13" x14ac:dyDescent="0.15">
      <c r="A2842" s="5" t="str">
        <f>HYPERLINK("https://onemount.atlassian.net/browse/DBA-1985","DBA-1985")</f>
        <v>DBA-1985</v>
      </c>
      <c r="B2842" s="6" t="s">
        <v>21</v>
      </c>
      <c r="C2842" s="6" t="s">
        <v>11984</v>
      </c>
      <c r="D2842" s="8" t="s">
        <v>17</v>
      </c>
      <c r="E2842" s="6" t="s">
        <v>23</v>
      </c>
      <c r="F2842" s="6" t="s">
        <v>24</v>
      </c>
      <c r="G2842" s="6" t="s">
        <v>11985</v>
      </c>
      <c r="H2842" s="10">
        <v>45867</v>
      </c>
      <c r="I2842" s="6" t="s">
        <v>11986</v>
      </c>
      <c r="J2842" s="6" t="s">
        <v>165</v>
      </c>
      <c r="K2842" s="6" t="s">
        <v>165</v>
      </c>
      <c r="L2842" s="6" t="s">
        <v>39</v>
      </c>
      <c r="M2842" s="6" t="s">
        <v>11987</v>
      </c>
    </row>
    <row r="2843" spans="1:13" ht="13" x14ac:dyDescent="0.15">
      <c r="A2843" s="5" t="str">
        <f>HYPERLINK("https://onemount.atlassian.net/browse/DBA-1984","DBA-1984")</f>
        <v>DBA-1984</v>
      </c>
      <c r="B2843" s="6" t="s">
        <v>21</v>
      </c>
      <c r="C2843" s="6" t="s">
        <v>2330</v>
      </c>
      <c r="D2843" s="8" t="s">
        <v>17</v>
      </c>
      <c r="E2843" s="6" t="s">
        <v>23</v>
      </c>
      <c r="F2843" s="6" t="s">
        <v>96</v>
      </c>
      <c r="G2843" s="6" t="s">
        <v>11988</v>
      </c>
      <c r="H2843" s="10">
        <v>45866</v>
      </c>
      <c r="I2843" s="6" t="s">
        <v>11989</v>
      </c>
      <c r="J2843" s="6" t="s">
        <v>55</v>
      </c>
      <c r="K2843" s="6" t="s">
        <v>55</v>
      </c>
      <c r="L2843" s="6" t="s">
        <v>712</v>
      </c>
      <c r="M2843" s="6" t="s">
        <v>11990</v>
      </c>
    </row>
    <row r="2844" spans="1:13" ht="13" x14ac:dyDescent="0.15">
      <c r="A2844" s="5" t="str">
        <f>HYPERLINK("https://onemount.atlassian.net/browse/DBA-1983","DBA-1983")</f>
        <v>DBA-1983</v>
      </c>
      <c r="B2844" s="23" t="str">
        <f>HYPERLINK("https://onemount.atlassian.net/browse/DBA-2062","DBA-2062")</f>
        <v>DBA-2062</v>
      </c>
      <c r="C2844" s="6" t="s">
        <v>11991</v>
      </c>
      <c r="D2844" s="8" t="s">
        <v>17</v>
      </c>
      <c r="E2844" s="6" t="s">
        <v>428</v>
      </c>
      <c r="F2844" s="6" t="s">
        <v>24</v>
      </c>
      <c r="G2844" s="6" t="s">
        <v>11992</v>
      </c>
      <c r="H2844" s="10">
        <v>45866</v>
      </c>
      <c r="I2844" s="6" t="s">
        <v>11993</v>
      </c>
      <c r="J2844" s="6" t="s">
        <v>7825</v>
      </c>
      <c r="K2844" s="6" t="s">
        <v>55</v>
      </c>
      <c r="L2844" s="6" t="s">
        <v>925</v>
      </c>
      <c r="M2844" s="6" t="s">
        <v>11994</v>
      </c>
    </row>
    <row r="2845" spans="1:13" ht="13" x14ac:dyDescent="0.15">
      <c r="A2845" s="5" t="str">
        <f>HYPERLINK("https://onemount.atlassian.net/browse/DBA-1982","DBA-1982")</f>
        <v>DBA-1982</v>
      </c>
      <c r="B2845" s="23" t="str">
        <f>HYPERLINK("https://onemount.atlassian.net/browse/DBA-2023","DBA-2023")</f>
        <v>DBA-2023</v>
      </c>
      <c r="C2845" s="6" t="s">
        <v>11995</v>
      </c>
      <c r="D2845" s="8" t="s">
        <v>17</v>
      </c>
      <c r="E2845" s="6" t="s">
        <v>428</v>
      </c>
      <c r="F2845" s="6" t="s">
        <v>24</v>
      </c>
      <c r="G2845" s="6" t="s">
        <v>11996</v>
      </c>
      <c r="H2845" s="10">
        <v>45865</v>
      </c>
      <c r="I2845" s="6" t="s">
        <v>11997</v>
      </c>
      <c r="J2845" s="6" t="s">
        <v>11998</v>
      </c>
      <c r="K2845" s="6" t="s">
        <v>35</v>
      </c>
      <c r="L2845" s="6" t="s">
        <v>600</v>
      </c>
      <c r="M2845" s="6" t="s">
        <v>11999</v>
      </c>
    </row>
    <row r="2846" spans="1:13" ht="13" x14ac:dyDescent="0.15">
      <c r="A2846" s="5" t="str">
        <f>HYPERLINK("https://onemount.atlassian.net/browse/DBA-1981","DBA-1981")</f>
        <v>DBA-1981</v>
      </c>
      <c r="B2846" s="6" t="s">
        <v>21</v>
      </c>
      <c r="C2846" s="6" t="s">
        <v>12000</v>
      </c>
      <c r="D2846" s="8" t="s">
        <v>17</v>
      </c>
      <c r="E2846" s="6" t="s">
        <v>23</v>
      </c>
      <c r="F2846" s="6" t="s">
        <v>96</v>
      </c>
      <c r="G2846" s="6" t="s">
        <v>12001</v>
      </c>
      <c r="H2846" s="10">
        <v>45866</v>
      </c>
      <c r="I2846" s="6" t="s">
        <v>12002</v>
      </c>
      <c r="J2846" s="6" t="s">
        <v>165</v>
      </c>
      <c r="K2846" s="6" t="s">
        <v>165</v>
      </c>
      <c r="L2846" s="6" t="s">
        <v>1091</v>
      </c>
      <c r="M2846" s="6" t="s">
        <v>12003</v>
      </c>
    </row>
    <row r="2847" spans="1:13" ht="13" x14ac:dyDescent="0.15">
      <c r="A2847" s="5" t="str">
        <f>HYPERLINK("https://onemount.atlassian.net/browse/DBA-1980","DBA-1980")</f>
        <v>DBA-1980</v>
      </c>
      <c r="B2847" s="6" t="s">
        <v>21</v>
      </c>
      <c r="C2847" s="6" t="s">
        <v>12004</v>
      </c>
      <c r="D2847" s="8" t="s">
        <v>17</v>
      </c>
      <c r="E2847" s="6" t="s">
        <v>23</v>
      </c>
      <c r="F2847" s="6" t="s">
        <v>31</v>
      </c>
      <c r="G2847" s="6" t="s">
        <v>12005</v>
      </c>
      <c r="H2847" s="10">
        <v>45865</v>
      </c>
      <c r="I2847" s="6" t="s">
        <v>12006</v>
      </c>
      <c r="J2847" s="6" t="s">
        <v>855</v>
      </c>
      <c r="K2847" s="6" t="s">
        <v>55</v>
      </c>
      <c r="L2847" s="6" t="s">
        <v>855</v>
      </c>
      <c r="M2847" s="6" t="s">
        <v>12007</v>
      </c>
    </row>
    <row r="2848" spans="1:13" ht="13" x14ac:dyDescent="0.15">
      <c r="A2848" s="5" t="str">
        <f>HYPERLINK("https://onemount.atlassian.net/browse/DBA-1979","DBA-1979")</f>
        <v>DBA-1979</v>
      </c>
      <c r="B2848" s="6" t="s">
        <v>21</v>
      </c>
      <c r="C2848" s="6" t="s">
        <v>12008</v>
      </c>
      <c r="D2848" s="8" t="s">
        <v>17</v>
      </c>
      <c r="E2848" s="6" t="s">
        <v>23</v>
      </c>
      <c r="F2848" s="6" t="s">
        <v>31</v>
      </c>
      <c r="G2848" s="6" t="s">
        <v>12009</v>
      </c>
      <c r="H2848" s="10">
        <v>45864</v>
      </c>
      <c r="I2848" s="6" t="s">
        <v>12010</v>
      </c>
      <c r="J2848" s="6" t="s">
        <v>852</v>
      </c>
      <c r="K2848" s="6" t="s">
        <v>55</v>
      </c>
      <c r="L2848" s="6" t="s">
        <v>855</v>
      </c>
      <c r="M2848" s="6" t="s">
        <v>12011</v>
      </c>
    </row>
    <row r="2849" spans="1:13" ht="13" x14ac:dyDescent="0.15">
      <c r="A2849" s="5" t="str">
        <f>HYPERLINK("https://onemount.atlassian.net/browse/DBA-1978","DBA-1978")</f>
        <v>DBA-1978</v>
      </c>
      <c r="B2849" s="6" t="s">
        <v>21</v>
      </c>
      <c r="C2849" s="6" t="s">
        <v>12012</v>
      </c>
      <c r="D2849" s="8" t="s">
        <v>17</v>
      </c>
      <c r="E2849" s="6" t="s">
        <v>23</v>
      </c>
      <c r="F2849" s="6" t="s">
        <v>24</v>
      </c>
      <c r="G2849" s="6" t="s">
        <v>12013</v>
      </c>
      <c r="H2849" s="10">
        <v>45867</v>
      </c>
      <c r="I2849" s="6" t="s">
        <v>12014</v>
      </c>
      <c r="J2849" s="6" t="s">
        <v>165</v>
      </c>
      <c r="K2849" s="6" t="s">
        <v>165</v>
      </c>
      <c r="L2849" s="6" t="s">
        <v>39</v>
      </c>
      <c r="M2849" s="6" t="s">
        <v>12015</v>
      </c>
    </row>
    <row r="2850" spans="1:13" ht="13" x14ac:dyDescent="0.15">
      <c r="A2850" s="5" t="str">
        <f>HYPERLINK("https://onemount.atlassian.net/browse/DBA-1977","DBA-1977")</f>
        <v>DBA-1977</v>
      </c>
      <c r="B2850" s="6" t="s">
        <v>21</v>
      </c>
      <c r="C2850" s="6" t="s">
        <v>12016</v>
      </c>
      <c r="D2850" s="8" t="s">
        <v>17</v>
      </c>
      <c r="E2850" s="6" t="s">
        <v>23</v>
      </c>
      <c r="F2850" s="6" t="s">
        <v>31</v>
      </c>
      <c r="G2850" s="6" t="s">
        <v>12017</v>
      </c>
      <c r="H2850" s="10">
        <v>45864</v>
      </c>
      <c r="I2850" s="6" t="s">
        <v>12018</v>
      </c>
      <c r="J2850" s="6" t="s">
        <v>374</v>
      </c>
      <c r="K2850" s="6" t="s">
        <v>35</v>
      </c>
      <c r="L2850" s="6" t="s">
        <v>374</v>
      </c>
      <c r="M2850" s="6" t="s">
        <v>12019</v>
      </c>
    </row>
    <row r="2851" spans="1:13" ht="13" x14ac:dyDescent="0.15">
      <c r="A2851" s="5" t="str">
        <f>HYPERLINK("https://onemount.atlassian.net/browse/DBA-1976","DBA-1976")</f>
        <v>DBA-1976</v>
      </c>
      <c r="B2851" s="6" t="s">
        <v>21</v>
      </c>
      <c r="C2851" s="6" t="s">
        <v>12020</v>
      </c>
      <c r="D2851" s="8" t="s">
        <v>17</v>
      </c>
      <c r="E2851" s="6" t="s">
        <v>23</v>
      </c>
      <c r="F2851" s="6" t="s">
        <v>31</v>
      </c>
      <c r="G2851" s="6" t="s">
        <v>12021</v>
      </c>
      <c r="H2851" s="10">
        <v>45863</v>
      </c>
      <c r="I2851" s="6" t="s">
        <v>12022</v>
      </c>
      <c r="J2851" s="6" t="s">
        <v>12023</v>
      </c>
      <c r="K2851" s="6" t="s">
        <v>35</v>
      </c>
      <c r="L2851" s="6" t="s">
        <v>276</v>
      </c>
      <c r="M2851" s="6" t="s">
        <v>12024</v>
      </c>
    </row>
    <row r="2852" spans="1:13" ht="13" x14ac:dyDescent="0.15">
      <c r="A2852" s="5" t="str">
        <f>HYPERLINK("https://onemount.atlassian.net/browse/DBA-1975","DBA-1975")</f>
        <v>DBA-1975</v>
      </c>
      <c r="B2852" s="6" t="s">
        <v>21</v>
      </c>
      <c r="C2852" s="6" t="s">
        <v>12025</v>
      </c>
      <c r="D2852" s="8" t="s">
        <v>17</v>
      </c>
      <c r="E2852" s="6" t="s">
        <v>23</v>
      </c>
      <c r="F2852" s="6" t="s">
        <v>31</v>
      </c>
      <c r="G2852" s="6" t="s">
        <v>12026</v>
      </c>
      <c r="H2852" s="10">
        <v>45863</v>
      </c>
      <c r="I2852" s="6" t="s">
        <v>12027</v>
      </c>
      <c r="J2852" s="6" t="s">
        <v>276</v>
      </c>
      <c r="K2852" s="6" t="s">
        <v>35</v>
      </c>
      <c r="L2852" s="6" t="s">
        <v>276</v>
      </c>
      <c r="M2852" s="6" t="s">
        <v>12028</v>
      </c>
    </row>
    <row r="2853" spans="1:13" ht="13" x14ac:dyDescent="0.15">
      <c r="A2853" s="5" t="str">
        <f>HYPERLINK("https://onemount.atlassian.net/browse/DBA-1974","DBA-1974")</f>
        <v>DBA-1974</v>
      </c>
      <c r="B2853" s="6" t="s">
        <v>21</v>
      </c>
      <c r="C2853" s="6" t="s">
        <v>12029</v>
      </c>
      <c r="D2853" s="8" t="s">
        <v>17</v>
      </c>
      <c r="E2853" s="6" t="s">
        <v>23</v>
      </c>
      <c r="F2853" s="6" t="s">
        <v>24</v>
      </c>
      <c r="G2853" s="6" t="s">
        <v>12030</v>
      </c>
      <c r="H2853" s="10">
        <v>45864</v>
      </c>
      <c r="I2853" s="6" t="s">
        <v>12031</v>
      </c>
      <c r="J2853" s="6" t="s">
        <v>9084</v>
      </c>
      <c r="K2853" s="6" t="s">
        <v>28</v>
      </c>
      <c r="L2853" s="6" t="s">
        <v>715</v>
      </c>
      <c r="M2853" s="6" t="s">
        <v>12032</v>
      </c>
    </row>
    <row r="2854" spans="1:13" ht="13" x14ac:dyDescent="0.15">
      <c r="A2854" s="5" t="str">
        <f>HYPERLINK("https://onemount.atlassian.net/browse/DBA-1973","DBA-1973")</f>
        <v>DBA-1973</v>
      </c>
      <c r="B2854" s="6" t="s">
        <v>21</v>
      </c>
      <c r="C2854" s="6" t="s">
        <v>12033</v>
      </c>
      <c r="D2854" s="8" t="s">
        <v>17</v>
      </c>
      <c r="E2854" s="6" t="s">
        <v>23</v>
      </c>
      <c r="F2854" s="6" t="s">
        <v>24</v>
      </c>
      <c r="G2854" s="6" t="s">
        <v>12034</v>
      </c>
      <c r="H2854" s="10">
        <v>45865</v>
      </c>
      <c r="I2854" s="6" t="s">
        <v>12035</v>
      </c>
      <c r="J2854" s="6" t="s">
        <v>55</v>
      </c>
      <c r="K2854" s="6" t="s">
        <v>55</v>
      </c>
      <c r="L2854" s="6" t="s">
        <v>855</v>
      </c>
      <c r="M2854" s="6" t="s">
        <v>12036</v>
      </c>
    </row>
    <row r="2855" spans="1:13" ht="13" x14ac:dyDescent="0.15">
      <c r="A2855" s="5" t="str">
        <f>HYPERLINK("https://onemount.atlassian.net/browse/DBA-1972","DBA-1972")</f>
        <v>DBA-1972</v>
      </c>
      <c r="B2855" s="6" t="s">
        <v>21</v>
      </c>
      <c r="C2855" s="6" t="s">
        <v>12037</v>
      </c>
      <c r="D2855" s="8" t="s">
        <v>17</v>
      </c>
      <c r="E2855" s="6" t="s">
        <v>23</v>
      </c>
      <c r="F2855" s="6" t="s">
        <v>31</v>
      </c>
      <c r="G2855" s="6" t="s">
        <v>12038</v>
      </c>
      <c r="H2855" s="10">
        <v>45864</v>
      </c>
      <c r="I2855" s="6" t="s">
        <v>12039</v>
      </c>
      <c r="J2855" s="6" t="s">
        <v>56</v>
      </c>
      <c r="K2855" s="6" t="s">
        <v>55</v>
      </c>
      <c r="L2855" s="6" t="s">
        <v>56</v>
      </c>
      <c r="M2855" s="6" t="s">
        <v>12040</v>
      </c>
    </row>
    <row r="2856" spans="1:13" ht="13" x14ac:dyDescent="0.15">
      <c r="A2856" s="5" t="str">
        <f>HYPERLINK("https://onemount.atlassian.net/browse/DBA-1971","DBA-1971")</f>
        <v>DBA-1971</v>
      </c>
      <c r="B2856" s="6" t="s">
        <v>21</v>
      </c>
      <c r="C2856" s="6" t="s">
        <v>12041</v>
      </c>
      <c r="D2856" s="8" t="s">
        <v>17</v>
      </c>
      <c r="E2856" s="6" t="s">
        <v>23</v>
      </c>
      <c r="F2856" s="6" t="s">
        <v>96</v>
      </c>
      <c r="G2856" s="6" t="s">
        <v>12042</v>
      </c>
      <c r="H2856" s="10">
        <v>45862</v>
      </c>
      <c r="I2856" s="6" t="s">
        <v>12043</v>
      </c>
      <c r="J2856" s="6" t="s">
        <v>3443</v>
      </c>
      <c r="K2856" s="6" t="s">
        <v>28</v>
      </c>
      <c r="L2856" s="6" t="s">
        <v>1116</v>
      </c>
      <c r="M2856" s="6" t="s">
        <v>12044</v>
      </c>
    </row>
    <row r="2857" spans="1:13" ht="13" x14ac:dyDescent="0.15">
      <c r="A2857" s="5" t="str">
        <f>HYPERLINK("https://onemount.atlassian.net/browse/DBA-1970","DBA-1970")</f>
        <v>DBA-1970</v>
      </c>
      <c r="B2857" s="6" t="s">
        <v>21</v>
      </c>
      <c r="C2857" s="6" t="s">
        <v>12045</v>
      </c>
      <c r="D2857" s="8" t="s">
        <v>17</v>
      </c>
      <c r="E2857" s="6" t="s">
        <v>23</v>
      </c>
      <c r="F2857" s="6" t="s">
        <v>96</v>
      </c>
      <c r="G2857" s="6" t="s">
        <v>12046</v>
      </c>
      <c r="H2857" s="10">
        <v>45862</v>
      </c>
      <c r="I2857" s="6" t="s">
        <v>12047</v>
      </c>
      <c r="J2857" s="6" t="s">
        <v>2453</v>
      </c>
      <c r="K2857" s="6" t="s">
        <v>165</v>
      </c>
      <c r="L2857" s="6" t="s">
        <v>119</v>
      </c>
      <c r="M2857" s="6" t="s">
        <v>12048</v>
      </c>
    </row>
    <row r="2858" spans="1:13" ht="13" x14ac:dyDescent="0.15">
      <c r="A2858" s="21" t="str">
        <f>HYPERLINK("https://onemount.atlassian.net/browse/DBA-1969","DBA-1969")</f>
        <v>DBA-1969</v>
      </c>
      <c r="B2858" s="6" t="s">
        <v>21</v>
      </c>
      <c r="C2858" s="6" t="s">
        <v>9581</v>
      </c>
      <c r="D2858" s="8" t="s">
        <v>17</v>
      </c>
      <c r="E2858" s="6" t="s">
        <v>23</v>
      </c>
      <c r="F2858" s="6" t="s">
        <v>96</v>
      </c>
      <c r="G2858" s="6" t="s">
        <v>12049</v>
      </c>
      <c r="H2858" s="10">
        <v>45862</v>
      </c>
      <c r="I2858" s="6" t="s">
        <v>12050</v>
      </c>
      <c r="J2858" s="6" t="s">
        <v>8065</v>
      </c>
      <c r="K2858" s="6" t="s">
        <v>165</v>
      </c>
      <c r="L2858" s="6" t="s">
        <v>1084</v>
      </c>
      <c r="M2858" s="6" t="s">
        <v>9584</v>
      </c>
    </row>
    <row r="2859" spans="1:13" ht="13" x14ac:dyDescent="0.15">
      <c r="A2859" s="5" t="str">
        <f>HYPERLINK("https://onemount.atlassian.net/browse/DBA-1967","DBA-1967")</f>
        <v>DBA-1967</v>
      </c>
      <c r="B2859" s="6" t="s">
        <v>21</v>
      </c>
      <c r="C2859" s="6" t="s">
        <v>12051</v>
      </c>
      <c r="D2859" s="8" t="s">
        <v>17</v>
      </c>
      <c r="E2859" s="6" t="s">
        <v>23</v>
      </c>
      <c r="F2859" s="6" t="s">
        <v>31</v>
      </c>
      <c r="G2859" s="6" t="s">
        <v>12052</v>
      </c>
      <c r="H2859" s="10">
        <v>45863</v>
      </c>
      <c r="I2859" s="6" t="s">
        <v>12053</v>
      </c>
      <c r="J2859" s="6" t="s">
        <v>85</v>
      </c>
      <c r="K2859" s="6" t="s">
        <v>55</v>
      </c>
      <c r="L2859" s="6" t="s">
        <v>270</v>
      </c>
      <c r="M2859" s="6" t="s">
        <v>12054</v>
      </c>
    </row>
    <row r="2860" spans="1:13" ht="13" x14ac:dyDescent="0.15">
      <c r="A2860" s="5" t="str">
        <f>HYPERLINK("https://onemount.atlassian.net/browse/DBA-1966","DBA-1966")</f>
        <v>DBA-1966</v>
      </c>
      <c r="B2860" s="23" t="str">
        <f>HYPERLINK("https://onemount.atlassian.net/browse/DBA-1909","DBA-1909")</f>
        <v>DBA-1909</v>
      </c>
      <c r="C2860" s="6" t="s">
        <v>12055</v>
      </c>
      <c r="D2860" s="8" t="s">
        <v>17</v>
      </c>
      <c r="E2860" s="6" t="s">
        <v>428</v>
      </c>
      <c r="F2860" s="6" t="s">
        <v>24</v>
      </c>
      <c r="G2860" s="6" t="s">
        <v>12056</v>
      </c>
      <c r="H2860" s="10">
        <v>45862</v>
      </c>
      <c r="I2860" s="6" t="s">
        <v>12057</v>
      </c>
      <c r="J2860" s="6" t="s">
        <v>600</v>
      </c>
      <c r="K2860" s="6" t="s">
        <v>165</v>
      </c>
      <c r="L2860" s="6" t="s">
        <v>600</v>
      </c>
      <c r="M2860" s="6" t="s">
        <v>12058</v>
      </c>
    </row>
    <row r="2861" spans="1:13" ht="13" x14ac:dyDescent="0.15">
      <c r="A2861" s="5" t="str">
        <f>HYPERLINK("https://onemount.atlassian.net/browse/DBA-1965","DBA-1965")</f>
        <v>DBA-1965</v>
      </c>
      <c r="B2861" s="6" t="s">
        <v>21</v>
      </c>
      <c r="C2861" s="6" t="s">
        <v>12059</v>
      </c>
      <c r="D2861" s="8" t="s">
        <v>17</v>
      </c>
      <c r="E2861" s="6" t="s">
        <v>23</v>
      </c>
      <c r="F2861" s="6" t="s">
        <v>96</v>
      </c>
      <c r="G2861" s="6" t="s">
        <v>12060</v>
      </c>
      <c r="H2861" s="10">
        <v>45861</v>
      </c>
      <c r="I2861" s="6" t="s">
        <v>12061</v>
      </c>
      <c r="J2861" s="6" t="s">
        <v>1030</v>
      </c>
      <c r="K2861" s="6" t="s">
        <v>165</v>
      </c>
      <c r="L2861" s="6" t="s">
        <v>1032</v>
      </c>
      <c r="M2861" s="6" t="s">
        <v>12062</v>
      </c>
    </row>
    <row r="2862" spans="1:13" ht="13" x14ac:dyDescent="0.15">
      <c r="A2862" s="5" t="str">
        <f>HYPERLINK("https://onemount.atlassian.net/browse/DBA-1964","DBA-1964")</f>
        <v>DBA-1964</v>
      </c>
      <c r="B2862" s="6" t="s">
        <v>21</v>
      </c>
      <c r="C2862" s="6" t="s">
        <v>12063</v>
      </c>
      <c r="D2862" s="8" t="s">
        <v>17</v>
      </c>
      <c r="E2862" s="6" t="s">
        <v>23</v>
      </c>
      <c r="F2862" s="6" t="s">
        <v>31</v>
      </c>
      <c r="G2862" s="6" t="s">
        <v>12064</v>
      </c>
      <c r="H2862" s="10">
        <v>45861</v>
      </c>
      <c r="I2862" s="6" t="s">
        <v>12065</v>
      </c>
      <c r="J2862" s="6" t="s">
        <v>12066</v>
      </c>
      <c r="K2862" s="6" t="s">
        <v>35</v>
      </c>
      <c r="L2862" s="6" t="s">
        <v>276</v>
      </c>
      <c r="M2862" s="6" t="s">
        <v>12067</v>
      </c>
    </row>
    <row r="2863" spans="1:13" ht="13" x14ac:dyDescent="0.15">
      <c r="A2863" s="5" t="str">
        <f>HYPERLINK("https://onemount.atlassian.net/browse/DBA-1963","DBA-1963")</f>
        <v>DBA-1963</v>
      </c>
      <c r="B2863" s="23" t="str">
        <f>HYPERLINK("https://onemount.atlassian.net/browse/DBA-2062","DBA-2062")</f>
        <v>DBA-2062</v>
      </c>
      <c r="C2863" s="6" t="s">
        <v>12068</v>
      </c>
      <c r="D2863" s="8" t="s">
        <v>17</v>
      </c>
      <c r="E2863" s="6" t="s">
        <v>428</v>
      </c>
      <c r="F2863" s="6" t="s">
        <v>24</v>
      </c>
      <c r="G2863" s="6" t="s">
        <v>12069</v>
      </c>
      <c r="H2863" s="10">
        <v>45862</v>
      </c>
      <c r="I2863" s="6" t="s">
        <v>12070</v>
      </c>
      <c r="J2863" s="6" t="s">
        <v>7825</v>
      </c>
      <c r="K2863" s="6" t="s">
        <v>55</v>
      </c>
      <c r="L2863" s="6" t="s">
        <v>772</v>
      </c>
      <c r="M2863" s="6" t="s">
        <v>12071</v>
      </c>
    </row>
    <row r="2864" spans="1:13" ht="13" x14ac:dyDescent="0.15">
      <c r="A2864" s="5" t="str">
        <f>HYPERLINK("https://onemount.atlassian.net/browse/DBA-1962","DBA-1962")</f>
        <v>DBA-1962</v>
      </c>
      <c r="B2864" s="6" t="s">
        <v>21</v>
      </c>
      <c r="C2864" s="6" t="s">
        <v>12059</v>
      </c>
      <c r="D2864" s="8" t="s">
        <v>17</v>
      </c>
      <c r="E2864" s="6" t="s">
        <v>23</v>
      </c>
      <c r="F2864" s="6" t="s">
        <v>96</v>
      </c>
      <c r="G2864" s="6" t="s">
        <v>12072</v>
      </c>
      <c r="H2864" s="10">
        <v>45862</v>
      </c>
      <c r="I2864" s="6" t="s">
        <v>12073</v>
      </c>
      <c r="J2864" s="6" t="s">
        <v>1030</v>
      </c>
      <c r="K2864" s="6" t="s">
        <v>165</v>
      </c>
      <c r="L2864" s="6" t="s">
        <v>1030</v>
      </c>
      <c r="M2864" s="6" t="s">
        <v>12074</v>
      </c>
    </row>
    <row r="2865" spans="1:13" ht="13" x14ac:dyDescent="0.15">
      <c r="A2865" s="5" t="str">
        <f>HYPERLINK("https://onemount.atlassian.net/browse/DBA-1961","DBA-1961")</f>
        <v>DBA-1961</v>
      </c>
      <c r="B2865" s="6" t="s">
        <v>21</v>
      </c>
      <c r="C2865" s="6" t="s">
        <v>12075</v>
      </c>
      <c r="D2865" s="8" t="s">
        <v>17</v>
      </c>
      <c r="E2865" s="6" t="s">
        <v>23</v>
      </c>
      <c r="F2865" s="6" t="s">
        <v>31</v>
      </c>
      <c r="G2865" s="6" t="s">
        <v>12076</v>
      </c>
      <c r="H2865" s="10">
        <v>45862</v>
      </c>
      <c r="I2865" s="6" t="s">
        <v>12077</v>
      </c>
      <c r="J2865" s="6" t="s">
        <v>373</v>
      </c>
      <c r="K2865" s="6" t="s">
        <v>35</v>
      </c>
      <c r="L2865" s="6" t="s">
        <v>36</v>
      </c>
      <c r="M2865" s="6" t="s">
        <v>12078</v>
      </c>
    </row>
    <row r="2866" spans="1:13" ht="13" x14ac:dyDescent="0.15">
      <c r="A2866" s="5" t="str">
        <f>HYPERLINK("https://onemount.atlassian.net/browse/DBA-1960","DBA-1960")</f>
        <v>DBA-1960</v>
      </c>
      <c r="B2866" s="6" t="s">
        <v>21</v>
      </c>
      <c r="C2866" s="6" t="s">
        <v>12079</v>
      </c>
      <c r="D2866" s="8" t="s">
        <v>17</v>
      </c>
      <c r="E2866" s="6" t="s">
        <v>23</v>
      </c>
      <c r="F2866" s="6" t="s">
        <v>96</v>
      </c>
      <c r="G2866" s="6" t="s">
        <v>12080</v>
      </c>
      <c r="H2866" s="10">
        <v>45861</v>
      </c>
      <c r="I2866" s="6" t="s">
        <v>12081</v>
      </c>
      <c r="J2866" s="6" t="s">
        <v>12082</v>
      </c>
      <c r="K2866" s="6" t="s">
        <v>165</v>
      </c>
      <c r="L2866" s="6" t="s">
        <v>1032</v>
      </c>
      <c r="M2866" s="6" t="s">
        <v>12083</v>
      </c>
    </row>
    <row r="2867" spans="1:13" ht="13" x14ac:dyDescent="0.15">
      <c r="A2867" s="5" t="str">
        <f>HYPERLINK("https://onemount.atlassian.net/browse/DBA-1959","DBA-1959")</f>
        <v>DBA-1959</v>
      </c>
      <c r="B2867" s="6" t="s">
        <v>21</v>
      </c>
      <c r="C2867" s="6" t="s">
        <v>11972</v>
      </c>
      <c r="D2867" s="8" t="s">
        <v>17</v>
      </c>
      <c r="E2867" s="6" t="s">
        <v>23</v>
      </c>
      <c r="F2867" s="6" t="s">
        <v>96</v>
      </c>
      <c r="G2867" s="6" t="s">
        <v>12084</v>
      </c>
      <c r="H2867" s="10">
        <v>45861</v>
      </c>
      <c r="I2867" s="6" t="s">
        <v>12085</v>
      </c>
      <c r="J2867" s="6" t="s">
        <v>1091</v>
      </c>
      <c r="K2867" s="6" t="s">
        <v>165</v>
      </c>
      <c r="L2867" s="6" t="s">
        <v>1091</v>
      </c>
      <c r="M2867" s="6" t="s">
        <v>12086</v>
      </c>
    </row>
    <row r="2868" spans="1:13" ht="13" x14ac:dyDescent="0.15">
      <c r="A2868" s="5" t="str">
        <f>HYPERLINK("https://onemount.atlassian.net/browse/DBA-1958","DBA-1958")</f>
        <v>DBA-1958</v>
      </c>
      <c r="B2868" s="6" t="s">
        <v>21</v>
      </c>
      <c r="C2868" s="6" t="s">
        <v>12087</v>
      </c>
      <c r="D2868" s="8" t="s">
        <v>17</v>
      </c>
      <c r="E2868" s="6" t="s">
        <v>23</v>
      </c>
      <c r="F2868" s="6" t="s">
        <v>24</v>
      </c>
      <c r="G2868" s="6" t="s">
        <v>12088</v>
      </c>
      <c r="H2868" s="10">
        <v>45862</v>
      </c>
      <c r="I2868" s="6" t="s">
        <v>12089</v>
      </c>
      <c r="J2868" s="6" t="s">
        <v>56</v>
      </c>
      <c r="K2868" s="6" t="s">
        <v>55</v>
      </c>
      <c r="L2868" s="6" t="s">
        <v>56</v>
      </c>
      <c r="M2868" s="6" t="s">
        <v>12090</v>
      </c>
    </row>
    <row r="2869" spans="1:13" ht="13" x14ac:dyDescent="0.15">
      <c r="A2869" s="5" t="str">
        <f>HYPERLINK("https://onemount.atlassian.net/browse/DBA-1957","DBA-1957")</f>
        <v>DBA-1957</v>
      </c>
      <c r="B2869" s="6" t="s">
        <v>21</v>
      </c>
      <c r="C2869" s="6" t="s">
        <v>12091</v>
      </c>
      <c r="D2869" s="8" t="s">
        <v>17</v>
      </c>
      <c r="E2869" s="6" t="s">
        <v>23</v>
      </c>
      <c r="F2869" s="6" t="s">
        <v>31</v>
      </c>
      <c r="G2869" s="6" t="s">
        <v>12092</v>
      </c>
      <c r="H2869" s="10">
        <v>45862</v>
      </c>
      <c r="I2869" s="6" t="s">
        <v>12093</v>
      </c>
      <c r="J2869" s="6" t="s">
        <v>715</v>
      </c>
      <c r="K2869" s="6" t="s">
        <v>55</v>
      </c>
      <c r="L2869" s="6" t="s">
        <v>715</v>
      </c>
      <c r="M2869" s="6" t="s">
        <v>12094</v>
      </c>
    </row>
    <row r="2870" spans="1:13" ht="13" x14ac:dyDescent="0.15">
      <c r="A2870" s="5" t="str">
        <f>HYPERLINK("https://onemount.atlassian.net/browse/DBA-1956","DBA-1956")</f>
        <v>DBA-1956</v>
      </c>
      <c r="B2870" s="6" t="s">
        <v>21</v>
      </c>
      <c r="C2870" s="6" t="s">
        <v>12095</v>
      </c>
      <c r="D2870" s="8" t="s">
        <v>17</v>
      </c>
      <c r="E2870" s="6" t="s">
        <v>23</v>
      </c>
      <c r="F2870" s="6" t="s">
        <v>96</v>
      </c>
      <c r="G2870" s="6" t="s">
        <v>12096</v>
      </c>
      <c r="H2870" s="10">
        <v>45860</v>
      </c>
      <c r="I2870" s="6" t="s">
        <v>12097</v>
      </c>
      <c r="J2870" s="6" t="s">
        <v>8773</v>
      </c>
      <c r="K2870" s="6" t="s">
        <v>165</v>
      </c>
      <c r="L2870" s="6" t="s">
        <v>1076</v>
      </c>
      <c r="M2870" s="6" t="s">
        <v>12098</v>
      </c>
    </row>
    <row r="2871" spans="1:13" ht="13" x14ac:dyDescent="0.15">
      <c r="A2871" s="5" t="str">
        <f>HYPERLINK("https://onemount.atlassian.net/browse/DBA-1955","DBA-1955")</f>
        <v>DBA-1955</v>
      </c>
      <c r="B2871" s="6" t="s">
        <v>21</v>
      </c>
      <c r="C2871" s="6" t="s">
        <v>12099</v>
      </c>
      <c r="D2871" s="8" t="s">
        <v>17</v>
      </c>
      <c r="E2871" s="6" t="s">
        <v>23</v>
      </c>
      <c r="F2871" s="6" t="s">
        <v>31</v>
      </c>
      <c r="G2871" s="6" t="s">
        <v>12100</v>
      </c>
      <c r="H2871" s="10">
        <v>45860</v>
      </c>
      <c r="I2871" s="6" t="s">
        <v>12101</v>
      </c>
      <c r="J2871" s="6" t="s">
        <v>374</v>
      </c>
      <c r="K2871" s="6" t="s">
        <v>35</v>
      </c>
      <c r="L2871" s="6" t="s">
        <v>374</v>
      </c>
      <c r="M2871" s="6" t="s">
        <v>12102</v>
      </c>
    </row>
    <row r="2872" spans="1:13" ht="13" x14ac:dyDescent="0.15">
      <c r="A2872" s="5" t="str">
        <f>HYPERLINK("https://onemount.atlassian.net/browse/DBA-1954","DBA-1954")</f>
        <v>DBA-1954</v>
      </c>
      <c r="B2872" s="6" t="s">
        <v>21</v>
      </c>
      <c r="C2872" s="6" t="s">
        <v>12103</v>
      </c>
      <c r="D2872" s="8" t="s">
        <v>17</v>
      </c>
      <c r="E2872" s="6" t="s">
        <v>23</v>
      </c>
      <c r="F2872" s="6" t="s">
        <v>24</v>
      </c>
      <c r="G2872" s="6" t="s">
        <v>12104</v>
      </c>
      <c r="H2872" s="10">
        <v>45861</v>
      </c>
      <c r="I2872" s="6" t="s">
        <v>12105</v>
      </c>
      <c r="J2872" s="6" t="s">
        <v>55</v>
      </c>
      <c r="K2872" s="6" t="s">
        <v>55</v>
      </c>
      <c r="L2872" s="6" t="s">
        <v>857</v>
      </c>
      <c r="M2872" s="6" t="s">
        <v>12106</v>
      </c>
    </row>
    <row r="2873" spans="1:13" ht="13" x14ac:dyDescent="0.15">
      <c r="A2873" s="5" t="str">
        <f>HYPERLINK("https://onemount.atlassian.net/browse/DBA-1953","DBA-1953")</f>
        <v>DBA-1953</v>
      </c>
      <c r="B2873" s="6" t="s">
        <v>21</v>
      </c>
      <c r="C2873" s="6" t="s">
        <v>12107</v>
      </c>
      <c r="D2873" s="8" t="s">
        <v>17</v>
      </c>
      <c r="E2873" s="6" t="s">
        <v>23</v>
      </c>
      <c r="F2873" s="6" t="s">
        <v>24</v>
      </c>
      <c r="G2873" s="6" t="s">
        <v>12108</v>
      </c>
      <c r="H2873" s="10">
        <v>45861</v>
      </c>
      <c r="I2873" s="6" t="s">
        <v>12109</v>
      </c>
      <c r="J2873" s="6" t="s">
        <v>56</v>
      </c>
      <c r="K2873" s="6" t="s">
        <v>55</v>
      </c>
      <c r="L2873" s="6" t="s">
        <v>56</v>
      </c>
      <c r="M2873" s="6" t="s">
        <v>12110</v>
      </c>
    </row>
    <row r="2874" spans="1:13" ht="13" x14ac:dyDescent="0.15">
      <c r="A2874" s="5" t="str">
        <f>HYPERLINK("https://onemount.atlassian.net/browse/DBA-1952","DBA-1952")</f>
        <v>DBA-1952</v>
      </c>
      <c r="B2874" s="6" t="s">
        <v>21</v>
      </c>
      <c r="C2874" s="6" t="s">
        <v>12111</v>
      </c>
      <c r="D2874" s="8" t="s">
        <v>17</v>
      </c>
      <c r="E2874" s="6" t="s">
        <v>23</v>
      </c>
      <c r="F2874" s="6" t="s">
        <v>31</v>
      </c>
      <c r="G2874" s="6" t="s">
        <v>12112</v>
      </c>
      <c r="H2874" s="10">
        <v>45861</v>
      </c>
      <c r="I2874" s="6" t="s">
        <v>12113</v>
      </c>
      <c r="J2874" s="6" t="s">
        <v>34</v>
      </c>
      <c r="K2874" s="6" t="s">
        <v>35</v>
      </c>
      <c r="L2874" s="6" t="s">
        <v>36</v>
      </c>
      <c r="M2874" s="6" t="s">
        <v>12114</v>
      </c>
    </row>
    <row r="2875" spans="1:13" ht="13" x14ac:dyDescent="0.15">
      <c r="A2875" s="5" t="str">
        <f>HYPERLINK("https://onemount.atlassian.net/browse/DBA-1951","DBA-1951")</f>
        <v>DBA-1951</v>
      </c>
      <c r="B2875" s="6" t="s">
        <v>21</v>
      </c>
      <c r="C2875" s="6" t="s">
        <v>10388</v>
      </c>
      <c r="D2875" s="8" t="s">
        <v>17</v>
      </c>
      <c r="E2875" s="6" t="s">
        <v>23</v>
      </c>
      <c r="F2875" s="6" t="s">
        <v>31</v>
      </c>
      <c r="G2875" s="6" t="s">
        <v>12115</v>
      </c>
      <c r="H2875" s="10">
        <v>45861</v>
      </c>
      <c r="I2875" s="6" t="s">
        <v>12116</v>
      </c>
      <c r="J2875" s="6" t="s">
        <v>11823</v>
      </c>
      <c r="K2875" s="6" t="s">
        <v>55</v>
      </c>
      <c r="L2875" s="6" t="s">
        <v>715</v>
      </c>
      <c r="M2875" s="6" t="s">
        <v>12117</v>
      </c>
    </row>
    <row r="2876" spans="1:13" ht="13" x14ac:dyDescent="0.15">
      <c r="A2876" s="5" t="str">
        <f>HYPERLINK("https://onemount.atlassian.net/browse/DBA-1950","DBA-1950")</f>
        <v>DBA-1950</v>
      </c>
      <c r="B2876" s="6" t="s">
        <v>21</v>
      </c>
      <c r="C2876" s="6" t="s">
        <v>12118</v>
      </c>
      <c r="D2876" s="8" t="s">
        <v>17</v>
      </c>
      <c r="E2876" s="6" t="s">
        <v>23</v>
      </c>
      <c r="F2876" s="6" t="s">
        <v>96</v>
      </c>
      <c r="G2876" s="6" t="s">
        <v>12119</v>
      </c>
      <c r="H2876" s="10">
        <v>45860</v>
      </c>
      <c r="I2876" s="6" t="s">
        <v>12120</v>
      </c>
      <c r="J2876" s="6" t="s">
        <v>11775</v>
      </c>
      <c r="K2876" s="6" t="s">
        <v>55</v>
      </c>
      <c r="L2876" s="6" t="s">
        <v>85</v>
      </c>
      <c r="M2876" s="6" t="s">
        <v>12121</v>
      </c>
    </row>
    <row r="2877" spans="1:13" ht="13" x14ac:dyDescent="0.15">
      <c r="A2877" s="5" t="str">
        <f>HYPERLINK("https://onemount.atlassian.net/browse/DBA-1947","DBA-1947")</f>
        <v>DBA-1947</v>
      </c>
      <c r="B2877" s="6" t="s">
        <v>21</v>
      </c>
      <c r="C2877" s="6" t="s">
        <v>11764</v>
      </c>
      <c r="D2877" s="8" t="s">
        <v>17</v>
      </c>
      <c r="E2877" s="6" t="s">
        <v>23</v>
      </c>
      <c r="F2877" s="6" t="s">
        <v>31</v>
      </c>
      <c r="G2877" s="6" t="s">
        <v>12122</v>
      </c>
      <c r="H2877" s="10">
        <v>45859</v>
      </c>
      <c r="I2877" s="6" t="s">
        <v>12123</v>
      </c>
      <c r="J2877" s="6" t="s">
        <v>707</v>
      </c>
      <c r="K2877" s="6" t="s">
        <v>35</v>
      </c>
      <c r="L2877" s="6" t="s">
        <v>707</v>
      </c>
      <c r="M2877" s="6" t="s">
        <v>12124</v>
      </c>
    </row>
    <row r="2878" spans="1:13" ht="13" x14ac:dyDescent="0.15">
      <c r="A2878" s="21" t="str">
        <f>HYPERLINK("https://onemount.atlassian.net/browse/DBA-1946","DBA-1946")</f>
        <v>DBA-1946</v>
      </c>
      <c r="B2878" s="6" t="s">
        <v>21</v>
      </c>
      <c r="C2878" s="6" t="s">
        <v>12125</v>
      </c>
      <c r="D2878" s="8" t="s">
        <v>17</v>
      </c>
      <c r="E2878" s="6" t="s">
        <v>23</v>
      </c>
      <c r="F2878" s="6" t="s">
        <v>96</v>
      </c>
      <c r="G2878" s="6" t="s">
        <v>12126</v>
      </c>
      <c r="H2878" s="10">
        <v>45862</v>
      </c>
      <c r="I2878" s="6" t="s">
        <v>12127</v>
      </c>
      <c r="J2878" s="6" t="s">
        <v>2453</v>
      </c>
      <c r="K2878" s="6" t="s">
        <v>165</v>
      </c>
      <c r="L2878" s="6" t="s">
        <v>119</v>
      </c>
      <c r="M2878" s="6" t="s">
        <v>12128</v>
      </c>
    </row>
    <row r="2879" spans="1:13" ht="13" x14ac:dyDescent="0.15">
      <c r="A2879" s="21" t="str">
        <f>HYPERLINK("https://onemount.atlassian.net/browse/DBA-1945","DBA-1945")</f>
        <v>DBA-1945</v>
      </c>
      <c r="B2879" s="6" t="s">
        <v>21</v>
      </c>
      <c r="C2879" s="6" t="s">
        <v>12125</v>
      </c>
      <c r="D2879" s="8" t="s">
        <v>17</v>
      </c>
      <c r="E2879" s="6" t="s">
        <v>23</v>
      </c>
      <c r="F2879" s="6" t="s">
        <v>96</v>
      </c>
      <c r="G2879" s="6" t="s">
        <v>12129</v>
      </c>
      <c r="H2879" s="10">
        <v>45862</v>
      </c>
      <c r="I2879" s="6" t="s">
        <v>12130</v>
      </c>
      <c r="J2879" s="6" t="s">
        <v>2453</v>
      </c>
      <c r="K2879" s="6" t="s">
        <v>165</v>
      </c>
      <c r="L2879" s="6" t="s">
        <v>119</v>
      </c>
      <c r="M2879" s="6" t="s">
        <v>12128</v>
      </c>
    </row>
    <row r="2880" spans="1:13" ht="13" x14ac:dyDescent="0.15">
      <c r="A2880" s="5" t="str">
        <f>HYPERLINK("https://onemount.atlassian.net/browse/DBA-1944","DBA-1944")</f>
        <v>DBA-1944</v>
      </c>
      <c r="B2880" s="23" t="str">
        <f t="shared" ref="B2880:B2881" si="49">HYPERLINK("https://onemount.atlassian.net/browse/DBA-1942","DBA-1942")</f>
        <v>DBA-1942</v>
      </c>
      <c r="C2880" s="6" t="s">
        <v>12131</v>
      </c>
      <c r="D2880" s="8" t="s">
        <v>17</v>
      </c>
      <c r="E2880" s="6" t="s">
        <v>428</v>
      </c>
      <c r="F2880" s="6" t="s">
        <v>31</v>
      </c>
      <c r="G2880" s="6" t="s">
        <v>12132</v>
      </c>
      <c r="H2880" s="10">
        <v>46023</v>
      </c>
      <c r="I2880" s="6" t="s">
        <v>12133</v>
      </c>
      <c r="J2880" s="6" t="s">
        <v>2924</v>
      </c>
      <c r="K2880" s="6" t="s">
        <v>35</v>
      </c>
      <c r="L2880" s="6" t="s">
        <v>600</v>
      </c>
      <c r="M2880" s="6" t="s">
        <v>12134</v>
      </c>
    </row>
    <row r="2881" spans="1:13" ht="13" x14ac:dyDescent="0.15">
      <c r="A2881" s="5" t="str">
        <f>HYPERLINK("https://onemount.atlassian.net/browse/DBA-1943","DBA-1943")</f>
        <v>DBA-1943</v>
      </c>
      <c r="B2881" s="23" t="str">
        <f t="shared" si="49"/>
        <v>DBA-1942</v>
      </c>
      <c r="C2881" s="6" t="s">
        <v>12135</v>
      </c>
      <c r="D2881" s="8" t="s">
        <v>17</v>
      </c>
      <c r="E2881" s="6" t="s">
        <v>428</v>
      </c>
      <c r="F2881" s="6" t="s">
        <v>31</v>
      </c>
      <c r="G2881" s="6" t="s">
        <v>12136</v>
      </c>
      <c r="H2881" s="10">
        <v>46023</v>
      </c>
      <c r="I2881" s="6" t="s">
        <v>12137</v>
      </c>
      <c r="J2881" s="6" t="s">
        <v>2924</v>
      </c>
      <c r="K2881" s="6" t="s">
        <v>35</v>
      </c>
      <c r="L2881" s="6" t="s">
        <v>600</v>
      </c>
      <c r="M2881" s="6" t="s">
        <v>12138</v>
      </c>
    </row>
    <row r="2882" spans="1:13" ht="13" x14ac:dyDescent="0.15">
      <c r="A2882" s="5" t="str">
        <f>HYPERLINK("https://onemount.atlassian.net/browse/DBA-1942","DBA-1942")</f>
        <v>DBA-1942</v>
      </c>
      <c r="B2882" s="6" t="s">
        <v>21</v>
      </c>
      <c r="C2882" s="6" t="s">
        <v>12139</v>
      </c>
      <c r="D2882" s="8" t="s">
        <v>17</v>
      </c>
      <c r="E2882" s="6" t="s">
        <v>1810</v>
      </c>
      <c r="F2882" s="6" t="s">
        <v>31</v>
      </c>
      <c r="G2882" s="6" t="s">
        <v>12140</v>
      </c>
      <c r="H2882" s="10">
        <v>46023</v>
      </c>
      <c r="I2882" s="6" t="s">
        <v>12141</v>
      </c>
      <c r="J2882" s="6" t="s">
        <v>2924</v>
      </c>
      <c r="K2882" s="6" t="s">
        <v>35</v>
      </c>
      <c r="L2882" s="6" t="s">
        <v>600</v>
      </c>
      <c r="M2882" s="6" t="s">
        <v>12142</v>
      </c>
    </row>
    <row r="2883" spans="1:13" ht="13" x14ac:dyDescent="0.15">
      <c r="A2883" s="5" t="str">
        <f>HYPERLINK("https://onemount.atlassian.net/browse/DBA-1939","DBA-1939")</f>
        <v>DBA-1939</v>
      </c>
      <c r="B2883" s="6" t="s">
        <v>21</v>
      </c>
      <c r="C2883" s="6" t="s">
        <v>12143</v>
      </c>
      <c r="D2883" s="8" t="s">
        <v>17</v>
      </c>
      <c r="E2883" s="6" t="s">
        <v>23</v>
      </c>
      <c r="F2883" s="6" t="s">
        <v>24</v>
      </c>
      <c r="G2883" s="6" t="s">
        <v>12144</v>
      </c>
      <c r="H2883" s="10">
        <v>45860</v>
      </c>
      <c r="I2883" s="6" t="s">
        <v>12145</v>
      </c>
      <c r="J2883" s="6" t="s">
        <v>56</v>
      </c>
      <c r="K2883" s="6" t="s">
        <v>55</v>
      </c>
      <c r="L2883" s="6" t="s">
        <v>56</v>
      </c>
      <c r="M2883" s="6" t="s">
        <v>12146</v>
      </c>
    </row>
    <row r="2884" spans="1:13" ht="13" x14ac:dyDescent="0.15">
      <c r="A2884" s="5" t="str">
        <f>HYPERLINK("https://onemount.atlassian.net/browse/DBA-1938","DBA-1938")</f>
        <v>DBA-1938</v>
      </c>
      <c r="B2884" s="6" t="s">
        <v>21</v>
      </c>
      <c r="C2884" s="6" t="s">
        <v>12147</v>
      </c>
      <c r="D2884" s="8" t="s">
        <v>17</v>
      </c>
      <c r="E2884" s="6" t="s">
        <v>23</v>
      </c>
      <c r="F2884" s="6" t="s">
        <v>96</v>
      </c>
      <c r="G2884" s="6" t="s">
        <v>12148</v>
      </c>
      <c r="H2884" s="10">
        <v>45862</v>
      </c>
      <c r="I2884" s="6" t="s">
        <v>12149</v>
      </c>
      <c r="J2884" s="6" t="s">
        <v>27</v>
      </c>
      <c r="K2884" s="6" t="s">
        <v>28</v>
      </c>
      <c r="L2884" s="6" t="s">
        <v>1116</v>
      </c>
      <c r="M2884" s="6" t="s">
        <v>12150</v>
      </c>
    </row>
    <row r="2885" spans="1:13" ht="13" x14ac:dyDescent="0.15">
      <c r="A2885" s="5" t="str">
        <f>HYPERLINK("https://onemount.atlassian.net/browse/DBA-1937","DBA-1937")</f>
        <v>DBA-1937</v>
      </c>
      <c r="B2885" s="6" t="s">
        <v>21</v>
      </c>
      <c r="C2885" s="6" t="s">
        <v>11972</v>
      </c>
      <c r="D2885" s="8" t="s">
        <v>17</v>
      </c>
      <c r="E2885" s="6" t="s">
        <v>23</v>
      </c>
      <c r="F2885" s="6" t="s">
        <v>96</v>
      </c>
      <c r="G2885" s="6" t="s">
        <v>12151</v>
      </c>
      <c r="H2885" s="10">
        <v>45859</v>
      </c>
      <c r="I2885" s="6" t="s">
        <v>12152</v>
      </c>
      <c r="J2885" s="6" t="s">
        <v>1091</v>
      </c>
      <c r="K2885" s="6" t="s">
        <v>165</v>
      </c>
      <c r="L2885" s="6" t="s">
        <v>1091</v>
      </c>
      <c r="M2885" s="6" t="s">
        <v>12153</v>
      </c>
    </row>
    <row r="2886" spans="1:13" ht="13" x14ac:dyDescent="0.15">
      <c r="A2886" s="5" t="str">
        <f>HYPERLINK("https://onemount.atlassian.net/browse/DBA-1936","DBA-1936")</f>
        <v>DBA-1936</v>
      </c>
      <c r="B2886" s="6" t="s">
        <v>21</v>
      </c>
      <c r="C2886" s="6" t="s">
        <v>12154</v>
      </c>
      <c r="D2886" s="8" t="s">
        <v>17</v>
      </c>
      <c r="E2886" s="6" t="s">
        <v>23</v>
      </c>
      <c r="F2886" s="6" t="s">
        <v>31</v>
      </c>
      <c r="G2886" s="6" t="s">
        <v>12155</v>
      </c>
      <c r="H2886" s="10">
        <v>45860</v>
      </c>
      <c r="I2886" s="6" t="s">
        <v>12156</v>
      </c>
      <c r="J2886" s="6" t="s">
        <v>1564</v>
      </c>
      <c r="K2886" s="6" t="s">
        <v>35</v>
      </c>
      <c r="L2886" s="6" t="s">
        <v>36</v>
      </c>
      <c r="M2886" s="6" t="s">
        <v>12157</v>
      </c>
    </row>
    <row r="2887" spans="1:13" ht="13" x14ac:dyDescent="0.15">
      <c r="A2887" s="5" t="str">
        <f>HYPERLINK("https://onemount.atlassian.net/browse/DBA-1935","DBA-1935")</f>
        <v>DBA-1935</v>
      </c>
      <c r="B2887" s="6" t="s">
        <v>21</v>
      </c>
      <c r="C2887" s="6" t="s">
        <v>12158</v>
      </c>
      <c r="D2887" s="8" t="s">
        <v>17</v>
      </c>
      <c r="E2887" s="6" t="s">
        <v>23</v>
      </c>
      <c r="F2887" s="6" t="s">
        <v>31</v>
      </c>
      <c r="G2887" s="6" t="s">
        <v>12159</v>
      </c>
      <c r="H2887" s="10">
        <v>45860</v>
      </c>
      <c r="I2887" s="6" t="s">
        <v>12160</v>
      </c>
      <c r="J2887" s="6" t="s">
        <v>276</v>
      </c>
      <c r="K2887" s="6" t="s">
        <v>35</v>
      </c>
      <c r="L2887" s="6" t="s">
        <v>36</v>
      </c>
      <c r="M2887" s="6" t="s">
        <v>12161</v>
      </c>
    </row>
    <row r="2888" spans="1:13" ht="13" x14ac:dyDescent="0.15">
      <c r="A2888" s="5" t="str">
        <f>HYPERLINK("https://onemount.atlassian.net/browse/DBA-1934","DBA-1934")</f>
        <v>DBA-1934</v>
      </c>
      <c r="B2888" s="6" t="s">
        <v>21</v>
      </c>
      <c r="C2888" s="6" t="s">
        <v>12162</v>
      </c>
      <c r="D2888" s="8" t="s">
        <v>17</v>
      </c>
      <c r="E2888" s="6" t="s">
        <v>23</v>
      </c>
      <c r="F2888" s="6" t="s">
        <v>24</v>
      </c>
      <c r="G2888" s="6" t="s">
        <v>12163</v>
      </c>
      <c r="H2888" s="10">
        <v>45858</v>
      </c>
      <c r="I2888" s="6" t="s">
        <v>12164</v>
      </c>
      <c r="J2888" s="6" t="s">
        <v>1564</v>
      </c>
      <c r="K2888" s="6" t="s">
        <v>35</v>
      </c>
      <c r="L2888" s="6" t="s">
        <v>36</v>
      </c>
      <c r="M2888" s="6" t="s">
        <v>12165</v>
      </c>
    </row>
    <row r="2889" spans="1:13" ht="13" x14ac:dyDescent="0.15">
      <c r="A2889" s="21" t="str">
        <f>HYPERLINK("https://onemount.atlassian.net/browse/DBA-1933","DBA-1933")</f>
        <v>DBA-1933</v>
      </c>
      <c r="B2889" s="6" t="s">
        <v>21</v>
      </c>
      <c r="C2889" s="6" t="s">
        <v>11859</v>
      </c>
      <c r="D2889" s="8" t="s">
        <v>17</v>
      </c>
      <c r="E2889" s="6" t="s">
        <v>23</v>
      </c>
      <c r="F2889" s="6" t="s">
        <v>96</v>
      </c>
      <c r="G2889" s="6" t="s">
        <v>12166</v>
      </c>
      <c r="H2889" s="10">
        <v>45857</v>
      </c>
      <c r="I2889" s="6" t="s">
        <v>12167</v>
      </c>
      <c r="J2889" s="6" t="s">
        <v>1030</v>
      </c>
      <c r="K2889" s="6" t="s">
        <v>165</v>
      </c>
      <c r="L2889" s="6" t="s">
        <v>1032</v>
      </c>
      <c r="M2889" s="6" t="s">
        <v>11863</v>
      </c>
    </row>
    <row r="2890" spans="1:13" ht="13" x14ac:dyDescent="0.15">
      <c r="A2890" s="5" t="str">
        <f>HYPERLINK("https://onemount.atlassian.net/browse/DBA-1932","DBA-1932")</f>
        <v>DBA-1932</v>
      </c>
      <c r="B2890" s="23" t="str">
        <f t="shared" ref="B2890:B2891" si="50">HYPERLINK("https://onemount.atlassian.net/browse/DBA-2023","DBA-2023")</f>
        <v>DBA-2023</v>
      </c>
      <c r="C2890" s="6" t="s">
        <v>12168</v>
      </c>
      <c r="D2890" s="8" t="s">
        <v>17</v>
      </c>
      <c r="E2890" s="6" t="s">
        <v>428</v>
      </c>
      <c r="F2890" s="6" t="s">
        <v>24</v>
      </c>
      <c r="G2890" s="6" t="s">
        <v>12169</v>
      </c>
      <c r="H2890" s="10">
        <v>45857</v>
      </c>
      <c r="I2890" s="6" t="s">
        <v>12170</v>
      </c>
      <c r="J2890" s="6" t="s">
        <v>11998</v>
      </c>
      <c r="K2890" s="6" t="s">
        <v>35</v>
      </c>
      <c r="L2890" s="6" t="s">
        <v>600</v>
      </c>
      <c r="M2890" s="6" t="s">
        <v>12171</v>
      </c>
    </row>
    <row r="2891" spans="1:13" ht="13" x14ac:dyDescent="0.15">
      <c r="A2891" s="5" t="str">
        <f>HYPERLINK("https://onemount.atlassian.net/browse/DBA-1931","DBA-1931")</f>
        <v>DBA-1931</v>
      </c>
      <c r="B2891" s="23" t="str">
        <f t="shared" si="50"/>
        <v>DBA-2023</v>
      </c>
      <c r="C2891" s="6" t="s">
        <v>12172</v>
      </c>
      <c r="D2891" s="8" t="s">
        <v>17</v>
      </c>
      <c r="E2891" s="6" t="s">
        <v>428</v>
      </c>
      <c r="F2891" s="6" t="s">
        <v>24</v>
      </c>
      <c r="G2891" s="6" t="s">
        <v>12173</v>
      </c>
      <c r="H2891" s="10">
        <v>45860</v>
      </c>
      <c r="I2891" s="6" t="s">
        <v>12174</v>
      </c>
      <c r="J2891" s="6" t="s">
        <v>11998</v>
      </c>
      <c r="K2891" s="6" t="s">
        <v>35</v>
      </c>
      <c r="L2891" s="6" t="s">
        <v>600</v>
      </c>
      <c r="M2891" s="6" t="s">
        <v>12175</v>
      </c>
    </row>
    <row r="2892" spans="1:13" ht="13" x14ac:dyDescent="0.15">
      <c r="A2892" s="5" t="str">
        <f>HYPERLINK("https://onemount.atlassian.net/browse/DBA-1930","DBA-1930")</f>
        <v>DBA-1930</v>
      </c>
      <c r="B2892" s="6" t="s">
        <v>21</v>
      </c>
      <c r="C2892" s="6" t="s">
        <v>12176</v>
      </c>
      <c r="D2892" s="8" t="s">
        <v>17</v>
      </c>
      <c r="E2892" s="6" t="s">
        <v>23</v>
      </c>
      <c r="F2892" s="6" t="s">
        <v>96</v>
      </c>
      <c r="G2892" s="6" t="s">
        <v>12177</v>
      </c>
      <c r="H2892" s="10">
        <v>45857</v>
      </c>
      <c r="I2892" s="6" t="s">
        <v>12178</v>
      </c>
      <c r="J2892" s="6" t="s">
        <v>2453</v>
      </c>
      <c r="K2892" s="6" t="s">
        <v>165</v>
      </c>
      <c r="L2892" s="6" t="s">
        <v>119</v>
      </c>
      <c r="M2892" s="6" t="s">
        <v>12179</v>
      </c>
    </row>
    <row r="2893" spans="1:13" ht="13" x14ac:dyDescent="0.15">
      <c r="A2893" s="5" t="str">
        <f>HYPERLINK("https://onemount.atlassian.net/browse/DBA-1929","DBA-1929")</f>
        <v>DBA-1929</v>
      </c>
      <c r="B2893" s="6" t="s">
        <v>21</v>
      </c>
      <c r="C2893" s="6" t="s">
        <v>12180</v>
      </c>
      <c r="D2893" s="8" t="s">
        <v>17</v>
      </c>
      <c r="E2893" s="6" t="s">
        <v>23</v>
      </c>
      <c r="F2893" s="6" t="s">
        <v>96</v>
      </c>
      <c r="G2893" s="6" t="s">
        <v>12181</v>
      </c>
      <c r="H2893" s="10">
        <v>45856</v>
      </c>
      <c r="I2893" s="6" t="s">
        <v>12182</v>
      </c>
      <c r="J2893" s="6" t="s">
        <v>887</v>
      </c>
      <c r="K2893" s="6" t="s">
        <v>55</v>
      </c>
      <c r="L2893" s="6" t="s">
        <v>254</v>
      </c>
      <c r="M2893" s="6" t="s">
        <v>12183</v>
      </c>
    </row>
    <row r="2894" spans="1:13" ht="13" x14ac:dyDescent="0.15">
      <c r="A2894" s="5" t="str">
        <f>HYPERLINK("https://onemount.atlassian.net/browse/DBA-1928","DBA-1928")</f>
        <v>DBA-1928</v>
      </c>
      <c r="B2894" s="6" t="s">
        <v>21</v>
      </c>
      <c r="C2894" s="6" t="s">
        <v>12184</v>
      </c>
      <c r="D2894" s="8" t="s">
        <v>17</v>
      </c>
      <c r="E2894" s="6" t="s">
        <v>23</v>
      </c>
      <c r="F2894" s="6" t="s">
        <v>24</v>
      </c>
      <c r="G2894" s="6" t="s">
        <v>12185</v>
      </c>
      <c r="H2894" s="10">
        <v>45863</v>
      </c>
      <c r="I2894" s="6" t="s">
        <v>12186</v>
      </c>
      <c r="J2894" s="6" t="s">
        <v>56</v>
      </c>
      <c r="K2894" s="6" t="s">
        <v>55</v>
      </c>
      <c r="L2894" s="6" t="s">
        <v>56</v>
      </c>
      <c r="M2894" s="6" t="s">
        <v>12187</v>
      </c>
    </row>
    <row r="2895" spans="1:13" ht="13" x14ac:dyDescent="0.15">
      <c r="A2895" s="21" t="str">
        <f>HYPERLINK("https://onemount.atlassian.net/browse/DBA-1926","DBA-1926")</f>
        <v>DBA-1926</v>
      </c>
      <c r="B2895" s="23" t="str">
        <f t="shared" ref="B2895:B2898" si="51">HYPERLINK("https://onemount.atlassian.net/browse/DBA-1785","DBA-1785")</f>
        <v>DBA-1785</v>
      </c>
      <c r="C2895" s="6" t="s">
        <v>12188</v>
      </c>
      <c r="D2895" s="8" t="s">
        <v>17</v>
      </c>
      <c r="E2895" s="6" t="s">
        <v>428</v>
      </c>
      <c r="F2895" s="6" t="s">
        <v>31</v>
      </c>
      <c r="G2895" s="6" t="s">
        <v>12189</v>
      </c>
      <c r="H2895" s="10">
        <v>45857</v>
      </c>
      <c r="I2895" s="6" t="s">
        <v>12190</v>
      </c>
      <c r="J2895" s="6" t="s">
        <v>6218</v>
      </c>
      <c r="K2895" s="6" t="s">
        <v>46</v>
      </c>
      <c r="L2895" s="6" t="s">
        <v>146</v>
      </c>
      <c r="M2895" s="6" t="s">
        <v>12191</v>
      </c>
    </row>
    <row r="2896" spans="1:13" ht="13" x14ac:dyDescent="0.15">
      <c r="A2896" s="5" t="str">
        <f>HYPERLINK("https://onemount.atlassian.net/browse/DBA-1925","DBA-1925")</f>
        <v>DBA-1925</v>
      </c>
      <c r="B2896" s="23" t="str">
        <f t="shared" si="51"/>
        <v>DBA-1785</v>
      </c>
      <c r="C2896" s="6" t="s">
        <v>12192</v>
      </c>
      <c r="D2896" s="8" t="s">
        <v>17</v>
      </c>
      <c r="E2896" s="6" t="s">
        <v>428</v>
      </c>
      <c r="F2896" s="6" t="s">
        <v>31</v>
      </c>
      <c r="G2896" s="6" t="s">
        <v>12193</v>
      </c>
      <c r="H2896" s="10">
        <v>45857</v>
      </c>
      <c r="I2896" s="6" t="s">
        <v>12194</v>
      </c>
      <c r="J2896" s="6" t="s">
        <v>6218</v>
      </c>
      <c r="K2896" s="6" t="s">
        <v>46</v>
      </c>
      <c r="L2896" s="6" t="s">
        <v>146</v>
      </c>
      <c r="M2896" s="6" t="s">
        <v>12195</v>
      </c>
    </row>
    <row r="2897" spans="1:13" ht="13" x14ac:dyDescent="0.15">
      <c r="A2897" s="21" t="str">
        <f>HYPERLINK("https://onemount.atlassian.net/browse/DBA-1924","DBA-1924")</f>
        <v>DBA-1924</v>
      </c>
      <c r="B2897" s="23" t="str">
        <f t="shared" si="51"/>
        <v>DBA-1785</v>
      </c>
      <c r="C2897" s="6" t="s">
        <v>12196</v>
      </c>
      <c r="D2897" s="8" t="s">
        <v>17</v>
      </c>
      <c r="E2897" s="6" t="s">
        <v>428</v>
      </c>
      <c r="F2897" s="6" t="s">
        <v>31</v>
      </c>
      <c r="G2897" s="6" t="s">
        <v>12197</v>
      </c>
      <c r="H2897" s="10">
        <v>45857</v>
      </c>
      <c r="I2897" s="6" t="s">
        <v>12198</v>
      </c>
      <c r="J2897" s="6" t="s">
        <v>6218</v>
      </c>
      <c r="K2897" s="6" t="s">
        <v>46</v>
      </c>
      <c r="L2897" s="6" t="s">
        <v>146</v>
      </c>
      <c r="M2897" s="6" t="s">
        <v>12191</v>
      </c>
    </row>
    <row r="2898" spans="1:13" ht="13" x14ac:dyDescent="0.15">
      <c r="A2898" s="5" t="str">
        <f>HYPERLINK("https://onemount.atlassian.net/browse/DBA-1923","DBA-1923")</f>
        <v>DBA-1923</v>
      </c>
      <c r="B2898" s="23" t="str">
        <f t="shared" si="51"/>
        <v>DBA-1785</v>
      </c>
      <c r="C2898" s="6" t="s">
        <v>12199</v>
      </c>
      <c r="D2898" s="8" t="s">
        <v>17</v>
      </c>
      <c r="E2898" s="6" t="s">
        <v>428</v>
      </c>
      <c r="F2898" s="6" t="s">
        <v>24</v>
      </c>
      <c r="G2898" s="6" t="s">
        <v>12200</v>
      </c>
      <c r="H2898" s="10">
        <v>45856</v>
      </c>
      <c r="I2898" s="6" t="s">
        <v>12201</v>
      </c>
      <c r="J2898" s="6" t="s">
        <v>6218</v>
      </c>
      <c r="K2898" s="6" t="s">
        <v>46</v>
      </c>
      <c r="L2898" s="6" t="s">
        <v>146</v>
      </c>
      <c r="M2898" s="6" t="s">
        <v>12202</v>
      </c>
    </row>
    <row r="2899" spans="1:13" ht="13" x14ac:dyDescent="0.15">
      <c r="A2899" s="5" t="str">
        <f>HYPERLINK("https://onemount.atlassian.net/browse/DBA-1922","DBA-1922")</f>
        <v>DBA-1922</v>
      </c>
      <c r="B2899" s="6" t="s">
        <v>21</v>
      </c>
      <c r="C2899" s="6" t="s">
        <v>12063</v>
      </c>
      <c r="D2899" s="8" t="s">
        <v>17</v>
      </c>
      <c r="E2899" s="6" t="s">
        <v>23</v>
      </c>
      <c r="F2899" s="6" t="s">
        <v>31</v>
      </c>
      <c r="G2899" s="6" t="s">
        <v>12203</v>
      </c>
      <c r="H2899" s="10">
        <v>45857</v>
      </c>
      <c r="I2899" s="6" t="s">
        <v>12204</v>
      </c>
      <c r="J2899" s="6" t="s">
        <v>373</v>
      </c>
      <c r="K2899" s="6" t="s">
        <v>35</v>
      </c>
      <c r="L2899" s="6" t="s">
        <v>36</v>
      </c>
      <c r="M2899" s="6" t="s">
        <v>12205</v>
      </c>
    </row>
    <row r="2900" spans="1:13" ht="13" x14ac:dyDescent="0.15">
      <c r="A2900" s="5" t="str">
        <f>HYPERLINK("https://onemount.atlassian.net/browse/DBA-1921","DBA-1921")</f>
        <v>DBA-1921</v>
      </c>
      <c r="B2900" s="6" t="s">
        <v>21</v>
      </c>
      <c r="C2900" s="6" t="s">
        <v>12206</v>
      </c>
      <c r="D2900" s="8" t="s">
        <v>17</v>
      </c>
      <c r="E2900" s="6" t="s">
        <v>23</v>
      </c>
      <c r="F2900" s="6" t="s">
        <v>31</v>
      </c>
      <c r="G2900" s="6" t="s">
        <v>12207</v>
      </c>
      <c r="H2900" s="10">
        <v>45858</v>
      </c>
      <c r="I2900" s="6" t="s">
        <v>12208</v>
      </c>
      <c r="J2900" s="6" t="s">
        <v>323</v>
      </c>
      <c r="K2900" s="6" t="s">
        <v>46</v>
      </c>
      <c r="L2900" s="6" t="s">
        <v>46</v>
      </c>
      <c r="M2900" s="6" t="s">
        <v>12209</v>
      </c>
    </row>
    <row r="2901" spans="1:13" ht="13" x14ac:dyDescent="0.15">
      <c r="A2901" s="5" t="str">
        <f>HYPERLINK("https://onemount.atlassian.net/browse/DBA-1920","DBA-1920")</f>
        <v>DBA-1920</v>
      </c>
      <c r="B2901" s="6" t="s">
        <v>21</v>
      </c>
      <c r="C2901" s="6" t="s">
        <v>12210</v>
      </c>
      <c r="D2901" s="8" t="s">
        <v>17</v>
      </c>
      <c r="E2901" s="6" t="s">
        <v>23</v>
      </c>
      <c r="F2901" s="6" t="s">
        <v>31</v>
      </c>
      <c r="G2901" s="6" t="s">
        <v>12211</v>
      </c>
      <c r="H2901" s="10">
        <v>45857</v>
      </c>
      <c r="I2901" s="6" t="s">
        <v>12212</v>
      </c>
      <c r="J2901" s="6" t="s">
        <v>2245</v>
      </c>
      <c r="K2901" s="6" t="s">
        <v>35</v>
      </c>
      <c r="L2901" s="6" t="s">
        <v>276</v>
      </c>
      <c r="M2901" s="6" t="s">
        <v>12213</v>
      </c>
    </row>
    <row r="2902" spans="1:13" ht="13" x14ac:dyDescent="0.15">
      <c r="A2902" s="5" t="str">
        <f>HYPERLINK("https://onemount.atlassian.net/browse/DBA-1919","DBA-1919")</f>
        <v>DBA-1919</v>
      </c>
      <c r="B2902" s="6" t="s">
        <v>21</v>
      </c>
      <c r="C2902" s="6" t="s">
        <v>12214</v>
      </c>
      <c r="D2902" s="8" t="s">
        <v>17</v>
      </c>
      <c r="E2902" s="6" t="s">
        <v>23</v>
      </c>
      <c r="F2902" s="6" t="s">
        <v>31</v>
      </c>
      <c r="G2902" s="6" t="s">
        <v>12215</v>
      </c>
      <c r="H2902" s="10">
        <v>45857</v>
      </c>
      <c r="I2902" s="6" t="s">
        <v>12216</v>
      </c>
      <c r="J2902" s="6" t="s">
        <v>855</v>
      </c>
      <c r="K2902" s="6" t="s">
        <v>55</v>
      </c>
      <c r="L2902" s="6" t="s">
        <v>855</v>
      </c>
      <c r="M2902" s="6" t="s">
        <v>12217</v>
      </c>
    </row>
    <row r="2903" spans="1:13" ht="13" x14ac:dyDescent="0.15">
      <c r="A2903" s="5" t="str">
        <f>HYPERLINK("https://onemount.atlassian.net/browse/DBA-1918","DBA-1918")</f>
        <v>DBA-1918</v>
      </c>
      <c r="B2903" s="23" t="str">
        <f>HYPERLINK("https://onemount.atlassian.net/browse/DBA-1909","DBA-1909")</f>
        <v>DBA-1909</v>
      </c>
      <c r="C2903" s="6" t="s">
        <v>12218</v>
      </c>
      <c r="D2903" s="8" t="s">
        <v>17</v>
      </c>
      <c r="E2903" s="6" t="s">
        <v>428</v>
      </c>
      <c r="F2903" s="6" t="s">
        <v>31</v>
      </c>
      <c r="G2903" s="6" t="s">
        <v>12219</v>
      </c>
      <c r="H2903" s="10">
        <v>45901</v>
      </c>
      <c r="I2903" s="6" t="s">
        <v>12220</v>
      </c>
      <c r="J2903" s="6" t="s">
        <v>2924</v>
      </c>
      <c r="K2903" s="6" t="s">
        <v>55</v>
      </c>
      <c r="L2903" s="6" t="s">
        <v>600</v>
      </c>
      <c r="M2903" s="6" t="s">
        <v>12221</v>
      </c>
    </row>
    <row r="2904" spans="1:13" ht="13" x14ac:dyDescent="0.15">
      <c r="A2904" s="5" t="str">
        <f>HYPERLINK("https://onemount.atlassian.net/browse/DBA-1917","DBA-1917")</f>
        <v>DBA-1917</v>
      </c>
      <c r="B2904" s="6" t="s">
        <v>21</v>
      </c>
      <c r="C2904" s="6" t="s">
        <v>12222</v>
      </c>
      <c r="D2904" s="8" t="s">
        <v>17</v>
      </c>
      <c r="E2904" s="6" t="s">
        <v>23</v>
      </c>
      <c r="F2904" s="6" t="s">
        <v>24</v>
      </c>
      <c r="G2904" s="6" t="s">
        <v>12223</v>
      </c>
      <c r="H2904" s="10">
        <v>45857</v>
      </c>
      <c r="I2904" s="6" t="s">
        <v>12224</v>
      </c>
      <c r="J2904" s="6" t="s">
        <v>165</v>
      </c>
      <c r="K2904" s="6" t="s">
        <v>165</v>
      </c>
      <c r="L2904" s="6" t="s">
        <v>39</v>
      </c>
      <c r="M2904" s="6" t="s">
        <v>12225</v>
      </c>
    </row>
    <row r="2905" spans="1:13" ht="13" x14ac:dyDescent="0.15">
      <c r="A2905" s="5" t="str">
        <f>HYPERLINK("https://onemount.atlassian.net/browse/DBA-1916","DBA-1916")</f>
        <v>DBA-1916</v>
      </c>
      <c r="B2905" s="6" t="s">
        <v>21</v>
      </c>
      <c r="C2905" s="6" t="s">
        <v>12226</v>
      </c>
      <c r="D2905" s="8" t="s">
        <v>17</v>
      </c>
      <c r="E2905" s="6" t="s">
        <v>23</v>
      </c>
      <c r="F2905" s="6" t="s">
        <v>31</v>
      </c>
      <c r="G2905" s="6" t="s">
        <v>12227</v>
      </c>
      <c r="H2905" s="10">
        <v>45856</v>
      </c>
      <c r="I2905" s="6" t="s">
        <v>12228</v>
      </c>
      <c r="J2905" s="6" t="s">
        <v>6804</v>
      </c>
      <c r="K2905" s="6" t="s">
        <v>35</v>
      </c>
      <c r="L2905" s="6" t="s">
        <v>36</v>
      </c>
      <c r="M2905" s="6" t="s">
        <v>12229</v>
      </c>
    </row>
    <row r="2906" spans="1:13" ht="13" x14ac:dyDescent="0.15">
      <c r="A2906" s="5" t="str">
        <f>HYPERLINK("https://onemount.atlassian.net/browse/DBA-1915","DBA-1915")</f>
        <v>DBA-1915</v>
      </c>
      <c r="B2906" s="6" t="s">
        <v>21</v>
      </c>
      <c r="C2906" s="6" t="s">
        <v>12230</v>
      </c>
      <c r="D2906" s="8" t="s">
        <v>17</v>
      </c>
      <c r="E2906" s="6" t="s">
        <v>23</v>
      </c>
      <c r="F2906" s="6" t="s">
        <v>24</v>
      </c>
      <c r="G2906" s="6" t="s">
        <v>12231</v>
      </c>
      <c r="H2906" s="10">
        <v>45857</v>
      </c>
      <c r="I2906" s="6" t="s">
        <v>12232</v>
      </c>
      <c r="J2906" s="6" t="s">
        <v>977</v>
      </c>
      <c r="K2906" s="6" t="s">
        <v>55</v>
      </c>
      <c r="L2906" s="6" t="s">
        <v>977</v>
      </c>
      <c r="M2906" s="6" t="s">
        <v>12233</v>
      </c>
    </row>
    <row r="2907" spans="1:13" ht="13" x14ac:dyDescent="0.15">
      <c r="A2907" s="5" t="str">
        <f>HYPERLINK("https://onemount.atlassian.net/browse/DBA-1914","DBA-1914")</f>
        <v>DBA-1914</v>
      </c>
      <c r="B2907" s="6" t="s">
        <v>21</v>
      </c>
      <c r="C2907" s="6" t="s">
        <v>12234</v>
      </c>
      <c r="D2907" s="8" t="s">
        <v>17</v>
      </c>
      <c r="E2907" s="6" t="s">
        <v>23</v>
      </c>
      <c r="F2907" s="6" t="s">
        <v>96</v>
      </c>
      <c r="G2907" s="6" t="s">
        <v>12235</v>
      </c>
      <c r="H2907" s="10">
        <v>45856</v>
      </c>
      <c r="I2907" s="6" t="s">
        <v>12236</v>
      </c>
      <c r="J2907" s="6" t="s">
        <v>9084</v>
      </c>
      <c r="K2907" s="6" t="s">
        <v>28</v>
      </c>
      <c r="L2907" s="6" t="s">
        <v>715</v>
      </c>
      <c r="M2907" s="6" t="s">
        <v>12237</v>
      </c>
    </row>
    <row r="2908" spans="1:13" ht="13" x14ac:dyDescent="0.15">
      <c r="A2908" s="5" t="str">
        <f>HYPERLINK("https://onemount.atlassian.net/browse/DBA-1913","DBA-1913")</f>
        <v>DBA-1913</v>
      </c>
      <c r="B2908" s="23" t="str">
        <f t="shared" ref="B2908:B2911" si="52">HYPERLINK("https://onemount.atlassian.net/browse/DBA-1909","DBA-1909")</f>
        <v>DBA-1909</v>
      </c>
      <c r="C2908" s="6" t="s">
        <v>12238</v>
      </c>
      <c r="D2908" s="8" t="s">
        <v>17</v>
      </c>
      <c r="E2908" s="6" t="s">
        <v>428</v>
      </c>
      <c r="F2908" s="6" t="s">
        <v>31</v>
      </c>
      <c r="G2908" s="6" t="s">
        <v>12239</v>
      </c>
      <c r="H2908" s="10">
        <v>45856</v>
      </c>
      <c r="I2908" s="6" t="s">
        <v>12240</v>
      </c>
      <c r="J2908" s="6" t="s">
        <v>2924</v>
      </c>
      <c r="K2908" s="6" t="s">
        <v>165</v>
      </c>
      <c r="L2908" s="6" t="s">
        <v>600</v>
      </c>
      <c r="M2908" s="6" t="s">
        <v>12241</v>
      </c>
    </row>
    <row r="2909" spans="1:13" ht="13" x14ac:dyDescent="0.15">
      <c r="A2909" s="5" t="str">
        <f>HYPERLINK("https://onemount.atlassian.net/browse/DBA-1912","DBA-1912")</f>
        <v>DBA-1912</v>
      </c>
      <c r="B2909" s="23" t="str">
        <f t="shared" si="52"/>
        <v>DBA-1909</v>
      </c>
      <c r="C2909" s="6" t="s">
        <v>12242</v>
      </c>
      <c r="D2909" s="8" t="s">
        <v>17</v>
      </c>
      <c r="E2909" s="6" t="s">
        <v>428</v>
      </c>
      <c r="F2909" s="6" t="s">
        <v>31</v>
      </c>
      <c r="G2909" s="6" t="s">
        <v>12243</v>
      </c>
      <c r="H2909" s="10">
        <v>45901</v>
      </c>
      <c r="I2909" s="6" t="s">
        <v>12244</v>
      </c>
      <c r="J2909" s="6" t="s">
        <v>2924</v>
      </c>
      <c r="K2909" s="6" t="s">
        <v>55</v>
      </c>
      <c r="L2909" s="6" t="s">
        <v>600</v>
      </c>
      <c r="M2909" s="6" t="s">
        <v>12245</v>
      </c>
    </row>
    <row r="2910" spans="1:13" ht="13" x14ac:dyDescent="0.15">
      <c r="A2910" s="5" t="str">
        <f>HYPERLINK("https://onemount.atlassian.net/browse/DBA-1911","DBA-1911")</f>
        <v>DBA-1911</v>
      </c>
      <c r="B2910" s="23" t="str">
        <f t="shared" si="52"/>
        <v>DBA-1909</v>
      </c>
      <c r="C2910" s="6" t="s">
        <v>12246</v>
      </c>
      <c r="D2910" s="8" t="s">
        <v>17</v>
      </c>
      <c r="E2910" s="6" t="s">
        <v>428</v>
      </c>
      <c r="F2910" s="6" t="s">
        <v>31</v>
      </c>
      <c r="G2910" s="6" t="s">
        <v>12247</v>
      </c>
      <c r="H2910" s="10">
        <v>45867</v>
      </c>
      <c r="I2910" s="6" t="s">
        <v>12248</v>
      </c>
      <c r="J2910" s="6" t="s">
        <v>2924</v>
      </c>
      <c r="K2910" s="6" t="s">
        <v>46</v>
      </c>
      <c r="L2910" s="6" t="s">
        <v>600</v>
      </c>
      <c r="M2910" s="6" t="s">
        <v>12249</v>
      </c>
    </row>
    <row r="2911" spans="1:13" ht="13" x14ac:dyDescent="0.15">
      <c r="A2911" s="5" t="str">
        <f>HYPERLINK("https://onemount.atlassian.net/browse/DBA-1910","DBA-1910")</f>
        <v>DBA-1910</v>
      </c>
      <c r="B2911" s="23" t="str">
        <f t="shared" si="52"/>
        <v>DBA-1909</v>
      </c>
      <c r="C2911" s="6" t="s">
        <v>12250</v>
      </c>
      <c r="D2911" s="8" t="s">
        <v>17</v>
      </c>
      <c r="E2911" s="6" t="s">
        <v>428</v>
      </c>
      <c r="F2911" s="6" t="s">
        <v>31</v>
      </c>
      <c r="G2911" s="6" t="s">
        <v>12251</v>
      </c>
      <c r="H2911" s="10">
        <v>45856</v>
      </c>
      <c r="I2911" s="6" t="s">
        <v>12252</v>
      </c>
      <c r="J2911" s="6" t="s">
        <v>2924</v>
      </c>
      <c r="K2911" s="6" t="s">
        <v>46</v>
      </c>
      <c r="L2911" s="6" t="s">
        <v>600</v>
      </c>
      <c r="M2911" s="6" t="s">
        <v>12253</v>
      </c>
    </row>
    <row r="2912" spans="1:13" ht="13" x14ac:dyDescent="0.15">
      <c r="A2912" s="5" t="str">
        <f>HYPERLINK("https://onemount.atlassian.net/browse/DBA-1909","DBA-1909")</f>
        <v>DBA-1909</v>
      </c>
      <c r="B2912" s="23" t="str">
        <f>HYPERLINK("https://onemount.atlassian.net/browse/DBA-2021","DBA-2021")</f>
        <v>DBA-2021</v>
      </c>
      <c r="C2912" s="6" t="s">
        <v>12254</v>
      </c>
      <c r="D2912" s="8" t="s">
        <v>17</v>
      </c>
      <c r="E2912" s="6" t="s">
        <v>1810</v>
      </c>
      <c r="F2912" s="6" t="s">
        <v>24</v>
      </c>
      <c r="G2912" s="6" t="s">
        <v>12255</v>
      </c>
      <c r="H2912" s="10">
        <v>45901</v>
      </c>
      <c r="I2912" s="6" t="s">
        <v>12256</v>
      </c>
      <c r="J2912" s="6" t="s">
        <v>2924</v>
      </c>
      <c r="K2912" s="6" t="s">
        <v>46</v>
      </c>
      <c r="L2912" s="6" t="s">
        <v>600</v>
      </c>
      <c r="M2912" s="6" t="s">
        <v>12257</v>
      </c>
    </row>
    <row r="2913" spans="1:13" ht="13" x14ac:dyDescent="0.15">
      <c r="A2913" s="5" t="str">
        <f>HYPERLINK("https://onemount.atlassian.net/browse/DBA-1908","DBA-1908")</f>
        <v>DBA-1908</v>
      </c>
      <c r="B2913" s="6" t="s">
        <v>21</v>
      </c>
      <c r="C2913" s="6" t="s">
        <v>11720</v>
      </c>
      <c r="D2913" s="8" t="s">
        <v>17</v>
      </c>
      <c r="E2913" s="6" t="s">
        <v>23</v>
      </c>
      <c r="F2913" s="6" t="s">
        <v>31</v>
      </c>
      <c r="G2913" s="6" t="s">
        <v>12258</v>
      </c>
      <c r="H2913" s="10">
        <v>45855</v>
      </c>
      <c r="I2913" s="6" t="s">
        <v>12259</v>
      </c>
      <c r="J2913" s="6" t="s">
        <v>715</v>
      </c>
      <c r="K2913" s="6" t="s">
        <v>55</v>
      </c>
      <c r="L2913" s="6" t="s">
        <v>715</v>
      </c>
      <c r="M2913" s="6" t="s">
        <v>12260</v>
      </c>
    </row>
    <row r="2914" spans="1:13" ht="13" x14ac:dyDescent="0.15">
      <c r="A2914" s="5" t="str">
        <f>HYPERLINK("https://onemount.atlassian.net/browse/DBA-1907","DBA-1907")</f>
        <v>DBA-1907</v>
      </c>
      <c r="B2914" s="6" t="s">
        <v>21</v>
      </c>
      <c r="C2914" s="6" t="s">
        <v>11972</v>
      </c>
      <c r="D2914" s="8" t="s">
        <v>17</v>
      </c>
      <c r="E2914" s="6" t="s">
        <v>23</v>
      </c>
      <c r="F2914" s="6" t="s">
        <v>96</v>
      </c>
      <c r="G2914" s="6" t="s">
        <v>12261</v>
      </c>
      <c r="H2914" s="10">
        <v>45854</v>
      </c>
      <c r="I2914" s="6" t="s">
        <v>12262</v>
      </c>
      <c r="J2914" s="6" t="s">
        <v>1091</v>
      </c>
      <c r="K2914" s="6" t="s">
        <v>165</v>
      </c>
      <c r="L2914" s="6" t="s">
        <v>1091</v>
      </c>
      <c r="M2914" s="6" t="s">
        <v>12263</v>
      </c>
    </row>
    <row r="2915" spans="1:13" ht="13" x14ac:dyDescent="0.15">
      <c r="A2915" s="5" t="str">
        <f>HYPERLINK("https://onemount.atlassian.net/browse/DBA-1906","DBA-1906")</f>
        <v>DBA-1906</v>
      </c>
      <c r="B2915" s="6" t="s">
        <v>21</v>
      </c>
      <c r="C2915" s="6" t="s">
        <v>12264</v>
      </c>
      <c r="D2915" s="8" t="s">
        <v>17</v>
      </c>
      <c r="E2915" s="6" t="s">
        <v>23</v>
      </c>
      <c r="F2915" s="6" t="s">
        <v>96</v>
      </c>
      <c r="G2915" s="6" t="s">
        <v>12265</v>
      </c>
      <c r="H2915" s="10">
        <v>45854</v>
      </c>
      <c r="I2915" s="6" t="s">
        <v>12266</v>
      </c>
      <c r="J2915" s="6" t="s">
        <v>1091</v>
      </c>
      <c r="K2915" s="6" t="s">
        <v>165</v>
      </c>
      <c r="L2915" s="6" t="s">
        <v>1091</v>
      </c>
      <c r="M2915" s="6" t="s">
        <v>12267</v>
      </c>
    </row>
    <row r="2916" spans="1:13" ht="13" x14ac:dyDescent="0.15">
      <c r="A2916" s="5" t="str">
        <f>HYPERLINK("https://onemount.atlassian.net/browse/DBA-1905","DBA-1905")</f>
        <v>DBA-1905</v>
      </c>
      <c r="B2916" s="6" t="s">
        <v>21</v>
      </c>
      <c r="C2916" s="6" t="s">
        <v>12268</v>
      </c>
      <c r="D2916" s="8" t="s">
        <v>17</v>
      </c>
      <c r="E2916" s="6" t="s">
        <v>23</v>
      </c>
      <c r="F2916" s="6" t="s">
        <v>96</v>
      </c>
      <c r="G2916" s="6" t="s">
        <v>12269</v>
      </c>
      <c r="H2916" s="10">
        <v>45854</v>
      </c>
      <c r="I2916" s="6" t="s">
        <v>12270</v>
      </c>
      <c r="J2916" s="6" t="s">
        <v>85</v>
      </c>
      <c r="K2916" s="6" t="s">
        <v>55</v>
      </c>
      <c r="L2916" s="6" t="s">
        <v>85</v>
      </c>
      <c r="M2916" s="6" t="s">
        <v>12271</v>
      </c>
    </row>
    <row r="2917" spans="1:13" ht="13" x14ac:dyDescent="0.15">
      <c r="A2917" s="5" t="str">
        <f>HYPERLINK("https://onemount.atlassian.net/browse/DBA-1904","DBA-1904")</f>
        <v>DBA-1904</v>
      </c>
      <c r="B2917" s="6" t="s">
        <v>21</v>
      </c>
      <c r="C2917" s="6" t="s">
        <v>3328</v>
      </c>
      <c r="D2917" s="8" t="s">
        <v>17</v>
      </c>
      <c r="E2917" s="6" t="s">
        <v>23</v>
      </c>
      <c r="F2917" s="6" t="s">
        <v>96</v>
      </c>
      <c r="G2917" s="6" t="s">
        <v>12272</v>
      </c>
      <c r="H2917" s="10">
        <v>45854</v>
      </c>
      <c r="I2917" s="6" t="s">
        <v>12273</v>
      </c>
      <c r="J2917" s="6" t="s">
        <v>214</v>
      </c>
      <c r="K2917" s="6" t="s">
        <v>165</v>
      </c>
      <c r="L2917" s="6" t="s">
        <v>288</v>
      </c>
      <c r="M2917" s="6" t="s">
        <v>12274</v>
      </c>
    </row>
    <row r="2918" spans="1:13" ht="13" x14ac:dyDescent="0.15">
      <c r="A2918" s="5" t="str">
        <f>HYPERLINK("https://onemount.atlassian.net/browse/DBA-1903","DBA-1903")</f>
        <v>DBA-1903</v>
      </c>
      <c r="B2918" s="6" t="s">
        <v>21</v>
      </c>
      <c r="C2918" s="6" t="s">
        <v>12275</v>
      </c>
      <c r="D2918" s="8" t="s">
        <v>17</v>
      </c>
      <c r="E2918" s="6" t="s">
        <v>23</v>
      </c>
      <c r="F2918" s="6" t="s">
        <v>96</v>
      </c>
      <c r="G2918" s="6" t="s">
        <v>12276</v>
      </c>
      <c r="H2918" s="10">
        <v>45859</v>
      </c>
      <c r="I2918" s="6" t="s">
        <v>12277</v>
      </c>
      <c r="J2918" s="6" t="s">
        <v>55</v>
      </c>
      <c r="K2918" s="6" t="s">
        <v>55</v>
      </c>
      <c r="L2918" s="6" t="s">
        <v>895</v>
      </c>
      <c r="M2918" s="6" t="s">
        <v>12278</v>
      </c>
    </row>
    <row r="2919" spans="1:13" ht="13" x14ac:dyDescent="0.15">
      <c r="A2919" s="5" t="str">
        <f>HYPERLINK("https://onemount.atlassian.net/browse/DBA-1902","DBA-1902")</f>
        <v>DBA-1902</v>
      </c>
      <c r="B2919" s="6" t="s">
        <v>21</v>
      </c>
      <c r="C2919" s="6" t="s">
        <v>12279</v>
      </c>
      <c r="D2919" s="8" t="s">
        <v>17</v>
      </c>
      <c r="E2919" s="6" t="s">
        <v>23</v>
      </c>
      <c r="F2919" s="6" t="s">
        <v>31</v>
      </c>
      <c r="G2919" s="6" t="s">
        <v>12280</v>
      </c>
      <c r="H2919" s="10">
        <v>45854</v>
      </c>
      <c r="I2919" s="6" t="s">
        <v>12281</v>
      </c>
      <c r="J2919" s="6" t="s">
        <v>715</v>
      </c>
      <c r="K2919" s="6" t="s">
        <v>55</v>
      </c>
      <c r="L2919" s="6" t="s">
        <v>715</v>
      </c>
      <c r="M2919" s="6" t="s">
        <v>12282</v>
      </c>
    </row>
    <row r="2920" spans="1:13" ht="13" x14ac:dyDescent="0.15">
      <c r="A2920" s="5" t="str">
        <f>HYPERLINK("https://onemount.atlassian.net/browse/DBA-1901","DBA-1901")</f>
        <v>DBA-1901</v>
      </c>
      <c r="B2920" s="6" t="s">
        <v>21</v>
      </c>
      <c r="C2920" s="6" t="s">
        <v>12283</v>
      </c>
      <c r="D2920" s="8" t="s">
        <v>17</v>
      </c>
      <c r="E2920" s="6" t="s">
        <v>23</v>
      </c>
      <c r="F2920" s="6" t="s">
        <v>24</v>
      </c>
      <c r="G2920" s="6" t="s">
        <v>12284</v>
      </c>
      <c r="H2920" s="10">
        <v>45854</v>
      </c>
      <c r="I2920" s="6" t="s">
        <v>12285</v>
      </c>
      <c r="J2920" s="6" t="s">
        <v>85</v>
      </c>
      <c r="K2920" s="6" t="s">
        <v>55</v>
      </c>
      <c r="L2920" s="6" t="s">
        <v>270</v>
      </c>
      <c r="M2920" s="6" t="s">
        <v>12286</v>
      </c>
    </row>
    <row r="2921" spans="1:13" ht="13" x14ac:dyDescent="0.15">
      <c r="A2921" s="5" t="str">
        <f>HYPERLINK("https://onemount.atlassian.net/browse/DBA-1900","DBA-1900")</f>
        <v>DBA-1900</v>
      </c>
      <c r="B2921" s="6" t="s">
        <v>21</v>
      </c>
      <c r="C2921" s="6" t="s">
        <v>12287</v>
      </c>
      <c r="D2921" s="8" t="s">
        <v>17</v>
      </c>
      <c r="E2921" s="6" t="s">
        <v>23</v>
      </c>
      <c r="F2921" s="6" t="s">
        <v>24</v>
      </c>
      <c r="G2921" s="6" t="s">
        <v>12288</v>
      </c>
      <c r="H2921" s="10">
        <v>45854</v>
      </c>
      <c r="I2921" s="6" t="s">
        <v>12289</v>
      </c>
      <c r="J2921" s="6" t="s">
        <v>85</v>
      </c>
      <c r="K2921" s="6" t="s">
        <v>55</v>
      </c>
      <c r="L2921" s="6" t="s">
        <v>270</v>
      </c>
      <c r="M2921" s="6" t="s">
        <v>12290</v>
      </c>
    </row>
    <row r="2922" spans="1:13" ht="13" x14ac:dyDescent="0.15">
      <c r="A2922" s="5" t="str">
        <f>HYPERLINK("https://onemount.atlassian.net/browse/DBA-1899","DBA-1899")</f>
        <v>DBA-1899</v>
      </c>
      <c r="B2922" s="6" t="s">
        <v>21</v>
      </c>
      <c r="C2922" s="6" t="s">
        <v>12291</v>
      </c>
      <c r="D2922" s="8" t="s">
        <v>17</v>
      </c>
      <c r="E2922" s="6" t="s">
        <v>23</v>
      </c>
      <c r="F2922" s="6" t="s">
        <v>96</v>
      </c>
      <c r="G2922" s="6" t="s">
        <v>12292</v>
      </c>
      <c r="H2922" s="10">
        <v>45854</v>
      </c>
      <c r="I2922" s="6" t="s">
        <v>12293</v>
      </c>
      <c r="J2922" s="6" t="s">
        <v>1898</v>
      </c>
      <c r="K2922" s="6" t="s">
        <v>165</v>
      </c>
      <c r="L2922" s="6" t="s">
        <v>1097</v>
      </c>
      <c r="M2922" s="6" t="s">
        <v>12294</v>
      </c>
    </row>
    <row r="2923" spans="1:13" ht="13" x14ac:dyDescent="0.15">
      <c r="A2923" s="5" t="str">
        <f>HYPERLINK("https://onemount.atlassian.net/browse/DBA-1898","DBA-1898")</f>
        <v>DBA-1898</v>
      </c>
      <c r="B2923" s="6" t="s">
        <v>21</v>
      </c>
      <c r="C2923" s="6" t="s">
        <v>12295</v>
      </c>
      <c r="D2923" s="8" t="s">
        <v>17</v>
      </c>
      <c r="E2923" s="6" t="s">
        <v>23</v>
      </c>
      <c r="F2923" s="6" t="s">
        <v>24</v>
      </c>
      <c r="G2923" s="6" t="s">
        <v>12296</v>
      </c>
      <c r="H2923" s="10">
        <v>45854</v>
      </c>
      <c r="I2923" s="6" t="s">
        <v>12297</v>
      </c>
      <c r="J2923" s="6" t="s">
        <v>27</v>
      </c>
      <c r="K2923" s="6" t="s">
        <v>28</v>
      </c>
      <c r="L2923" s="6" t="s">
        <v>27</v>
      </c>
      <c r="M2923" s="6" t="s">
        <v>12298</v>
      </c>
    </row>
    <row r="2924" spans="1:13" ht="13" x14ac:dyDescent="0.15">
      <c r="A2924" s="5" t="str">
        <f>HYPERLINK("https://onemount.atlassian.net/browse/DBA-1896","DBA-1896")</f>
        <v>DBA-1896</v>
      </c>
      <c r="B2924" s="6" t="s">
        <v>21</v>
      </c>
      <c r="C2924" s="6" t="s">
        <v>11497</v>
      </c>
      <c r="D2924" s="8" t="s">
        <v>17</v>
      </c>
      <c r="E2924" s="6" t="s">
        <v>23</v>
      </c>
      <c r="F2924" s="6" t="s">
        <v>31</v>
      </c>
      <c r="G2924" s="6" t="s">
        <v>12299</v>
      </c>
      <c r="H2924" s="10">
        <v>45855</v>
      </c>
      <c r="I2924" s="6" t="s">
        <v>12300</v>
      </c>
      <c r="J2924" s="6" t="s">
        <v>55</v>
      </c>
      <c r="K2924" s="6" t="s">
        <v>55</v>
      </c>
      <c r="L2924" s="6" t="s">
        <v>712</v>
      </c>
      <c r="M2924" s="6" t="s">
        <v>12301</v>
      </c>
    </row>
    <row r="2925" spans="1:13" ht="13" x14ac:dyDescent="0.15">
      <c r="A2925" s="5" t="str">
        <f>HYPERLINK("https://onemount.atlassian.net/browse/DBA-1895","DBA-1895")</f>
        <v>DBA-1895</v>
      </c>
      <c r="B2925" s="6" t="s">
        <v>21</v>
      </c>
      <c r="C2925" s="6" t="s">
        <v>12302</v>
      </c>
      <c r="D2925" s="8" t="s">
        <v>17</v>
      </c>
      <c r="E2925" s="6" t="s">
        <v>23</v>
      </c>
      <c r="F2925" s="6" t="s">
        <v>24</v>
      </c>
      <c r="G2925" s="6" t="s">
        <v>12303</v>
      </c>
      <c r="H2925" s="10">
        <v>45855</v>
      </c>
      <c r="I2925" s="6" t="s">
        <v>12304</v>
      </c>
      <c r="J2925" s="6" t="s">
        <v>4792</v>
      </c>
      <c r="K2925" s="6" t="s">
        <v>55</v>
      </c>
      <c r="L2925" s="6" t="s">
        <v>270</v>
      </c>
      <c r="M2925" s="6" t="s">
        <v>12305</v>
      </c>
    </row>
    <row r="2926" spans="1:13" ht="13" x14ac:dyDescent="0.15">
      <c r="A2926" s="5" t="str">
        <f>HYPERLINK("https://onemount.atlassian.net/browse/DBA-1894","DBA-1894")</f>
        <v>DBA-1894</v>
      </c>
      <c r="B2926" s="6" t="s">
        <v>21</v>
      </c>
      <c r="C2926" s="6" t="s">
        <v>12306</v>
      </c>
      <c r="D2926" s="8" t="s">
        <v>17</v>
      </c>
      <c r="E2926" s="6" t="s">
        <v>23</v>
      </c>
      <c r="F2926" s="6" t="s">
        <v>96</v>
      </c>
      <c r="G2926" s="6" t="s">
        <v>12307</v>
      </c>
      <c r="H2926" s="10">
        <v>45854</v>
      </c>
      <c r="I2926" s="6" t="s">
        <v>12308</v>
      </c>
      <c r="J2926" s="6" t="s">
        <v>254</v>
      </c>
      <c r="K2926" s="6" t="s">
        <v>55</v>
      </c>
      <c r="L2926" s="6" t="s">
        <v>254</v>
      </c>
      <c r="M2926" s="6" t="s">
        <v>12309</v>
      </c>
    </row>
    <row r="2927" spans="1:13" ht="13" x14ac:dyDescent="0.15">
      <c r="A2927" s="5" t="str">
        <f>HYPERLINK("https://onemount.atlassian.net/browse/DBA-1893","DBA-1893")</f>
        <v>DBA-1893</v>
      </c>
      <c r="B2927" s="6" t="s">
        <v>21</v>
      </c>
      <c r="C2927" s="6" t="s">
        <v>12310</v>
      </c>
      <c r="D2927" s="8" t="s">
        <v>17</v>
      </c>
      <c r="E2927" s="6" t="s">
        <v>23</v>
      </c>
      <c r="F2927" s="6" t="s">
        <v>31</v>
      </c>
      <c r="G2927" s="6" t="s">
        <v>12311</v>
      </c>
      <c r="H2927" s="10">
        <v>45862</v>
      </c>
      <c r="I2927" s="6" t="s">
        <v>12312</v>
      </c>
      <c r="J2927" s="6" t="s">
        <v>855</v>
      </c>
      <c r="K2927" s="6" t="s">
        <v>55</v>
      </c>
      <c r="L2927" s="6" t="s">
        <v>855</v>
      </c>
      <c r="M2927" s="6" t="s">
        <v>12313</v>
      </c>
    </row>
    <row r="2928" spans="1:13" ht="13" x14ac:dyDescent="0.15">
      <c r="A2928" s="5" t="str">
        <f>HYPERLINK("https://onemount.atlassian.net/browse/DBA-1892","DBA-1892")</f>
        <v>DBA-1892</v>
      </c>
      <c r="B2928" s="6" t="s">
        <v>21</v>
      </c>
      <c r="C2928" s="6" t="s">
        <v>6266</v>
      </c>
      <c r="D2928" s="8" t="s">
        <v>17</v>
      </c>
      <c r="E2928" s="6" t="s">
        <v>23</v>
      </c>
      <c r="F2928" s="6" t="s">
        <v>96</v>
      </c>
      <c r="G2928" s="6" t="s">
        <v>12314</v>
      </c>
      <c r="H2928" s="10">
        <v>45853</v>
      </c>
      <c r="I2928" s="6" t="s">
        <v>12315</v>
      </c>
      <c r="J2928" s="6" t="s">
        <v>12316</v>
      </c>
      <c r="K2928" s="6" t="s">
        <v>28</v>
      </c>
      <c r="L2928" s="6" t="s">
        <v>1000</v>
      </c>
      <c r="M2928" s="6" t="s">
        <v>12317</v>
      </c>
    </row>
    <row r="2929" spans="1:13" ht="13" x14ac:dyDescent="0.15">
      <c r="A2929" s="5" t="str">
        <f>HYPERLINK("https://onemount.atlassian.net/browse/DBA-1891","DBA-1891")</f>
        <v>DBA-1891</v>
      </c>
      <c r="B2929" s="23" t="str">
        <f>HYPERLINK("https://onemount.atlassian.net/browse/DBA-1886","DBA-1886")</f>
        <v>DBA-1886</v>
      </c>
      <c r="C2929" s="6" t="s">
        <v>10835</v>
      </c>
      <c r="D2929" s="8" t="s">
        <v>17</v>
      </c>
      <c r="E2929" s="6" t="s">
        <v>428</v>
      </c>
      <c r="F2929" s="6" t="s">
        <v>24</v>
      </c>
      <c r="G2929" s="6" t="s">
        <v>12318</v>
      </c>
      <c r="H2929" s="10">
        <v>45869</v>
      </c>
      <c r="I2929" s="6" t="s">
        <v>12319</v>
      </c>
      <c r="J2929" s="6" t="s">
        <v>55</v>
      </c>
      <c r="K2929" s="6" t="s">
        <v>55</v>
      </c>
      <c r="L2929" s="6" t="s">
        <v>56</v>
      </c>
      <c r="M2929" s="6" t="s">
        <v>12320</v>
      </c>
    </row>
    <row r="2930" spans="1:13" ht="13" x14ac:dyDescent="0.15">
      <c r="A2930" s="5" t="str">
        <f>HYPERLINK("https://onemount.atlassian.net/browse/DBA-1889","DBA-1889")</f>
        <v>DBA-1889</v>
      </c>
      <c r="B2930" s="6" t="s">
        <v>21</v>
      </c>
      <c r="C2930" s="6" t="s">
        <v>12321</v>
      </c>
      <c r="D2930" s="8" t="s">
        <v>17</v>
      </c>
      <c r="E2930" s="6" t="s">
        <v>23</v>
      </c>
      <c r="F2930" s="6" t="s">
        <v>24</v>
      </c>
      <c r="G2930" s="6" t="s">
        <v>12322</v>
      </c>
      <c r="H2930" s="10">
        <v>45854</v>
      </c>
      <c r="I2930" s="6" t="s">
        <v>12323</v>
      </c>
      <c r="J2930" s="6" t="s">
        <v>56</v>
      </c>
      <c r="K2930" s="6" t="s">
        <v>55</v>
      </c>
      <c r="L2930" s="6" t="s">
        <v>56</v>
      </c>
      <c r="M2930" s="6" t="s">
        <v>12324</v>
      </c>
    </row>
    <row r="2931" spans="1:13" ht="13" x14ac:dyDescent="0.15">
      <c r="A2931" s="5" t="str">
        <f>HYPERLINK("https://onemount.atlassian.net/browse/DBA-1888","DBA-1888")</f>
        <v>DBA-1888</v>
      </c>
      <c r="B2931" s="23" t="str">
        <f t="shared" ref="B2931:B2932" si="53">HYPERLINK("https://onemount.atlassian.net/browse/DBA-1886","DBA-1886")</f>
        <v>DBA-1886</v>
      </c>
      <c r="C2931" s="6" t="s">
        <v>10839</v>
      </c>
      <c r="D2931" s="8" t="s">
        <v>17</v>
      </c>
      <c r="E2931" s="6" t="s">
        <v>428</v>
      </c>
      <c r="F2931" s="6" t="s">
        <v>24</v>
      </c>
      <c r="G2931" s="6" t="s">
        <v>12325</v>
      </c>
      <c r="H2931" s="10">
        <v>45869</v>
      </c>
      <c r="I2931" s="6" t="s">
        <v>12326</v>
      </c>
      <c r="J2931" s="6" t="s">
        <v>55</v>
      </c>
      <c r="K2931" s="6" t="s">
        <v>55</v>
      </c>
      <c r="L2931" s="6" t="s">
        <v>56</v>
      </c>
      <c r="M2931" s="6" t="s">
        <v>12327</v>
      </c>
    </row>
    <row r="2932" spans="1:13" ht="13" x14ac:dyDescent="0.15">
      <c r="A2932" s="21" t="str">
        <f>HYPERLINK("https://onemount.atlassian.net/browse/DBA-1887","DBA-1887")</f>
        <v>DBA-1887</v>
      </c>
      <c r="B2932" s="23" t="str">
        <f t="shared" si="53"/>
        <v>DBA-1886</v>
      </c>
      <c r="C2932" s="6" t="s">
        <v>10843</v>
      </c>
      <c r="D2932" s="8" t="s">
        <v>17</v>
      </c>
      <c r="E2932" s="6" t="s">
        <v>428</v>
      </c>
      <c r="F2932" s="6" t="s">
        <v>24</v>
      </c>
      <c r="G2932" s="6" t="s">
        <v>12328</v>
      </c>
      <c r="H2932" s="10">
        <v>45853</v>
      </c>
      <c r="I2932" s="6" t="s">
        <v>12329</v>
      </c>
      <c r="J2932" s="6" t="s">
        <v>55</v>
      </c>
      <c r="K2932" s="6" t="s">
        <v>55</v>
      </c>
      <c r="L2932" s="6" t="s">
        <v>56</v>
      </c>
      <c r="M2932" s="6" t="s">
        <v>12330</v>
      </c>
    </row>
    <row r="2933" spans="1:13" ht="13" x14ac:dyDescent="0.15">
      <c r="A2933" s="5" t="str">
        <f>HYPERLINK("https://onemount.atlassian.net/browse/DBA-1886","DBA-1886")</f>
        <v>DBA-1886</v>
      </c>
      <c r="B2933" s="23" t="str">
        <f>HYPERLINK("https://onemount.atlassian.net/browse/DBA-3006","DBA-3006")</f>
        <v>DBA-3006</v>
      </c>
      <c r="C2933" s="6" t="s">
        <v>12331</v>
      </c>
      <c r="D2933" s="8" t="s">
        <v>17</v>
      </c>
      <c r="E2933" s="6" t="s">
        <v>23</v>
      </c>
      <c r="F2933" s="6" t="s">
        <v>24</v>
      </c>
      <c r="G2933" s="6" t="s">
        <v>12332</v>
      </c>
      <c r="H2933" s="10">
        <v>45869</v>
      </c>
      <c r="I2933" s="6" t="s">
        <v>12333</v>
      </c>
      <c r="J2933" s="6" t="s">
        <v>55</v>
      </c>
      <c r="K2933" s="6" t="s">
        <v>55</v>
      </c>
      <c r="L2933" s="6" t="s">
        <v>56</v>
      </c>
      <c r="M2933" s="6" t="s">
        <v>12334</v>
      </c>
    </row>
    <row r="2934" spans="1:13" ht="13" x14ac:dyDescent="0.15">
      <c r="A2934" s="21" t="str">
        <f>HYPERLINK("https://onemount.atlassian.net/browse/DBA-1885","DBA-1885")</f>
        <v>DBA-1885</v>
      </c>
      <c r="B2934" s="6" t="s">
        <v>21</v>
      </c>
      <c r="C2934" s="6" t="s">
        <v>12335</v>
      </c>
      <c r="D2934" s="8" t="s">
        <v>17</v>
      </c>
      <c r="E2934" s="6" t="s">
        <v>23</v>
      </c>
      <c r="F2934" s="6" t="s">
        <v>96</v>
      </c>
      <c r="G2934" s="6" t="s">
        <v>12336</v>
      </c>
      <c r="H2934" s="10">
        <v>45857</v>
      </c>
      <c r="I2934" s="6" t="s">
        <v>12337</v>
      </c>
      <c r="J2934" s="6" t="s">
        <v>913</v>
      </c>
      <c r="K2934" s="6" t="s">
        <v>165</v>
      </c>
      <c r="L2934" s="6" t="s">
        <v>288</v>
      </c>
      <c r="M2934" s="6" t="s">
        <v>12338</v>
      </c>
    </row>
    <row r="2935" spans="1:13" ht="13" x14ac:dyDescent="0.15">
      <c r="A2935" s="21" t="str">
        <f>HYPERLINK("https://onemount.atlassian.net/browse/DBA-1884","DBA-1884")</f>
        <v>DBA-1884</v>
      </c>
      <c r="B2935" s="6" t="s">
        <v>21</v>
      </c>
      <c r="C2935" s="6" t="s">
        <v>12339</v>
      </c>
      <c r="D2935" s="8" t="s">
        <v>17</v>
      </c>
      <c r="E2935" s="6" t="s">
        <v>23</v>
      </c>
      <c r="F2935" s="6" t="s">
        <v>24</v>
      </c>
      <c r="G2935" s="6" t="s">
        <v>12340</v>
      </c>
      <c r="H2935" s="10">
        <v>45854</v>
      </c>
      <c r="I2935" s="6" t="s">
        <v>12341</v>
      </c>
      <c r="J2935" s="6" t="s">
        <v>56</v>
      </c>
      <c r="K2935" s="6" t="s">
        <v>55</v>
      </c>
      <c r="L2935" s="6" t="s">
        <v>56</v>
      </c>
      <c r="M2935" s="6" t="s">
        <v>12342</v>
      </c>
    </row>
    <row r="2936" spans="1:13" ht="13" x14ac:dyDescent="0.15">
      <c r="A2936" s="5" t="str">
        <f>HYPERLINK("https://onemount.atlassian.net/browse/DBA-1883","DBA-1883")</f>
        <v>DBA-1883</v>
      </c>
      <c r="B2936" s="6" t="s">
        <v>21</v>
      </c>
      <c r="C2936" s="6" t="s">
        <v>12343</v>
      </c>
      <c r="D2936" s="8" t="s">
        <v>17</v>
      </c>
      <c r="E2936" s="6" t="s">
        <v>23</v>
      </c>
      <c r="F2936" s="6" t="s">
        <v>96</v>
      </c>
      <c r="G2936" s="6" t="s">
        <v>12344</v>
      </c>
      <c r="H2936" s="10">
        <v>45853</v>
      </c>
      <c r="I2936" s="6" t="s">
        <v>12345</v>
      </c>
      <c r="J2936" s="6" t="s">
        <v>1898</v>
      </c>
      <c r="K2936" s="6" t="s">
        <v>165</v>
      </c>
      <c r="L2936" s="6" t="s">
        <v>1097</v>
      </c>
      <c r="M2936" s="6" t="s">
        <v>12346</v>
      </c>
    </row>
    <row r="2937" spans="1:13" ht="13" x14ac:dyDescent="0.15">
      <c r="A2937" s="5" t="str">
        <f>HYPERLINK("https://onemount.atlassian.net/browse/DBA-1882","DBA-1882")</f>
        <v>DBA-1882</v>
      </c>
      <c r="B2937" s="6" t="s">
        <v>21</v>
      </c>
      <c r="C2937" s="6" t="s">
        <v>12347</v>
      </c>
      <c r="D2937" s="8" t="s">
        <v>17</v>
      </c>
      <c r="E2937" s="6" t="s">
        <v>23</v>
      </c>
      <c r="F2937" s="6" t="s">
        <v>96</v>
      </c>
      <c r="G2937" s="6" t="s">
        <v>12348</v>
      </c>
      <c r="H2937" s="10">
        <v>45853</v>
      </c>
      <c r="I2937" s="6" t="s">
        <v>12349</v>
      </c>
      <c r="J2937" s="6" t="s">
        <v>221</v>
      </c>
      <c r="K2937" s="6" t="s">
        <v>165</v>
      </c>
      <c r="L2937" s="6" t="s">
        <v>1052</v>
      </c>
      <c r="M2937" s="6" t="s">
        <v>12350</v>
      </c>
    </row>
    <row r="2938" spans="1:13" ht="13" x14ac:dyDescent="0.15">
      <c r="A2938" s="5" t="str">
        <f>HYPERLINK("https://onemount.atlassian.net/browse/DBA-1881","DBA-1881")</f>
        <v>DBA-1881</v>
      </c>
      <c r="B2938" s="6" t="s">
        <v>21</v>
      </c>
      <c r="C2938" s="6" t="s">
        <v>12351</v>
      </c>
      <c r="D2938" s="8" t="s">
        <v>17</v>
      </c>
      <c r="E2938" s="6" t="s">
        <v>23</v>
      </c>
      <c r="F2938" s="6" t="s">
        <v>96</v>
      </c>
      <c r="G2938" s="6" t="s">
        <v>12352</v>
      </c>
      <c r="H2938" s="10">
        <v>45853</v>
      </c>
      <c r="I2938" s="6" t="s">
        <v>12353</v>
      </c>
      <c r="J2938" s="6" t="s">
        <v>1091</v>
      </c>
      <c r="K2938" s="6" t="s">
        <v>165</v>
      </c>
      <c r="L2938" s="6" t="s">
        <v>1091</v>
      </c>
      <c r="M2938" s="6" t="s">
        <v>12354</v>
      </c>
    </row>
    <row r="2939" spans="1:13" ht="13" x14ac:dyDescent="0.15">
      <c r="A2939" s="5" t="str">
        <f>HYPERLINK("https://onemount.atlassian.net/browse/DBA-1880","DBA-1880")</f>
        <v>DBA-1880</v>
      </c>
      <c r="B2939" s="6" t="s">
        <v>21</v>
      </c>
      <c r="C2939" s="6" t="s">
        <v>12176</v>
      </c>
      <c r="D2939" s="8" t="s">
        <v>17</v>
      </c>
      <c r="E2939" s="6" t="s">
        <v>23</v>
      </c>
      <c r="F2939" s="6" t="s">
        <v>96</v>
      </c>
      <c r="G2939" s="6" t="s">
        <v>12355</v>
      </c>
      <c r="H2939" s="10">
        <v>45852</v>
      </c>
      <c r="I2939" s="6" t="s">
        <v>12356</v>
      </c>
      <c r="J2939" s="6" t="s">
        <v>2453</v>
      </c>
      <c r="K2939" s="6" t="s">
        <v>165</v>
      </c>
      <c r="L2939" s="6" t="s">
        <v>119</v>
      </c>
      <c r="M2939" s="6" t="s">
        <v>12357</v>
      </c>
    </row>
    <row r="2940" spans="1:13" ht="13" x14ac:dyDescent="0.15">
      <c r="A2940" s="5" t="str">
        <f>HYPERLINK("https://onemount.atlassian.net/browse/DBA-1879","DBA-1879")</f>
        <v>DBA-1879</v>
      </c>
      <c r="B2940" s="6" t="s">
        <v>21</v>
      </c>
      <c r="C2940" s="6" t="s">
        <v>12176</v>
      </c>
      <c r="D2940" s="8" t="s">
        <v>17</v>
      </c>
      <c r="E2940" s="6" t="s">
        <v>23</v>
      </c>
      <c r="F2940" s="6" t="s">
        <v>96</v>
      </c>
      <c r="G2940" s="6" t="s">
        <v>12358</v>
      </c>
      <c r="H2940" s="10">
        <v>45852</v>
      </c>
      <c r="I2940" s="6" t="s">
        <v>12359</v>
      </c>
      <c r="J2940" s="6" t="s">
        <v>2453</v>
      </c>
      <c r="K2940" s="6" t="s">
        <v>165</v>
      </c>
      <c r="L2940" s="6" t="s">
        <v>119</v>
      </c>
      <c r="M2940" s="6" t="s">
        <v>12360</v>
      </c>
    </row>
    <row r="2941" spans="1:13" ht="13" x14ac:dyDescent="0.15">
      <c r="A2941" s="5" t="str">
        <f>HYPERLINK("https://onemount.atlassian.net/browse/DBA-1878","DBA-1878")</f>
        <v>DBA-1878</v>
      </c>
      <c r="B2941" s="6" t="s">
        <v>21</v>
      </c>
      <c r="C2941" s="6" t="s">
        <v>12361</v>
      </c>
      <c r="D2941" s="8" t="s">
        <v>17</v>
      </c>
      <c r="E2941" s="6" t="s">
        <v>23</v>
      </c>
      <c r="F2941" s="6" t="s">
        <v>96</v>
      </c>
      <c r="G2941" s="6" t="s">
        <v>12362</v>
      </c>
      <c r="H2941" s="10">
        <v>45852</v>
      </c>
      <c r="I2941" s="6" t="s">
        <v>12363</v>
      </c>
      <c r="J2941" s="6" t="s">
        <v>1898</v>
      </c>
      <c r="K2941" s="6" t="s">
        <v>165</v>
      </c>
      <c r="L2941" s="6" t="s">
        <v>1097</v>
      </c>
      <c r="M2941" s="6" t="s">
        <v>12364</v>
      </c>
    </row>
    <row r="2942" spans="1:13" ht="13" x14ac:dyDescent="0.15">
      <c r="A2942" s="5" t="str">
        <f>HYPERLINK("https://onemount.atlassian.net/browse/DBA-1876","DBA-1876")</f>
        <v>DBA-1876</v>
      </c>
      <c r="B2942" s="6" t="s">
        <v>21</v>
      </c>
      <c r="C2942" s="6" t="s">
        <v>12365</v>
      </c>
      <c r="D2942" s="8" t="s">
        <v>17</v>
      </c>
      <c r="E2942" s="6" t="s">
        <v>23</v>
      </c>
      <c r="F2942" s="6" t="s">
        <v>31</v>
      </c>
      <c r="G2942" s="6" t="s">
        <v>12366</v>
      </c>
      <c r="H2942" s="10">
        <v>45852</v>
      </c>
      <c r="I2942" s="6" t="s">
        <v>12367</v>
      </c>
      <c r="J2942" s="6" t="s">
        <v>1187</v>
      </c>
      <c r="K2942" s="6" t="s">
        <v>35</v>
      </c>
      <c r="L2942" s="6" t="s">
        <v>1187</v>
      </c>
      <c r="M2942" s="6" t="s">
        <v>12368</v>
      </c>
    </row>
    <row r="2943" spans="1:13" ht="13" x14ac:dyDescent="0.15">
      <c r="A2943" s="5" t="str">
        <f>HYPERLINK("https://onemount.atlassian.net/browse/DBA-1875","DBA-1875")</f>
        <v>DBA-1875</v>
      </c>
      <c r="B2943" s="6" t="s">
        <v>21</v>
      </c>
      <c r="C2943" s="6" t="s">
        <v>12369</v>
      </c>
      <c r="D2943" s="8" t="s">
        <v>17</v>
      </c>
      <c r="E2943" s="6" t="s">
        <v>23</v>
      </c>
      <c r="F2943" s="6" t="s">
        <v>31</v>
      </c>
      <c r="G2943" s="6" t="s">
        <v>12370</v>
      </c>
      <c r="H2943" s="10">
        <v>45852</v>
      </c>
      <c r="I2943" s="6" t="s">
        <v>12371</v>
      </c>
      <c r="J2943" s="6" t="s">
        <v>2687</v>
      </c>
      <c r="K2943" s="6" t="s">
        <v>55</v>
      </c>
      <c r="L2943" s="6" t="s">
        <v>404</v>
      </c>
      <c r="M2943" s="6" t="s">
        <v>12372</v>
      </c>
    </row>
    <row r="2944" spans="1:13" ht="13" x14ac:dyDescent="0.15">
      <c r="A2944" s="5" t="str">
        <f>HYPERLINK("https://onemount.atlassian.net/browse/DBA-1874","DBA-1874")</f>
        <v>DBA-1874</v>
      </c>
      <c r="B2944" s="23" t="str">
        <f>HYPERLINK("https://onemount.atlassian.net/browse/DBA-2023","DBA-2023")</f>
        <v>DBA-2023</v>
      </c>
      <c r="C2944" s="6" t="s">
        <v>12373</v>
      </c>
      <c r="D2944" s="8" t="s">
        <v>17</v>
      </c>
      <c r="E2944" s="6" t="s">
        <v>428</v>
      </c>
      <c r="F2944" s="6" t="s">
        <v>31</v>
      </c>
      <c r="G2944" s="6" t="s">
        <v>12374</v>
      </c>
      <c r="H2944" s="10">
        <v>45851</v>
      </c>
      <c r="I2944" s="6" t="s">
        <v>12375</v>
      </c>
      <c r="J2944" s="6" t="s">
        <v>55</v>
      </c>
      <c r="K2944" s="6" t="s">
        <v>55</v>
      </c>
      <c r="L2944" s="6" t="s">
        <v>55</v>
      </c>
      <c r="M2944" s="6" t="s">
        <v>12376</v>
      </c>
    </row>
    <row r="2945" spans="1:13" ht="13" x14ac:dyDescent="0.15">
      <c r="A2945" s="21" t="str">
        <f>HYPERLINK("https://onemount.atlassian.net/browse/DBA-1872","DBA-1872")</f>
        <v>DBA-1872</v>
      </c>
      <c r="B2945" s="6" t="s">
        <v>21</v>
      </c>
      <c r="C2945" s="6" t="s">
        <v>12377</v>
      </c>
      <c r="D2945" s="8" t="s">
        <v>17</v>
      </c>
      <c r="E2945" s="6" t="s">
        <v>23</v>
      </c>
      <c r="F2945" s="6" t="s">
        <v>96</v>
      </c>
      <c r="G2945" s="6" t="s">
        <v>12378</v>
      </c>
      <c r="H2945" s="10">
        <v>45885</v>
      </c>
      <c r="I2945" s="6" t="s">
        <v>12379</v>
      </c>
      <c r="J2945" s="6" t="s">
        <v>3369</v>
      </c>
      <c r="K2945" s="6" t="s">
        <v>168</v>
      </c>
      <c r="L2945" s="6" t="s">
        <v>571</v>
      </c>
      <c r="M2945" s="6" t="s">
        <v>11507</v>
      </c>
    </row>
    <row r="2946" spans="1:13" ht="13" x14ac:dyDescent="0.15">
      <c r="A2946" s="5" t="str">
        <f>HYPERLINK("https://onemount.atlassian.net/browse/DBA-1871","DBA-1871")</f>
        <v>DBA-1871</v>
      </c>
      <c r="B2946" s="6" t="s">
        <v>21</v>
      </c>
      <c r="C2946" s="6" t="s">
        <v>12380</v>
      </c>
      <c r="D2946" s="8" t="s">
        <v>17</v>
      </c>
      <c r="E2946" s="6" t="s">
        <v>23</v>
      </c>
      <c r="F2946" s="6" t="s">
        <v>96</v>
      </c>
      <c r="G2946" s="6" t="s">
        <v>12381</v>
      </c>
      <c r="H2946" s="10">
        <v>45850</v>
      </c>
      <c r="I2946" s="6" t="s">
        <v>12382</v>
      </c>
      <c r="J2946" s="6" t="s">
        <v>12383</v>
      </c>
      <c r="K2946" s="6" t="s">
        <v>28</v>
      </c>
      <c r="L2946" s="6" t="s">
        <v>715</v>
      </c>
      <c r="M2946" s="6" t="s">
        <v>12384</v>
      </c>
    </row>
    <row r="2947" spans="1:13" ht="13" x14ac:dyDescent="0.15">
      <c r="A2947" s="21" t="str">
        <f>HYPERLINK("https://onemount.atlassian.net/browse/DBA-1870","DBA-1870")</f>
        <v>DBA-1870</v>
      </c>
      <c r="B2947" s="6" t="s">
        <v>21</v>
      </c>
      <c r="C2947" s="6" t="s">
        <v>12385</v>
      </c>
      <c r="D2947" s="8" t="s">
        <v>17</v>
      </c>
      <c r="E2947" s="6" t="s">
        <v>23</v>
      </c>
      <c r="F2947" s="6" t="s">
        <v>96</v>
      </c>
      <c r="G2947" s="6" t="s">
        <v>12386</v>
      </c>
      <c r="H2947" s="10">
        <v>45850</v>
      </c>
      <c r="I2947" s="6" t="s">
        <v>12387</v>
      </c>
      <c r="J2947" s="6" t="s">
        <v>28</v>
      </c>
      <c r="K2947" s="6" t="s">
        <v>28</v>
      </c>
      <c r="L2947" s="6" t="s">
        <v>715</v>
      </c>
      <c r="M2947" s="6" t="s">
        <v>12388</v>
      </c>
    </row>
    <row r="2948" spans="1:13" ht="13" x14ac:dyDescent="0.15">
      <c r="A2948" s="5" t="str">
        <f>HYPERLINK("https://onemount.atlassian.net/browse/DBA-1869","DBA-1869")</f>
        <v>DBA-1869</v>
      </c>
      <c r="B2948" s="6" t="s">
        <v>21</v>
      </c>
      <c r="C2948" s="6" t="s">
        <v>12389</v>
      </c>
      <c r="D2948" s="8" t="s">
        <v>17</v>
      </c>
      <c r="E2948" s="6" t="s">
        <v>23</v>
      </c>
      <c r="F2948" s="6" t="s">
        <v>96</v>
      </c>
      <c r="G2948" s="6" t="s">
        <v>12390</v>
      </c>
      <c r="H2948" s="10">
        <v>45850</v>
      </c>
      <c r="I2948" s="6" t="s">
        <v>12391</v>
      </c>
      <c r="J2948" s="6" t="s">
        <v>27</v>
      </c>
      <c r="K2948" s="6" t="s">
        <v>28</v>
      </c>
      <c r="L2948" s="6" t="s">
        <v>27</v>
      </c>
      <c r="M2948" s="6" t="s">
        <v>12392</v>
      </c>
    </row>
    <row r="2949" spans="1:13" ht="13" x14ac:dyDescent="0.15">
      <c r="A2949" s="5" t="str">
        <f>HYPERLINK("https://onemount.atlassian.net/browse/DBA-1868","DBA-1868")</f>
        <v>DBA-1868</v>
      </c>
      <c r="B2949" s="6" t="s">
        <v>21</v>
      </c>
      <c r="C2949" s="6" t="s">
        <v>12393</v>
      </c>
      <c r="D2949" s="8" t="s">
        <v>17</v>
      </c>
      <c r="E2949" s="6" t="s">
        <v>23</v>
      </c>
      <c r="F2949" s="6" t="s">
        <v>24</v>
      </c>
      <c r="G2949" s="6" t="s">
        <v>12394</v>
      </c>
      <c r="H2949" s="10">
        <v>45850</v>
      </c>
      <c r="I2949" s="6" t="s">
        <v>12395</v>
      </c>
      <c r="J2949" s="6" t="s">
        <v>55</v>
      </c>
      <c r="K2949" s="6" t="s">
        <v>55</v>
      </c>
      <c r="L2949" s="6" t="s">
        <v>55</v>
      </c>
      <c r="M2949" s="6" t="s">
        <v>12396</v>
      </c>
    </row>
    <row r="2950" spans="1:13" ht="13" x14ac:dyDescent="0.15">
      <c r="A2950" s="5" t="str">
        <f>HYPERLINK("https://onemount.atlassian.net/browse/DBA-1867","DBA-1867")</f>
        <v>DBA-1867</v>
      </c>
      <c r="B2950" s="6" t="s">
        <v>21</v>
      </c>
      <c r="C2950" s="6" t="s">
        <v>12397</v>
      </c>
      <c r="D2950" s="8" t="s">
        <v>17</v>
      </c>
      <c r="E2950" s="6" t="s">
        <v>23</v>
      </c>
      <c r="F2950" s="6" t="s">
        <v>96</v>
      </c>
      <c r="G2950" s="6" t="s">
        <v>12398</v>
      </c>
      <c r="H2950" s="10">
        <v>45852</v>
      </c>
      <c r="I2950" s="6" t="s">
        <v>12399</v>
      </c>
      <c r="J2950" s="6" t="s">
        <v>27</v>
      </c>
      <c r="K2950" s="6" t="s">
        <v>28</v>
      </c>
      <c r="L2950" s="6" t="s">
        <v>1116</v>
      </c>
      <c r="M2950" s="6" t="s">
        <v>12400</v>
      </c>
    </row>
    <row r="2951" spans="1:13" ht="13" x14ac:dyDescent="0.15">
      <c r="A2951" s="5" t="str">
        <f>HYPERLINK("https://onemount.atlassian.net/browse/DBA-1864","DBA-1864")</f>
        <v>DBA-1864</v>
      </c>
      <c r="B2951" s="6" t="s">
        <v>21</v>
      </c>
      <c r="C2951" s="6" t="s">
        <v>12401</v>
      </c>
      <c r="D2951" s="8" t="s">
        <v>17</v>
      </c>
      <c r="E2951" s="6" t="s">
        <v>23</v>
      </c>
      <c r="F2951" s="6" t="s">
        <v>31</v>
      </c>
      <c r="G2951" s="6" t="s">
        <v>12402</v>
      </c>
      <c r="H2951" s="10">
        <v>45849</v>
      </c>
      <c r="I2951" s="6" t="s">
        <v>12403</v>
      </c>
      <c r="J2951" s="6" t="s">
        <v>55</v>
      </c>
      <c r="K2951" s="6" t="s">
        <v>55</v>
      </c>
      <c r="L2951" s="6" t="s">
        <v>956</v>
      </c>
      <c r="M2951" s="6" t="s">
        <v>12404</v>
      </c>
    </row>
    <row r="2952" spans="1:13" ht="13" x14ac:dyDescent="0.15">
      <c r="A2952" s="5" t="str">
        <f>HYPERLINK("https://onemount.atlassian.net/browse/DBA-1863","DBA-1863")</f>
        <v>DBA-1863</v>
      </c>
      <c r="B2952" s="6" t="s">
        <v>21</v>
      </c>
      <c r="C2952" s="6" t="s">
        <v>12158</v>
      </c>
      <c r="D2952" s="8" t="s">
        <v>17</v>
      </c>
      <c r="E2952" s="6" t="s">
        <v>23</v>
      </c>
      <c r="F2952" s="6" t="s">
        <v>31</v>
      </c>
      <c r="G2952" s="6" t="s">
        <v>12405</v>
      </c>
      <c r="H2952" s="10">
        <v>45849</v>
      </c>
      <c r="I2952" s="6" t="s">
        <v>12406</v>
      </c>
      <c r="J2952" s="6" t="s">
        <v>276</v>
      </c>
      <c r="K2952" s="6" t="s">
        <v>35</v>
      </c>
      <c r="L2952" s="6" t="s">
        <v>276</v>
      </c>
      <c r="M2952" s="6" t="s">
        <v>12407</v>
      </c>
    </row>
    <row r="2953" spans="1:13" ht="13" x14ac:dyDescent="0.15">
      <c r="A2953" s="21" t="str">
        <f>HYPERLINK("https://onemount.atlassian.net/browse/DBA-1862","DBA-1862")</f>
        <v>DBA-1862</v>
      </c>
      <c r="B2953" s="6" t="s">
        <v>21</v>
      </c>
      <c r="C2953" s="6" t="s">
        <v>12385</v>
      </c>
      <c r="D2953" s="8" t="s">
        <v>17</v>
      </c>
      <c r="E2953" s="6" t="s">
        <v>23</v>
      </c>
      <c r="F2953" s="6" t="s">
        <v>96</v>
      </c>
      <c r="G2953" s="6" t="s">
        <v>12408</v>
      </c>
      <c r="H2953" s="10">
        <v>45850</v>
      </c>
      <c r="I2953" s="6" t="s">
        <v>12409</v>
      </c>
      <c r="J2953" s="6" t="s">
        <v>28</v>
      </c>
      <c r="K2953" s="6" t="s">
        <v>28</v>
      </c>
      <c r="L2953" s="6" t="s">
        <v>715</v>
      </c>
      <c r="M2953" s="6" t="s">
        <v>12388</v>
      </c>
    </row>
    <row r="2954" spans="1:13" ht="13" x14ac:dyDescent="0.15">
      <c r="A2954" s="5" t="str">
        <f>HYPERLINK("https://onemount.atlassian.net/browse/DBA-1861","DBA-1861")</f>
        <v>DBA-1861</v>
      </c>
      <c r="B2954" s="6" t="s">
        <v>21</v>
      </c>
      <c r="C2954" s="6" t="s">
        <v>12410</v>
      </c>
      <c r="D2954" s="8" t="s">
        <v>17</v>
      </c>
      <c r="E2954" s="6" t="s">
        <v>23</v>
      </c>
      <c r="F2954" s="6" t="s">
        <v>96</v>
      </c>
      <c r="G2954" s="6" t="s">
        <v>12411</v>
      </c>
      <c r="H2954" s="10">
        <v>45849</v>
      </c>
      <c r="I2954" s="6" t="s">
        <v>12412</v>
      </c>
      <c r="J2954" s="6" t="s">
        <v>27</v>
      </c>
      <c r="K2954" s="6" t="s">
        <v>28</v>
      </c>
      <c r="L2954" s="6" t="s">
        <v>27</v>
      </c>
      <c r="M2954" s="6" t="s">
        <v>12413</v>
      </c>
    </row>
    <row r="2955" spans="1:13" ht="13" x14ac:dyDescent="0.15">
      <c r="A2955" s="5" t="str">
        <f>HYPERLINK("https://onemount.atlassian.net/browse/DBA-1860","DBA-1860")</f>
        <v>DBA-1860</v>
      </c>
      <c r="B2955" s="6" t="s">
        <v>21</v>
      </c>
      <c r="C2955" s="6" t="s">
        <v>12414</v>
      </c>
      <c r="D2955" s="8" t="s">
        <v>17</v>
      </c>
      <c r="E2955" s="6" t="s">
        <v>23</v>
      </c>
      <c r="F2955" s="6" t="s">
        <v>31</v>
      </c>
      <c r="G2955" s="6" t="s">
        <v>12415</v>
      </c>
      <c r="H2955" s="10">
        <v>45850</v>
      </c>
      <c r="I2955" s="6" t="s">
        <v>12416</v>
      </c>
      <c r="J2955" s="6" t="s">
        <v>1187</v>
      </c>
      <c r="K2955" s="6" t="s">
        <v>35</v>
      </c>
      <c r="L2955" s="6" t="s">
        <v>1187</v>
      </c>
      <c r="M2955" s="6" t="s">
        <v>12417</v>
      </c>
    </row>
    <row r="2956" spans="1:13" ht="13" x14ac:dyDescent="0.15">
      <c r="A2956" s="5" t="str">
        <f>HYPERLINK("https://onemount.atlassian.net/browse/DBA-1859","DBA-1859")</f>
        <v>DBA-1859</v>
      </c>
      <c r="B2956" s="6" t="s">
        <v>21</v>
      </c>
      <c r="C2956" s="6" t="s">
        <v>12418</v>
      </c>
      <c r="D2956" s="8" t="s">
        <v>17</v>
      </c>
      <c r="E2956" s="6" t="s">
        <v>23</v>
      </c>
      <c r="F2956" s="6" t="s">
        <v>24</v>
      </c>
      <c r="G2956" s="6" t="s">
        <v>12419</v>
      </c>
      <c r="H2956" s="10">
        <v>45848</v>
      </c>
      <c r="I2956" s="6" t="s">
        <v>12420</v>
      </c>
      <c r="J2956" s="6" t="s">
        <v>55</v>
      </c>
      <c r="K2956" s="6" t="s">
        <v>55</v>
      </c>
      <c r="L2956" s="6" t="s">
        <v>56</v>
      </c>
      <c r="M2956" s="6" t="s">
        <v>12421</v>
      </c>
    </row>
    <row r="2957" spans="1:13" ht="13" x14ac:dyDescent="0.15">
      <c r="A2957" s="5" t="str">
        <f>HYPERLINK("https://onemount.atlassian.net/browse/DBA-1858","DBA-1858")</f>
        <v>DBA-1858</v>
      </c>
      <c r="B2957" s="6" t="s">
        <v>21</v>
      </c>
      <c r="C2957" s="6" t="s">
        <v>2330</v>
      </c>
      <c r="D2957" s="8" t="s">
        <v>17</v>
      </c>
      <c r="E2957" s="6" t="s">
        <v>23</v>
      </c>
      <c r="F2957" s="6" t="s">
        <v>96</v>
      </c>
      <c r="G2957" s="6" t="s">
        <v>12422</v>
      </c>
      <c r="H2957" s="10">
        <v>45848</v>
      </c>
      <c r="I2957" s="6" t="s">
        <v>12423</v>
      </c>
      <c r="J2957" s="6" t="s">
        <v>55</v>
      </c>
      <c r="K2957" s="6" t="s">
        <v>55</v>
      </c>
      <c r="L2957" s="6" t="s">
        <v>956</v>
      </c>
      <c r="M2957" s="6" t="s">
        <v>12424</v>
      </c>
    </row>
    <row r="2958" spans="1:13" ht="13" x14ac:dyDescent="0.15">
      <c r="A2958" s="5" t="str">
        <f>HYPERLINK("https://onemount.atlassian.net/browse/DBA-1857","DBA-1857")</f>
        <v>DBA-1857</v>
      </c>
      <c r="B2958" s="6" t="s">
        <v>21</v>
      </c>
      <c r="C2958" s="6" t="s">
        <v>6364</v>
      </c>
      <c r="D2958" s="8" t="s">
        <v>17</v>
      </c>
      <c r="E2958" s="6" t="s">
        <v>23</v>
      </c>
      <c r="F2958" s="6" t="s">
        <v>31</v>
      </c>
      <c r="G2958" s="6" t="s">
        <v>12425</v>
      </c>
      <c r="H2958" s="10">
        <v>45849</v>
      </c>
      <c r="I2958" s="6" t="s">
        <v>12426</v>
      </c>
      <c r="J2958" s="6" t="s">
        <v>373</v>
      </c>
      <c r="K2958" s="6" t="s">
        <v>35</v>
      </c>
      <c r="L2958" s="6" t="s">
        <v>36</v>
      </c>
      <c r="M2958" s="6" t="s">
        <v>12427</v>
      </c>
    </row>
    <row r="2959" spans="1:13" ht="13" x14ac:dyDescent="0.15">
      <c r="A2959" s="5" t="str">
        <f>HYPERLINK("https://onemount.atlassian.net/browse/DBA-1856","DBA-1856")</f>
        <v>DBA-1856</v>
      </c>
      <c r="B2959" s="6" t="s">
        <v>21</v>
      </c>
      <c r="C2959" s="6" t="s">
        <v>2389</v>
      </c>
      <c r="D2959" s="8" t="s">
        <v>17</v>
      </c>
      <c r="E2959" s="6" t="s">
        <v>23</v>
      </c>
      <c r="F2959" s="6" t="s">
        <v>96</v>
      </c>
      <c r="G2959" s="6" t="s">
        <v>12428</v>
      </c>
      <c r="H2959" s="10">
        <v>45848</v>
      </c>
      <c r="I2959" s="6" t="s">
        <v>12429</v>
      </c>
      <c r="J2959" s="6" t="s">
        <v>12430</v>
      </c>
      <c r="K2959" s="6" t="s">
        <v>28</v>
      </c>
      <c r="L2959" s="6" t="s">
        <v>27</v>
      </c>
      <c r="M2959" s="6" t="s">
        <v>12431</v>
      </c>
    </row>
    <row r="2960" spans="1:13" ht="13" x14ac:dyDescent="0.15">
      <c r="A2960" s="5" t="str">
        <f>HYPERLINK("https://onemount.atlassian.net/browse/DBA-1855","DBA-1855")</f>
        <v>DBA-1855</v>
      </c>
      <c r="B2960" s="6" t="s">
        <v>21</v>
      </c>
      <c r="C2960" s="6" t="s">
        <v>12432</v>
      </c>
      <c r="D2960" s="8" t="s">
        <v>17</v>
      </c>
      <c r="E2960" s="6" t="s">
        <v>23</v>
      </c>
      <c r="F2960" s="6" t="s">
        <v>96</v>
      </c>
      <c r="G2960" s="6" t="s">
        <v>12433</v>
      </c>
      <c r="H2960" s="10">
        <v>45847</v>
      </c>
      <c r="I2960" s="6" t="s">
        <v>12434</v>
      </c>
      <c r="J2960" s="6" t="s">
        <v>55</v>
      </c>
      <c r="K2960" s="6" t="s">
        <v>55</v>
      </c>
      <c r="L2960" s="6" t="s">
        <v>956</v>
      </c>
      <c r="M2960" s="6" t="s">
        <v>12435</v>
      </c>
    </row>
    <row r="2961" spans="1:13" ht="13" x14ac:dyDescent="0.15">
      <c r="A2961" s="5" t="str">
        <f>HYPERLINK("https://onemount.atlassian.net/browse/DBA-1854","DBA-1854")</f>
        <v>DBA-1854</v>
      </c>
      <c r="B2961" s="6" t="s">
        <v>21</v>
      </c>
      <c r="C2961" s="6" t="s">
        <v>12436</v>
      </c>
      <c r="D2961" s="8" t="s">
        <v>17</v>
      </c>
      <c r="E2961" s="6" t="s">
        <v>23</v>
      </c>
      <c r="F2961" s="6" t="s">
        <v>96</v>
      </c>
      <c r="G2961" s="6" t="s">
        <v>12437</v>
      </c>
      <c r="H2961" s="10">
        <v>45847</v>
      </c>
      <c r="I2961" s="6" t="s">
        <v>12438</v>
      </c>
      <c r="J2961" s="6" t="s">
        <v>2281</v>
      </c>
      <c r="K2961" s="6" t="s">
        <v>55</v>
      </c>
      <c r="L2961" s="6" t="s">
        <v>254</v>
      </c>
      <c r="M2961" s="6" t="s">
        <v>12439</v>
      </c>
    </row>
    <row r="2962" spans="1:13" ht="13" x14ac:dyDescent="0.15">
      <c r="A2962" s="5" t="str">
        <f>HYPERLINK("https://onemount.atlassian.net/browse/DBA-1853","DBA-1853")</f>
        <v>DBA-1853</v>
      </c>
      <c r="B2962" s="6" t="s">
        <v>21</v>
      </c>
      <c r="C2962" s="6" t="s">
        <v>12440</v>
      </c>
      <c r="D2962" s="8" t="s">
        <v>17</v>
      </c>
      <c r="E2962" s="6" t="s">
        <v>23</v>
      </c>
      <c r="F2962" s="6" t="s">
        <v>31</v>
      </c>
      <c r="G2962" s="6" t="s">
        <v>12441</v>
      </c>
      <c r="H2962" s="10">
        <v>45847</v>
      </c>
      <c r="I2962" s="6" t="s">
        <v>12442</v>
      </c>
      <c r="J2962" s="6" t="s">
        <v>71</v>
      </c>
      <c r="K2962" s="6" t="s">
        <v>35</v>
      </c>
      <c r="L2962" s="6" t="s">
        <v>71</v>
      </c>
      <c r="M2962" s="6" t="s">
        <v>12443</v>
      </c>
    </row>
    <row r="2963" spans="1:13" ht="13" x14ac:dyDescent="0.15">
      <c r="A2963" s="5" t="str">
        <f>HYPERLINK("https://onemount.atlassian.net/browse/DBA-1852","DBA-1852")</f>
        <v>DBA-1852</v>
      </c>
      <c r="B2963" s="6" t="s">
        <v>21</v>
      </c>
      <c r="C2963" s="6" t="s">
        <v>12444</v>
      </c>
      <c r="D2963" s="8" t="s">
        <v>17</v>
      </c>
      <c r="E2963" s="6" t="s">
        <v>23</v>
      </c>
      <c r="F2963" s="6" t="s">
        <v>24</v>
      </c>
      <c r="G2963" s="6" t="s">
        <v>12445</v>
      </c>
      <c r="H2963" s="10">
        <v>45850</v>
      </c>
      <c r="I2963" s="6" t="s">
        <v>12446</v>
      </c>
      <c r="J2963" s="6" t="s">
        <v>4792</v>
      </c>
      <c r="K2963" s="6" t="s">
        <v>55</v>
      </c>
      <c r="L2963" s="6" t="s">
        <v>270</v>
      </c>
      <c r="M2963" s="6" t="s">
        <v>12447</v>
      </c>
    </row>
    <row r="2964" spans="1:13" ht="13" x14ac:dyDescent="0.15">
      <c r="A2964" s="5" t="str">
        <f>HYPERLINK("https://onemount.atlassian.net/browse/DBA-1851","DBA-1851")</f>
        <v>DBA-1851</v>
      </c>
      <c r="B2964" s="6" t="s">
        <v>21</v>
      </c>
      <c r="C2964" s="6" t="s">
        <v>12448</v>
      </c>
      <c r="D2964" s="8" t="s">
        <v>17</v>
      </c>
      <c r="E2964" s="6" t="s">
        <v>23</v>
      </c>
      <c r="F2964" s="6" t="s">
        <v>96</v>
      </c>
      <c r="G2964" s="6" t="s">
        <v>12449</v>
      </c>
      <c r="H2964" s="10">
        <v>45847</v>
      </c>
      <c r="I2964" s="6" t="s">
        <v>12450</v>
      </c>
      <c r="J2964" s="6" t="s">
        <v>1091</v>
      </c>
      <c r="K2964" s="6" t="s">
        <v>165</v>
      </c>
      <c r="L2964" s="6" t="s">
        <v>1091</v>
      </c>
      <c r="M2964" s="6" t="s">
        <v>12451</v>
      </c>
    </row>
    <row r="2965" spans="1:13" ht="13" x14ac:dyDescent="0.15">
      <c r="A2965" s="5" t="str">
        <f>HYPERLINK("https://onemount.atlassian.net/browse/DBA-1849","DBA-1849")</f>
        <v>DBA-1849</v>
      </c>
      <c r="B2965" s="6" t="s">
        <v>21</v>
      </c>
      <c r="C2965" s="6" t="s">
        <v>12452</v>
      </c>
      <c r="D2965" s="8" t="s">
        <v>17</v>
      </c>
      <c r="E2965" s="6" t="s">
        <v>23</v>
      </c>
      <c r="F2965" s="6" t="s">
        <v>96</v>
      </c>
      <c r="G2965" s="6" t="s">
        <v>12453</v>
      </c>
      <c r="H2965" s="10">
        <v>45846</v>
      </c>
      <c r="I2965" s="6" t="s">
        <v>12454</v>
      </c>
      <c r="J2965" s="6" t="s">
        <v>27</v>
      </c>
      <c r="K2965" s="6" t="s">
        <v>28</v>
      </c>
      <c r="L2965" s="6" t="s">
        <v>27</v>
      </c>
      <c r="M2965" s="6" t="s">
        <v>12455</v>
      </c>
    </row>
    <row r="2966" spans="1:13" ht="13" x14ac:dyDescent="0.15">
      <c r="A2966" s="5" t="str">
        <f>HYPERLINK("https://onemount.atlassian.net/browse/DBA-1848","DBA-1848")</f>
        <v>DBA-1848</v>
      </c>
      <c r="B2966" s="6" t="s">
        <v>21</v>
      </c>
      <c r="C2966" s="6" t="s">
        <v>12456</v>
      </c>
      <c r="D2966" s="8" t="s">
        <v>17</v>
      </c>
      <c r="E2966" s="6" t="s">
        <v>23</v>
      </c>
      <c r="F2966" s="6" t="s">
        <v>96</v>
      </c>
      <c r="G2966" s="6" t="s">
        <v>12457</v>
      </c>
      <c r="H2966" s="10">
        <v>45848</v>
      </c>
      <c r="I2966" s="6" t="s">
        <v>12458</v>
      </c>
      <c r="J2966" s="6" t="s">
        <v>1898</v>
      </c>
      <c r="K2966" s="6" t="s">
        <v>165</v>
      </c>
      <c r="L2966" s="6" t="s">
        <v>1097</v>
      </c>
      <c r="M2966" s="6" t="s">
        <v>12459</v>
      </c>
    </row>
    <row r="2967" spans="1:13" ht="13" x14ac:dyDescent="0.15">
      <c r="A2967" s="5" t="str">
        <f>HYPERLINK("https://onemount.atlassian.net/browse/DBA-1847","DBA-1847")</f>
        <v>DBA-1847</v>
      </c>
      <c r="B2967" s="6" t="s">
        <v>21</v>
      </c>
      <c r="C2967" s="6" t="s">
        <v>12460</v>
      </c>
      <c r="D2967" s="8" t="s">
        <v>17</v>
      </c>
      <c r="E2967" s="6" t="s">
        <v>23</v>
      </c>
      <c r="F2967" s="6" t="s">
        <v>96</v>
      </c>
      <c r="G2967" s="6" t="s">
        <v>12461</v>
      </c>
      <c r="H2967" s="10">
        <v>45846</v>
      </c>
      <c r="I2967" s="6" t="s">
        <v>12462</v>
      </c>
      <c r="J2967" s="6" t="s">
        <v>55</v>
      </c>
      <c r="K2967" s="6" t="s">
        <v>55</v>
      </c>
      <c r="L2967" s="6" t="s">
        <v>956</v>
      </c>
      <c r="M2967" s="6" t="s">
        <v>12463</v>
      </c>
    </row>
    <row r="2968" spans="1:13" ht="13" x14ac:dyDescent="0.15">
      <c r="A2968" s="5" t="str">
        <f>HYPERLINK("https://onemount.atlassian.net/browse/DBA-1846","DBA-1846")</f>
        <v>DBA-1846</v>
      </c>
      <c r="B2968" s="6" t="s">
        <v>21</v>
      </c>
      <c r="C2968" s="6" t="s">
        <v>12464</v>
      </c>
      <c r="D2968" s="8" t="s">
        <v>17</v>
      </c>
      <c r="E2968" s="6" t="s">
        <v>23</v>
      </c>
      <c r="F2968" s="6" t="s">
        <v>96</v>
      </c>
      <c r="G2968" s="6" t="s">
        <v>12465</v>
      </c>
      <c r="H2968" s="10">
        <v>45848</v>
      </c>
      <c r="I2968" s="6" t="s">
        <v>12466</v>
      </c>
      <c r="J2968" s="6" t="s">
        <v>28</v>
      </c>
      <c r="K2968" s="6" t="s">
        <v>28</v>
      </c>
      <c r="L2968" s="6" t="s">
        <v>160</v>
      </c>
      <c r="M2968" s="6" t="s">
        <v>12467</v>
      </c>
    </row>
    <row r="2969" spans="1:13" ht="13" x14ac:dyDescent="0.15">
      <c r="A2969" s="5" t="str">
        <f>HYPERLINK("https://onemount.atlassian.net/browse/DBA-1845","DBA-1845")</f>
        <v>DBA-1845</v>
      </c>
      <c r="B2969" s="6" t="s">
        <v>21</v>
      </c>
      <c r="C2969" s="6" t="s">
        <v>12468</v>
      </c>
      <c r="D2969" s="8" t="s">
        <v>17</v>
      </c>
      <c r="E2969" s="6" t="s">
        <v>23</v>
      </c>
      <c r="F2969" s="6" t="s">
        <v>96</v>
      </c>
      <c r="G2969" s="6" t="s">
        <v>12469</v>
      </c>
      <c r="H2969" s="10">
        <v>45846</v>
      </c>
      <c r="I2969" s="6" t="s">
        <v>12470</v>
      </c>
      <c r="J2969" s="6" t="s">
        <v>1898</v>
      </c>
      <c r="K2969" s="6" t="s">
        <v>165</v>
      </c>
      <c r="L2969" s="6" t="s">
        <v>1097</v>
      </c>
      <c r="M2969" s="6" t="s">
        <v>12471</v>
      </c>
    </row>
    <row r="2970" spans="1:13" ht="13" x14ac:dyDescent="0.15">
      <c r="A2970" s="5" t="str">
        <f>HYPERLINK("https://onemount.atlassian.net/browse/DBA-1844","DBA-1844")</f>
        <v>DBA-1844</v>
      </c>
      <c r="B2970" s="6" t="s">
        <v>21</v>
      </c>
      <c r="C2970" s="6" t="s">
        <v>12472</v>
      </c>
      <c r="D2970" s="8" t="s">
        <v>17</v>
      </c>
      <c r="E2970" s="6" t="s">
        <v>23</v>
      </c>
      <c r="F2970" s="6" t="s">
        <v>96</v>
      </c>
      <c r="G2970" s="6" t="s">
        <v>12473</v>
      </c>
      <c r="H2970" s="10">
        <v>45847</v>
      </c>
      <c r="I2970" s="6" t="s">
        <v>12474</v>
      </c>
      <c r="J2970" s="6" t="s">
        <v>85</v>
      </c>
      <c r="K2970" s="6" t="s">
        <v>55</v>
      </c>
      <c r="L2970" s="6" t="s">
        <v>85</v>
      </c>
      <c r="M2970" s="6" t="s">
        <v>12475</v>
      </c>
    </row>
    <row r="2971" spans="1:13" ht="13" x14ac:dyDescent="0.15">
      <c r="A2971" s="5" t="str">
        <f>HYPERLINK("https://onemount.atlassian.net/browse/DBA-1843","DBA-1843")</f>
        <v>DBA-1843</v>
      </c>
      <c r="B2971" s="6" t="s">
        <v>21</v>
      </c>
      <c r="C2971" s="6" t="s">
        <v>12476</v>
      </c>
      <c r="D2971" s="8" t="s">
        <v>17</v>
      </c>
      <c r="E2971" s="6" t="s">
        <v>23</v>
      </c>
      <c r="F2971" s="6" t="s">
        <v>24</v>
      </c>
      <c r="G2971" s="6" t="s">
        <v>12477</v>
      </c>
      <c r="H2971" s="10">
        <v>45846</v>
      </c>
      <c r="I2971" s="6" t="s">
        <v>12478</v>
      </c>
      <c r="J2971" s="6" t="s">
        <v>85</v>
      </c>
      <c r="K2971" s="6" t="s">
        <v>55</v>
      </c>
      <c r="L2971" s="6" t="s">
        <v>838</v>
      </c>
      <c r="M2971" s="6" t="s">
        <v>12479</v>
      </c>
    </row>
    <row r="2972" spans="1:13" ht="13" x14ac:dyDescent="0.15">
      <c r="A2972" s="5" t="str">
        <f>HYPERLINK("https://onemount.atlassian.net/browse/DBA-1842","DBA-1842")</f>
        <v>DBA-1842</v>
      </c>
      <c r="B2972" s="6" t="s">
        <v>21</v>
      </c>
      <c r="C2972" s="6" t="s">
        <v>12480</v>
      </c>
      <c r="D2972" s="8" t="s">
        <v>17</v>
      </c>
      <c r="E2972" s="6" t="s">
        <v>23</v>
      </c>
      <c r="F2972" s="6" t="s">
        <v>24</v>
      </c>
      <c r="G2972" s="6" t="s">
        <v>12481</v>
      </c>
      <c r="H2972" s="10">
        <v>45847</v>
      </c>
      <c r="I2972" s="6" t="s">
        <v>12482</v>
      </c>
      <c r="J2972" s="6" t="s">
        <v>56</v>
      </c>
      <c r="K2972" s="6" t="s">
        <v>55</v>
      </c>
      <c r="L2972" s="6" t="s">
        <v>56</v>
      </c>
      <c r="M2972" s="6" t="s">
        <v>12483</v>
      </c>
    </row>
    <row r="2973" spans="1:13" ht="13" x14ac:dyDescent="0.15">
      <c r="A2973" s="5" t="str">
        <f>HYPERLINK("https://onemount.atlassian.net/browse/DBA-1841","DBA-1841")</f>
        <v>DBA-1841</v>
      </c>
      <c r="B2973" s="6" t="s">
        <v>21</v>
      </c>
      <c r="C2973" s="6" t="s">
        <v>12158</v>
      </c>
      <c r="D2973" s="8" t="s">
        <v>17</v>
      </c>
      <c r="E2973" s="6" t="s">
        <v>23</v>
      </c>
      <c r="F2973" s="6" t="s">
        <v>31</v>
      </c>
      <c r="G2973" s="6" t="s">
        <v>12484</v>
      </c>
      <c r="H2973" s="10">
        <v>45846</v>
      </c>
      <c r="I2973" s="6" t="s">
        <v>12485</v>
      </c>
      <c r="J2973" s="6" t="s">
        <v>276</v>
      </c>
      <c r="K2973" s="6" t="s">
        <v>35</v>
      </c>
      <c r="L2973" s="6" t="s">
        <v>276</v>
      </c>
      <c r="M2973" s="6" t="s">
        <v>12486</v>
      </c>
    </row>
    <row r="2974" spans="1:13" ht="13" x14ac:dyDescent="0.15">
      <c r="A2974" s="5" t="str">
        <f>HYPERLINK("https://onemount.atlassian.net/browse/DBA-1839","DBA-1839")</f>
        <v>DBA-1839</v>
      </c>
      <c r="B2974" s="6" t="s">
        <v>21</v>
      </c>
      <c r="C2974" s="6" t="s">
        <v>12487</v>
      </c>
      <c r="D2974" s="8" t="s">
        <v>17</v>
      </c>
      <c r="E2974" s="6" t="s">
        <v>23</v>
      </c>
      <c r="F2974" s="6" t="s">
        <v>96</v>
      </c>
      <c r="G2974" s="6" t="s">
        <v>12488</v>
      </c>
      <c r="H2974" s="10">
        <v>45846</v>
      </c>
      <c r="I2974" s="6" t="s">
        <v>12489</v>
      </c>
      <c r="J2974" s="6" t="s">
        <v>55</v>
      </c>
      <c r="K2974" s="6" t="s">
        <v>55</v>
      </c>
      <c r="L2974" s="6" t="s">
        <v>956</v>
      </c>
      <c r="M2974" s="6" t="s">
        <v>12490</v>
      </c>
    </row>
    <row r="2975" spans="1:13" ht="13" x14ac:dyDescent="0.15">
      <c r="A2975" s="5" t="str">
        <f>HYPERLINK("https://onemount.atlassian.net/browse/DBA-1838","DBA-1838")</f>
        <v>DBA-1838</v>
      </c>
      <c r="B2975" s="23" t="str">
        <f>HYPERLINK("https://onemount.atlassian.net/browse/DBA-1909","DBA-1909")</f>
        <v>DBA-1909</v>
      </c>
      <c r="C2975" s="6" t="s">
        <v>12491</v>
      </c>
      <c r="D2975" s="8" t="s">
        <v>17</v>
      </c>
      <c r="E2975" s="6" t="s">
        <v>428</v>
      </c>
      <c r="F2975" s="6" t="s">
        <v>31</v>
      </c>
      <c r="G2975" s="6" t="s">
        <v>12492</v>
      </c>
      <c r="H2975" s="10">
        <v>45848</v>
      </c>
      <c r="I2975" s="6" t="s">
        <v>12493</v>
      </c>
      <c r="J2975" s="6" t="s">
        <v>2924</v>
      </c>
      <c r="K2975" s="6" t="s">
        <v>46</v>
      </c>
      <c r="L2975" s="6" t="s">
        <v>600</v>
      </c>
      <c r="M2975" s="6" t="s">
        <v>12494</v>
      </c>
    </row>
    <row r="2976" spans="1:13" ht="13" x14ac:dyDescent="0.15">
      <c r="A2976" s="5" t="str">
        <f>HYPERLINK("https://onemount.atlassian.net/browse/DBA-1837","DBA-1837")</f>
        <v>DBA-1837</v>
      </c>
      <c r="B2976" s="6" t="s">
        <v>21</v>
      </c>
      <c r="C2976" s="6" t="s">
        <v>12495</v>
      </c>
      <c r="D2976" s="8" t="s">
        <v>17</v>
      </c>
      <c r="E2976" s="6" t="s">
        <v>23</v>
      </c>
      <c r="F2976" s="6" t="s">
        <v>96</v>
      </c>
      <c r="G2976" s="6" t="s">
        <v>12496</v>
      </c>
      <c r="H2976" s="10">
        <v>45846</v>
      </c>
      <c r="I2976" s="6" t="s">
        <v>12497</v>
      </c>
      <c r="J2976" s="6" t="s">
        <v>1898</v>
      </c>
      <c r="K2976" s="6" t="s">
        <v>165</v>
      </c>
      <c r="L2976" s="6" t="s">
        <v>1097</v>
      </c>
      <c r="M2976" s="6" t="s">
        <v>12498</v>
      </c>
    </row>
    <row r="2977" spans="1:13" ht="13" x14ac:dyDescent="0.15">
      <c r="A2977" s="5" t="str">
        <f>HYPERLINK("https://onemount.atlassian.net/browse/DBA-1836","DBA-1836")</f>
        <v>DBA-1836</v>
      </c>
      <c r="B2977" s="6" t="s">
        <v>21</v>
      </c>
      <c r="C2977" s="6" t="s">
        <v>8667</v>
      </c>
      <c r="D2977" s="8" t="s">
        <v>17</v>
      </c>
      <c r="E2977" s="6" t="s">
        <v>23</v>
      </c>
      <c r="F2977" s="6" t="s">
        <v>24</v>
      </c>
      <c r="G2977" s="6" t="s">
        <v>12499</v>
      </c>
      <c r="H2977" s="10">
        <v>45846</v>
      </c>
      <c r="I2977" s="6" t="s">
        <v>12500</v>
      </c>
      <c r="J2977" s="6" t="s">
        <v>49</v>
      </c>
      <c r="K2977" s="6" t="s">
        <v>38</v>
      </c>
      <c r="L2977" s="6" t="s">
        <v>49</v>
      </c>
      <c r="M2977" s="6" t="s">
        <v>12501</v>
      </c>
    </row>
    <row r="2978" spans="1:13" ht="13" x14ac:dyDescent="0.15">
      <c r="A2978" s="5" t="str">
        <f>HYPERLINK("https://onemount.atlassian.net/browse/DBA-1835","DBA-1835")</f>
        <v>DBA-1835</v>
      </c>
      <c r="B2978" s="6" t="s">
        <v>21</v>
      </c>
      <c r="C2978" s="6" t="s">
        <v>12502</v>
      </c>
      <c r="D2978" s="8" t="s">
        <v>17</v>
      </c>
      <c r="E2978" s="6" t="s">
        <v>23</v>
      </c>
      <c r="F2978" s="6" t="s">
        <v>96</v>
      </c>
      <c r="G2978" s="6" t="s">
        <v>12503</v>
      </c>
      <c r="H2978" s="10">
        <v>45845</v>
      </c>
      <c r="I2978" s="6" t="s">
        <v>12504</v>
      </c>
      <c r="J2978" s="6" t="s">
        <v>1898</v>
      </c>
      <c r="K2978" s="6" t="s">
        <v>165</v>
      </c>
      <c r="L2978" s="6" t="s">
        <v>1097</v>
      </c>
      <c r="M2978" s="6" t="s">
        <v>12505</v>
      </c>
    </row>
    <row r="2979" spans="1:13" ht="13" x14ac:dyDescent="0.15">
      <c r="A2979" s="5" t="str">
        <f>HYPERLINK("https://onemount.atlassian.net/browse/DBA-1834","DBA-1834")</f>
        <v>DBA-1834</v>
      </c>
      <c r="B2979" s="6" t="s">
        <v>21</v>
      </c>
      <c r="C2979" s="6" t="s">
        <v>12506</v>
      </c>
      <c r="D2979" s="8" t="s">
        <v>17</v>
      </c>
      <c r="E2979" s="6" t="s">
        <v>23</v>
      </c>
      <c r="F2979" s="6" t="s">
        <v>96</v>
      </c>
      <c r="G2979" s="6" t="s">
        <v>12507</v>
      </c>
      <c r="H2979" s="10">
        <v>45846</v>
      </c>
      <c r="I2979" s="6" t="s">
        <v>12508</v>
      </c>
      <c r="J2979" s="6" t="s">
        <v>27</v>
      </c>
      <c r="K2979" s="6" t="s">
        <v>28</v>
      </c>
      <c r="L2979" s="6" t="s">
        <v>27</v>
      </c>
      <c r="M2979" s="6" t="s">
        <v>12509</v>
      </c>
    </row>
    <row r="2980" spans="1:13" ht="13" x14ac:dyDescent="0.15">
      <c r="A2980" s="5" t="str">
        <f>HYPERLINK("https://onemount.atlassian.net/browse/DBA-1833","DBA-1833")</f>
        <v>DBA-1833</v>
      </c>
      <c r="B2980" s="6" t="s">
        <v>21</v>
      </c>
      <c r="C2980" s="6" t="s">
        <v>10815</v>
      </c>
      <c r="D2980" s="8" t="s">
        <v>17</v>
      </c>
      <c r="E2980" s="6" t="s">
        <v>23</v>
      </c>
      <c r="F2980" s="6" t="s">
        <v>96</v>
      </c>
      <c r="G2980" s="6" t="s">
        <v>12510</v>
      </c>
      <c r="H2980" s="10">
        <v>45845</v>
      </c>
      <c r="I2980" s="6" t="s">
        <v>12511</v>
      </c>
      <c r="J2980" s="6" t="s">
        <v>6269</v>
      </c>
      <c r="K2980" s="6" t="s">
        <v>28</v>
      </c>
      <c r="L2980" s="6" t="s">
        <v>1000</v>
      </c>
      <c r="M2980" s="6" t="s">
        <v>12512</v>
      </c>
    </row>
    <row r="2981" spans="1:13" ht="13" x14ac:dyDescent="0.15">
      <c r="A2981" s="5" t="str">
        <f>HYPERLINK("https://onemount.atlassian.net/browse/DBA-1832","DBA-1832")</f>
        <v>DBA-1832</v>
      </c>
      <c r="B2981" s="6" t="s">
        <v>21</v>
      </c>
      <c r="C2981" s="6" t="s">
        <v>12513</v>
      </c>
      <c r="D2981" s="8" t="s">
        <v>17</v>
      </c>
      <c r="E2981" s="6" t="s">
        <v>23</v>
      </c>
      <c r="F2981" s="6" t="s">
        <v>24</v>
      </c>
      <c r="G2981" s="6" t="s">
        <v>12514</v>
      </c>
      <c r="H2981" s="10">
        <v>45846</v>
      </c>
      <c r="I2981" s="6" t="s">
        <v>12515</v>
      </c>
      <c r="J2981" s="6" t="s">
        <v>56</v>
      </c>
      <c r="K2981" s="6" t="s">
        <v>55</v>
      </c>
      <c r="L2981" s="6" t="s">
        <v>56</v>
      </c>
      <c r="M2981" s="6" t="s">
        <v>12516</v>
      </c>
    </row>
    <row r="2982" spans="1:13" ht="13" x14ac:dyDescent="0.15">
      <c r="A2982" s="5" t="str">
        <f>HYPERLINK("https://onemount.atlassian.net/browse/DBA-1831","DBA-1831")</f>
        <v>DBA-1831</v>
      </c>
      <c r="B2982" s="6" t="s">
        <v>21</v>
      </c>
      <c r="C2982" s="6" t="s">
        <v>12517</v>
      </c>
      <c r="D2982" s="8" t="s">
        <v>17</v>
      </c>
      <c r="E2982" s="6" t="s">
        <v>23</v>
      </c>
      <c r="F2982" s="6" t="s">
        <v>31</v>
      </c>
      <c r="G2982" s="6" t="s">
        <v>12518</v>
      </c>
      <c r="H2982" s="10">
        <v>45846</v>
      </c>
      <c r="I2982" s="6" t="s">
        <v>12519</v>
      </c>
      <c r="J2982" s="6" t="s">
        <v>71</v>
      </c>
      <c r="K2982" s="6" t="s">
        <v>35</v>
      </c>
      <c r="L2982" s="6" t="s">
        <v>71</v>
      </c>
      <c r="M2982" s="6" t="s">
        <v>12520</v>
      </c>
    </row>
    <row r="2983" spans="1:13" ht="13" x14ac:dyDescent="0.15">
      <c r="A2983" s="5" t="str">
        <f>HYPERLINK("https://onemount.atlassian.net/browse/DBA-1829","DBA-1829")</f>
        <v>DBA-1829</v>
      </c>
      <c r="B2983" s="6" t="s">
        <v>21</v>
      </c>
      <c r="C2983" s="6" t="s">
        <v>12521</v>
      </c>
      <c r="D2983" s="8" t="s">
        <v>17</v>
      </c>
      <c r="E2983" s="6" t="s">
        <v>23</v>
      </c>
      <c r="F2983" s="6" t="s">
        <v>31</v>
      </c>
      <c r="G2983" s="6" t="s">
        <v>12522</v>
      </c>
      <c r="H2983" s="10">
        <v>45845</v>
      </c>
      <c r="I2983" s="6" t="s">
        <v>12523</v>
      </c>
      <c r="J2983" s="6" t="s">
        <v>373</v>
      </c>
      <c r="K2983" s="6" t="s">
        <v>35</v>
      </c>
      <c r="L2983" s="6" t="s">
        <v>36</v>
      </c>
      <c r="M2983" s="6" t="s">
        <v>12524</v>
      </c>
    </row>
    <row r="2984" spans="1:13" ht="13" x14ac:dyDescent="0.15">
      <c r="A2984" s="5" t="str">
        <f>HYPERLINK("https://onemount.atlassian.net/browse/DBA-1828","DBA-1828")</f>
        <v>DBA-1828</v>
      </c>
      <c r="B2984" s="6" t="s">
        <v>21</v>
      </c>
      <c r="C2984" s="6" t="s">
        <v>12525</v>
      </c>
      <c r="D2984" s="8" t="s">
        <v>17</v>
      </c>
      <c r="E2984" s="6" t="s">
        <v>23</v>
      </c>
      <c r="F2984" s="6" t="s">
        <v>96</v>
      </c>
      <c r="G2984" s="6" t="s">
        <v>12526</v>
      </c>
      <c r="H2984" s="10">
        <v>45843</v>
      </c>
      <c r="I2984" s="6" t="s">
        <v>12527</v>
      </c>
      <c r="J2984" s="6" t="s">
        <v>1898</v>
      </c>
      <c r="K2984" s="6" t="s">
        <v>165</v>
      </c>
      <c r="L2984" s="6" t="s">
        <v>1097</v>
      </c>
      <c r="M2984" s="6" t="s">
        <v>12528</v>
      </c>
    </row>
    <row r="2985" spans="1:13" ht="13" x14ac:dyDescent="0.15">
      <c r="A2985" s="5" t="str">
        <f>HYPERLINK("https://onemount.atlassian.net/browse/DBA-1827","DBA-1827")</f>
        <v>DBA-1827</v>
      </c>
      <c r="B2985" s="6" t="s">
        <v>21</v>
      </c>
      <c r="C2985" s="6" t="s">
        <v>12529</v>
      </c>
      <c r="D2985" s="8" t="s">
        <v>17</v>
      </c>
      <c r="E2985" s="6" t="s">
        <v>23</v>
      </c>
      <c r="F2985" s="6" t="s">
        <v>24</v>
      </c>
      <c r="G2985" s="6" t="s">
        <v>12530</v>
      </c>
      <c r="H2985" s="10">
        <v>45842</v>
      </c>
      <c r="I2985" s="6" t="s">
        <v>12531</v>
      </c>
      <c r="J2985" s="6" t="s">
        <v>12532</v>
      </c>
      <c r="K2985" s="6" t="s">
        <v>55</v>
      </c>
      <c r="L2985" s="6" t="s">
        <v>85</v>
      </c>
      <c r="M2985" s="6" t="s">
        <v>12533</v>
      </c>
    </row>
    <row r="2986" spans="1:13" ht="13" x14ac:dyDescent="0.15">
      <c r="A2986" s="5" t="str">
        <f>HYPERLINK("https://onemount.atlassian.net/browse/DBA-1826","DBA-1826")</f>
        <v>DBA-1826</v>
      </c>
      <c r="B2986" s="6" t="s">
        <v>21</v>
      </c>
      <c r="C2986" s="6" t="s">
        <v>12534</v>
      </c>
      <c r="D2986" s="8" t="s">
        <v>17</v>
      </c>
      <c r="E2986" s="6" t="s">
        <v>23</v>
      </c>
      <c r="F2986" s="6" t="s">
        <v>24</v>
      </c>
      <c r="G2986" s="6" t="s">
        <v>12535</v>
      </c>
      <c r="H2986" s="10">
        <v>45842</v>
      </c>
      <c r="I2986" s="6" t="s">
        <v>12536</v>
      </c>
      <c r="J2986" s="6" t="s">
        <v>707</v>
      </c>
      <c r="K2986" s="6" t="s">
        <v>55</v>
      </c>
      <c r="L2986" s="6" t="s">
        <v>707</v>
      </c>
      <c r="M2986" s="6" t="s">
        <v>12537</v>
      </c>
    </row>
    <row r="2987" spans="1:13" ht="13" x14ac:dyDescent="0.15">
      <c r="A2987" s="5" t="str">
        <f>HYPERLINK("https://onemount.atlassian.net/browse/DBA-1825","DBA-1825")</f>
        <v>DBA-1825</v>
      </c>
      <c r="B2987" s="6" t="s">
        <v>21</v>
      </c>
      <c r="C2987" s="6" t="s">
        <v>12538</v>
      </c>
      <c r="D2987" s="8" t="s">
        <v>17</v>
      </c>
      <c r="E2987" s="6" t="s">
        <v>23</v>
      </c>
      <c r="F2987" s="6" t="s">
        <v>31</v>
      </c>
      <c r="G2987" s="6" t="s">
        <v>12539</v>
      </c>
      <c r="H2987" s="10">
        <v>45842</v>
      </c>
      <c r="I2987" s="6" t="s">
        <v>12540</v>
      </c>
      <c r="J2987" s="6" t="s">
        <v>373</v>
      </c>
      <c r="K2987" s="6" t="s">
        <v>35</v>
      </c>
      <c r="L2987" s="6" t="s">
        <v>36</v>
      </c>
      <c r="M2987" s="6" t="s">
        <v>12541</v>
      </c>
    </row>
    <row r="2988" spans="1:13" ht="13" x14ac:dyDescent="0.15">
      <c r="A2988" s="5" t="str">
        <f>HYPERLINK("https://onemount.atlassian.net/browse/DBA-1824","DBA-1824")</f>
        <v>DBA-1824</v>
      </c>
      <c r="B2988" s="6" t="s">
        <v>21</v>
      </c>
      <c r="C2988" s="6" t="s">
        <v>12542</v>
      </c>
      <c r="D2988" s="8" t="s">
        <v>17</v>
      </c>
      <c r="E2988" s="6" t="s">
        <v>23</v>
      </c>
      <c r="F2988" s="6" t="s">
        <v>24</v>
      </c>
      <c r="G2988" s="6" t="s">
        <v>12543</v>
      </c>
      <c r="H2988" s="10">
        <v>45842</v>
      </c>
      <c r="I2988" s="6" t="s">
        <v>12544</v>
      </c>
      <c r="J2988" s="6" t="s">
        <v>4792</v>
      </c>
      <c r="K2988" s="6" t="s">
        <v>55</v>
      </c>
      <c r="L2988" s="6" t="s">
        <v>270</v>
      </c>
      <c r="M2988" s="6" t="s">
        <v>12545</v>
      </c>
    </row>
    <row r="2989" spans="1:13" ht="13" x14ac:dyDescent="0.15">
      <c r="A2989" s="5" t="str">
        <f>HYPERLINK("https://onemount.atlassian.net/browse/DBA-1823","DBA-1823")</f>
        <v>DBA-1823</v>
      </c>
      <c r="B2989" s="6" t="s">
        <v>21</v>
      </c>
      <c r="C2989" s="6" t="s">
        <v>12546</v>
      </c>
      <c r="D2989" s="8" t="s">
        <v>17</v>
      </c>
      <c r="E2989" s="6" t="s">
        <v>23</v>
      </c>
      <c r="F2989" s="6" t="s">
        <v>96</v>
      </c>
      <c r="G2989" s="6" t="s">
        <v>12547</v>
      </c>
      <c r="H2989" s="10">
        <v>45842</v>
      </c>
      <c r="I2989" s="6" t="s">
        <v>12548</v>
      </c>
      <c r="J2989" s="6" t="s">
        <v>1898</v>
      </c>
      <c r="K2989" s="6" t="s">
        <v>165</v>
      </c>
      <c r="L2989" s="6" t="s">
        <v>1097</v>
      </c>
      <c r="M2989" s="6" t="s">
        <v>12549</v>
      </c>
    </row>
    <row r="2990" spans="1:13" ht="13" x14ac:dyDescent="0.15">
      <c r="A2990" s="5" t="str">
        <f>HYPERLINK("https://onemount.atlassian.net/browse/DBA-1822","DBA-1822")</f>
        <v>DBA-1822</v>
      </c>
      <c r="B2990" s="6" t="s">
        <v>21</v>
      </c>
      <c r="C2990" s="6" t="s">
        <v>10509</v>
      </c>
      <c r="D2990" s="8" t="s">
        <v>17</v>
      </c>
      <c r="E2990" s="6" t="s">
        <v>23</v>
      </c>
      <c r="F2990" s="6" t="s">
        <v>31</v>
      </c>
      <c r="G2990" s="6" t="s">
        <v>12550</v>
      </c>
      <c r="H2990" s="10">
        <v>45843</v>
      </c>
      <c r="I2990" s="6" t="s">
        <v>12551</v>
      </c>
      <c r="J2990" s="6" t="s">
        <v>55</v>
      </c>
      <c r="K2990" s="6" t="s">
        <v>55</v>
      </c>
      <c r="L2990" s="6" t="s">
        <v>956</v>
      </c>
      <c r="M2990" s="6" t="s">
        <v>12552</v>
      </c>
    </row>
    <row r="2991" spans="1:13" ht="13" x14ac:dyDescent="0.15">
      <c r="A2991" s="21" t="str">
        <f>HYPERLINK("https://onemount.atlassian.net/browse/DBA-1820","DBA-1820")</f>
        <v>DBA-1820</v>
      </c>
      <c r="B2991" s="6" t="s">
        <v>21</v>
      </c>
      <c r="C2991" s="6" t="s">
        <v>12339</v>
      </c>
      <c r="D2991" s="8" t="s">
        <v>17</v>
      </c>
      <c r="E2991" s="6" t="s">
        <v>23</v>
      </c>
      <c r="F2991" s="6" t="s">
        <v>24</v>
      </c>
      <c r="G2991" s="6" t="s">
        <v>12553</v>
      </c>
      <c r="H2991" s="10">
        <v>45843</v>
      </c>
      <c r="I2991" s="6" t="s">
        <v>12554</v>
      </c>
      <c r="J2991" s="6" t="s">
        <v>56</v>
      </c>
      <c r="K2991" s="6" t="s">
        <v>55</v>
      </c>
      <c r="L2991" s="6" t="s">
        <v>56</v>
      </c>
      <c r="M2991" s="6" t="s">
        <v>12342</v>
      </c>
    </row>
    <row r="2992" spans="1:13" ht="13" x14ac:dyDescent="0.15">
      <c r="A2992" s="5" t="str">
        <f>HYPERLINK("https://onemount.atlassian.net/browse/DBA-1819","DBA-1819")</f>
        <v>DBA-1819</v>
      </c>
      <c r="B2992" s="6" t="s">
        <v>21</v>
      </c>
      <c r="C2992" s="6" t="s">
        <v>12487</v>
      </c>
      <c r="D2992" s="8" t="s">
        <v>17</v>
      </c>
      <c r="E2992" s="6" t="s">
        <v>23</v>
      </c>
      <c r="F2992" s="6" t="s">
        <v>96</v>
      </c>
      <c r="G2992" s="6" t="s">
        <v>12555</v>
      </c>
      <c r="H2992" s="10">
        <v>45842</v>
      </c>
      <c r="I2992" s="6" t="s">
        <v>12556</v>
      </c>
      <c r="J2992" s="6" t="s">
        <v>55</v>
      </c>
      <c r="K2992" s="6" t="s">
        <v>55</v>
      </c>
      <c r="L2992" s="6" t="s">
        <v>956</v>
      </c>
      <c r="M2992" s="6" t="s">
        <v>12557</v>
      </c>
    </row>
    <row r="2993" spans="1:13" ht="13" x14ac:dyDescent="0.15">
      <c r="A2993" s="5" t="str">
        <f>HYPERLINK("https://onemount.atlassian.net/browse/DBA-1818","DBA-1818")</f>
        <v>DBA-1818</v>
      </c>
      <c r="B2993" s="6" t="s">
        <v>21</v>
      </c>
      <c r="C2993" s="6" t="s">
        <v>12558</v>
      </c>
      <c r="D2993" s="8" t="s">
        <v>17</v>
      </c>
      <c r="E2993" s="6" t="s">
        <v>23</v>
      </c>
      <c r="F2993" s="6" t="s">
        <v>96</v>
      </c>
      <c r="G2993" s="6" t="s">
        <v>12559</v>
      </c>
      <c r="H2993" s="10">
        <v>45843</v>
      </c>
      <c r="I2993" s="6" t="s">
        <v>12560</v>
      </c>
      <c r="J2993" s="6" t="s">
        <v>254</v>
      </c>
      <c r="K2993" s="6" t="s">
        <v>55</v>
      </c>
      <c r="L2993" s="6" t="s">
        <v>254</v>
      </c>
      <c r="M2993" s="6" t="s">
        <v>12561</v>
      </c>
    </row>
    <row r="2994" spans="1:13" ht="13" x14ac:dyDescent="0.15">
      <c r="A2994" s="5" t="str">
        <f>HYPERLINK("https://onemount.atlassian.net/browse/DBA-1817","DBA-1817")</f>
        <v>DBA-1817</v>
      </c>
      <c r="B2994" s="23" t="str">
        <f>HYPERLINK("https://onemount.atlassian.net/browse/DBA-2062","DBA-2062")</f>
        <v>DBA-2062</v>
      </c>
      <c r="C2994" s="6" t="s">
        <v>12562</v>
      </c>
      <c r="D2994" s="8" t="s">
        <v>17</v>
      </c>
      <c r="E2994" s="6" t="s">
        <v>428</v>
      </c>
      <c r="F2994" s="6" t="s">
        <v>24</v>
      </c>
      <c r="G2994" s="6" t="s">
        <v>12563</v>
      </c>
      <c r="H2994" s="10">
        <v>45842</v>
      </c>
      <c r="I2994" s="6" t="s">
        <v>12564</v>
      </c>
      <c r="J2994" s="6" t="s">
        <v>7825</v>
      </c>
      <c r="K2994" s="6" t="s">
        <v>55</v>
      </c>
      <c r="L2994" s="6" t="s">
        <v>56</v>
      </c>
      <c r="M2994" s="6" t="s">
        <v>12565</v>
      </c>
    </row>
    <row r="2995" spans="1:13" ht="13" x14ac:dyDescent="0.15">
      <c r="A2995" s="5" t="str">
        <f>HYPERLINK("https://onemount.atlassian.net/browse/DBA-1816","DBA-1816")</f>
        <v>DBA-1816</v>
      </c>
      <c r="B2995" s="6" t="s">
        <v>21</v>
      </c>
      <c r="C2995" s="6" t="s">
        <v>12566</v>
      </c>
      <c r="D2995" s="8" t="s">
        <v>17</v>
      </c>
      <c r="E2995" s="6" t="s">
        <v>23</v>
      </c>
      <c r="F2995" s="6" t="s">
        <v>96</v>
      </c>
      <c r="G2995" s="6" t="s">
        <v>12567</v>
      </c>
      <c r="H2995" s="10">
        <v>45841</v>
      </c>
      <c r="I2995" s="6" t="s">
        <v>12568</v>
      </c>
      <c r="J2995" s="6" t="s">
        <v>254</v>
      </c>
      <c r="K2995" s="6" t="s">
        <v>55</v>
      </c>
      <c r="L2995" s="6" t="s">
        <v>254</v>
      </c>
      <c r="M2995" s="6" t="s">
        <v>12569</v>
      </c>
    </row>
    <row r="2996" spans="1:13" ht="13" x14ac:dyDescent="0.15">
      <c r="A2996" s="5" t="str">
        <f>HYPERLINK("https://onemount.atlassian.net/browse/DBA-1815","DBA-1815")</f>
        <v>DBA-1815</v>
      </c>
      <c r="B2996" s="6" t="s">
        <v>21</v>
      </c>
      <c r="C2996" s="6" t="s">
        <v>12570</v>
      </c>
      <c r="D2996" s="8" t="s">
        <v>17</v>
      </c>
      <c r="E2996" s="6" t="s">
        <v>23</v>
      </c>
      <c r="F2996" s="6" t="s">
        <v>96</v>
      </c>
      <c r="G2996" s="6" t="s">
        <v>12571</v>
      </c>
      <c r="H2996" s="10">
        <v>45841</v>
      </c>
      <c r="I2996" s="6" t="s">
        <v>12572</v>
      </c>
      <c r="J2996" s="6" t="s">
        <v>12532</v>
      </c>
      <c r="K2996" s="6" t="s">
        <v>55</v>
      </c>
      <c r="L2996" s="6" t="s">
        <v>85</v>
      </c>
      <c r="M2996" s="6" t="s">
        <v>12573</v>
      </c>
    </row>
    <row r="2997" spans="1:13" ht="13" x14ac:dyDescent="0.15">
      <c r="A2997" s="5" t="str">
        <f>HYPERLINK("https://onemount.atlassian.net/browse/DBA-1814","DBA-1814")</f>
        <v>DBA-1814</v>
      </c>
      <c r="B2997" s="6" t="s">
        <v>21</v>
      </c>
      <c r="C2997" s="6" t="s">
        <v>10815</v>
      </c>
      <c r="D2997" s="8" t="s">
        <v>17</v>
      </c>
      <c r="E2997" s="6" t="s">
        <v>23</v>
      </c>
      <c r="F2997" s="6" t="s">
        <v>96</v>
      </c>
      <c r="G2997" s="6" t="s">
        <v>12574</v>
      </c>
      <c r="H2997" s="10">
        <v>45841</v>
      </c>
      <c r="I2997" s="6" t="s">
        <v>12575</v>
      </c>
      <c r="J2997" s="6" t="s">
        <v>6269</v>
      </c>
      <c r="K2997" s="6" t="s">
        <v>28</v>
      </c>
      <c r="L2997" s="6" t="s">
        <v>1000</v>
      </c>
      <c r="M2997" s="6" t="s">
        <v>12576</v>
      </c>
    </row>
    <row r="2998" spans="1:13" ht="13" x14ac:dyDescent="0.15">
      <c r="A2998" s="5" t="str">
        <f>HYPERLINK("https://onemount.atlassian.net/browse/DBA-1813","DBA-1813")</f>
        <v>DBA-1813</v>
      </c>
      <c r="B2998" s="6" t="s">
        <v>21</v>
      </c>
      <c r="C2998" s="6" t="s">
        <v>12577</v>
      </c>
      <c r="D2998" s="8" t="s">
        <v>17</v>
      </c>
      <c r="E2998" s="6" t="s">
        <v>23</v>
      </c>
      <c r="F2998" s="6" t="s">
        <v>96</v>
      </c>
      <c r="G2998" s="6" t="s">
        <v>12578</v>
      </c>
      <c r="H2998" s="10">
        <v>45841</v>
      </c>
      <c r="I2998" s="6" t="s">
        <v>12579</v>
      </c>
      <c r="J2998" s="6" t="s">
        <v>85</v>
      </c>
      <c r="K2998" s="6" t="s">
        <v>55</v>
      </c>
      <c r="L2998" s="6" t="s">
        <v>85</v>
      </c>
      <c r="M2998" s="6" t="s">
        <v>12580</v>
      </c>
    </row>
    <row r="2999" spans="1:13" ht="13" x14ac:dyDescent="0.15">
      <c r="A2999" s="5" t="str">
        <f>HYPERLINK("https://onemount.atlassian.net/browse/DBA-1812","DBA-1812")</f>
        <v>DBA-1812</v>
      </c>
      <c r="B2999" s="6" t="s">
        <v>21</v>
      </c>
      <c r="C2999" s="6" t="s">
        <v>12581</v>
      </c>
      <c r="D2999" s="8" t="s">
        <v>17</v>
      </c>
      <c r="E2999" s="6" t="s">
        <v>23</v>
      </c>
      <c r="F2999" s="6" t="s">
        <v>31</v>
      </c>
      <c r="G2999" s="6" t="s">
        <v>12582</v>
      </c>
      <c r="H2999" s="10">
        <v>45842</v>
      </c>
      <c r="I2999" s="6" t="s">
        <v>12583</v>
      </c>
      <c r="J2999" s="6" t="s">
        <v>373</v>
      </c>
      <c r="K2999" s="6" t="s">
        <v>35</v>
      </c>
      <c r="L2999" s="6" t="s">
        <v>36</v>
      </c>
      <c r="M2999" s="6" t="s">
        <v>12584</v>
      </c>
    </row>
    <row r="3000" spans="1:13" ht="13" x14ac:dyDescent="0.15">
      <c r="A3000" s="5" t="str">
        <f>HYPERLINK("https://onemount.atlassian.net/browse/DBA-1811","DBA-1811")</f>
        <v>DBA-1811</v>
      </c>
      <c r="B3000" s="6" t="s">
        <v>21</v>
      </c>
      <c r="C3000" s="6" t="s">
        <v>12585</v>
      </c>
      <c r="D3000" s="8" t="s">
        <v>17</v>
      </c>
      <c r="E3000" s="6" t="s">
        <v>23</v>
      </c>
      <c r="F3000" s="6" t="s">
        <v>24</v>
      </c>
      <c r="G3000" s="6" t="s">
        <v>12586</v>
      </c>
      <c r="H3000" s="10">
        <v>45841</v>
      </c>
      <c r="I3000" s="6" t="s">
        <v>12587</v>
      </c>
      <c r="J3000" s="6" t="s">
        <v>373</v>
      </c>
      <c r="K3000" s="6" t="s">
        <v>35</v>
      </c>
      <c r="L3000" s="6" t="s">
        <v>36</v>
      </c>
      <c r="M3000" s="6" t="s">
        <v>12588</v>
      </c>
    </row>
    <row r="3001" spans="1:13" ht="13" x14ac:dyDescent="0.15">
      <c r="A3001" s="5" t="str">
        <f>HYPERLINK("https://onemount.atlassian.net/browse/DBA-1810","DBA-1810")</f>
        <v>DBA-1810</v>
      </c>
      <c r="B3001" s="6" t="s">
        <v>21</v>
      </c>
      <c r="C3001" s="6" t="s">
        <v>12589</v>
      </c>
      <c r="D3001" s="8" t="s">
        <v>17</v>
      </c>
      <c r="E3001" s="6" t="s">
        <v>23</v>
      </c>
      <c r="F3001" s="6" t="s">
        <v>24</v>
      </c>
      <c r="G3001" s="6" t="s">
        <v>12590</v>
      </c>
      <c r="H3001" s="10">
        <v>45841</v>
      </c>
      <c r="I3001" s="6" t="s">
        <v>12591</v>
      </c>
      <c r="J3001" s="6" t="s">
        <v>1182</v>
      </c>
      <c r="K3001" s="6" t="s">
        <v>35</v>
      </c>
      <c r="L3001" s="6" t="s">
        <v>1182</v>
      </c>
      <c r="M3001" s="6" t="s">
        <v>12592</v>
      </c>
    </row>
    <row r="3002" spans="1:13" ht="13" x14ac:dyDescent="0.15">
      <c r="A3002" s="5" t="str">
        <f>HYPERLINK("https://onemount.atlassian.net/browse/DBA-1809","DBA-1809")</f>
        <v>DBA-1809</v>
      </c>
      <c r="B3002" s="6" t="s">
        <v>21</v>
      </c>
      <c r="C3002" s="6" t="s">
        <v>10815</v>
      </c>
      <c r="D3002" s="8" t="s">
        <v>17</v>
      </c>
      <c r="E3002" s="6" t="s">
        <v>23</v>
      </c>
      <c r="F3002" s="6" t="s">
        <v>96</v>
      </c>
      <c r="G3002" s="6" t="s">
        <v>12593</v>
      </c>
      <c r="H3002" s="10">
        <v>45841</v>
      </c>
      <c r="I3002" s="6" t="s">
        <v>12594</v>
      </c>
      <c r="J3002" s="6" t="s">
        <v>6269</v>
      </c>
      <c r="K3002" s="6" t="s">
        <v>28</v>
      </c>
      <c r="L3002" s="6" t="s">
        <v>1000</v>
      </c>
      <c r="M3002" s="6" t="s">
        <v>12595</v>
      </c>
    </row>
    <row r="3003" spans="1:13" ht="13" x14ac:dyDescent="0.15">
      <c r="A3003" s="5" t="str">
        <f>HYPERLINK("https://onemount.atlassian.net/browse/DBA-1808","DBA-1808")</f>
        <v>DBA-1808</v>
      </c>
      <c r="B3003" s="6" t="s">
        <v>21</v>
      </c>
      <c r="C3003" s="6" t="s">
        <v>12596</v>
      </c>
      <c r="D3003" s="8" t="s">
        <v>17</v>
      </c>
      <c r="E3003" s="6" t="s">
        <v>23</v>
      </c>
      <c r="F3003" s="6" t="s">
        <v>31</v>
      </c>
      <c r="G3003" s="6" t="s">
        <v>12597</v>
      </c>
      <c r="H3003" s="10">
        <v>45842</v>
      </c>
      <c r="I3003" s="6" t="s">
        <v>12598</v>
      </c>
      <c r="J3003" s="6" t="s">
        <v>85</v>
      </c>
      <c r="K3003" s="6" t="s">
        <v>55</v>
      </c>
      <c r="L3003" s="6" t="s">
        <v>85</v>
      </c>
      <c r="M3003" s="6" t="s">
        <v>12599</v>
      </c>
    </row>
    <row r="3004" spans="1:13" ht="13" x14ac:dyDescent="0.15">
      <c r="A3004" s="5" t="str">
        <f>HYPERLINK("https://onemount.atlassian.net/browse/DBA-1807","DBA-1807")</f>
        <v>DBA-1807</v>
      </c>
      <c r="B3004" s="6" t="s">
        <v>21</v>
      </c>
      <c r="C3004" s="6" t="s">
        <v>12600</v>
      </c>
      <c r="D3004" s="8" t="s">
        <v>17</v>
      </c>
      <c r="E3004" s="6" t="s">
        <v>23</v>
      </c>
      <c r="F3004" s="6" t="s">
        <v>31</v>
      </c>
      <c r="G3004" s="6" t="s">
        <v>12601</v>
      </c>
      <c r="H3004" s="10">
        <v>45842</v>
      </c>
      <c r="I3004" s="6" t="s">
        <v>12602</v>
      </c>
      <c r="J3004" s="6" t="s">
        <v>34</v>
      </c>
      <c r="K3004" s="6" t="s">
        <v>35</v>
      </c>
      <c r="L3004" s="6" t="s">
        <v>36</v>
      </c>
      <c r="M3004" s="6" t="s">
        <v>12603</v>
      </c>
    </row>
    <row r="3005" spans="1:13" ht="13" x14ac:dyDescent="0.15">
      <c r="A3005" s="5" t="str">
        <f>HYPERLINK("https://onemount.atlassian.net/browse/DBA-1806","DBA-1806")</f>
        <v>DBA-1806</v>
      </c>
      <c r="B3005" s="23" t="str">
        <f>HYPERLINK("https://onemount.atlassian.net/browse/DBA-2062","DBA-2062")</f>
        <v>DBA-2062</v>
      </c>
      <c r="C3005" s="6" t="s">
        <v>12604</v>
      </c>
      <c r="D3005" s="8" t="s">
        <v>17</v>
      </c>
      <c r="E3005" s="6" t="s">
        <v>428</v>
      </c>
      <c r="F3005" s="6" t="s">
        <v>24</v>
      </c>
      <c r="G3005" s="6" t="s">
        <v>12605</v>
      </c>
      <c r="H3005" s="10">
        <v>45841</v>
      </c>
      <c r="I3005" s="6" t="s">
        <v>12606</v>
      </c>
      <c r="J3005" s="6" t="s">
        <v>7825</v>
      </c>
      <c r="K3005" s="6" t="s">
        <v>55</v>
      </c>
      <c r="L3005" s="6" t="s">
        <v>925</v>
      </c>
      <c r="M3005" s="6" t="s">
        <v>12607</v>
      </c>
    </row>
    <row r="3006" spans="1:13" ht="13" x14ac:dyDescent="0.15">
      <c r="A3006" s="5" t="str">
        <f>HYPERLINK("https://onemount.atlassian.net/browse/DBA-1805","DBA-1805")</f>
        <v>DBA-1805</v>
      </c>
      <c r="B3006" s="6" t="s">
        <v>21</v>
      </c>
      <c r="C3006" s="6" t="s">
        <v>2389</v>
      </c>
      <c r="D3006" s="8" t="s">
        <v>17</v>
      </c>
      <c r="E3006" s="6" t="s">
        <v>23</v>
      </c>
      <c r="F3006" s="6" t="s">
        <v>96</v>
      </c>
      <c r="G3006" s="6" t="s">
        <v>12608</v>
      </c>
      <c r="H3006" s="10">
        <v>45841</v>
      </c>
      <c r="I3006" s="6" t="s">
        <v>12609</v>
      </c>
      <c r="J3006" s="6" t="s">
        <v>6387</v>
      </c>
      <c r="K3006" s="6" t="s">
        <v>28</v>
      </c>
      <c r="L3006" s="6" t="s">
        <v>27</v>
      </c>
      <c r="M3006" s="6" t="s">
        <v>12610</v>
      </c>
    </row>
    <row r="3007" spans="1:13" ht="13" x14ac:dyDescent="0.15">
      <c r="A3007" s="5" t="str">
        <f>HYPERLINK("https://onemount.atlassian.net/browse/DBA-1804","DBA-1804")</f>
        <v>DBA-1804</v>
      </c>
      <c r="B3007" s="6" t="s">
        <v>21</v>
      </c>
      <c r="C3007" s="6" t="s">
        <v>12611</v>
      </c>
      <c r="D3007" s="8" t="s">
        <v>17</v>
      </c>
      <c r="E3007" s="6" t="s">
        <v>23</v>
      </c>
      <c r="F3007" s="6" t="s">
        <v>31</v>
      </c>
      <c r="G3007" s="6" t="s">
        <v>12612</v>
      </c>
      <c r="H3007" s="10">
        <v>45840</v>
      </c>
      <c r="I3007" s="6" t="s">
        <v>12613</v>
      </c>
      <c r="J3007" s="6" t="s">
        <v>85</v>
      </c>
      <c r="K3007" s="6" t="s">
        <v>55</v>
      </c>
      <c r="L3007" s="6" t="s">
        <v>85</v>
      </c>
      <c r="M3007" s="6" t="s">
        <v>12614</v>
      </c>
    </row>
    <row r="3008" spans="1:13" ht="13" x14ac:dyDescent="0.15">
      <c r="A3008" s="5" t="str">
        <f>HYPERLINK("https://onemount.atlassian.net/browse/DBA-1802","DBA-1802")</f>
        <v>DBA-1802</v>
      </c>
      <c r="B3008" s="23" t="str">
        <f>HYPERLINK("https://onemount.atlassian.net/browse/CBP-568","CBP-568")</f>
        <v>CBP-568</v>
      </c>
      <c r="C3008" s="6" t="s">
        <v>12615</v>
      </c>
      <c r="D3008" s="8" t="s">
        <v>17</v>
      </c>
      <c r="E3008" s="6" t="s">
        <v>23</v>
      </c>
      <c r="F3008" s="6" t="s">
        <v>96</v>
      </c>
      <c r="G3008" s="6" t="s">
        <v>12616</v>
      </c>
      <c r="H3008" s="10">
        <v>45854</v>
      </c>
      <c r="I3008" s="6" t="s">
        <v>12617</v>
      </c>
      <c r="J3008" s="6" t="s">
        <v>28</v>
      </c>
      <c r="K3008" s="6" t="s">
        <v>28</v>
      </c>
      <c r="L3008" s="6" t="s">
        <v>1116</v>
      </c>
      <c r="M3008" s="6" t="s">
        <v>12618</v>
      </c>
    </row>
    <row r="3009" spans="1:13" ht="13" x14ac:dyDescent="0.15">
      <c r="A3009" s="5" t="str">
        <f>HYPERLINK("https://onemount.atlassian.net/browse/DBA-1801","DBA-1801")</f>
        <v>DBA-1801</v>
      </c>
      <c r="B3009" s="6" t="s">
        <v>21</v>
      </c>
      <c r="C3009" s="6" t="s">
        <v>12487</v>
      </c>
      <c r="D3009" s="8" t="s">
        <v>17</v>
      </c>
      <c r="E3009" s="6" t="s">
        <v>23</v>
      </c>
      <c r="F3009" s="6" t="s">
        <v>96</v>
      </c>
      <c r="G3009" s="6" t="s">
        <v>12619</v>
      </c>
      <c r="H3009" s="10">
        <v>45840</v>
      </c>
      <c r="I3009" s="6" t="s">
        <v>12620</v>
      </c>
      <c r="J3009" s="6" t="s">
        <v>55</v>
      </c>
      <c r="K3009" s="6" t="s">
        <v>55</v>
      </c>
      <c r="L3009" s="6" t="s">
        <v>956</v>
      </c>
      <c r="M3009" s="6" t="s">
        <v>12621</v>
      </c>
    </row>
    <row r="3010" spans="1:13" ht="13" x14ac:dyDescent="0.15">
      <c r="A3010" s="5" t="str">
        <f>HYPERLINK("https://onemount.atlassian.net/browse/DBA-1800","DBA-1800")</f>
        <v>DBA-1800</v>
      </c>
      <c r="B3010" s="6" t="s">
        <v>21</v>
      </c>
      <c r="C3010" s="6" t="s">
        <v>12622</v>
      </c>
      <c r="D3010" s="8" t="s">
        <v>17</v>
      </c>
      <c r="E3010" s="6" t="s">
        <v>23</v>
      </c>
      <c r="F3010" s="6" t="s">
        <v>24</v>
      </c>
      <c r="G3010" s="6" t="s">
        <v>12623</v>
      </c>
      <c r="H3010" s="10">
        <v>45841</v>
      </c>
      <c r="I3010" s="6" t="s">
        <v>12624</v>
      </c>
      <c r="J3010" s="6" t="s">
        <v>55</v>
      </c>
      <c r="K3010" s="6" t="s">
        <v>55</v>
      </c>
      <c r="L3010" s="6" t="s">
        <v>56</v>
      </c>
      <c r="M3010" s="6" t="s">
        <v>12625</v>
      </c>
    </row>
    <row r="3011" spans="1:13" ht="13" x14ac:dyDescent="0.15">
      <c r="A3011" s="5" t="str">
        <f>HYPERLINK("https://onemount.atlassian.net/browse/DBA-1799","DBA-1799")</f>
        <v>DBA-1799</v>
      </c>
      <c r="B3011" s="6" t="s">
        <v>21</v>
      </c>
      <c r="C3011" s="6" t="s">
        <v>12626</v>
      </c>
      <c r="D3011" s="8" t="s">
        <v>17</v>
      </c>
      <c r="E3011" s="6" t="s">
        <v>23</v>
      </c>
      <c r="F3011" s="6" t="s">
        <v>96</v>
      </c>
      <c r="G3011" s="6" t="s">
        <v>12627</v>
      </c>
      <c r="H3011" s="10">
        <v>45841</v>
      </c>
      <c r="I3011" s="6" t="s">
        <v>12628</v>
      </c>
      <c r="J3011" s="6" t="s">
        <v>254</v>
      </c>
      <c r="K3011" s="6" t="s">
        <v>55</v>
      </c>
      <c r="L3011" s="6" t="s">
        <v>254</v>
      </c>
      <c r="M3011" s="6" t="s">
        <v>12629</v>
      </c>
    </row>
    <row r="3012" spans="1:13" ht="13" x14ac:dyDescent="0.15">
      <c r="A3012" s="5" t="str">
        <f>HYPERLINK("https://onemount.atlassian.net/browse/DBA-1798","DBA-1798")</f>
        <v>DBA-1798</v>
      </c>
      <c r="B3012" s="6" t="s">
        <v>21</v>
      </c>
      <c r="C3012" s="6" t="s">
        <v>12630</v>
      </c>
      <c r="D3012" s="8" t="s">
        <v>17</v>
      </c>
      <c r="E3012" s="6" t="s">
        <v>23</v>
      </c>
      <c r="F3012" s="6" t="s">
        <v>24</v>
      </c>
      <c r="G3012" s="6" t="s">
        <v>12631</v>
      </c>
      <c r="H3012" s="10">
        <v>45840</v>
      </c>
      <c r="I3012" s="6" t="s">
        <v>12632</v>
      </c>
      <c r="J3012" s="6" t="s">
        <v>55</v>
      </c>
      <c r="K3012" s="6" t="s">
        <v>46</v>
      </c>
      <c r="L3012" s="6" t="s">
        <v>547</v>
      </c>
      <c r="M3012" s="6" t="s">
        <v>12633</v>
      </c>
    </row>
    <row r="3013" spans="1:13" ht="13" x14ac:dyDescent="0.15">
      <c r="A3013" s="5" t="str">
        <f>HYPERLINK("https://onemount.atlassian.net/browse/DBA-1797","DBA-1797")</f>
        <v>DBA-1797</v>
      </c>
      <c r="B3013" s="6" t="s">
        <v>21</v>
      </c>
      <c r="C3013" s="6" t="s">
        <v>12634</v>
      </c>
      <c r="D3013" s="8" t="s">
        <v>17</v>
      </c>
      <c r="E3013" s="6" t="s">
        <v>23</v>
      </c>
      <c r="F3013" s="6" t="s">
        <v>24</v>
      </c>
      <c r="G3013" s="6" t="s">
        <v>12635</v>
      </c>
      <c r="H3013" s="10">
        <v>45840</v>
      </c>
      <c r="I3013" s="6" t="s">
        <v>12636</v>
      </c>
      <c r="J3013" s="6" t="s">
        <v>55</v>
      </c>
      <c r="K3013" s="6" t="s">
        <v>55</v>
      </c>
      <c r="L3013" s="6" t="s">
        <v>328</v>
      </c>
      <c r="M3013" s="6" t="s">
        <v>12637</v>
      </c>
    </row>
    <row r="3014" spans="1:13" ht="13" x14ac:dyDescent="0.15">
      <c r="A3014" s="5" t="str">
        <f>HYPERLINK("https://onemount.atlassian.net/browse/DBA-1796","DBA-1796")</f>
        <v>DBA-1796</v>
      </c>
      <c r="B3014" s="6" t="s">
        <v>21</v>
      </c>
      <c r="C3014" s="6" t="s">
        <v>12638</v>
      </c>
      <c r="D3014" s="8" t="s">
        <v>17</v>
      </c>
      <c r="E3014" s="6" t="s">
        <v>23</v>
      </c>
      <c r="F3014" s="6" t="s">
        <v>31</v>
      </c>
      <c r="G3014" s="6" t="s">
        <v>12639</v>
      </c>
      <c r="H3014" s="10">
        <v>45840</v>
      </c>
      <c r="I3014" s="6" t="s">
        <v>12640</v>
      </c>
      <c r="J3014" s="6" t="s">
        <v>373</v>
      </c>
      <c r="K3014" s="6" t="s">
        <v>35</v>
      </c>
      <c r="L3014" s="6" t="s">
        <v>36</v>
      </c>
      <c r="M3014" s="6" t="s">
        <v>12641</v>
      </c>
    </row>
    <row r="3015" spans="1:13" ht="13" x14ac:dyDescent="0.15">
      <c r="A3015" s="5" t="str">
        <f>HYPERLINK("https://onemount.atlassian.net/browse/DBA-1795","DBA-1795")</f>
        <v>DBA-1795</v>
      </c>
      <c r="B3015" s="6" t="s">
        <v>21</v>
      </c>
      <c r="C3015" s="6" t="s">
        <v>12642</v>
      </c>
      <c r="D3015" s="8" t="s">
        <v>17</v>
      </c>
      <c r="E3015" s="6" t="s">
        <v>23</v>
      </c>
      <c r="F3015" s="6" t="s">
        <v>96</v>
      </c>
      <c r="G3015" s="6" t="s">
        <v>12643</v>
      </c>
      <c r="H3015" s="10">
        <v>45840</v>
      </c>
      <c r="I3015" s="6" t="s">
        <v>12644</v>
      </c>
      <c r="J3015" s="6" t="s">
        <v>27</v>
      </c>
      <c r="K3015" s="6" t="s">
        <v>28</v>
      </c>
      <c r="L3015" s="6" t="s">
        <v>27</v>
      </c>
      <c r="M3015" s="6" t="s">
        <v>12645</v>
      </c>
    </row>
    <row r="3016" spans="1:13" ht="13" x14ac:dyDescent="0.15">
      <c r="A3016" s="5" t="str">
        <f>HYPERLINK("https://onemount.atlassian.net/browse/DBA-1794","DBA-1794")</f>
        <v>DBA-1794</v>
      </c>
      <c r="B3016" s="6" t="s">
        <v>21</v>
      </c>
      <c r="C3016" s="6" t="s">
        <v>12646</v>
      </c>
      <c r="D3016" s="8" t="s">
        <v>17</v>
      </c>
      <c r="E3016" s="6" t="s">
        <v>23</v>
      </c>
      <c r="F3016" s="6" t="s">
        <v>31</v>
      </c>
      <c r="G3016" s="6" t="s">
        <v>12647</v>
      </c>
      <c r="H3016" s="10">
        <v>45840</v>
      </c>
      <c r="I3016" s="6" t="s">
        <v>12648</v>
      </c>
      <c r="J3016" s="6" t="s">
        <v>55</v>
      </c>
      <c r="K3016" s="6" t="s">
        <v>55</v>
      </c>
      <c r="L3016" s="6" t="s">
        <v>55</v>
      </c>
      <c r="M3016" s="6" t="s">
        <v>12649</v>
      </c>
    </row>
    <row r="3017" spans="1:13" ht="13" x14ac:dyDescent="0.15">
      <c r="A3017" s="5" t="str">
        <f>HYPERLINK("https://onemount.atlassian.net/browse/DBA-1793","DBA-1793")</f>
        <v>DBA-1793</v>
      </c>
      <c r="B3017" s="6" t="s">
        <v>21</v>
      </c>
      <c r="C3017" s="6" t="s">
        <v>12650</v>
      </c>
      <c r="D3017" s="8" t="s">
        <v>17</v>
      </c>
      <c r="E3017" s="6" t="s">
        <v>23</v>
      </c>
      <c r="F3017" s="6" t="s">
        <v>31</v>
      </c>
      <c r="G3017" s="6" t="s">
        <v>12651</v>
      </c>
      <c r="H3017" s="10">
        <v>45840</v>
      </c>
      <c r="I3017" s="6" t="s">
        <v>12652</v>
      </c>
      <c r="J3017" s="6" t="s">
        <v>12653</v>
      </c>
      <c r="K3017" s="6" t="s">
        <v>168</v>
      </c>
      <c r="L3017" s="6" t="s">
        <v>276</v>
      </c>
      <c r="M3017" s="6" t="s">
        <v>12654</v>
      </c>
    </row>
    <row r="3018" spans="1:13" ht="13" x14ac:dyDescent="0.15">
      <c r="A3018" s="5" t="str">
        <f>HYPERLINK("https://onemount.atlassian.net/browse/DBA-1791","DBA-1791")</f>
        <v>DBA-1791</v>
      </c>
      <c r="B3018" s="6" t="s">
        <v>21</v>
      </c>
      <c r="C3018" s="6" t="s">
        <v>12655</v>
      </c>
      <c r="D3018" s="8" t="s">
        <v>17</v>
      </c>
      <c r="E3018" s="6" t="s">
        <v>23</v>
      </c>
      <c r="F3018" s="6" t="s">
        <v>31</v>
      </c>
      <c r="G3018" s="6" t="s">
        <v>12656</v>
      </c>
      <c r="H3018" s="10">
        <v>45840</v>
      </c>
      <c r="I3018" s="6" t="s">
        <v>12657</v>
      </c>
      <c r="J3018" s="6" t="s">
        <v>374</v>
      </c>
      <c r="K3018" s="6" t="s">
        <v>35</v>
      </c>
      <c r="L3018" s="6" t="s">
        <v>374</v>
      </c>
      <c r="M3018" s="6" t="s">
        <v>12658</v>
      </c>
    </row>
    <row r="3019" spans="1:13" ht="13" x14ac:dyDescent="0.15">
      <c r="A3019" s="5" t="str">
        <f>HYPERLINK("https://onemount.atlassian.net/browse/DBA-1788","DBA-1788")</f>
        <v>DBA-1788</v>
      </c>
      <c r="B3019" s="23" t="str">
        <f t="shared" ref="B3019:B3020" si="54">HYPERLINK("https://onemount.atlassian.net/browse/MDPINFRA-3821","MDPINFRA-3821")</f>
        <v>MDPINFRA-3821</v>
      </c>
      <c r="C3019" s="6" t="s">
        <v>12659</v>
      </c>
      <c r="D3019" s="8" t="s">
        <v>17</v>
      </c>
      <c r="E3019" s="6" t="s">
        <v>23</v>
      </c>
      <c r="F3019" s="6" t="s">
        <v>31</v>
      </c>
      <c r="G3019" s="6" t="s">
        <v>12660</v>
      </c>
      <c r="H3019" s="10">
        <v>45853</v>
      </c>
      <c r="I3019" s="6" t="s">
        <v>12661</v>
      </c>
      <c r="J3019" s="6" t="s">
        <v>6218</v>
      </c>
      <c r="K3019" s="6" t="s">
        <v>46</v>
      </c>
      <c r="L3019" s="6" t="s">
        <v>146</v>
      </c>
      <c r="M3019" s="6" t="s">
        <v>12662</v>
      </c>
    </row>
    <row r="3020" spans="1:13" ht="13" x14ac:dyDescent="0.15">
      <c r="A3020" s="5" t="str">
        <f>HYPERLINK("https://onemount.atlassian.net/browse/DBA-1787","DBA-1787")</f>
        <v>DBA-1787</v>
      </c>
      <c r="B3020" s="23" t="str">
        <f t="shared" si="54"/>
        <v>MDPINFRA-3821</v>
      </c>
      <c r="C3020" s="6" t="s">
        <v>12663</v>
      </c>
      <c r="D3020" s="8" t="s">
        <v>17</v>
      </c>
      <c r="E3020" s="6" t="s">
        <v>23</v>
      </c>
      <c r="F3020" s="6" t="s">
        <v>24</v>
      </c>
      <c r="G3020" s="6" t="s">
        <v>12664</v>
      </c>
      <c r="H3020" s="10">
        <v>45853</v>
      </c>
      <c r="I3020" s="6" t="s">
        <v>12665</v>
      </c>
      <c r="J3020" s="6" t="s">
        <v>6218</v>
      </c>
      <c r="K3020" s="6" t="s">
        <v>46</v>
      </c>
      <c r="L3020" s="6" t="s">
        <v>146</v>
      </c>
      <c r="M3020" s="6" t="s">
        <v>12666</v>
      </c>
    </row>
    <row r="3021" spans="1:13" ht="13" x14ac:dyDescent="0.15">
      <c r="A3021" s="5" t="str">
        <f>HYPERLINK("https://onemount.atlassian.net/browse/DBA-1786","DBA-1786")</f>
        <v>DBA-1786</v>
      </c>
      <c r="B3021" s="6" t="s">
        <v>21</v>
      </c>
      <c r="C3021" s="6" t="s">
        <v>12667</v>
      </c>
      <c r="D3021" s="8" t="s">
        <v>17</v>
      </c>
      <c r="E3021" s="6" t="s">
        <v>23</v>
      </c>
      <c r="F3021" s="6" t="s">
        <v>24</v>
      </c>
      <c r="G3021" s="6" t="s">
        <v>12668</v>
      </c>
      <c r="H3021" s="10">
        <v>45840</v>
      </c>
      <c r="I3021" s="6" t="s">
        <v>12669</v>
      </c>
      <c r="J3021" s="6" t="s">
        <v>56</v>
      </c>
      <c r="K3021" s="6" t="s">
        <v>55</v>
      </c>
      <c r="L3021" s="6" t="s">
        <v>56</v>
      </c>
      <c r="M3021" s="6" t="s">
        <v>12670</v>
      </c>
    </row>
    <row r="3022" spans="1:13" ht="13" x14ac:dyDescent="0.15">
      <c r="A3022" s="5" t="str">
        <f>HYPERLINK("https://onemount.atlassian.net/browse/DBA-1785","DBA-1785")</f>
        <v>DBA-1785</v>
      </c>
      <c r="B3022" s="23" t="str">
        <f t="shared" ref="B3022:B3023" si="55">HYPERLINK("https://onemount.atlassian.net/browse/MDPINFRA-3821","MDPINFRA-3821")</f>
        <v>MDPINFRA-3821</v>
      </c>
      <c r="C3022" s="6" t="s">
        <v>12671</v>
      </c>
      <c r="D3022" s="8" t="s">
        <v>17</v>
      </c>
      <c r="E3022" s="6" t="s">
        <v>23</v>
      </c>
      <c r="F3022" s="6" t="s">
        <v>31</v>
      </c>
      <c r="G3022" s="6" t="s">
        <v>12672</v>
      </c>
      <c r="H3022" s="10">
        <v>45857</v>
      </c>
      <c r="I3022" s="6" t="s">
        <v>12673</v>
      </c>
      <c r="J3022" s="6" t="s">
        <v>6218</v>
      </c>
      <c r="K3022" s="6" t="s">
        <v>46</v>
      </c>
      <c r="L3022" s="6" t="s">
        <v>146</v>
      </c>
      <c r="M3022" s="6" t="s">
        <v>12674</v>
      </c>
    </row>
    <row r="3023" spans="1:13" ht="13" x14ac:dyDescent="0.15">
      <c r="A3023" s="5" t="str">
        <f>HYPERLINK("https://onemount.atlassian.net/browse/DBA-1784","DBA-1784")</f>
        <v>DBA-1784</v>
      </c>
      <c r="B3023" s="23" t="str">
        <f t="shared" si="55"/>
        <v>MDPINFRA-3821</v>
      </c>
      <c r="C3023" s="6" t="s">
        <v>12675</v>
      </c>
      <c r="D3023" s="8" t="s">
        <v>17</v>
      </c>
      <c r="E3023" s="6" t="s">
        <v>23</v>
      </c>
      <c r="F3023" s="6" t="s">
        <v>24</v>
      </c>
      <c r="G3023" s="6" t="s">
        <v>12676</v>
      </c>
      <c r="H3023" s="10">
        <v>45853</v>
      </c>
      <c r="I3023" s="6" t="s">
        <v>12677</v>
      </c>
      <c r="J3023" s="6" t="s">
        <v>6218</v>
      </c>
      <c r="K3023" s="6" t="s">
        <v>46</v>
      </c>
      <c r="L3023" s="6" t="s">
        <v>146</v>
      </c>
      <c r="M3023" s="6" t="s">
        <v>12678</v>
      </c>
    </row>
    <row r="3024" spans="1:13" ht="13" x14ac:dyDescent="0.15">
      <c r="A3024" s="5" t="str">
        <f>HYPERLINK("https://onemount.atlassian.net/browse/DBA-1783","DBA-1783")</f>
        <v>DBA-1783</v>
      </c>
      <c r="B3024" s="6" t="s">
        <v>21</v>
      </c>
      <c r="C3024" s="6" t="s">
        <v>12679</v>
      </c>
      <c r="D3024" s="8" t="s">
        <v>17</v>
      </c>
      <c r="E3024" s="6" t="s">
        <v>23</v>
      </c>
      <c r="F3024" s="6" t="s">
        <v>96</v>
      </c>
      <c r="G3024" s="6" t="s">
        <v>12680</v>
      </c>
      <c r="H3024" s="10">
        <v>45838</v>
      </c>
      <c r="I3024" s="6" t="s">
        <v>12681</v>
      </c>
      <c r="J3024" s="6" t="s">
        <v>55</v>
      </c>
      <c r="K3024" s="6" t="s">
        <v>55</v>
      </c>
      <c r="L3024" s="6" t="s">
        <v>956</v>
      </c>
      <c r="M3024" s="6" t="s">
        <v>12682</v>
      </c>
    </row>
    <row r="3025" spans="1:13" ht="13" x14ac:dyDescent="0.15">
      <c r="A3025" s="5" t="str">
        <f>HYPERLINK("https://onemount.atlassian.net/browse/DBA-1782","DBA-1782")</f>
        <v>DBA-1782</v>
      </c>
      <c r="B3025" s="6" t="s">
        <v>21</v>
      </c>
      <c r="C3025" s="6" t="s">
        <v>12683</v>
      </c>
      <c r="D3025" s="8" t="s">
        <v>17</v>
      </c>
      <c r="E3025" s="6" t="s">
        <v>23</v>
      </c>
      <c r="F3025" s="6" t="s">
        <v>96</v>
      </c>
      <c r="G3025" s="6" t="s">
        <v>12684</v>
      </c>
      <c r="H3025" s="10">
        <v>45839</v>
      </c>
      <c r="I3025" s="6" t="s">
        <v>12685</v>
      </c>
      <c r="J3025" s="6" t="s">
        <v>12686</v>
      </c>
      <c r="K3025" s="6" t="s">
        <v>165</v>
      </c>
      <c r="L3025" s="6" t="s">
        <v>1034</v>
      </c>
      <c r="M3025" s="6" t="s">
        <v>12687</v>
      </c>
    </row>
    <row r="3026" spans="1:13" ht="13" x14ac:dyDescent="0.15">
      <c r="A3026" s="5" t="str">
        <f>HYPERLINK("https://onemount.atlassian.net/browse/DBA-1781","DBA-1781")</f>
        <v>DBA-1781</v>
      </c>
      <c r="B3026" s="6" t="s">
        <v>21</v>
      </c>
      <c r="C3026" s="6" t="s">
        <v>12688</v>
      </c>
      <c r="D3026" s="8" t="s">
        <v>17</v>
      </c>
      <c r="E3026" s="6" t="s">
        <v>23</v>
      </c>
      <c r="F3026" s="6" t="s">
        <v>31</v>
      </c>
      <c r="G3026" s="6" t="s">
        <v>12689</v>
      </c>
      <c r="H3026" s="10">
        <v>45838</v>
      </c>
      <c r="I3026" s="6" t="s">
        <v>12690</v>
      </c>
      <c r="J3026" s="6" t="s">
        <v>85</v>
      </c>
      <c r="K3026" s="6" t="s">
        <v>55</v>
      </c>
      <c r="L3026" s="6" t="s">
        <v>85</v>
      </c>
      <c r="M3026" s="6" t="s">
        <v>12691</v>
      </c>
    </row>
    <row r="3027" spans="1:13" ht="13" x14ac:dyDescent="0.15">
      <c r="A3027" s="5" t="str">
        <f>HYPERLINK("https://onemount.atlassian.net/browse/DBA-1780","DBA-1780")</f>
        <v>DBA-1780</v>
      </c>
      <c r="B3027" s="6" t="s">
        <v>21</v>
      </c>
      <c r="C3027" s="6" t="s">
        <v>12692</v>
      </c>
      <c r="D3027" s="8" t="s">
        <v>17</v>
      </c>
      <c r="E3027" s="6" t="s">
        <v>23</v>
      </c>
      <c r="F3027" s="6" t="s">
        <v>96</v>
      </c>
      <c r="G3027" s="6" t="s">
        <v>12693</v>
      </c>
      <c r="H3027" s="10">
        <v>45838</v>
      </c>
      <c r="I3027" s="6" t="s">
        <v>12694</v>
      </c>
      <c r="J3027" s="6" t="s">
        <v>1898</v>
      </c>
      <c r="K3027" s="6" t="s">
        <v>165</v>
      </c>
      <c r="L3027" s="6" t="s">
        <v>1097</v>
      </c>
      <c r="M3027" s="6" t="s">
        <v>12695</v>
      </c>
    </row>
    <row r="3028" spans="1:13" ht="13" x14ac:dyDescent="0.15">
      <c r="A3028" s="5" t="str">
        <f>HYPERLINK("https://onemount.atlassian.net/browse/DBA-1779","DBA-1779")</f>
        <v>DBA-1779</v>
      </c>
      <c r="B3028" s="6" t="s">
        <v>21</v>
      </c>
      <c r="C3028" s="6" t="s">
        <v>2330</v>
      </c>
      <c r="D3028" s="8" t="s">
        <v>17</v>
      </c>
      <c r="E3028" s="6" t="s">
        <v>23</v>
      </c>
      <c r="F3028" s="6" t="s">
        <v>96</v>
      </c>
      <c r="G3028" s="6" t="s">
        <v>12696</v>
      </c>
      <c r="H3028" s="10">
        <v>45838</v>
      </c>
      <c r="I3028" s="6" t="s">
        <v>12697</v>
      </c>
      <c r="J3028" s="6" t="s">
        <v>55</v>
      </c>
      <c r="K3028" s="6" t="s">
        <v>55</v>
      </c>
      <c r="L3028" s="6" t="s">
        <v>956</v>
      </c>
      <c r="M3028" s="6" t="s">
        <v>12698</v>
      </c>
    </row>
    <row r="3029" spans="1:13" ht="13" x14ac:dyDescent="0.15">
      <c r="A3029" s="5" t="str">
        <f>HYPERLINK("https://onemount.atlassian.net/browse/DBA-1778","DBA-1778")</f>
        <v>DBA-1778</v>
      </c>
      <c r="B3029" s="6" t="s">
        <v>21</v>
      </c>
      <c r="C3029" s="6" t="s">
        <v>12699</v>
      </c>
      <c r="D3029" s="8" t="s">
        <v>17</v>
      </c>
      <c r="E3029" s="6" t="s">
        <v>23</v>
      </c>
      <c r="F3029" s="6" t="s">
        <v>96</v>
      </c>
      <c r="G3029" s="6" t="s">
        <v>12700</v>
      </c>
      <c r="H3029" s="10">
        <v>45838</v>
      </c>
      <c r="I3029" s="6" t="s">
        <v>12701</v>
      </c>
      <c r="J3029" s="6" t="s">
        <v>353</v>
      </c>
      <c r="K3029" s="6" t="s">
        <v>55</v>
      </c>
      <c r="L3029" s="6" t="s">
        <v>85</v>
      </c>
      <c r="M3029" s="6" t="s">
        <v>12702</v>
      </c>
    </row>
    <row r="3030" spans="1:13" ht="13" x14ac:dyDescent="0.15">
      <c r="A3030" s="5" t="str">
        <f>HYPERLINK("https://onemount.atlassian.net/browse/DBA-1777","DBA-1777")</f>
        <v>DBA-1777</v>
      </c>
      <c r="B3030" s="6" t="s">
        <v>21</v>
      </c>
      <c r="C3030" s="6" t="s">
        <v>12703</v>
      </c>
      <c r="D3030" s="8" t="s">
        <v>17</v>
      </c>
      <c r="E3030" s="6" t="s">
        <v>23</v>
      </c>
      <c r="F3030" s="6" t="s">
        <v>31</v>
      </c>
      <c r="G3030" s="6" t="s">
        <v>12704</v>
      </c>
      <c r="H3030" s="10">
        <v>45839</v>
      </c>
      <c r="I3030" s="6" t="s">
        <v>12705</v>
      </c>
      <c r="J3030" s="6" t="s">
        <v>6804</v>
      </c>
      <c r="K3030" s="6" t="s">
        <v>28</v>
      </c>
      <c r="L3030" s="6" t="s">
        <v>715</v>
      </c>
      <c r="M3030" s="6" t="s">
        <v>12706</v>
      </c>
    </row>
    <row r="3031" spans="1:13" ht="13" x14ac:dyDescent="0.15">
      <c r="A3031" s="5" t="str">
        <f>HYPERLINK("https://onemount.atlassian.net/browse/DBA-1776","DBA-1776")</f>
        <v>DBA-1776</v>
      </c>
      <c r="B3031" s="6" t="s">
        <v>21</v>
      </c>
      <c r="C3031" s="6" t="s">
        <v>12707</v>
      </c>
      <c r="D3031" s="8" t="s">
        <v>17</v>
      </c>
      <c r="E3031" s="6" t="s">
        <v>23</v>
      </c>
      <c r="F3031" s="6" t="s">
        <v>96</v>
      </c>
      <c r="G3031" s="6" t="s">
        <v>12708</v>
      </c>
      <c r="H3031" s="10">
        <v>45838</v>
      </c>
      <c r="I3031" s="6" t="s">
        <v>12709</v>
      </c>
      <c r="J3031" s="6" t="s">
        <v>12710</v>
      </c>
      <c r="K3031" s="6" t="s">
        <v>55</v>
      </c>
      <c r="L3031" s="6" t="s">
        <v>906</v>
      </c>
      <c r="M3031" s="6" t="s">
        <v>12711</v>
      </c>
    </row>
    <row r="3032" spans="1:13" ht="13" x14ac:dyDescent="0.15">
      <c r="A3032" s="5" t="str">
        <f>HYPERLINK("https://onemount.atlassian.net/browse/DBA-1775","DBA-1775")</f>
        <v>DBA-1775</v>
      </c>
      <c r="B3032" s="23" t="str">
        <f>HYPERLINK("https://onemount.atlassian.net/browse/DBA-2062","DBA-2062")</f>
        <v>DBA-2062</v>
      </c>
      <c r="C3032" s="6" t="s">
        <v>12712</v>
      </c>
      <c r="D3032" s="8" t="s">
        <v>17</v>
      </c>
      <c r="E3032" s="6" t="s">
        <v>428</v>
      </c>
      <c r="F3032" s="6" t="s">
        <v>96</v>
      </c>
      <c r="G3032" s="6" t="s">
        <v>12713</v>
      </c>
      <c r="H3032" s="10">
        <v>45837</v>
      </c>
      <c r="I3032" s="6" t="s">
        <v>12714</v>
      </c>
      <c r="J3032" s="6" t="s">
        <v>12715</v>
      </c>
      <c r="K3032" s="6" t="s">
        <v>55</v>
      </c>
      <c r="L3032" s="6" t="s">
        <v>85</v>
      </c>
      <c r="M3032" s="6" t="s">
        <v>12716</v>
      </c>
    </row>
    <row r="3033" spans="1:13" ht="13" x14ac:dyDescent="0.15">
      <c r="A3033" s="5" t="str">
        <f>HYPERLINK("https://onemount.atlassian.net/browse/DBA-1774","DBA-1774")</f>
        <v>DBA-1774</v>
      </c>
      <c r="B3033" s="6" t="s">
        <v>21</v>
      </c>
      <c r="C3033" s="6" t="s">
        <v>12717</v>
      </c>
      <c r="D3033" s="8" t="s">
        <v>17</v>
      </c>
      <c r="E3033" s="6" t="s">
        <v>23</v>
      </c>
      <c r="F3033" s="6" t="s">
        <v>96</v>
      </c>
      <c r="G3033" s="6" t="s">
        <v>12718</v>
      </c>
      <c r="H3033" s="10">
        <v>45836</v>
      </c>
      <c r="I3033" s="6" t="s">
        <v>12719</v>
      </c>
      <c r="J3033" s="6" t="s">
        <v>28</v>
      </c>
      <c r="K3033" s="6" t="s">
        <v>28</v>
      </c>
      <c r="L3033" s="6" t="s">
        <v>160</v>
      </c>
      <c r="M3033" s="6" t="s">
        <v>12720</v>
      </c>
    </row>
    <row r="3034" spans="1:13" ht="13" x14ac:dyDescent="0.15">
      <c r="A3034" s="5" t="str">
        <f>HYPERLINK("https://onemount.atlassian.net/browse/DBA-1773","DBA-1773")</f>
        <v>DBA-1773</v>
      </c>
      <c r="B3034" s="6" t="s">
        <v>21</v>
      </c>
      <c r="C3034" s="6" t="s">
        <v>12721</v>
      </c>
      <c r="D3034" s="8" t="s">
        <v>17</v>
      </c>
      <c r="E3034" s="6" t="s">
        <v>23</v>
      </c>
      <c r="F3034" s="6" t="s">
        <v>31</v>
      </c>
      <c r="G3034" s="6" t="s">
        <v>12722</v>
      </c>
      <c r="H3034" s="10">
        <v>45836</v>
      </c>
      <c r="I3034" s="6" t="s">
        <v>12723</v>
      </c>
      <c r="J3034" s="6" t="s">
        <v>707</v>
      </c>
      <c r="K3034" s="6" t="s">
        <v>168</v>
      </c>
      <c r="L3034" s="6" t="s">
        <v>707</v>
      </c>
      <c r="M3034" s="6" t="s">
        <v>12724</v>
      </c>
    </row>
    <row r="3035" spans="1:13" ht="13" x14ac:dyDescent="0.15">
      <c r="A3035" s="5" t="str">
        <f>HYPERLINK("https://onemount.atlassian.net/browse/DBA-1772","DBA-1772")</f>
        <v>DBA-1772</v>
      </c>
      <c r="B3035" s="6" t="s">
        <v>21</v>
      </c>
      <c r="C3035" s="6" t="s">
        <v>12725</v>
      </c>
      <c r="D3035" s="8" t="s">
        <v>17</v>
      </c>
      <c r="E3035" s="6" t="s">
        <v>23</v>
      </c>
      <c r="F3035" s="6" t="s">
        <v>31</v>
      </c>
      <c r="G3035" s="6" t="s">
        <v>12726</v>
      </c>
      <c r="H3035" s="10">
        <v>45836</v>
      </c>
      <c r="I3035" s="6" t="s">
        <v>12727</v>
      </c>
      <c r="J3035" s="6" t="s">
        <v>49</v>
      </c>
      <c r="K3035" s="6" t="s">
        <v>35</v>
      </c>
      <c r="L3035" s="6" t="s">
        <v>981</v>
      </c>
      <c r="M3035" s="6" t="s">
        <v>12728</v>
      </c>
    </row>
    <row r="3036" spans="1:13" ht="13" x14ac:dyDescent="0.15">
      <c r="A3036" s="5" t="str">
        <f>HYPERLINK("https://onemount.atlassian.net/browse/DBA-1770","DBA-1770")</f>
        <v>DBA-1770</v>
      </c>
      <c r="B3036" s="6" t="s">
        <v>21</v>
      </c>
      <c r="C3036" s="6" t="s">
        <v>12729</v>
      </c>
      <c r="D3036" s="8" t="s">
        <v>17</v>
      </c>
      <c r="E3036" s="6" t="s">
        <v>23</v>
      </c>
      <c r="F3036" s="6" t="s">
        <v>31</v>
      </c>
      <c r="G3036" s="6" t="s">
        <v>12730</v>
      </c>
      <c r="H3036" s="10">
        <v>45835</v>
      </c>
      <c r="I3036" s="6" t="s">
        <v>12731</v>
      </c>
      <c r="J3036" s="6" t="s">
        <v>638</v>
      </c>
      <c r="K3036" s="6" t="s">
        <v>35</v>
      </c>
      <c r="L3036" s="6" t="s">
        <v>638</v>
      </c>
      <c r="M3036" s="6" t="s">
        <v>12732</v>
      </c>
    </row>
    <row r="3037" spans="1:13" ht="13" x14ac:dyDescent="0.15">
      <c r="A3037" s="5" t="str">
        <f>HYPERLINK("https://onemount.atlassian.net/browse/DBA-1769","DBA-1769")</f>
        <v>DBA-1769</v>
      </c>
      <c r="B3037" s="6" t="s">
        <v>21</v>
      </c>
      <c r="C3037" s="6" t="s">
        <v>12733</v>
      </c>
      <c r="D3037" s="8" t="s">
        <v>17</v>
      </c>
      <c r="E3037" s="6" t="s">
        <v>23</v>
      </c>
      <c r="F3037" s="6" t="s">
        <v>31</v>
      </c>
      <c r="G3037" s="6" t="s">
        <v>12734</v>
      </c>
      <c r="H3037" s="10">
        <v>45836</v>
      </c>
      <c r="I3037" s="6" t="s">
        <v>12735</v>
      </c>
      <c r="J3037" s="6" t="s">
        <v>5564</v>
      </c>
      <c r="K3037" s="6" t="s">
        <v>35</v>
      </c>
      <c r="L3037" s="6" t="s">
        <v>692</v>
      </c>
      <c r="M3037" s="6" t="s">
        <v>12736</v>
      </c>
    </row>
    <row r="3038" spans="1:13" ht="13" x14ac:dyDescent="0.15">
      <c r="A3038" s="5" t="str">
        <f>HYPERLINK("https://onemount.atlassian.net/browse/DBA-1768","DBA-1768")</f>
        <v>DBA-1768</v>
      </c>
      <c r="B3038" s="6" t="s">
        <v>21</v>
      </c>
      <c r="C3038" s="6" t="s">
        <v>12737</v>
      </c>
      <c r="D3038" s="8" t="s">
        <v>17</v>
      </c>
      <c r="E3038" s="6" t="s">
        <v>23</v>
      </c>
      <c r="F3038" s="6" t="s">
        <v>96</v>
      </c>
      <c r="G3038" s="6" t="s">
        <v>12738</v>
      </c>
      <c r="H3038" s="10">
        <v>45835</v>
      </c>
      <c r="I3038" s="6" t="s">
        <v>12739</v>
      </c>
      <c r="J3038" s="6" t="s">
        <v>1898</v>
      </c>
      <c r="K3038" s="6" t="s">
        <v>165</v>
      </c>
      <c r="L3038" s="6" t="s">
        <v>1097</v>
      </c>
      <c r="M3038" s="6" t="s">
        <v>12740</v>
      </c>
    </row>
    <row r="3039" spans="1:13" ht="13" x14ac:dyDescent="0.15">
      <c r="A3039" s="5" t="str">
        <f>HYPERLINK("https://onemount.atlassian.net/browse/DBA-1767","DBA-1767")</f>
        <v>DBA-1767</v>
      </c>
      <c r="B3039" s="6" t="s">
        <v>21</v>
      </c>
      <c r="C3039" s="6" t="s">
        <v>12741</v>
      </c>
      <c r="D3039" s="8" t="s">
        <v>17</v>
      </c>
      <c r="E3039" s="6" t="s">
        <v>23</v>
      </c>
      <c r="F3039" s="6" t="s">
        <v>24</v>
      </c>
      <c r="G3039" s="6" t="s">
        <v>12742</v>
      </c>
      <c r="H3039" s="10">
        <v>45834</v>
      </c>
      <c r="I3039" s="6" t="s">
        <v>12743</v>
      </c>
      <c r="J3039" s="6" t="s">
        <v>55</v>
      </c>
      <c r="K3039" s="6" t="s">
        <v>55</v>
      </c>
      <c r="L3039" s="6" t="s">
        <v>56</v>
      </c>
      <c r="M3039" s="6" t="s">
        <v>12744</v>
      </c>
    </row>
    <row r="3040" spans="1:13" ht="13" x14ac:dyDescent="0.15">
      <c r="A3040" s="5" t="str">
        <f>HYPERLINK("https://onemount.atlassian.net/browse/DBA-1765","DBA-1765")</f>
        <v>DBA-1765</v>
      </c>
      <c r="B3040" s="6" t="s">
        <v>21</v>
      </c>
      <c r="C3040" s="6" t="s">
        <v>12176</v>
      </c>
      <c r="D3040" s="8" t="s">
        <v>17</v>
      </c>
      <c r="E3040" s="6" t="s">
        <v>23</v>
      </c>
      <c r="F3040" s="6" t="s">
        <v>96</v>
      </c>
      <c r="G3040" s="6" t="s">
        <v>12745</v>
      </c>
      <c r="H3040" s="10">
        <v>45834</v>
      </c>
      <c r="I3040" s="6" t="s">
        <v>12746</v>
      </c>
      <c r="J3040" s="6" t="s">
        <v>2453</v>
      </c>
      <c r="K3040" s="6" t="s">
        <v>165</v>
      </c>
      <c r="L3040" s="6" t="s">
        <v>119</v>
      </c>
      <c r="M3040" s="6" t="s">
        <v>12747</v>
      </c>
    </row>
    <row r="3041" spans="1:13" ht="13" x14ac:dyDescent="0.15">
      <c r="A3041" s="5" t="str">
        <f>HYPERLINK("https://onemount.atlassian.net/browse/DBA-1764","DBA-1764")</f>
        <v>DBA-1764</v>
      </c>
      <c r="B3041" s="6" t="s">
        <v>21</v>
      </c>
      <c r="C3041" s="6" t="s">
        <v>9312</v>
      </c>
      <c r="D3041" s="8" t="s">
        <v>17</v>
      </c>
      <c r="E3041" s="6" t="s">
        <v>23</v>
      </c>
      <c r="F3041" s="6" t="s">
        <v>96</v>
      </c>
      <c r="G3041" s="6" t="s">
        <v>12748</v>
      </c>
      <c r="H3041" s="10">
        <v>45834</v>
      </c>
      <c r="I3041" s="6" t="s">
        <v>12749</v>
      </c>
      <c r="J3041" s="6" t="s">
        <v>12430</v>
      </c>
      <c r="K3041" s="6" t="s">
        <v>28</v>
      </c>
      <c r="L3041" s="6" t="s">
        <v>27</v>
      </c>
      <c r="M3041" s="6" t="s">
        <v>12750</v>
      </c>
    </row>
    <row r="3042" spans="1:13" ht="13" x14ac:dyDescent="0.15">
      <c r="A3042" s="5" t="str">
        <f>HYPERLINK("https://onemount.atlassian.net/browse/DBA-1763","DBA-1763")</f>
        <v>DBA-1763</v>
      </c>
      <c r="B3042" s="6" t="s">
        <v>21</v>
      </c>
      <c r="C3042" s="6" t="s">
        <v>12751</v>
      </c>
      <c r="D3042" s="8" t="s">
        <v>17</v>
      </c>
      <c r="E3042" s="6" t="s">
        <v>23</v>
      </c>
      <c r="F3042" s="6" t="s">
        <v>31</v>
      </c>
      <c r="G3042" s="6" t="s">
        <v>12752</v>
      </c>
      <c r="H3042" s="10">
        <v>45834</v>
      </c>
      <c r="I3042" s="6" t="s">
        <v>12753</v>
      </c>
      <c r="J3042" s="6" t="s">
        <v>638</v>
      </c>
      <c r="K3042" s="6" t="s">
        <v>35</v>
      </c>
      <c r="L3042" s="6" t="s">
        <v>638</v>
      </c>
      <c r="M3042" s="6" t="s">
        <v>12754</v>
      </c>
    </row>
    <row r="3043" spans="1:13" ht="13" x14ac:dyDescent="0.15">
      <c r="A3043" s="5" t="str">
        <f>HYPERLINK("https://onemount.atlassian.net/browse/DBA-1762","DBA-1762")</f>
        <v>DBA-1762</v>
      </c>
      <c r="B3043" s="6" t="s">
        <v>21</v>
      </c>
      <c r="C3043" s="6" t="s">
        <v>2330</v>
      </c>
      <c r="D3043" s="8" t="s">
        <v>17</v>
      </c>
      <c r="E3043" s="6" t="s">
        <v>23</v>
      </c>
      <c r="F3043" s="6" t="s">
        <v>96</v>
      </c>
      <c r="G3043" s="6" t="s">
        <v>12755</v>
      </c>
      <c r="H3043" s="10">
        <v>45834</v>
      </c>
      <c r="I3043" s="6" t="s">
        <v>12756</v>
      </c>
      <c r="J3043" s="6" t="s">
        <v>55</v>
      </c>
      <c r="K3043" s="6" t="s">
        <v>55</v>
      </c>
      <c r="L3043" s="6" t="s">
        <v>301</v>
      </c>
      <c r="M3043" s="6" t="s">
        <v>12757</v>
      </c>
    </row>
    <row r="3044" spans="1:13" ht="13" x14ac:dyDescent="0.15">
      <c r="A3044" s="5" t="str">
        <f>HYPERLINK("https://onemount.atlassian.net/browse/DBA-1761","DBA-1761")</f>
        <v>DBA-1761</v>
      </c>
      <c r="B3044" s="6" t="s">
        <v>21</v>
      </c>
      <c r="C3044" s="6" t="s">
        <v>12758</v>
      </c>
      <c r="D3044" s="8" t="s">
        <v>17</v>
      </c>
      <c r="E3044" s="6" t="s">
        <v>23</v>
      </c>
      <c r="F3044" s="6" t="s">
        <v>96</v>
      </c>
      <c r="G3044" s="6" t="s">
        <v>12759</v>
      </c>
      <c r="H3044" s="10">
        <v>45835</v>
      </c>
      <c r="I3044" s="6" t="s">
        <v>12760</v>
      </c>
      <c r="J3044" s="6" t="s">
        <v>165</v>
      </c>
      <c r="K3044" s="6" t="s">
        <v>165</v>
      </c>
      <c r="L3044" s="6" t="s">
        <v>1006</v>
      </c>
      <c r="M3044" s="6" t="s">
        <v>12761</v>
      </c>
    </row>
    <row r="3045" spans="1:13" ht="13" x14ac:dyDescent="0.15">
      <c r="A3045" s="5" t="str">
        <f>HYPERLINK("https://onemount.atlassian.net/browse/DBA-1757","DBA-1757")</f>
        <v>DBA-1757</v>
      </c>
      <c r="B3045" s="6" t="s">
        <v>21</v>
      </c>
      <c r="C3045" s="6" t="s">
        <v>12762</v>
      </c>
      <c r="D3045" s="8" t="s">
        <v>17</v>
      </c>
      <c r="E3045" s="6" t="s">
        <v>23</v>
      </c>
      <c r="F3045" s="6" t="s">
        <v>96</v>
      </c>
      <c r="G3045" s="6" t="s">
        <v>12763</v>
      </c>
      <c r="H3045" s="10">
        <v>45834</v>
      </c>
      <c r="I3045" s="6" t="s">
        <v>12764</v>
      </c>
      <c r="J3045" s="6" t="s">
        <v>27</v>
      </c>
      <c r="K3045" s="6" t="s">
        <v>28</v>
      </c>
      <c r="L3045" s="6" t="s">
        <v>27</v>
      </c>
      <c r="M3045" s="6" t="s">
        <v>12765</v>
      </c>
    </row>
    <row r="3046" spans="1:13" ht="13" x14ac:dyDescent="0.15">
      <c r="A3046" s="5" t="str">
        <f>HYPERLINK("https://onemount.atlassian.net/browse/DBA-1756","DBA-1756")</f>
        <v>DBA-1756</v>
      </c>
      <c r="B3046" s="6" t="s">
        <v>21</v>
      </c>
      <c r="C3046" s="6" t="s">
        <v>8702</v>
      </c>
      <c r="D3046" s="8" t="s">
        <v>17</v>
      </c>
      <c r="E3046" s="6" t="s">
        <v>23</v>
      </c>
      <c r="F3046" s="6" t="s">
        <v>96</v>
      </c>
      <c r="G3046" s="6" t="s">
        <v>12766</v>
      </c>
      <c r="H3046" s="10">
        <v>45834</v>
      </c>
      <c r="I3046" s="6" t="s">
        <v>12767</v>
      </c>
      <c r="J3046" s="6" t="s">
        <v>6269</v>
      </c>
      <c r="K3046" s="6" t="s">
        <v>28</v>
      </c>
      <c r="L3046" s="6" t="s">
        <v>1000</v>
      </c>
      <c r="M3046" s="6" t="s">
        <v>12768</v>
      </c>
    </row>
    <row r="3047" spans="1:13" ht="13" x14ac:dyDescent="0.15">
      <c r="A3047" s="5" t="str">
        <f>HYPERLINK("https://onemount.atlassian.net/browse/DBA-1755","DBA-1755")</f>
        <v>DBA-1755</v>
      </c>
      <c r="B3047" s="6" t="s">
        <v>21</v>
      </c>
      <c r="C3047" s="6" t="s">
        <v>12769</v>
      </c>
      <c r="D3047" s="8" t="s">
        <v>17</v>
      </c>
      <c r="E3047" s="6" t="s">
        <v>23</v>
      </c>
      <c r="F3047" s="6" t="s">
        <v>96</v>
      </c>
      <c r="G3047" s="6" t="s">
        <v>12770</v>
      </c>
      <c r="H3047" s="10">
        <v>45834</v>
      </c>
      <c r="I3047" s="6" t="s">
        <v>12771</v>
      </c>
      <c r="J3047" s="6" t="s">
        <v>55</v>
      </c>
      <c r="K3047" s="6" t="s">
        <v>55</v>
      </c>
      <c r="L3047" s="6" t="s">
        <v>956</v>
      </c>
      <c r="M3047" s="6" t="s">
        <v>12772</v>
      </c>
    </row>
    <row r="3048" spans="1:13" ht="13" x14ac:dyDescent="0.15">
      <c r="A3048" s="5" t="str">
        <f>HYPERLINK("https://onemount.atlassian.net/browse/DBA-1754","DBA-1754")</f>
        <v>DBA-1754</v>
      </c>
      <c r="B3048" s="6" t="s">
        <v>21</v>
      </c>
      <c r="C3048" s="6" t="s">
        <v>12773</v>
      </c>
      <c r="D3048" s="8" t="s">
        <v>17</v>
      </c>
      <c r="E3048" s="6" t="s">
        <v>23</v>
      </c>
      <c r="F3048" s="6" t="s">
        <v>24</v>
      </c>
      <c r="G3048" s="6" t="s">
        <v>12774</v>
      </c>
      <c r="H3048" s="10">
        <v>45834</v>
      </c>
      <c r="I3048" s="6" t="s">
        <v>12775</v>
      </c>
      <c r="J3048" s="6" t="s">
        <v>55</v>
      </c>
      <c r="K3048" s="6" t="s">
        <v>55</v>
      </c>
      <c r="L3048" s="6" t="s">
        <v>328</v>
      </c>
      <c r="M3048" s="6" t="s">
        <v>12776</v>
      </c>
    </row>
    <row r="3049" spans="1:13" ht="13" x14ac:dyDescent="0.15">
      <c r="A3049" s="5" t="str">
        <f>HYPERLINK("https://onemount.atlassian.net/browse/DBA-1753","DBA-1753")</f>
        <v>DBA-1753</v>
      </c>
      <c r="B3049" s="6" t="s">
        <v>21</v>
      </c>
      <c r="C3049" s="6" t="s">
        <v>12777</v>
      </c>
      <c r="D3049" s="8" t="s">
        <v>17</v>
      </c>
      <c r="E3049" s="6" t="s">
        <v>23</v>
      </c>
      <c r="F3049" s="6" t="s">
        <v>96</v>
      </c>
      <c r="G3049" s="6" t="s">
        <v>12778</v>
      </c>
      <c r="H3049" s="10">
        <v>45833</v>
      </c>
      <c r="I3049" s="6" t="s">
        <v>12779</v>
      </c>
      <c r="J3049" s="6" t="s">
        <v>1066</v>
      </c>
      <c r="K3049" s="6" t="s">
        <v>165</v>
      </c>
      <c r="L3049" s="6" t="s">
        <v>1066</v>
      </c>
      <c r="M3049" s="6" t="s">
        <v>12780</v>
      </c>
    </row>
    <row r="3050" spans="1:13" ht="13" x14ac:dyDescent="0.15">
      <c r="A3050" s="5" t="str">
        <f>HYPERLINK("https://onemount.atlassian.net/browse/DBA-1752","DBA-1752")</f>
        <v>DBA-1752</v>
      </c>
      <c r="B3050" s="6" t="s">
        <v>21</v>
      </c>
      <c r="C3050" s="6" t="s">
        <v>12781</v>
      </c>
      <c r="D3050" s="8" t="s">
        <v>17</v>
      </c>
      <c r="E3050" s="6" t="s">
        <v>23</v>
      </c>
      <c r="F3050" s="6" t="s">
        <v>96</v>
      </c>
      <c r="G3050" s="6" t="s">
        <v>12782</v>
      </c>
      <c r="H3050" s="10">
        <v>45833</v>
      </c>
      <c r="I3050" s="6" t="s">
        <v>12783</v>
      </c>
      <c r="J3050" s="6" t="s">
        <v>8065</v>
      </c>
      <c r="K3050" s="6" t="s">
        <v>165</v>
      </c>
      <c r="L3050" s="6" t="s">
        <v>1084</v>
      </c>
      <c r="M3050" s="6" t="s">
        <v>12784</v>
      </c>
    </row>
    <row r="3051" spans="1:13" ht="13" x14ac:dyDescent="0.15">
      <c r="A3051" s="5" t="str">
        <f>HYPERLINK("https://onemount.atlassian.net/browse/DBA-1751","DBA-1751")</f>
        <v>DBA-1751</v>
      </c>
      <c r="B3051" s="6" t="s">
        <v>21</v>
      </c>
      <c r="C3051" s="6" t="s">
        <v>12785</v>
      </c>
      <c r="D3051" s="8" t="s">
        <v>17</v>
      </c>
      <c r="E3051" s="6" t="s">
        <v>23</v>
      </c>
      <c r="F3051" s="6" t="s">
        <v>31</v>
      </c>
      <c r="G3051" s="6" t="s">
        <v>12786</v>
      </c>
      <c r="H3051" s="10">
        <v>45833</v>
      </c>
      <c r="I3051" s="6" t="s">
        <v>12787</v>
      </c>
      <c r="J3051" s="6" t="s">
        <v>638</v>
      </c>
      <c r="K3051" s="6" t="s">
        <v>35</v>
      </c>
      <c r="L3051" s="6" t="s">
        <v>638</v>
      </c>
      <c r="M3051" s="6" t="s">
        <v>12788</v>
      </c>
    </row>
    <row r="3052" spans="1:13" ht="13" x14ac:dyDescent="0.15">
      <c r="A3052" s="5" t="str">
        <f>HYPERLINK("https://onemount.atlassian.net/browse/DBA-1750","DBA-1750")</f>
        <v>DBA-1750</v>
      </c>
      <c r="B3052" s="6" t="s">
        <v>21</v>
      </c>
      <c r="C3052" s="6" t="s">
        <v>2330</v>
      </c>
      <c r="D3052" s="8" t="s">
        <v>17</v>
      </c>
      <c r="E3052" s="6" t="s">
        <v>23</v>
      </c>
      <c r="F3052" s="6" t="s">
        <v>96</v>
      </c>
      <c r="G3052" s="6" t="s">
        <v>12789</v>
      </c>
      <c r="H3052" s="10">
        <v>45833</v>
      </c>
      <c r="I3052" s="6" t="s">
        <v>12790</v>
      </c>
      <c r="J3052" s="6" t="s">
        <v>55</v>
      </c>
      <c r="K3052" s="6" t="s">
        <v>55</v>
      </c>
      <c r="L3052" s="6" t="s">
        <v>956</v>
      </c>
      <c r="M3052" s="6" t="s">
        <v>12791</v>
      </c>
    </row>
    <row r="3053" spans="1:13" ht="13" x14ac:dyDescent="0.15">
      <c r="A3053" s="5" t="str">
        <f>HYPERLINK("https://onemount.atlassian.net/browse/DBA-1749","DBA-1749")</f>
        <v>DBA-1749</v>
      </c>
      <c r="B3053" s="6" t="s">
        <v>21</v>
      </c>
      <c r="C3053" s="6" t="s">
        <v>12792</v>
      </c>
      <c r="D3053" s="8" t="s">
        <v>17</v>
      </c>
      <c r="E3053" s="6" t="s">
        <v>23</v>
      </c>
      <c r="F3053" s="6" t="s">
        <v>96</v>
      </c>
      <c r="G3053" s="6" t="s">
        <v>12793</v>
      </c>
      <c r="H3053" s="10">
        <v>45833</v>
      </c>
      <c r="I3053" s="6" t="s">
        <v>12794</v>
      </c>
      <c r="J3053" s="6" t="s">
        <v>85</v>
      </c>
      <c r="K3053" s="6" t="s">
        <v>55</v>
      </c>
      <c r="L3053" s="6" t="s">
        <v>85</v>
      </c>
      <c r="M3053" s="6" t="s">
        <v>12795</v>
      </c>
    </row>
    <row r="3054" spans="1:13" ht="13" x14ac:dyDescent="0.15">
      <c r="A3054" s="5" t="str">
        <f>HYPERLINK("https://onemount.atlassian.net/browse/DBA-1748","DBA-1748")</f>
        <v>DBA-1748</v>
      </c>
      <c r="B3054" s="6" t="s">
        <v>21</v>
      </c>
      <c r="C3054" s="6" t="s">
        <v>12796</v>
      </c>
      <c r="D3054" s="8" t="s">
        <v>17</v>
      </c>
      <c r="E3054" s="6" t="s">
        <v>23</v>
      </c>
      <c r="F3054" s="6" t="s">
        <v>96</v>
      </c>
      <c r="G3054" s="6" t="s">
        <v>12797</v>
      </c>
      <c r="H3054" s="10">
        <v>45833</v>
      </c>
      <c r="I3054" s="6" t="s">
        <v>12798</v>
      </c>
      <c r="J3054" s="6" t="s">
        <v>85</v>
      </c>
      <c r="K3054" s="6" t="s">
        <v>55</v>
      </c>
      <c r="L3054" s="6" t="s">
        <v>85</v>
      </c>
      <c r="M3054" s="6" t="s">
        <v>12799</v>
      </c>
    </row>
    <row r="3055" spans="1:13" ht="13" x14ac:dyDescent="0.15">
      <c r="A3055" s="5" t="str">
        <f>HYPERLINK("https://onemount.atlassian.net/browse/DBA-1747","DBA-1747")</f>
        <v>DBA-1747</v>
      </c>
      <c r="B3055" s="6" t="s">
        <v>21</v>
      </c>
      <c r="C3055" s="6" t="s">
        <v>12800</v>
      </c>
      <c r="D3055" s="8" t="s">
        <v>17</v>
      </c>
      <c r="E3055" s="6" t="s">
        <v>23</v>
      </c>
      <c r="F3055" s="6" t="s">
        <v>96</v>
      </c>
      <c r="G3055" s="6" t="s">
        <v>12801</v>
      </c>
      <c r="H3055" s="10">
        <v>45833</v>
      </c>
      <c r="I3055" s="6" t="s">
        <v>12802</v>
      </c>
      <c r="J3055" s="6" t="s">
        <v>12803</v>
      </c>
      <c r="K3055" s="6" t="s">
        <v>165</v>
      </c>
      <c r="L3055" s="6" t="s">
        <v>1004</v>
      </c>
      <c r="M3055" s="6" t="s">
        <v>12804</v>
      </c>
    </row>
    <row r="3056" spans="1:13" ht="13" x14ac:dyDescent="0.15">
      <c r="A3056" s="5" t="str">
        <f>HYPERLINK("https://onemount.atlassian.net/browse/DBA-1746","DBA-1746")</f>
        <v>DBA-1746</v>
      </c>
      <c r="B3056" s="6" t="s">
        <v>21</v>
      </c>
      <c r="C3056" s="6" t="s">
        <v>12805</v>
      </c>
      <c r="D3056" s="8" t="s">
        <v>17</v>
      </c>
      <c r="E3056" s="6" t="s">
        <v>23</v>
      </c>
      <c r="F3056" s="6" t="s">
        <v>31</v>
      </c>
      <c r="G3056" s="6" t="s">
        <v>12806</v>
      </c>
      <c r="H3056" s="10">
        <v>45834</v>
      </c>
      <c r="I3056" s="6" t="s">
        <v>12807</v>
      </c>
      <c r="J3056" s="6" t="s">
        <v>55</v>
      </c>
      <c r="K3056" s="6" t="s">
        <v>55</v>
      </c>
      <c r="L3056" s="6" t="s">
        <v>55</v>
      </c>
      <c r="M3056" s="6" t="s">
        <v>12808</v>
      </c>
    </row>
    <row r="3057" spans="1:13" ht="13" x14ac:dyDescent="0.15">
      <c r="A3057" s="5" t="str">
        <f>HYPERLINK("https://onemount.atlassian.net/browse/DBA-1745","DBA-1745")</f>
        <v>DBA-1745</v>
      </c>
      <c r="B3057" s="6" t="s">
        <v>21</v>
      </c>
      <c r="C3057" s="6" t="s">
        <v>12809</v>
      </c>
      <c r="D3057" s="8" t="s">
        <v>17</v>
      </c>
      <c r="E3057" s="6" t="s">
        <v>23</v>
      </c>
      <c r="F3057" s="6" t="s">
        <v>96</v>
      </c>
      <c r="G3057" s="6" t="s">
        <v>12810</v>
      </c>
      <c r="H3057" s="10">
        <v>45833</v>
      </c>
      <c r="I3057" s="6" t="s">
        <v>12811</v>
      </c>
      <c r="J3057" s="6" t="s">
        <v>1091</v>
      </c>
      <c r="K3057" s="6" t="s">
        <v>165</v>
      </c>
      <c r="L3057" s="6" t="s">
        <v>1091</v>
      </c>
      <c r="M3057" s="6" t="s">
        <v>12812</v>
      </c>
    </row>
    <row r="3058" spans="1:13" ht="13" x14ac:dyDescent="0.15">
      <c r="A3058" s="21" t="str">
        <f>HYPERLINK("https://onemount.atlassian.net/browse/DBA-1744","DBA-1744")</f>
        <v>DBA-1744</v>
      </c>
      <c r="B3058" s="6" t="s">
        <v>21</v>
      </c>
      <c r="C3058" s="6" t="s">
        <v>12813</v>
      </c>
      <c r="D3058" s="8" t="s">
        <v>17</v>
      </c>
      <c r="E3058" s="6" t="s">
        <v>23</v>
      </c>
      <c r="F3058" s="6" t="s">
        <v>96</v>
      </c>
      <c r="G3058" s="6" t="s">
        <v>12814</v>
      </c>
      <c r="H3058" s="10">
        <v>45833</v>
      </c>
      <c r="I3058" s="6" t="s">
        <v>12815</v>
      </c>
      <c r="J3058" s="6" t="s">
        <v>1898</v>
      </c>
      <c r="K3058" s="6" t="s">
        <v>165</v>
      </c>
      <c r="L3058" s="6" t="s">
        <v>1097</v>
      </c>
      <c r="M3058" s="6" t="s">
        <v>12816</v>
      </c>
    </row>
    <row r="3059" spans="1:13" ht="13" x14ac:dyDescent="0.15">
      <c r="A3059" s="5" t="str">
        <f>HYPERLINK("https://onemount.atlassian.net/browse/DBA-1743","DBA-1743")</f>
        <v>DBA-1743</v>
      </c>
      <c r="B3059" s="6" t="s">
        <v>21</v>
      </c>
      <c r="C3059" s="6" t="s">
        <v>12817</v>
      </c>
      <c r="D3059" s="8" t="s">
        <v>17</v>
      </c>
      <c r="E3059" s="6" t="s">
        <v>23</v>
      </c>
      <c r="F3059" s="6" t="s">
        <v>24</v>
      </c>
      <c r="G3059" s="6" t="s">
        <v>12818</v>
      </c>
      <c r="H3059" s="10">
        <v>45834</v>
      </c>
      <c r="I3059" s="6" t="s">
        <v>12819</v>
      </c>
      <c r="J3059" s="6" t="s">
        <v>56</v>
      </c>
      <c r="K3059" s="6" t="s">
        <v>55</v>
      </c>
      <c r="L3059" s="6" t="s">
        <v>56</v>
      </c>
      <c r="M3059" s="6" t="s">
        <v>12820</v>
      </c>
    </row>
    <row r="3060" spans="1:13" ht="13" x14ac:dyDescent="0.15">
      <c r="A3060" s="21" t="str">
        <f>HYPERLINK("https://onemount.atlassian.net/browse/DBA-1742","DBA-1742")</f>
        <v>DBA-1742</v>
      </c>
      <c r="B3060" s="6" t="s">
        <v>21</v>
      </c>
      <c r="C3060" s="6" t="s">
        <v>12813</v>
      </c>
      <c r="D3060" s="8" t="s">
        <v>17</v>
      </c>
      <c r="E3060" s="6" t="s">
        <v>23</v>
      </c>
      <c r="F3060" s="6" t="s">
        <v>96</v>
      </c>
      <c r="G3060" s="6" t="s">
        <v>12821</v>
      </c>
      <c r="H3060" s="10">
        <v>45833</v>
      </c>
      <c r="I3060" s="6" t="s">
        <v>12822</v>
      </c>
      <c r="J3060" s="6" t="s">
        <v>1898</v>
      </c>
      <c r="K3060" s="6" t="s">
        <v>165</v>
      </c>
      <c r="L3060" s="6" t="s">
        <v>1097</v>
      </c>
      <c r="M3060" s="6" t="s">
        <v>12823</v>
      </c>
    </row>
    <row r="3061" spans="1:13" ht="13" x14ac:dyDescent="0.15">
      <c r="A3061" s="5" t="str">
        <f>HYPERLINK("https://onemount.atlassian.net/browse/DBA-1741","DBA-1741")</f>
        <v>DBA-1741</v>
      </c>
      <c r="B3061" s="6" t="s">
        <v>21</v>
      </c>
      <c r="C3061" s="6" t="s">
        <v>12824</v>
      </c>
      <c r="D3061" s="8" t="s">
        <v>17</v>
      </c>
      <c r="E3061" s="6" t="s">
        <v>23</v>
      </c>
      <c r="F3061" s="6" t="s">
        <v>31</v>
      </c>
      <c r="G3061" s="6" t="s">
        <v>12825</v>
      </c>
      <c r="H3061" s="10">
        <v>45833</v>
      </c>
      <c r="I3061" s="6" t="s">
        <v>12826</v>
      </c>
      <c r="J3061" s="6" t="s">
        <v>7042</v>
      </c>
      <c r="K3061" s="6" t="s">
        <v>35</v>
      </c>
      <c r="L3061" s="6" t="s">
        <v>1238</v>
      </c>
      <c r="M3061" s="6" t="s">
        <v>12827</v>
      </c>
    </row>
    <row r="3062" spans="1:13" ht="13" x14ac:dyDescent="0.15">
      <c r="A3062" s="5" t="str">
        <f>HYPERLINK("https://onemount.atlassian.net/browse/DBA-1740","DBA-1740")</f>
        <v>DBA-1740</v>
      </c>
      <c r="B3062" s="6" t="s">
        <v>21</v>
      </c>
      <c r="C3062" s="6" t="s">
        <v>12828</v>
      </c>
      <c r="D3062" s="8" t="s">
        <v>17</v>
      </c>
      <c r="E3062" s="6" t="s">
        <v>23</v>
      </c>
      <c r="F3062" s="6" t="s">
        <v>96</v>
      </c>
      <c r="G3062" s="6" t="s">
        <v>12829</v>
      </c>
      <c r="H3062" s="10">
        <v>45832</v>
      </c>
      <c r="I3062" s="6" t="s">
        <v>12830</v>
      </c>
      <c r="J3062" s="6" t="s">
        <v>12532</v>
      </c>
      <c r="K3062" s="6" t="s">
        <v>55</v>
      </c>
      <c r="L3062" s="6" t="s">
        <v>85</v>
      </c>
      <c r="M3062" s="6" t="s">
        <v>12831</v>
      </c>
    </row>
    <row r="3063" spans="1:13" ht="13" x14ac:dyDescent="0.15">
      <c r="A3063" s="5" t="str">
        <f>HYPERLINK("https://onemount.atlassian.net/browse/DBA-1739","DBA-1739")</f>
        <v>DBA-1739</v>
      </c>
      <c r="B3063" s="6" t="s">
        <v>21</v>
      </c>
      <c r="C3063" s="6" t="s">
        <v>12832</v>
      </c>
      <c r="D3063" s="8" t="s">
        <v>17</v>
      </c>
      <c r="E3063" s="6" t="s">
        <v>23</v>
      </c>
      <c r="F3063" s="6" t="s">
        <v>96</v>
      </c>
      <c r="G3063" s="6" t="s">
        <v>12833</v>
      </c>
      <c r="H3063" s="10">
        <v>45836</v>
      </c>
      <c r="I3063" s="6" t="s">
        <v>12834</v>
      </c>
      <c r="J3063" s="6" t="s">
        <v>715</v>
      </c>
      <c r="K3063" s="6" t="s">
        <v>55</v>
      </c>
      <c r="L3063" s="6" t="s">
        <v>715</v>
      </c>
      <c r="M3063" s="6" t="s">
        <v>12835</v>
      </c>
    </row>
    <row r="3064" spans="1:13" ht="13" x14ac:dyDescent="0.15">
      <c r="A3064" s="5" t="str">
        <f>HYPERLINK("https://onemount.atlassian.net/browse/DBA-1738","DBA-1738")</f>
        <v>DBA-1738</v>
      </c>
      <c r="B3064" s="6" t="s">
        <v>21</v>
      </c>
      <c r="C3064" s="6" t="s">
        <v>12836</v>
      </c>
      <c r="D3064" s="8" t="s">
        <v>17</v>
      </c>
      <c r="E3064" s="6" t="s">
        <v>23</v>
      </c>
      <c r="F3064" s="6" t="s">
        <v>31</v>
      </c>
      <c r="G3064" s="6" t="s">
        <v>12837</v>
      </c>
      <c r="H3064" s="10">
        <v>45833</v>
      </c>
      <c r="I3064" s="6" t="s">
        <v>12838</v>
      </c>
      <c r="J3064" s="6" t="s">
        <v>9787</v>
      </c>
      <c r="K3064" s="6" t="s">
        <v>55</v>
      </c>
      <c r="L3064" s="6" t="s">
        <v>425</v>
      </c>
      <c r="M3064" s="6" t="s">
        <v>12839</v>
      </c>
    </row>
    <row r="3065" spans="1:13" ht="13" x14ac:dyDescent="0.15">
      <c r="A3065" s="5" t="str">
        <f>HYPERLINK("https://onemount.atlassian.net/browse/DBA-1735","DBA-1735")</f>
        <v>DBA-1735</v>
      </c>
      <c r="B3065" s="6" t="s">
        <v>21</v>
      </c>
      <c r="C3065" s="6" t="s">
        <v>12840</v>
      </c>
      <c r="D3065" s="8" t="s">
        <v>17</v>
      </c>
      <c r="E3065" s="6" t="s">
        <v>23</v>
      </c>
      <c r="F3065" s="6" t="s">
        <v>31</v>
      </c>
      <c r="G3065" s="6" t="s">
        <v>12841</v>
      </c>
      <c r="H3065" s="10">
        <v>45833</v>
      </c>
      <c r="I3065" s="6" t="s">
        <v>12842</v>
      </c>
      <c r="J3065" s="6" t="s">
        <v>49</v>
      </c>
      <c r="K3065" s="6" t="s">
        <v>35</v>
      </c>
      <c r="L3065" s="6" t="s">
        <v>981</v>
      </c>
      <c r="M3065" s="6" t="s">
        <v>12843</v>
      </c>
    </row>
    <row r="3066" spans="1:13" ht="13" x14ac:dyDescent="0.15">
      <c r="A3066" s="5" t="str">
        <f>HYPERLINK("https://onemount.atlassian.net/browse/DBA-1734","DBA-1734")</f>
        <v>DBA-1734</v>
      </c>
      <c r="B3066" s="6" t="s">
        <v>21</v>
      </c>
      <c r="C3066" s="6" t="s">
        <v>10854</v>
      </c>
      <c r="D3066" s="8" t="s">
        <v>17</v>
      </c>
      <c r="E3066" s="6" t="s">
        <v>23</v>
      </c>
      <c r="F3066" s="6" t="s">
        <v>96</v>
      </c>
      <c r="G3066" s="6" t="s">
        <v>12844</v>
      </c>
      <c r="H3066" s="10">
        <v>45833</v>
      </c>
      <c r="I3066" s="6" t="s">
        <v>12845</v>
      </c>
      <c r="J3066" s="6" t="s">
        <v>6269</v>
      </c>
      <c r="K3066" s="6" t="s">
        <v>28</v>
      </c>
      <c r="L3066" s="6" t="s">
        <v>1000</v>
      </c>
      <c r="M3066" s="6" t="s">
        <v>12846</v>
      </c>
    </row>
    <row r="3067" spans="1:13" ht="13" x14ac:dyDescent="0.15">
      <c r="A3067" s="5" t="str">
        <f>HYPERLINK("https://onemount.atlassian.net/browse/DBA-1733","DBA-1733")</f>
        <v>DBA-1733</v>
      </c>
      <c r="B3067" s="6" t="s">
        <v>21</v>
      </c>
      <c r="C3067" s="6" t="s">
        <v>12847</v>
      </c>
      <c r="D3067" s="8" t="s">
        <v>17</v>
      </c>
      <c r="E3067" s="6" t="s">
        <v>23</v>
      </c>
      <c r="F3067" s="6" t="s">
        <v>96</v>
      </c>
      <c r="G3067" s="6" t="s">
        <v>12848</v>
      </c>
      <c r="H3067" s="10">
        <v>45831</v>
      </c>
      <c r="I3067" s="6" t="s">
        <v>12849</v>
      </c>
      <c r="J3067" s="6" t="s">
        <v>12850</v>
      </c>
      <c r="K3067" s="6" t="s">
        <v>28</v>
      </c>
      <c r="L3067" s="6" t="s">
        <v>1127</v>
      </c>
      <c r="M3067" s="6" t="s">
        <v>12851</v>
      </c>
    </row>
    <row r="3068" spans="1:13" ht="13" x14ac:dyDescent="0.15">
      <c r="A3068" s="5" t="str">
        <f>HYPERLINK("https://onemount.atlassian.net/browse/DBA-1732","DBA-1732")</f>
        <v>DBA-1732</v>
      </c>
      <c r="B3068" s="6" t="s">
        <v>21</v>
      </c>
      <c r="C3068" s="6" t="s">
        <v>12852</v>
      </c>
      <c r="D3068" s="8" t="s">
        <v>17</v>
      </c>
      <c r="E3068" s="6" t="s">
        <v>23</v>
      </c>
      <c r="F3068" s="6" t="s">
        <v>96</v>
      </c>
      <c r="G3068" s="6" t="s">
        <v>12853</v>
      </c>
      <c r="H3068" s="10">
        <v>45831</v>
      </c>
      <c r="I3068" s="6" t="s">
        <v>12854</v>
      </c>
      <c r="J3068" s="6" t="s">
        <v>2453</v>
      </c>
      <c r="K3068" s="6" t="s">
        <v>165</v>
      </c>
      <c r="L3068" s="6" t="s">
        <v>119</v>
      </c>
      <c r="M3068" s="6" t="s">
        <v>12855</v>
      </c>
    </row>
    <row r="3069" spans="1:13" ht="13" x14ac:dyDescent="0.15">
      <c r="A3069" s="5" t="str">
        <f>HYPERLINK("https://onemount.atlassian.net/browse/DBA-1730","DBA-1730")</f>
        <v>DBA-1730</v>
      </c>
      <c r="B3069" s="6" t="s">
        <v>21</v>
      </c>
      <c r="C3069" s="6" t="s">
        <v>12279</v>
      </c>
      <c r="D3069" s="8" t="s">
        <v>17</v>
      </c>
      <c r="E3069" s="6" t="s">
        <v>23</v>
      </c>
      <c r="F3069" s="6" t="s">
        <v>96</v>
      </c>
      <c r="G3069" s="6" t="s">
        <v>12856</v>
      </c>
      <c r="H3069" s="10">
        <v>45831</v>
      </c>
      <c r="I3069" s="6" t="s">
        <v>12857</v>
      </c>
      <c r="J3069" s="6" t="s">
        <v>254</v>
      </c>
      <c r="K3069" s="6" t="s">
        <v>55</v>
      </c>
      <c r="L3069" s="6" t="s">
        <v>254</v>
      </c>
      <c r="M3069" s="6" t="s">
        <v>12858</v>
      </c>
    </row>
    <row r="3070" spans="1:13" ht="13" x14ac:dyDescent="0.15">
      <c r="A3070" s="5" t="str">
        <f>HYPERLINK("https://onemount.atlassian.net/browse/DBA-1729","DBA-1729")</f>
        <v>DBA-1729</v>
      </c>
      <c r="B3070" s="6" t="s">
        <v>21</v>
      </c>
      <c r="C3070" s="6" t="s">
        <v>12859</v>
      </c>
      <c r="D3070" s="8" t="s">
        <v>17</v>
      </c>
      <c r="E3070" s="6" t="s">
        <v>23</v>
      </c>
      <c r="F3070" s="6" t="s">
        <v>24</v>
      </c>
      <c r="G3070" s="6" t="s">
        <v>12860</v>
      </c>
      <c r="H3070" s="10">
        <v>45832</v>
      </c>
      <c r="I3070" s="6" t="s">
        <v>12861</v>
      </c>
      <c r="J3070" s="6" t="s">
        <v>3940</v>
      </c>
      <c r="K3070" s="6" t="s">
        <v>46</v>
      </c>
      <c r="L3070" s="6" t="s">
        <v>160</v>
      </c>
      <c r="M3070" s="6" t="s">
        <v>12862</v>
      </c>
    </row>
    <row r="3071" spans="1:13" ht="13" x14ac:dyDescent="0.15">
      <c r="A3071" s="5" t="str">
        <f>HYPERLINK("https://onemount.atlassian.net/browse/DBA-1727","DBA-1727")</f>
        <v>DBA-1727</v>
      </c>
      <c r="B3071" s="6" t="s">
        <v>21</v>
      </c>
      <c r="C3071" s="6" t="s">
        <v>12863</v>
      </c>
      <c r="D3071" s="8" t="s">
        <v>17</v>
      </c>
      <c r="E3071" s="6" t="s">
        <v>23</v>
      </c>
      <c r="F3071" s="6" t="s">
        <v>24</v>
      </c>
      <c r="G3071" s="6" t="s">
        <v>12864</v>
      </c>
      <c r="H3071" s="10">
        <v>45832</v>
      </c>
      <c r="I3071" s="6" t="s">
        <v>12865</v>
      </c>
      <c r="J3071" s="6" t="s">
        <v>55</v>
      </c>
      <c r="K3071" s="6" t="s">
        <v>55</v>
      </c>
      <c r="L3071" s="6" t="s">
        <v>254</v>
      </c>
      <c r="M3071" s="6" t="s">
        <v>12866</v>
      </c>
    </row>
    <row r="3072" spans="1:13" ht="13" x14ac:dyDescent="0.15">
      <c r="A3072" s="5" t="str">
        <f>HYPERLINK("https://onemount.atlassian.net/browse/DBA-1726","DBA-1726")</f>
        <v>DBA-1726</v>
      </c>
      <c r="B3072" s="6" t="s">
        <v>21</v>
      </c>
      <c r="C3072" s="6" t="s">
        <v>12867</v>
      </c>
      <c r="D3072" s="8" t="s">
        <v>17</v>
      </c>
      <c r="E3072" s="6" t="s">
        <v>23</v>
      </c>
      <c r="F3072" s="6" t="s">
        <v>31</v>
      </c>
      <c r="G3072" s="6" t="s">
        <v>12868</v>
      </c>
      <c r="H3072" s="10">
        <v>45832</v>
      </c>
      <c r="I3072" s="6" t="s">
        <v>12869</v>
      </c>
      <c r="J3072" s="6" t="s">
        <v>374</v>
      </c>
      <c r="K3072" s="6" t="s">
        <v>35</v>
      </c>
      <c r="L3072" s="6" t="s">
        <v>374</v>
      </c>
      <c r="M3072" s="6" t="s">
        <v>12870</v>
      </c>
    </row>
    <row r="3073" spans="1:13" ht="13" x14ac:dyDescent="0.15">
      <c r="A3073" s="5" t="str">
        <f>HYPERLINK("https://onemount.atlassian.net/browse/DBA-1725","DBA-1725")</f>
        <v>DBA-1725</v>
      </c>
      <c r="B3073" s="6" t="s">
        <v>21</v>
      </c>
      <c r="C3073" s="6" t="s">
        <v>12871</v>
      </c>
      <c r="D3073" s="8" t="s">
        <v>17</v>
      </c>
      <c r="E3073" s="6" t="s">
        <v>23</v>
      </c>
      <c r="F3073" s="6" t="s">
        <v>96</v>
      </c>
      <c r="G3073" s="6" t="s">
        <v>12872</v>
      </c>
      <c r="H3073" s="10">
        <v>45836</v>
      </c>
      <c r="I3073" s="6" t="s">
        <v>12873</v>
      </c>
      <c r="J3073" s="6" t="s">
        <v>1091</v>
      </c>
      <c r="K3073" s="6" t="s">
        <v>165</v>
      </c>
      <c r="L3073" s="6" t="s">
        <v>1091</v>
      </c>
      <c r="M3073" s="6" t="s">
        <v>12874</v>
      </c>
    </row>
    <row r="3074" spans="1:13" ht="13" x14ac:dyDescent="0.15">
      <c r="A3074" s="5" t="str">
        <f>HYPERLINK("https://onemount.atlassian.net/browse/DBA-1724","DBA-1724")</f>
        <v>DBA-1724</v>
      </c>
      <c r="B3074" s="6" t="s">
        <v>21</v>
      </c>
      <c r="C3074" s="6" t="s">
        <v>12875</v>
      </c>
      <c r="D3074" s="8" t="s">
        <v>17</v>
      </c>
      <c r="E3074" s="6" t="s">
        <v>23</v>
      </c>
      <c r="F3074" s="6" t="s">
        <v>96</v>
      </c>
      <c r="G3074" s="6" t="s">
        <v>12876</v>
      </c>
      <c r="H3074" s="10">
        <v>45831</v>
      </c>
      <c r="I3074" s="6" t="s">
        <v>12877</v>
      </c>
      <c r="J3074" s="6" t="s">
        <v>8773</v>
      </c>
      <c r="K3074" s="6" t="s">
        <v>165</v>
      </c>
      <c r="L3074" s="6" t="s">
        <v>1076</v>
      </c>
      <c r="M3074" s="6" t="s">
        <v>12878</v>
      </c>
    </row>
    <row r="3075" spans="1:13" ht="13" x14ac:dyDescent="0.15">
      <c r="A3075" s="5" t="str">
        <f>HYPERLINK("https://onemount.atlassian.net/browse/DBA-1723","DBA-1723")</f>
        <v>DBA-1723</v>
      </c>
      <c r="B3075" s="6" t="s">
        <v>21</v>
      </c>
      <c r="C3075" s="6" t="s">
        <v>12879</v>
      </c>
      <c r="D3075" s="8" t="s">
        <v>17</v>
      </c>
      <c r="E3075" s="6" t="s">
        <v>23</v>
      </c>
      <c r="F3075" s="6" t="s">
        <v>24</v>
      </c>
      <c r="G3075" s="6" t="s">
        <v>12880</v>
      </c>
      <c r="H3075" s="10">
        <v>45832</v>
      </c>
      <c r="I3075" s="6" t="s">
        <v>12881</v>
      </c>
      <c r="J3075" s="6" t="s">
        <v>55</v>
      </c>
      <c r="K3075" s="6" t="s">
        <v>55</v>
      </c>
      <c r="L3075" s="6" t="s">
        <v>56</v>
      </c>
      <c r="M3075" s="6" t="s">
        <v>12882</v>
      </c>
    </row>
    <row r="3076" spans="1:13" ht="13" x14ac:dyDescent="0.15">
      <c r="A3076" s="5" t="str">
        <f>HYPERLINK("https://onemount.atlassian.net/browse/DBA-1722","DBA-1722")</f>
        <v>DBA-1722</v>
      </c>
      <c r="B3076" s="6" t="s">
        <v>21</v>
      </c>
      <c r="C3076" s="6" t="s">
        <v>12883</v>
      </c>
      <c r="D3076" s="8" t="s">
        <v>17</v>
      </c>
      <c r="E3076" s="6" t="s">
        <v>23</v>
      </c>
      <c r="F3076" s="6" t="s">
        <v>24</v>
      </c>
      <c r="G3076" s="6" t="s">
        <v>12884</v>
      </c>
      <c r="H3076" s="10">
        <v>45831</v>
      </c>
      <c r="I3076" s="6" t="s">
        <v>12885</v>
      </c>
      <c r="J3076" s="6" t="s">
        <v>85</v>
      </c>
      <c r="K3076" s="6" t="s">
        <v>55</v>
      </c>
      <c r="L3076" s="6" t="s">
        <v>270</v>
      </c>
      <c r="M3076" s="6" t="s">
        <v>12886</v>
      </c>
    </row>
    <row r="3077" spans="1:13" ht="13" x14ac:dyDescent="0.15">
      <c r="A3077" s="5" t="str">
        <f>HYPERLINK("https://onemount.atlassian.net/browse/DBA-1717","DBA-1717")</f>
        <v>DBA-1717</v>
      </c>
      <c r="B3077" s="6" t="s">
        <v>21</v>
      </c>
      <c r="C3077" s="6" t="s">
        <v>12887</v>
      </c>
      <c r="D3077" s="8" t="s">
        <v>17</v>
      </c>
      <c r="E3077" s="6" t="s">
        <v>23</v>
      </c>
      <c r="F3077" s="6" t="s">
        <v>96</v>
      </c>
      <c r="G3077" s="6" t="s">
        <v>12888</v>
      </c>
      <c r="H3077" s="10">
        <v>45829</v>
      </c>
      <c r="I3077" s="6" t="s">
        <v>12889</v>
      </c>
      <c r="J3077" s="6" t="s">
        <v>254</v>
      </c>
      <c r="K3077" s="6" t="s">
        <v>55</v>
      </c>
      <c r="L3077" s="6" t="s">
        <v>254</v>
      </c>
      <c r="M3077" s="6" t="s">
        <v>12890</v>
      </c>
    </row>
    <row r="3078" spans="1:13" ht="13" x14ac:dyDescent="0.15">
      <c r="A3078" s="5" t="str">
        <f>HYPERLINK("https://onemount.atlassian.net/browse/DBA-1716","DBA-1716")</f>
        <v>DBA-1716</v>
      </c>
      <c r="B3078" s="6" t="s">
        <v>21</v>
      </c>
      <c r="C3078" s="6" t="s">
        <v>12879</v>
      </c>
      <c r="D3078" s="8" t="s">
        <v>17</v>
      </c>
      <c r="E3078" s="6" t="s">
        <v>23</v>
      </c>
      <c r="F3078" s="6" t="s">
        <v>24</v>
      </c>
      <c r="G3078" s="6" t="s">
        <v>12891</v>
      </c>
      <c r="H3078" s="10">
        <v>45829</v>
      </c>
      <c r="I3078" s="6" t="s">
        <v>12892</v>
      </c>
      <c r="J3078" s="6" t="s">
        <v>55</v>
      </c>
      <c r="K3078" s="6" t="s">
        <v>55</v>
      </c>
      <c r="L3078" s="6" t="s">
        <v>56</v>
      </c>
      <c r="M3078" s="6" t="s">
        <v>12893</v>
      </c>
    </row>
    <row r="3079" spans="1:13" ht="13" x14ac:dyDescent="0.15">
      <c r="A3079" s="5" t="str">
        <f>HYPERLINK("https://onemount.atlassian.net/browse/DBA-1714","DBA-1714")</f>
        <v>DBA-1714</v>
      </c>
      <c r="B3079" s="6" t="s">
        <v>21</v>
      </c>
      <c r="C3079" s="6" t="s">
        <v>12894</v>
      </c>
      <c r="D3079" s="8" t="s">
        <v>17</v>
      </c>
      <c r="E3079" s="6" t="s">
        <v>23</v>
      </c>
      <c r="F3079" s="6" t="s">
        <v>31</v>
      </c>
      <c r="G3079" s="6" t="s">
        <v>12895</v>
      </c>
      <c r="H3079" s="10">
        <v>45829</v>
      </c>
      <c r="I3079" s="6" t="s">
        <v>12896</v>
      </c>
      <c r="J3079" s="6" t="s">
        <v>55</v>
      </c>
      <c r="K3079" s="6" t="s">
        <v>55</v>
      </c>
      <c r="L3079" s="6" t="s">
        <v>55</v>
      </c>
      <c r="M3079" s="6" t="s">
        <v>12897</v>
      </c>
    </row>
    <row r="3080" spans="1:13" ht="13" x14ac:dyDescent="0.15">
      <c r="A3080" s="5" t="str">
        <f>HYPERLINK("https://onemount.atlassian.net/browse/DBA-1713","DBA-1713")</f>
        <v>DBA-1713</v>
      </c>
      <c r="B3080" s="6" t="s">
        <v>21</v>
      </c>
      <c r="C3080" s="6" t="s">
        <v>12898</v>
      </c>
      <c r="D3080" s="8" t="s">
        <v>17</v>
      </c>
      <c r="E3080" s="6" t="s">
        <v>23</v>
      </c>
      <c r="F3080" s="6" t="s">
        <v>96</v>
      </c>
      <c r="G3080" s="6" t="s">
        <v>12899</v>
      </c>
      <c r="H3080" s="10">
        <v>45941</v>
      </c>
      <c r="I3080" s="6" t="s">
        <v>12900</v>
      </c>
      <c r="J3080" s="6" t="s">
        <v>165</v>
      </c>
      <c r="K3080" s="6" t="s">
        <v>165</v>
      </c>
      <c r="L3080" s="6" t="s">
        <v>600</v>
      </c>
      <c r="M3080" s="6" t="s">
        <v>12901</v>
      </c>
    </row>
    <row r="3081" spans="1:13" ht="13" x14ac:dyDescent="0.15">
      <c r="A3081" s="5" t="str">
        <f>HYPERLINK("https://onemount.atlassian.net/browse/DBA-1712","DBA-1712")</f>
        <v>DBA-1712</v>
      </c>
      <c r="B3081" s="6" t="s">
        <v>21</v>
      </c>
      <c r="C3081" s="6" t="s">
        <v>12158</v>
      </c>
      <c r="D3081" s="8" t="s">
        <v>17</v>
      </c>
      <c r="E3081" s="6" t="s">
        <v>23</v>
      </c>
      <c r="F3081" s="6" t="s">
        <v>31</v>
      </c>
      <c r="G3081" s="6" t="s">
        <v>12902</v>
      </c>
      <c r="H3081" s="10">
        <v>45828</v>
      </c>
      <c r="I3081" s="6" t="s">
        <v>12903</v>
      </c>
      <c r="J3081" s="6" t="s">
        <v>12023</v>
      </c>
      <c r="K3081" s="6" t="s">
        <v>35</v>
      </c>
      <c r="L3081" s="6" t="s">
        <v>276</v>
      </c>
      <c r="M3081" s="6" t="s">
        <v>12904</v>
      </c>
    </row>
    <row r="3082" spans="1:13" ht="13" x14ac:dyDescent="0.15">
      <c r="A3082" s="5" t="str">
        <f>HYPERLINK("https://onemount.atlassian.net/browse/DBA-1711","DBA-1711")</f>
        <v>DBA-1711</v>
      </c>
      <c r="B3082" s="6" t="s">
        <v>21</v>
      </c>
      <c r="C3082" s="6" t="s">
        <v>12905</v>
      </c>
      <c r="D3082" s="8" t="s">
        <v>17</v>
      </c>
      <c r="E3082" s="6" t="s">
        <v>23</v>
      </c>
      <c r="F3082" s="6" t="s">
        <v>31</v>
      </c>
      <c r="G3082" s="6" t="s">
        <v>12906</v>
      </c>
      <c r="H3082" s="10">
        <v>45829</v>
      </c>
      <c r="I3082" s="6" t="s">
        <v>12907</v>
      </c>
      <c r="J3082" s="6" t="s">
        <v>71</v>
      </c>
      <c r="K3082" s="6" t="s">
        <v>35</v>
      </c>
      <c r="L3082" s="6" t="s">
        <v>71</v>
      </c>
      <c r="M3082" s="6" t="s">
        <v>12908</v>
      </c>
    </row>
    <row r="3083" spans="1:13" ht="13" x14ac:dyDescent="0.15">
      <c r="A3083" s="5" t="str">
        <f>HYPERLINK("https://onemount.atlassian.net/browse/DBA-1710","DBA-1710")</f>
        <v>DBA-1710</v>
      </c>
      <c r="B3083" s="6" t="s">
        <v>21</v>
      </c>
      <c r="C3083" s="6" t="s">
        <v>12785</v>
      </c>
      <c r="D3083" s="8" t="s">
        <v>17</v>
      </c>
      <c r="E3083" s="6" t="s">
        <v>23</v>
      </c>
      <c r="F3083" s="6" t="s">
        <v>31</v>
      </c>
      <c r="G3083" s="6" t="s">
        <v>12909</v>
      </c>
      <c r="H3083" s="10">
        <v>45828</v>
      </c>
      <c r="I3083" s="6" t="s">
        <v>12910</v>
      </c>
      <c r="J3083" s="6" t="s">
        <v>34</v>
      </c>
      <c r="K3083" s="6" t="s">
        <v>35</v>
      </c>
      <c r="L3083" s="6" t="s">
        <v>36</v>
      </c>
      <c r="M3083" s="6" t="s">
        <v>12911</v>
      </c>
    </row>
    <row r="3084" spans="1:13" ht="13" x14ac:dyDescent="0.15">
      <c r="A3084" s="5" t="str">
        <f>HYPERLINK("https://onemount.atlassian.net/browse/DBA-1707","DBA-1707")</f>
        <v>DBA-1707</v>
      </c>
      <c r="B3084" s="6" t="s">
        <v>21</v>
      </c>
      <c r="C3084" s="6" t="s">
        <v>12279</v>
      </c>
      <c r="D3084" s="8" t="s">
        <v>17</v>
      </c>
      <c r="E3084" s="6" t="s">
        <v>23</v>
      </c>
      <c r="F3084" s="6" t="s">
        <v>31</v>
      </c>
      <c r="G3084" s="6" t="s">
        <v>12912</v>
      </c>
      <c r="H3084" s="10">
        <v>45832</v>
      </c>
      <c r="I3084" s="6" t="s">
        <v>12913</v>
      </c>
      <c r="J3084" s="6" t="s">
        <v>254</v>
      </c>
      <c r="K3084" s="6" t="s">
        <v>55</v>
      </c>
      <c r="L3084" s="6" t="s">
        <v>254</v>
      </c>
      <c r="M3084" s="6" t="s">
        <v>12914</v>
      </c>
    </row>
    <row r="3085" spans="1:13" ht="13" x14ac:dyDescent="0.15">
      <c r="A3085" s="5" t="str">
        <f>HYPERLINK("https://onemount.atlassian.net/browse/DBA-1706","DBA-1706")</f>
        <v>DBA-1706</v>
      </c>
      <c r="B3085" s="6" t="s">
        <v>21</v>
      </c>
      <c r="C3085" s="6" t="s">
        <v>12915</v>
      </c>
      <c r="D3085" s="8" t="s">
        <v>17</v>
      </c>
      <c r="E3085" s="6" t="s">
        <v>23</v>
      </c>
      <c r="F3085" s="6" t="s">
        <v>31</v>
      </c>
      <c r="G3085" s="6" t="s">
        <v>12916</v>
      </c>
      <c r="H3085" s="10">
        <v>45828</v>
      </c>
      <c r="I3085" s="6" t="s">
        <v>12917</v>
      </c>
      <c r="J3085" s="6" t="s">
        <v>276</v>
      </c>
      <c r="K3085" s="6" t="s">
        <v>35</v>
      </c>
      <c r="L3085" s="6" t="s">
        <v>276</v>
      </c>
      <c r="M3085" s="6" t="s">
        <v>12918</v>
      </c>
    </row>
    <row r="3086" spans="1:13" ht="13" x14ac:dyDescent="0.15">
      <c r="A3086" s="5" t="str">
        <f>HYPERLINK("https://onemount.atlassian.net/browse/DBA-1704","DBA-1704")</f>
        <v>DBA-1704</v>
      </c>
      <c r="B3086" s="6" t="s">
        <v>21</v>
      </c>
      <c r="C3086" s="6" t="s">
        <v>12919</v>
      </c>
      <c r="D3086" s="8" t="s">
        <v>17</v>
      </c>
      <c r="E3086" s="6" t="s">
        <v>23</v>
      </c>
      <c r="F3086" s="6" t="s">
        <v>24</v>
      </c>
      <c r="G3086" s="6" t="s">
        <v>12920</v>
      </c>
      <c r="H3086" s="10">
        <v>45828</v>
      </c>
      <c r="I3086" s="6" t="s">
        <v>12921</v>
      </c>
      <c r="J3086" s="6" t="s">
        <v>12922</v>
      </c>
      <c r="K3086" s="6" t="s">
        <v>55</v>
      </c>
      <c r="L3086" s="6" t="s">
        <v>254</v>
      </c>
      <c r="M3086" s="6" t="s">
        <v>12923</v>
      </c>
    </row>
    <row r="3087" spans="1:13" ht="13" x14ac:dyDescent="0.15">
      <c r="A3087" s="5" t="str">
        <f>HYPERLINK("https://onemount.atlassian.net/browse/DBA-1703","DBA-1703")</f>
        <v>DBA-1703</v>
      </c>
      <c r="B3087" s="6" t="s">
        <v>21</v>
      </c>
      <c r="C3087" s="6" t="s">
        <v>2330</v>
      </c>
      <c r="D3087" s="8" t="s">
        <v>17</v>
      </c>
      <c r="E3087" s="6" t="s">
        <v>23</v>
      </c>
      <c r="F3087" s="6" t="s">
        <v>96</v>
      </c>
      <c r="G3087" s="6" t="s">
        <v>12924</v>
      </c>
      <c r="H3087" s="10">
        <v>45827</v>
      </c>
      <c r="I3087" s="6" t="s">
        <v>12925</v>
      </c>
      <c r="J3087" s="6" t="s">
        <v>353</v>
      </c>
      <c r="K3087" s="6" t="s">
        <v>55</v>
      </c>
      <c r="L3087" s="6" t="s">
        <v>956</v>
      </c>
      <c r="M3087" s="6" t="s">
        <v>12926</v>
      </c>
    </row>
    <row r="3088" spans="1:13" ht="13" x14ac:dyDescent="0.15">
      <c r="A3088" s="5" t="str">
        <f>HYPERLINK("https://onemount.atlassian.net/browse/DBA-1702","DBA-1702")</f>
        <v>DBA-1702</v>
      </c>
      <c r="B3088" s="6" t="s">
        <v>21</v>
      </c>
      <c r="C3088" s="6" t="s">
        <v>12927</v>
      </c>
      <c r="D3088" s="8" t="s">
        <v>17</v>
      </c>
      <c r="E3088" s="6" t="s">
        <v>23</v>
      </c>
      <c r="F3088" s="6" t="s">
        <v>24</v>
      </c>
      <c r="G3088" s="6" t="s">
        <v>12928</v>
      </c>
      <c r="H3088" s="10">
        <v>45828</v>
      </c>
      <c r="I3088" s="6" t="s">
        <v>12929</v>
      </c>
      <c r="J3088" s="6" t="s">
        <v>55</v>
      </c>
      <c r="K3088" s="6" t="s">
        <v>55</v>
      </c>
      <c r="L3088" s="6" t="s">
        <v>56</v>
      </c>
      <c r="M3088" s="6" t="s">
        <v>12930</v>
      </c>
    </row>
    <row r="3089" spans="1:13" ht="13" x14ac:dyDescent="0.15">
      <c r="A3089" s="5" t="str">
        <f>HYPERLINK("https://onemount.atlassian.net/browse/DBA-1701","DBA-1701")</f>
        <v>DBA-1701</v>
      </c>
      <c r="B3089" s="6" t="s">
        <v>21</v>
      </c>
      <c r="C3089" s="6" t="s">
        <v>12931</v>
      </c>
      <c r="D3089" s="8" t="s">
        <v>17</v>
      </c>
      <c r="E3089" s="6" t="s">
        <v>23</v>
      </c>
      <c r="F3089" s="6" t="s">
        <v>96</v>
      </c>
      <c r="G3089" s="6" t="s">
        <v>12932</v>
      </c>
      <c r="H3089" s="10">
        <v>45827</v>
      </c>
      <c r="I3089" s="6" t="s">
        <v>12933</v>
      </c>
      <c r="J3089" s="6" t="s">
        <v>891</v>
      </c>
      <c r="K3089" s="6" t="s">
        <v>55</v>
      </c>
      <c r="L3089" s="6" t="s">
        <v>254</v>
      </c>
      <c r="M3089" s="6" t="s">
        <v>12934</v>
      </c>
    </row>
    <row r="3090" spans="1:13" ht="13" x14ac:dyDescent="0.15">
      <c r="A3090" s="5" t="str">
        <f>HYPERLINK("https://onemount.atlassian.net/browse/DBA-1700","DBA-1700")</f>
        <v>DBA-1700</v>
      </c>
      <c r="B3090" s="6" t="s">
        <v>21</v>
      </c>
      <c r="C3090" s="6" t="s">
        <v>12935</v>
      </c>
      <c r="D3090" s="8" t="s">
        <v>17</v>
      </c>
      <c r="E3090" s="6" t="s">
        <v>23</v>
      </c>
      <c r="F3090" s="6" t="s">
        <v>96</v>
      </c>
      <c r="G3090" s="6" t="s">
        <v>12936</v>
      </c>
      <c r="H3090" s="10">
        <v>45827</v>
      </c>
      <c r="I3090" s="6" t="s">
        <v>12937</v>
      </c>
      <c r="J3090" s="6" t="s">
        <v>11775</v>
      </c>
      <c r="K3090" s="6" t="s">
        <v>55</v>
      </c>
      <c r="L3090" s="6" t="s">
        <v>85</v>
      </c>
      <c r="M3090" s="6" t="s">
        <v>12938</v>
      </c>
    </row>
    <row r="3091" spans="1:13" ht="13" x14ac:dyDescent="0.15">
      <c r="A3091" s="5" t="str">
        <f>HYPERLINK("https://onemount.atlassian.net/browse/DBA-1699","DBA-1699")</f>
        <v>DBA-1699</v>
      </c>
      <c r="B3091" s="6" t="s">
        <v>21</v>
      </c>
      <c r="C3091" s="6" t="s">
        <v>12939</v>
      </c>
      <c r="D3091" s="8" t="s">
        <v>17</v>
      </c>
      <c r="E3091" s="6" t="s">
        <v>23</v>
      </c>
      <c r="F3091" s="6" t="s">
        <v>96</v>
      </c>
      <c r="G3091" s="6" t="s">
        <v>12940</v>
      </c>
      <c r="H3091" s="10">
        <v>45827</v>
      </c>
      <c r="I3091" s="6" t="s">
        <v>12941</v>
      </c>
      <c r="J3091" s="6" t="s">
        <v>986</v>
      </c>
      <c r="K3091" s="6" t="s">
        <v>55</v>
      </c>
      <c r="L3091" s="6" t="s">
        <v>986</v>
      </c>
      <c r="M3091" s="6" t="s">
        <v>12942</v>
      </c>
    </row>
    <row r="3092" spans="1:13" ht="13" x14ac:dyDescent="0.15">
      <c r="A3092" s="5" t="str">
        <f>HYPERLINK("https://onemount.atlassian.net/browse/DBA-1698","DBA-1698")</f>
        <v>DBA-1698</v>
      </c>
      <c r="B3092" s="6" t="s">
        <v>21</v>
      </c>
      <c r="C3092" s="6" t="s">
        <v>12943</v>
      </c>
      <c r="D3092" s="8" t="s">
        <v>17</v>
      </c>
      <c r="E3092" s="6" t="s">
        <v>23</v>
      </c>
      <c r="F3092" s="6" t="s">
        <v>96</v>
      </c>
      <c r="G3092" s="6" t="s">
        <v>12944</v>
      </c>
      <c r="H3092" s="10">
        <v>45828</v>
      </c>
      <c r="I3092" s="6" t="s">
        <v>12945</v>
      </c>
      <c r="J3092" s="6" t="s">
        <v>1898</v>
      </c>
      <c r="K3092" s="6" t="s">
        <v>165</v>
      </c>
      <c r="L3092" s="6" t="s">
        <v>1097</v>
      </c>
      <c r="M3092" s="6" t="s">
        <v>12946</v>
      </c>
    </row>
    <row r="3093" spans="1:13" ht="13" x14ac:dyDescent="0.15">
      <c r="A3093" s="5" t="str">
        <f>HYPERLINK("https://onemount.atlassian.net/browse/DBA-1697","DBA-1697")</f>
        <v>DBA-1697</v>
      </c>
      <c r="B3093" s="6" t="s">
        <v>21</v>
      </c>
      <c r="C3093" s="6" t="s">
        <v>12947</v>
      </c>
      <c r="D3093" s="8" t="s">
        <v>17</v>
      </c>
      <c r="E3093" s="6" t="s">
        <v>23</v>
      </c>
      <c r="F3093" s="6" t="s">
        <v>96</v>
      </c>
      <c r="G3093" s="6" t="s">
        <v>12948</v>
      </c>
      <c r="H3093" s="10">
        <v>45827</v>
      </c>
      <c r="I3093" s="6" t="s">
        <v>12949</v>
      </c>
      <c r="J3093" s="6" t="s">
        <v>8773</v>
      </c>
      <c r="K3093" s="6" t="s">
        <v>165</v>
      </c>
      <c r="L3093" s="6" t="s">
        <v>1076</v>
      </c>
      <c r="M3093" s="6" t="s">
        <v>12950</v>
      </c>
    </row>
    <row r="3094" spans="1:13" ht="13" x14ac:dyDescent="0.15">
      <c r="A3094" s="5" t="str">
        <f>HYPERLINK("https://onemount.atlassian.net/browse/DBA-1695","DBA-1695")</f>
        <v>DBA-1695</v>
      </c>
      <c r="B3094" s="6" t="s">
        <v>21</v>
      </c>
      <c r="C3094" s="6" t="s">
        <v>12894</v>
      </c>
      <c r="D3094" s="8" t="s">
        <v>17</v>
      </c>
      <c r="E3094" s="6" t="s">
        <v>23</v>
      </c>
      <c r="F3094" s="6" t="s">
        <v>31</v>
      </c>
      <c r="G3094" s="6" t="s">
        <v>12951</v>
      </c>
      <c r="H3094" s="10">
        <v>45828</v>
      </c>
      <c r="I3094" s="6" t="s">
        <v>12952</v>
      </c>
      <c r="J3094" s="6" t="s">
        <v>55</v>
      </c>
      <c r="K3094" s="6" t="s">
        <v>55</v>
      </c>
      <c r="L3094" s="6" t="s">
        <v>55</v>
      </c>
      <c r="M3094" s="6" t="s">
        <v>12953</v>
      </c>
    </row>
    <row r="3095" spans="1:13" ht="13" x14ac:dyDescent="0.15">
      <c r="A3095" s="5" t="str">
        <f>HYPERLINK("https://onemount.atlassian.net/browse/DBA-1694","DBA-1694")</f>
        <v>DBA-1694</v>
      </c>
      <c r="B3095" s="6" t="s">
        <v>21</v>
      </c>
      <c r="C3095" s="6" t="s">
        <v>12954</v>
      </c>
      <c r="D3095" s="8" t="s">
        <v>17</v>
      </c>
      <c r="E3095" s="6" t="s">
        <v>23</v>
      </c>
      <c r="F3095" s="6" t="s">
        <v>96</v>
      </c>
      <c r="G3095" s="6" t="s">
        <v>12955</v>
      </c>
      <c r="H3095" s="10">
        <v>45828</v>
      </c>
      <c r="I3095" s="6" t="s">
        <v>12956</v>
      </c>
      <c r="J3095" s="6" t="s">
        <v>28</v>
      </c>
      <c r="K3095" s="6" t="s">
        <v>28</v>
      </c>
      <c r="L3095" s="6" t="s">
        <v>1000</v>
      </c>
      <c r="M3095" s="6" t="s">
        <v>12957</v>
      </c>
    </row>
    <row r="3096" spans="1:13" ht="13" x14ac:dyDescent="0.15">
      <c r="A3096" s="5" t="str">
        <f>HYPERLINK("https://onemount.atlassian.net/browse/DBA-1691","DBA-1691")</f>
        <v>DBA-1691</v>
      </c>
      <c r="B3096" s="6" t="s">
        <v>21</v>
      </c>
      <c r="C3096" s="6" t="s">
        <v>12958</v>
      </c>
      <c r="D3096" s="8" t="s">
        <v>17</v>
      </c>
      <c r="E3096" s="6" t="s">
        <v>23</v>
      </c>
      <c r="F3096" s="6" t="s">
        <v>31</v>
      </c>
      <c r="G3096" s="6" t="s">
        <v>12959</v>
      </c>
      <c r="H3096" s="10">
        <v>45827</v>
      </c>
      <c r="I3096" s="6" t="s">
        <v>12960</v>
      </c>
      <c r="J3096" s="6" t="s">
        <v>6804</v>
      </c>
      <c r="K3096" s="6" t="s">
        <v>35</v>
      </c>
      <c r="L3096" s="6" t="s">
        <v>129</v>
      </c>
      <c r="M3096" s="6" t="s">
        <v>12961</v>
      </c>
    </row>
    <row r="3097" spans="1:13" ht="13" x14ac:dyDescent="0.15">
      <c r="A3097" s="5" t="str">
        <f>HYPERLINK("https://onemount.atlassian.net/browse/DBA-1690","DBA-1690")</f>
        <v>DBA-1690</v>
      </c>
      <c r="B3097" s="6" t="s">
        <v>21</v>
      </c>
      <c r="C3097" s="6" t="s">
        <v>12962</v>
      </c>
      <c r="D3097" s="8" t="s">
        <v>17</v>
      </c>
      <c r="E3097" s="6" t="s">
        <v>23</v>
      </c>
      <c r="F3097" s="6" t="s">
        <v>31</v>
      </c>
      <c r="G3097" s="6" t="s">
        <v>12963</v>
      </c>
      <c r="H3097" s="10">
        <v>45826</v>
      </c>
      <c r="I3097" s="6" t="s">
        <v>12964</v>
      </c>
      <c r="J3097" s="6" t="s">
        <v>707</v>
      </c>
      <c r="K3097" s="6" t="s">
        <v>35</v>
      </c>
      <c r="L3097" s="6" t="s">
        <v>707</v>
      </c>
      <c r="M3097" s="6" t="s">
        <v>12965</v>
      </c>
    </row>
    <row r="3098" spans="1:13" ht="13" x14ac:dyDescent="0.15">
      <c r="A3098" s="5" t="str">
        <f>HYPERLINK("https://onemount.atlassian.net/browse/DBA-1689","DBA-1689")</f>
        <v>DBA-1689</v>
      </c>
      <c r="B3098" s="6" t="s">
        <v>21</v>
      </c>
      <c r="C3098" s="6" t="s">
        <v>11933</v>
      </c>
      <c r="D3098" s="8" t="s">
        <v>17</v>
      </c>
      <c r="E3098" s="6" t="s">
        <v>23</v>
      </c>
      <c r="F3098" s="6" t="s">
        <v>31</v>
      </c>
      <c r="G3098" s="6" t="s">
        <v>12966</v>
      </c>
      <c r="H3098" s="10">
        <v>45826</v>
      </c>
      <c r="I3098" s="6" t="s">
        <v>12967</v>
      </c>
      <c r="J3098" s="6" t="s">
        <v>1182</v>
      </c>
      <c r="K3098" s="6" t="s">
        <v>35</v>
      </c>
      <c r="L3098" s="6" t="s">
        <v>1182</v>
      </c>
      <c r="M3098" s="6" t="s">
        <v>12968</v>
      </c>
    </row>
    <row r="3099" spans="1:13" ht="13" x14ac:dyDescent="0.15">
      <c r="A3099" s="5" t="str">
        <f>HYPERLINK("https://onemount.atlassian.net/browse/DBA-1688","DBA-1688")</f>
        <v>DBA-1688</v>
      </c>
      <c r="B3099" s="6" t="s">
        <v>21</v>
      </c>
      <c r="C3099" s="6" t="s">
        <v>12969</v>
      </c>
      <c r="D3099" s="8" t="s">
        <v>17</v>
      </c>
      <c r="E3099" s="6" t="s">
        <v>23</v>
      </c>
      <c r="F3099" s="6" t="s">
        <v>31</v>
      </c>
      <c r="G3099" s="6" t="s">
        <v>12970</v>
      </c>
      <c r="H3099" s="10">
        <v>45826</v>
      </c>
      <c r="I3099" s="6" t="s">
        <v>12971</v>
      </c>
      <c r="J3099" s="6" t="s">
        <v>373</v>
      </c>
      <c r="K3099" s="6" t="s">
        <v>35</v>
      </c>
      <c r="L3099" s="6" t="s">
        <v>36</v>
      </c>
      <c r="M3099" s="6" t="s">
        <v>12972</v>
      </c>
    </row>
    <row r="3100" spans="1:13" ht="13" x14ac:dyDescent="0.15">
      <c r="A3100" s="5" t="str">
        <f>HYPERLINK("https://onemount.atlassian.net/browse/DBA-1687","DBA-1687")</f>
        <v>DBA-1687</v>
      </c>
      <c r="B3100" s="6" t="s">
        <v>21</v>
      </c>
      <c r="C3100" s="6" t="s">
        <v>12973</v>
      </c>
      <c r="D3100" s="8" t="s">
        <v>17</v>
      </c>
      <c r="E3100" s="6" t="s">
        <v>23</v>
      </c>
      <c r="F3100" s="6" t="s">
        <v>24</v>
      </c>
      <c r="G3100" s="6" t="s">
        <v>12974</v>
      </c>
      <c r="H3100" s="10">
        <v>45827</v>
      </c>
      <c r="I3100" s="6" t="s">
        <v>12975</v>
      </c>
      <c r="J3100" s="6" t="s">
        <v>46</v>
      </c>
      <c r="K3100" s="6" t="s">
        <v>46</v>
      </c>
      <c r="L3100" s="6" t="s">
        <v>328</v>
      </c>
      <c r="M3100" s="6" t="s">
        <v>12976</v>
      </c>
    </row>
    <row r="3101" spans="1:13" ht="13" x14ac:dyDescent="0.15">
      <c r="A3101" s="5" t="str">
        <f>HYPERLINK("https://onemount.atlassian.net/browse/DBA-1686","DBA-1686")</f>
        <v>DBA-1686</v>
      </c>
      <c r="B3101" s="6" t="s">
        <v>21</v>
      </c>
      <c r="C3101" s="6" t="s">
        <v>12977</v>
      </c>
      <c r="D3101" s="8" t="s">
        <v>17</v>
      </c>
      <c r="E3101" s="6" t="s">
        <v>23</v>
      </c>
      <c r="F3101" s="6" t="s">
        <v>31</v>
      </c>
      <c r="G3101" s="6" t="s">
        <v>12978</v>
      </c>
      <c r="H3101" s="10">
        <v>45826</v>
      </c>
      <c r="I3101" s="6" t="s">
        <v>12979</v>
      </c>
      <c r="J3101" s="6" t="s">
        <v>1182</v>
      </c>
      <c r="K3101" s="6" t="s">
        <v>35</v>
      </c>
      <c r="L3101" s="6" t="s">
        <v>1182</v>
      </c>
      <c r="M3101" s="6" t="s">
        <v>12980</v>
      </c>
    </row>
    <row r="3102" spans="1:13" ht="13" x14ac:dyDescent="0.15">
      <c r="A3102" s="5" t="str">
        <f>HYPERLINK("https://onemount.atlassian.net/browse/DBA-1684","DBA-1684")</f>
        <v>DBA-1684</v>
      </c>
      <c r="B3102" s="6" t="s">
        <v>21</v>
      </c>
      <c r="C3102" s="6" t="s">
        <v>12981</v>
      </c>
      <c r="D3102" s="8" t="s">
        <v>17</v>
      </c>
      <c r="E3102" s="6" t="s">
        <v>23</v>
      </c>
      <c r="F3102" s="6" t="s">
        <v>31</v>
      </c>
      <c r="G3102" s="6" t="s">
        <v>12982</v>
      </c>
      <c r="H3102" s="10">
        <v>45827</v>
      </c>
      <c r="I3102" s="6" t="s">
        <v>12983</v>
      </c>
      <c r="J3102" s="6" t="s">
        <v>55</v>
      </c>
      <c r="K3102" s="6" t="s">
        <v>55</v>
      </c>
      <c r="L3102" s="6" t="s">
        <v>55</v>
      </c>
      <c r="M3102" s="6" t="s">
        <v>12984</v>
      </c>
    </row>
    <row r="3103" spans="1:13" ht="13" x14ac:dyDescent="0.15">
      <c r="A3103" s="5" t="str">
        <f>HYPERLINK("https://onemount.atlassian.net/browse/DBA-1683","DBA-1683")</f>
        <v>DBA-1683</v>
      </c>
      <c r="B3103" s="6" t="s">
        <v>21</v>
      </c>
      <c r="C3103" s="6" t="s">
        <v>12985</v>
      </c>
      <c r="D3103" s="8" t="s">
        <v>17</v>
      </c>
      <c r="E3103" s="6" t="s">
        <v>23</v>
      </c>
      <c r="F3103" s="6" t="s">
        <v>31</v>
      </c>
      <c r="G3103" s="6" t="s">
        <v>12986</v>
      </c>
      <c r="H3103" s="10">
        <v>45827</v>
      </c>
      <c r="I3103" s="6" t="s">
        <v>12987</v>
      </c>
      <c r="J3103" s="6" t="s">
        <v>489</v>
      </c>
      <c r="K3103" s="6" t="s">
        <v>35</v>
      </c>
      <c r="L3103" s="6" t="s">
        <v>489</v>
      </c>
      <c r="M3103" s="6" t="s">
        <v>12988</v>
      </c>
    </row>
    <row r="3104" spans="1:13" ht="13" x14ac:dyDescent="0.15">
      <c r="A3104" s="5" t="str">
        <f>HYPERLINK("https://onemount.atlassian.net/browse/DBA-1682","DBA-1682")</f>
        <v>DBA-1682</v>
      </c>
      <c r="B3104" s="6" t="s">
        <v>21</v>
      </c>
      <c r="C3104" s="6" t="s">
        <v>12989</v>
      </c>
      <c r="D3104" s="8" t="s">
        <v>17</v>
      </c>
      <c r="E3104" s="6" t="s">
        <v>23</v>
      </c>
      <c r="F3104" s="6" t="s">
        <v>96</v>
      </c>
      <c r="G3104" s="6" t="s">
        <v>12990</v>
      </c>
      <c r="H3104" s="10">
        <v>45846</v>
      </c>
      <c r="I3104" s="6" t="s">
        <v>12991</v>
      </c>
      <c r="J3104" s="6" t="s">
        <v>28</v>
      </c>
      <c r="K3104" s="6" t="s">
        <v>28</v>
      </c>
      <c r="L3104" s="6" t="s">
        <v>27</v>
      </c>
      <c r="M3104" s="6" t="s">
        <v>12992</v>
      </c>
    </row>
    <row r="3105" spans="1:13" ht="13" x14ac:dyDescent="0.15">
      <c r="A3105" s="5" t="str">
        <f>HYPERLINK("https://onemount.atlassian.net/browse/DBA-1681","DBA-1681")</f>
        <v>DBA-1681</v>
      </c>
      <c r="B3105" s="6" t="s">
        <v>21</v>
      </c>
      <c r="C3105" s="6" t="s">
        <v>12993</v>
      </c>
      <c r="D3105" s="8" t="s">
        <v>17</v>
      </c>
      <c r="E3105" s="6" t="s">
        <v>23</v>
      </c>
      <c r="F3105" s="6" t="s">
        <v>96</v>
      </c>
      <c r="G3105" s="6" t="s">
        <v>12994</v>
      </c>
      <c r="H3105" s="10">
        <v>45825</v>
      </c>
      <c r="I3105" s="6" t="s">
        <v>12995</v>
      </c>
      <c r="J3105" s="6" t="s">
        <v>55</v>
      </c>
      <c r="K3105" s="6" t="s">
        <v>55</v>
      </c>
      <c r="L3105" s="6" t="s">
        <v>956</v>
      </c>
      <c r="M3105" s="6" t="s">
        <v>12996</v>
      </c>
    </row>
    <row r="3106" spans="1:13" ht="13" x14ac:dyDescent="0.15">
      <c r="A3106" s="5" t="str">
        <f>HYPERLINK("https://onemount.atlassian.net/browse/DBA-1679","DBA-1679")</f>
        <v>DBA-1679</v>
      </c>
      <c r="B3106" s="6" t="s">
        <v>21</v>
      </c>
      <c r="C3106" s="6" t="s">
        <v>12997</v>
      </c>
      <c r="D3106" s="8" t="s">
        <v>17</v>
      </c>
      <c r="E3106" s="6" t="s">
        <v>23</v>
      </c>
      <c r="F3106" s="6" t="s">
        <v>96</v>
      </c>
      <c r="G3106" s="6" t="s">
        <v>12998</v>
      </c>
      <c r="H3106" s="10">
        <v>45826</v>
      </c>
      <c r="I3106" s="6" t="s">
        <v>12999</v>
      </c>
      <c r="J3106" s="6" t="s">
        <v>1898</v>
      </c>
      <c r="K3106" s="6" t="s">
        <v>165</v>
      </c>
      <c r="L3106" s="6" t="s">
        <v>1097</v>
      </c>
      <c r="M3106" s="6" t="s">
        <v>13000</v>
      </c>
    </row>
    <row r="3107" spans="1:13" ht="13" x14ac:dyDescent="0.15">
      <c r="A3107" s="5" t="str">
        <f>HYPERLINK("https://onemount.atlassian.net/browse/DBA-1678","DBA-1678")</f>
        <v>DBA-1678</v>
      </c>
      <c r="B3107" s="6" t="s">
        <v>21</v>
      </c>
      <c r="C3107" s="6" t="s">
        <v>13001</v>
      </c>
      <c r="D3107" s="8" t="s">
        <v>17</v>
      </c>
      <c r="E3107" s="6" t="s">
        <v>23</v>
      </c>
      <c r="F3107" s="6" t="s">
        <v>24</v>
      </c>
      <c r="G3107" s="6" t="s">
        <v>13002</v>
      </c>
      <c r="H3107" s="10">
        <v>45826</v>
      </c>
      <c r="I3107" s="6" t="s">
        <v>13003</v>
      </c>
      <c r="J3107" s="6" t="s">
        <v>56</v>
      </c>
      <c r="K3107" s="6" t="s">
        <v>55</v>
      </c>
      <c r="L3107" s="6" t="s">
        <v>56</v>
      </c>
      <c r="M3107" s="6" t="s">
        <v>13004</v>
      </c>
    </row>
    <row r="3108" spans="1:13" ht="13" x14ac:dyDescent="0.15">
      <c r="A3108" s="5" t="str">
        <f>HYPERLINK("https://onemount.atlassian.net/browse/DBA-1677","DBA-1677")</f>
        <v>DBA-1677</v>
      </c>
      <c r="B3108" s="6" t="s">
        <v>21</v>
      </c>
      <c r="C3108" s="6" t="s">
        <v>13005</v>
      </c>
      <c r="D3108" s="8" t="s">
        <v>17</v>
      </c>
      <c r="E3108" s="6" t="s">
        <v>23</v>
      </c>
      <c r="F3108" s="6" t="s">
        <v>31</v>
      </c>
      <c r="G3108" s="6" t="s">
        <v>13006</v>
      </c>
      <c r="H3108" s="10">
        <v>45826</v>
      </c>
      <c r="I3108" s="6" t="s">
        <v>13007</v>
      </c>
      <c r="J3108" s="6" t="s">
        <v>3443</v>
      </c>
      <c r="K3108" s="6" t="s">
        <v>46</v>
      </c>
      <c r="L3108" s="6" t="s">
        <v>593</v>
      </c>
      <c r="M3108" s="6" t="s">
        <v>13008</v>
      </c>
    </row>
    <row r="3109" spans="1:13" ht="13" x14ac:dyDescent="0.15">
      <c r="A3109" s="5" t="str">
        <f>HYPERLINK("https://onemount.atlassian.net/browse/DBA-1676","DBA-1676")</f>
        <v>DBA-1676</v>
      </c>
      <c r="B3109" s="6" t="s">
        <v>21</v>
      </c>
      <c r="C3109" s="6" t="s">
        <v>13009</v>
      </c>
      <c r="D3109" s="8" t="s">
        <v>17</v>
      </c>
      <c r="E3109" s="6" t="s">
        <v>23</v>
      </c>
      <c r="F3109" s="6" t="s">
        <v>24</v>
      </c>
      <c r="G3109" s="6" t="s">
        <v>13010</v>
      </c>
      <c r="H3109" s="10">
        <v>45825</v>
      </c>
      <c r="I3109" s="6" t="s">
        <v>13011</v>
      </c>
      <c r="J3109" s="6" t="s">
        <v>85</v>
      </c>
      <c r="K3109" s="6" t="s">
        <v>55</v>
      </c>
      <c r="L3109" s="6" t="s">
        <v>270</v>
      </c>
      <c r="M3109" s="6" t="s">
        <v>13012</v>
      </c>
    </row>
    <row r="3110" spans="1:13" ht="13" x14ac:dyDescent="0.15">
      <c r="A3110" s="5" t="str">
        <f>HYPERLINK("https://onemount.atlassian.net/browse/DBA-1675","DBA-1675")</f>
        <v>DBA-1675</v>
      </c>
      <c r="B3110" s="6" t="s">
        <v>21</v>
      </c>
      <c r="C3110" s="6" t="s">
        <v>13013</v>
      </c>
      <c r="D3110" s="8" t="s">
        <v>17</v>
      </c>
      <c r="E3110" s="6" t="s">
        <v>23</v>
      </c>
      <c r="F3110" s="6" t="s">
        <v>31</v>
      </c>
      <c r="G3110" s="6" t="s">
        <v>13014</v>
      </c>
      <c r="H3110" s="10">
        <v>45827</v>
      </c>
      <c r="I3110" s="6" t="s">
        <v>13015</v>
      </c>
      <c r="J3110" s="6" t="s">
        <v>55</v>
      </c>
      <c r="K3110" s="6" t="s">
        <v>55</v>
      </c>
      <c r="L3110" s="6" t="s">
        <v>956</v>
      </c>
      <c r="M3110" s="6" t="s">
        <v>13016</v>
      </c>
    </row>
    <row r="3111" spans="1:13" ht="13" x14ac:dyDescent="0.15">
      <c r="A3111" s="5" t="str">
        <f>HYPERLINK("https://onemount.atlassian.net/browse/DBA-1674","DBA-1674")</f>
        <v>DBA-1674</v>
      </c>
      <c r="B3111" s="6" t="s">
        <v>21</v>
      </c>
      <c r="C3111" s="6" t="s">
        <v>12103</v>
      </c>
      <c r="D3111" s="8" t="s">
        <v>17</v>
      </c>
      <c r="E3111" s="6" t="s">
        <v>23</v>
      </c>
      <c r="F3111" s="6" t="s">
        <v>24</v>
      </c>
      <c r="G3111" s="6" t="s">
        <v>13017</v>
      </c>
      <c r="H3111" s="10">
        <v>45827</v>
      </c>
      <c r="I3111" s="6" t="s">
        <v>13018</v>
      </c>
      <c r="J3111" s="6" t="s">
        <v>55</v>
      </c>
      <c r="K3111" s="6" t="s">
        <v>55</v>
      </c>
      <c r="L3111" s="6" t="s">
        <v>55</v>
      </c>
      <c r="M3111" s="6" t="s">
        <v>13019</v>
      </c>
    </row>
    <row r="3112" spans="1:13" ht="13" x14ac:dyDescent="0.15">
      <c r="A3112" s="5" t="str">
        <f>HYPERLINK("https://onemount.atlassian.net/browse/DBA-1672","DBA-1672")</f>
        <v>DBA-1672</v>
      </c>
      <c r="B3112" s="6" t="s">
        <v>21</v>
      </c>
      <c r="C3112" s="6" t="s">
        <v>13020</v>
      </c>
      <c r="D3112" s="8" t="s">
        <v>17</v>
      </c>
      <c r="E3112" s="6" t="s">
        <v>23</v>
      </c>
      <c r="F3112" s="6" t="s">
        <v>31</v>
      </c>
      <c r="G3112" s="6" t="s">
        <v>13021</v>
      </c>
      <c r="H3112" s="10">
        <v>45826</v>
      </c>
      <c r="I3112" s="6" t="s">
        <v>13022</v>
      </c>
      <c r="J3112" s="6" t="s">
        <v>2119</v>
      </c>
      <c r="K3112" s="6" t="s">
        <v>35</v>
      </c>
      <c r="L3112" s="6" t="s">
        <v>638</v>
      </c>
      <c r="M3112" s="6" t="s">
        <v>13023</v>
      </c>
    </row>
    <row r="3113" spans="1:13" ht="13" x14ac:dyDescent="0.15">
      <c r="A3113" s="5" t="str">
        <f>HYPERLINK("https://onemount.atlassian.net/browse/DBA-1671","DBA-1671")</f>
        <v>DBA-1671</v>
      </c>
      <c r="B3113" s="6" t="s">
        <v>21</v>
      </c>
      <c r="C3113" s="6" t="s">
        <v>13024</v>
      </c>
      <c r="D3113" s="8" t="s">
        <v>17</v>
      </c>
      <c r="E3113" s="6" t="s">
        <v>23</v>
      </c>
      <c r="F3113" s="6" t="s">
        <v>31</v>
      </c>
      <c r="G3113" s="6" t="s">
        <v>13025</v>
      </c>
      <c r="H3113" s="10">
        <v>45826</v>
      </c>
      <c r="I3113" s="6" t="s">
        <v>13026</v>
      </c>
      <c r="J3113" s="6" t="s">
        <v>308</v>
      </c>
      <c r="K3113" s="6" t="s">
        <v>46</v>
      </c>
      <c r="L3113" s="6" t="s">
        <v>358</v>
      </c>
      <c r="M3113" s="6" t="s">
        <v>13027</v>
      </c>
    </row>
    <row r="3114" spans="1:13" ht="13" x14ac:dyDescent="0.15">
      <c r="A3114" s="5" t="str">
        <f>HYPERLINK("https://onemount.atlassian.net/browse/DBA-1670","DBA-1670")</f>
        <v>DBA-1670</v>
      </c>
      <c r="B3114" s="6" t="s">
        <v>21</v>
      </c>
      <c r="C3114" s="6" t="s">
        <v>13028</v>
      </c>
      <c r="D3114" s="8" t="s">
        <v>17</v>
      </c>
      <c r="E3114" s="6" t="s">
        <v>23</v>
      </c>
      <c r="F3114" s="6" t="s">
        <v>31</v>
      </c>
      <c r="G3114" s="6" t="s">
        <v>13029</v>
      </c>
      <c r="H3114" s="10">
        <v>45826</v>
      </c>
      <c r="I3114" s="6" t="s">
        <v>13030</v>
      </c>
      <c r="J3114" s="6" t="s">
        <v>308</v>
      </c>
      <c r="K3114" s="6" t="s">
        <v>46</v>
      </c>
      <c r="L3114" s="6" t="s">
        <v>358</v>
      </c>
      <c r="M3114" s="6" t="s">
        <v>13031</v>
      </c>
    </row>
    <row r="3115" spans="1:13" ht="13" x14ac:dyDescent="0.15">
      <c r="A3115" s="5" t="str">
        <f>HYPERLINK("https://onemount.atlassian.net/browse/DBA-1661","DBA-1661")</f>
        <v>DBA-1661</v>
      </c>
      <c r="B3115" s="6" t="s">
        <v>21</v>
      </c>
      <c r="C3115" s="6" t="s">
        <v>13032</v>
      </c>
      <c r="D3115" s="8" t="s">
        <v>17</v>
      </c>
      <c r="E3115" s="6" t="s">
        <v>23</v>
      </c>
      <c r="F3115" s="6" t="s">
        <v>31</v>
      </c>
      <c r="G3115" s="6" t="s">
        <v>13033</v>
      </c>
      <c r="H3115" s="10">
        <v>45825</v>
      </c>
      <c r="I3115" s="6" t="s">
        <v>13034</v>
      </c>
      <c r="J3115" s="6" t="s">
        <v>1187</v>
      </c>
      <c r="K3115" s="6" t="s">
        <v>35</v>
      </c>
      <c r="L3115" s="6" t="s">
        <v>1187</v>
      </c>
      <c r="M3115" s="6" t="s">
        <v>13035</v>
      </c>
    </row>
    <row r="3116" spans="1:13" ht="13" x14ac:dyDescent="0.15">
      <c r="A3116" s="5" t="str">
        <f>HYPERLINK("https://onemount.atlassian.net/browse/DBA-1660","DBA-1660")</f>
        <v>DBA-1660</v>
      </c>
      <c r="B3116" s="6" t="s">
        <v>21</v>
      </c>
      <c r="C3116" s="6" t="s">
        <v>12158</v>
      </c>
      <c r="D3116" s="8" t="s">
        <v>17</v>
      </c>
      <c r="E3116" s="6" t="s">
        <v>23</v>
      </c>
      <c r="F3116" s="6" t="s">
        <v>31</v>
      </c>
      <c r="G3116" s="6" t="s">
        <v>13036</v>
      </c>
      <c r="H3116" s="10">
        <v>45825</v>
      </c>
      <c r="I3116" s="6" t="s">
        <v>13037</v>
      </c>
      <c r="J3116" s="6" t="s">
        <v>12023</v>
      </c>
      <c r="K3116" s="6" t="s">
        <v>35</v>
      </c>
      <c r="L3116" s="6" t="s">
        <v>276</v>
      </c>
      <c r="M3116" s="6" t="s">
        <v>13038</v>
      </c>
    </row>
    <row r="3117" spans="1:13" ht="13" x14ac:dyDescent="0.15">
      <c r="A3117" s="5" t="str">
        <f>HYPERLINK("https://onemount.atlassian.net/browse/DBA-1659","DBA-1659")</f>
        <v>DBA-1659</v>
      </c>
      <c r="B3117" s="6" t="s">
        <v>21</v>
      </c>
      <c r="C3117" s="6" t="s">
        <v>13039</v>
      </c>
      <c r="D3117" s="8" t="s">
        <v>17</v>
      </c>
      <c r="E3117" s="6" t="s">
        <v>23</v>
      </c>
      <c r="F3117" s="6" t="s">
        <v>96</v>
      </c>
      <c r="G3117" s="6" t="s">
        <v>13040</v>
      </c>
      <c r="H3117" s="10">
        <v>45824</v>
      </c>
      <c r="I3117" s="6" t="s">
        <v>13041</v>
      </c>
      <c r="J3117" s="6" t="s">
        <v>1898</v>
      </c>
      <c r="K3117" s="6" t="s">
        <v>165</v>
      </c>
      <c r="L3117" s="6" t="s">
        <v>1097</v>
      </c>
      <c r="M3117" s="6" t="s">
        <v>13042</v>
      </c>
    </row>
    <row r="3118" spans="1:13" ht="13" x14ac:dyDescent="0.15">
      <c r="A3118" s="5" t="str">
        <f>HYPERLINK("https://onemount.atlassian.net/browse/DBA-1658","DBA-1658")</f>
        <v>DBA-1658</v>
      </c>
      <c r="B3118" s="6" t="s">
        <v>21</v>
      </c>
      <c r="C3118" s="6" t="s">
        <v>12832</v>
      </c>
      <c r="D3118" s="8" t="s">
        <v>17</v>
      </c>
      <c r="E3118" s="6" t="s">
        <v>23</v>
      </c>
      <c r="F3118" s="6" t="s">
        <v>96</v>
      </c>
      <c r="G3118" s="6" t="s">
        <v>13043</v>
      </c>
      <c r="H3118" s="10">
        <v>45825</v>
      </c>
      <c r="I3118" s="6" t="s">
        <v>13044</v>
      </c>
      <c r="J3118" s="6" t="s">
        <v>715</v>
      </c>
      <c r="K3118" s="6" t="s">
        <v>55</v>
      </c>
      <c r="L3118" s="6" t="s">
        <v>715</v>
      </c>
      <c r="M3118" s="6" t="s">
        <v>13045</v>
      </c>
    </row>
    <row r="3119" spans="1:13" ht="13" x14ac:dyDescent="0.15">
      <c r="A3119" s="5" t="str">
        <f>HYPERLINK("https://onemount.atlassian.net/browse/DBA-1657","DBA-1657")</f>
        <v>DBA-1657</v>
      </c>
      <c r="B3119" s="6" t="s">
        <v>21</v>
      </c>
      <c r="C3119" s="6" t="s">
        <v>13046</v>
      </c>
      <c r="D3119" s="8" t="s">
        <v>17</v>
      </c>
      <c r="E3119" s="6" t="s">
        <v>23</v>
      </c>
      <c r="F3119" s="6" t="s">
        <v>24</v>
      </c>
      <c r="G3119" s="6" t="s">
        <v>13047</v>
      </c>
      <c r="H3119" s="10">
        <v>45823</v>
      </c>
      <c r="I3119" s="6" t="s">
        <v>13048</v>
      </c>
      <c r="J3119" s="6" t="s">
        <v>46</v>
      </c>
      <c r="K3119" s="6" t="s">
        <v>55</v>
      </c>
      <c r="L3119" s="6" t="s">
        <v>55</v>
      </c>
      <c r="M3119" s="6" t="s">
        <v>13049</v>
      </c>
    </row>
    <row r="3120" spans="1:13" ht="13" x14ac:dyDescent="0.15">
      <c r="A3120" s="5" t="str">
        <f>HYPERLINK("https://onemount.atlassian.net/browse/DBA-1656","DBA-1656")</f>
        <v>DBA-1656</v>
      </c>
      <c r="B3120" s="6" t="s">
        <v>21</v>
      </c>
      <c r="C3120" s="6" t="s">
        <v>13050</v>
      </c>
      <c r="D3120" s="8" t="s">
        <v>17</v>
      </c>
      <c r="E3120" s="6" t="s">
        <v>23</v>
      </c>
      <c r="F3120" s="6" t="s">
        <v>24</v>
      </c>
      <c r="G3120" s="6" t="s">
        <v>13051</v>
      </c>
      <c r="H3120" s="10">
        <v>45821</v>
      </c>
      <c r="I3120" s="6" t="s">
        <v>13052</v>
      </c>
      <c r="J3120" s="6" t="s">
        <v>276</v>
      </c>
      <c r="K3120" s="6" t="s">
        <v>35</v>
      </c>
      <c r="L3120" s="6" t="s">
        <v>276</v>
      </c>
      <c r="M3120" s="6" t="s">
        <v>13053</v>
      </c>
    </row>
    <row r="3121" spans="1:13" ht="13" x14ac:dyDescent="0.15">
      <c r="A3121" s="5" t="str">
        <f>HYPERLINK("https://onemount.atlassian.net/browse/DBA-1655","DBA-1655")</f>
        <v>DBA-1655</v>
      </c>
      <c r="B3121" s="6" t="s">
        <v>21</v>
      </c>
      <c r="C3121" s="6" t="s">
        <v>13054</v>
      </c>
      <c r="D3121" s="8" t="s">
        <v>17</v>
      </c>
      <c r="E3121" s="6" t="s">
        <v>23</v>
      </c>
      <c r="F3121" s="6" t="s">
        <v>24</v>
      </c>
      <c r="G3121" s="6" t="s">
        <v>13055</v>
      </c>
      <c r="H3121" s="10">
        <v>45822</v>
      </c>
      <c r="I3121" s="6" t="s">
        <v>13056</v>
      </c>
      <c r="J3121" s="6" t="s">
        <v>1187</v>
      </c>
      <c r="K3121" s="6" t="s">
        <v>35</v>
      </c>
      <c r="L3121" s="6" t="s">
        <v>1187</v>
      </c>
      <c r="M3121" s="6" t="s">
        <v>13057</v>
      </c>
    </row>
    <row r="3122" spans="1:13" ht="13" x14ac:dyDescent="0.15">
      <c r="A3122" s="5" t="str">
        <f>HYPERLINK("https://onemount.atlassian.net/browse/DBA-1654","DBA-1654")</f>
        <v>DBA-1654</v>
      </c>
      <c r="B3122" s="6" t="s">
        <v>21</v>
      </c>
      <c r="C3122" s="6" t="s">
        <v>13058</v>
      </c>
      <c r="D3122" s="8" t="s">
        <v>17</v>
      </c>
      <c r="E3122" s="6" t="s">
        <v>23</v>
      </c>
      <c r="F3122" s="6" t="s">
        <v>31</v>
      </c>
      <c r="G3122" s="6" t="s">
        <v>13059</v>
      </c>
      <c r="H3122" s="10">
        <v>45825</v>
      </c>
      <c r="I3122" s="6" t="s">
        <v>13060</v>
      </c>
      <c r="J3122" s="6" t="s">
        <v>12023</v>
      </c>
      <c r="K3122" s="6" t="s">
        <v>35</v>
      </c>
      <c r="L3122" s="6" t="s">
        <v>276</v>
      </c>
      <c r="M3122" s="6" t="s">
        <v>13061</v>
      </c>
    </row>
    <row r="3123" spans="1:13" ht="13" x14ac:dyDescent="0.15">
      <c r="A3123" s="5" t="str">
        <f>HYPERLINK("https://onemount.atlassian.net/browse/DBA-1653","DBA-1653")</f>
        <v>DBA-1653</v>
      </c>
      <c r="B3123" s="6" t="s">
        <v>21</v>
      </c>
      <c r="C3123" s="6" t="s">
        <v>13062</v>
      </c>
      <c r="D3123" s="8" t="s">
        <v>17</v>
      </c>
      <c r="E3123" s="6" t="s">
        <v>23</v>
      </c>
      <c r="F3123" s="6" t="s">
        <v>96</v>
      </c>
      <c r="G3123" s="6" t="s">
        <v>13063</v>
      </c>
      <c r="H3123" s="10">
        <v>45821</v>
      </c>
      <c r="I3123" s="6" t="s">
        <v>13064</v>
      </c>
      <c r="J3123" s="6" t="s">
        <v>1898</v>
      </c>
      <c r="K3123" s="6" t="s">
        <v>165</v>
      </c>
      <c r="L3123" s="6" t="s">
        <v>1097</v>
      </c>
      <c r="M3123" s="6" t="s">
        <v>13065</v>
      </c>
    </row>
    <row r="3124" spans="1:13" ht="13" x14ac:dyDescent="0.15">
      <c r="A3124" s="5" t="str">
        <f>HYPERLINK("https://onemount.atlassian.net/browse/DBA-1652","DBA-1652")</f>
        <v>DBA-1652</v>
      </c>
      <c r="B3124" s="6" t="s">
        <v>21</v>
      </c>
      <c r="C3124" s="6" t="s">
        <v>13066</v>
      </c>
      <c r="D3124" s="8" t="s">
        <v>17</v>
      </c>
      <c r="E3124" s="6" t="s">
        <v>23</v>
      </c>
      <c r="F3124" s="6" t="s">
        <v>96</v>
      </c>
      <c r="G3124" s="6" t="s">
        <v>13067</v>
      </c>
      <c r="H3124" s="10">
        <v>45821</v>
      </c>
      <c r="I3124" s="6" t="s">
        <v>13068</v>
      </c>
      <c r="J3124" s="6" t="s">
        <v>13069</v>
      </c>
      <c r="K3124" s="6" t="s">
        <v>165</v>
      </c>
      <c r="L3124" s="6" t="s">
        <v>715</v>
      </c>
      <c r="M3124" s="6" t="s">
        <v>13070</v>
      </c>
    </row>
    <row r="3125" spans="1:13" ht="13" x14ac:dyDescent="0.15">
      <c r="A3125" s="5" t="str">
        <f>HYPERLINK("https://onemount.atlassian.net/browse/DBA-1651","DBA-1651")</f>
        <v>DBA-1651</v>
      </c>
      <c r="B3125" s="6" t="s">
        <v>21</v>
      </c>
      <c r="C3125" s="6" t="s">
        <v>13071</v>
      </c>
      <c r="D3125" s="8" t="s">
        <v>17</v>
      </c>
      <c r="E3125" s="6" t="s">
        <v>23</v>
      </c>
      <c r="F3125" s="6" t="s">
        <v>24</v>
      </c>
      <c r="G3125" s="6" t="s">
        <v>13072</v>
      </c>
      <c r="H3125" s="10">
        <v>45820</v>
      </c>
      <c r="I3125" s="6" t="s">
        <v>13073</v>
      </c>
      <c r="J3125" s="6" t="s">
        <v>55</v>
      </c>
      <c r="K3125" s="6" t="s">
        <v>55</v>
      </c>
      <c r="L3125" s="6" t="s">
        <v>56</v>
      </c>
      <c r="M3125" s="6" t="s">
        <v>13074</v>
      </c>
    </row>
    <row r="3126" spans="1:13" ht="13" x14ac:dyDescent="0.15">
      <c r="A3126" s="5" t="str">
        <f>HYPERLINK("https://onemount.atlassian.net/browse/DBA-1650","DBA-1650")</f>
        <v>DBA-1650</v>
      </c>
      <c r="B3126" s="6" t="s">
        <v>21</v>
      </c>
      <c r="C3126" s="6" t="s">
        <v>13075</v>
      </c>
      <c r="D3126" s="8" t="s">
        <v>17</v>
      </c>
      <c r="E3126" s="6" t="s">
        <v>23</v>
      </c>
      <c r="F3126" s="6" t="s">
        <v>96</v>
      </c>
      <c r="G3126" s="6" t="s">
        <v>13076</v>
      </c>
      <c r="H3126" s="10">
        <v>45821</v>
      </c>
      <c r="I3126" s="6" t="s">
        <v>13077</v>
      </c>
      <c r="J3126" s="6" t="s">
        <v>1898</v>
      </c>
      <c r="K3126" s="6" t="s">
        <v>165</v>
      </c>
      <c r="L3126" s="6" t="s">
        <v>1097</v>
      </c>
      <c r="M3126" s="6" t="s">
        <v>13078</v>
      </c>
    </row>
    <row r="3127" spans="1:13" ht="13" x14ac:dyDescent="0.15">
      <c r="A3127" s="5" t="str">
        <f>HYPERLINK("https://onemount.atlassian.net/browse/DBA-1649","DBA-1649")</f>
        <v>DBA-1649</v>
      </c>
      <c r="B3127" s="6" t="s">
        <v>21</v>
      </c>
      <c r="C3127" s="6" t="s">
        <v>13079</v>
      </c>
      <c r="D3127" s="8" t="s">
        <v>17</v>
      </c>
      <c r="E3127" s="6" t="s">
        <v>23</v>
      </c>
      <c r="F3127" s="6" t="s">
        <v>96</v>
      </c>
      <c r="G3127" s="6" t="s">
        <v>13080</v>
      </c>
      <c r="H3127" s="10">
        <v>45820</v>
      </c>
      <c r="I3127" s="6" t="s">
        <v>13081</v>
      </c>
      <c r="J3127" s="6" t="s">
        <v>85</v>
      </c>
      <c r="K3127" s="6" t="s">
        <v>55</v>
      </c>
      <c r="L3127" s="6" t="s">
        <v>85</v>
      </c>
      <c r="M3127" s="6" t="s">
        <v>13082</v>
      </c>
    </row>
    <row r="3128" spans="1:13" ht="13" x14ac:dyDescent="0.15">
      <c r="A3128" s="21" t="str">
        <f>HYPERLINK("https://onemount.atlassian.net/browse/DBA-1648","DBA-1648")</f>
        <v>DBA-1648</v>
      </c>
      <c r="B3128" s="6" t="s">
        <v>21</v>
      </c>
      <c r="C3128" s="6" t="s">
        <v>12335</v>
      </c>
      <c r="D3128" s="8" t="s">
        <v>17</v>
      </c>
      <c r="E3128" s="6" t="s">
        <v>23</v>
      </c>
      <c r="F3128" s="6" t="s">
        <v>96</v>
      </c>
      <c r="G3128" s="6" t="s">
        <v>13083</v>
      </c>
      <c r="H3128" s="10">
        <v>45822</v>
      </c>
      <c r="I3128" s="6" t="s">
        <v>13084</v>
      </c>
      <c r="J3128" s="6" t="s">
        <v>913</v>
      </c>
      <c r="K3128" s="6" t="s">
        <v>165</v>
      </c>
      <c r="L3128" s="6" t="s">
        <v>288</v>
      </c>
      <c r="M3128" s="6" t="s">
        <v>12338</v>
      </c>
    </row>
    <row r="3129" spans="1:13" ht="13" x14ac:dyDescent="0.15">
      <c r="A3129" s="5" t="str">
        <f>HYPERLINK("https://onemount.atlassian.net/browse/DBA-1647","DBA-1647")</f>
        <v>DBA-1647</v>
      </c>
      <c r="B3129" s="6" t="s">
        <v>21</v>
      </c>
      <c r="C3129" s="6" t="s">
        <v>13085</v>
      </c>
      <c r="D3129" s="8" t="s">
        <v>17</v>
      </c>
      <c r="E3129" s="6" t="s">
        <v>23</v>
      </c>
      <c r="F3129" s="6" t="s">
        <v>96</v>
      </c>
      <c r="G3129" s="6" t="s">
        <v>13086</v>
      </c>
      <c r="H3129" s="10">
        <v>45820</v>
      </c>
      <c r="I3129" s="6" t="s">
        <v>13087</v>
      </c>
      <c r="J3129" s="6" t="s">
        <v>254</v>
      </c>
      <c r="K3129" s="6" t="s">
        <v>55</v>
      </c>
      <c r="L3129" s="6" t="s">
        <v>254</v>
      </c>
      <c r="M3129" s="6" t="s">
        <v>13088</v>
      </c>
    </row>
    <row r="3130" spans="1:13" ht="13" x14ac:dyDescent="0.15">
      <c r="A3130" s="5" t="str">
        <f>HYPERLINK("https://onemount.atlassian.net/browse/DBA-1646","DBA-1646")</f>
        <v>DBA-1646</v>
      </c>
      <c r="B3130" s="6" t="s">
        <v>21</v>
      </c>
      <c r="C3130" s="6" t="s">
        <v>13089</v>
      </c>
      <c r="D3130" s="8" t="s">
        <v>17</v>
      </c>
      <c r="E3130" s="6" t="s">
        <v>23</v>
      </c>
      <c r="F3130" s="6" t="s">
        <v>31</v>
      </c>
      <c r="G3130" s="6" t="s">
        <v>13090</v>
      </c>
      <c r="H3130" s="10">
        <v>45821</v>
      </c>
      <c r="I3130" s="6" t="s">
        <v>13091</v>
      </c>
      <c r="J3130" s="6" t="s">
        <v>276</v>
      </c>
      <c r="K3130" s="6" t="s">
        <v>35</v>
      </c>
      <c r="L3130" s="6" t="s">
        <v>276</v>
      </c>
      <c r="M3130" s="6" t="s">
        <v>13092</v>
      </c>
    </row>
    <row r="3131" spans="1:13" ht="13" x14ac:dyDescent="0.15">
      <c r="A3131" s="5" t="str">
        <f>HYPERLINK("https://onemount.atlassian.net/browse/DBA-1645","DBA-1645")</f>
        <v>DBA-1645</v>
      </c>
      <c r="B3131" s="6" t="s">
        <v>21</v>
      </c>
      <c r="C3131" s="6" t="s">
        <v>9581</v>
      </c>
      <c r="D3131" s="8" t="s">
        <v>17</v>
      </c>
      <c r="E3131" s="6" t="s">
        <v>23</v>
      </c>
      <c r="F3131" s="6" t="s">
        <v>96</v>
      </c>
      <c r="G3131" s="6" t="s">
        <v>13093</v>
      </c>
      <c r="H3131" s="10">
        <v>45821</v>
      </c>
      <c r="I3131" s="6" t="s">
        <v>13094</v>
      </c>
      <c r="J3131" s="6" t="s">
        <v>8065</v>
      </c>
      <c r="K3131" s="6" t="s">
        <v>165</v>
      </c>
      <c r="L3131" s="6" t="s">
        <v>1084</v>
      </c>
      <c r="M3131" s="6" t="s">
        <v>13095</v>
      </c>
    </row>
    <row r="3132" spans="1:13" ht="13" x14ac:dyDescent="0.15">
      <c r="A3132" s="5" t="str">
        <f>HYPERLINK("https://onemount.atlassian.net/browse/DBA-1644","DBA-1644")</f>
        <v>DBA-1644</v>
      </c>
      <c r="B3132" s="6" t="s">
        <v>21</v>
      </c>
      <c r="C3132" s="6" t="s">
        <v>10235</v>
      </c>
      <c r="D3132" s="8" t="s">
        <v>17</v>
      </c>
      <c r="E3132" s="6" t="s">
        <v>23</v>
      </c>
      <c r="F3132" s="6" t="s">
        <v>96</v>
      </c>
      <c r="G3132" s="6" t="s">
        <v>13096</v>
      </c>
      <c r="H3132" s="10">
        <v>45820</v>
      </c>
      <c r="I3132" s="6" t="s">
        <v>13097</v>
      </c>
      <c r="J3132" s="6" t="s">
        <v>254</v>
      </c>
      <c r="K3132" s="6" t="s">
        <v>55</v>
      </c>
      <c r="L3132" s="6" t="s">
        <v>254</v>
      </c>
      <c r="M3132" s="6" t="s">
        <v>13098</v>
      </c>
    </row>
    <row r="3133" spans="1:13" ht="13" x14ac:dyDescent="0.15">
      <c r="A3133" s="5" t="str">
        <f>HYPERLINK("https://onemount.atlassian.net/browse/DBA-1641","DBA-1641")</f>
        <v>DBA-1641</v>
      </c>
      <c r="B3133" s="6" t="s">
        <v>21</v>
      </c>
      <c r="C3133" s="6" t="s">
        <v>13099</v>
      </c>
      <c r="D3133" s="8" t="s">
        <v>17</v>
      </c>
      <c r="E3133" s="6" t="s">
        <v>23</v>
      </c>
      <c r="F3133" s="6" t="s">
        <v>96</v>
      </c>
      <c r="G3133" s="6" t="s">
        <v>13100</v>
      </c>
      <c r="H3133" s="10">
        <v>45822</v>
      </c>
      <c r="I3133" s="6" t="s">
        <v>13101</v>
      </c>
      <c r="J3133" s="6" t="s">
        <v>1066</v>
      </c>
      <c r="K3133" s="6" t="s">
        <v>165</v>
      </c>
      <c r="L3133" s="6" t="s">
        <v>1066</v>
      </c>
      <c r="M3133" s="6" t="s">
        <v>13102</v>
      </c>
    </row>
    <row r="3134" spans="1:13" ht="13" x14ac:dyDescent="0.15">
      <c r="A3134" s="5" t="str">
        <f>HYPERLINK("https://onemount.atlassian.net/browse/DBA-1640","DBA-1640")</f>
        <v>DBA-1640</v>
      </c>
      <c r="B3134" s="6" t="s">
        <v>21</v>
      </c>
      <c r="C3134" s="6" t="s">
        <v>13103</v>
      </c>
      <c r="D3134" s="8" t="s">
        <v>17</v>
      </c>
      <c r="E3134" s="6" t="s">
        <v>23</v>
      </c>
      <c r="F3134" s="6" t="s">
        <v>24</v>
      </c>
      <c r="G3134" s="6" t="s">
        <v>13104</v>
      </c>
      <c r="H3134" s="10">
        <v>45820</v>
      </c>
      <c r="I3134" s="6" t="s">
        <v>13105</v>
      </c>
      <c r="J3134" s="6" t="s">
        <v>55</v>
      </c>
      <c r="K3134" s="6" t="s">
        <v>55</v>
      </c>
      <c r="L3134" s="6" t="s">
        <v>328</v>
      </c>
      <c r="M3134" s="6" t="s">
        <v>13106</v>
      </c>
    </row>
    <row r="3135" spans="1:13" ht="13" x14ac:dyDescent="0.15">
      <c r="A3135" s="5" t="str">
        <f>HYPERLINK("https://onemount.atlassian.net/browse/DBA-1639","DBA-1639")</f>
        <v>DBA-1639</v>
      </c>
      <c r="B3135" s="6" t="s">
        <v>21</v>
      </c>
      <c r="C3135" s="6" t="s">
        <v>12981</v>
      </c>
      <c r="D3135" s="8" t="s">
        <v>17</v>
      </c>
      <c r="E3135" s="6" t="s">
        <v>23</v>
      </c>
      <c r="F3135" s="6" t="s">
        <v>24</v>
      </c>
      <c r="G3135" s="6" t="s">
        <v>13107</v>
      </c>
      <c r="H3135" s="10">
        <v>45820</v>
      </c>
      <c r="I3135" s="6" t="s">
        <v>13108</v>
      </c>
      <c r="J3135" s="6" t="s">
        <v>55</v>
      </c>
      <c r="K3135" s="6" t="s">
        <v>55</v>
      </c>
      <c r="L3135" s="6" t="s">
        <v>328</v>
      </c>
      <c r="M3135" s="6" t="s">
        <v>13109</v>
      </c>
    </row>
    <row r="3136" spans="1:13" ht="13" x14ac:dyDescent="0.15">
      <c r="A3136" s="5" t="str">
        <f>HYPERLINK("https://onemount.atlassian.net/browse/DBA-1638","DBA-1638")</f>
        <v>DBA-1638</v>
      </c>
      <c r="B3136" s="6" t="s">
        <v>21</v>
      </c>
      <c r="C3136" s="6" t="s">
        <v>13110</v>
      </c>
      <c r="D3136" s="8" t="s">
        <v>17</v>
      </c>
      <c r="E3136" s="6" t="s">
        <v>23</v>
      </c>
      <c r="F3136" s="6" t="s">
        <v>96</v>
      </c>
      <c r="G3136" s="6" t="s">
        <v>13111</v>
      </c>
      <c r="H3136" s="10">
        <v>45822</v>
      </c>
      <c r="I3136" s="6" t="s">
        <v>13112</v>
      </c>
      <c r="J3136" s="6" t="s">
        <v>1898</v>
      </c>
      <c r="K3136" s="6" t="s">
        <v>165</v>
      </c>
      <c r="L3136" s="6" t="s">
        <v>1097</v>
      </c>
      <c r="M3136" s="6" t="s">
        <v>13113</v>
      </c>
    </row>
    <row r="3137" spans="1:13" ht="13" x14ac:dyDescent="0.15">
      <c r="A3137" s="5" t="str">
        <f>HYPERLINK("https://onemount.atlassian.net/browse/DBA-1636","DBA-1636")</f>
        <v>DBA-1636</v>
      </c>
      <c r="B3137" s="6" t="s">
        <v>21</v>
      </c>
      <c r="C3137" s="6" t="s">
        <v>12158</v>
      </c>
      <c r="D3137" s="8" t="s">
        <v>17</v>
      </c>
      <c r="E3137" s="6" t="s">
        <v>23</v>
      </c>
      <c r="F3137" s="6" t="s">
        <v>31</v>
      </c>
      <c r="G3137" s="6" t="s">
        <v>13114</v>
      </c>
      <c r="H3137" s="10">
        <v>45825</v>
      </c>
      <c r="I3137" s="6" t="s">
        <v>13115</v>
      </c>
      <c r="J3137" s="6" t="s">
        <v>13116</v>
      </c>
      <c r="K3137" s="6" t="s">
        <v>35</v>
      </c>
      <c r="L3137" s="6" t="s">
        <v>276</v>
      </c>
      <c r="M3137" s="6" t="s">
        <v>13117</v>
      </c>
    </row>
    <row r="3138" spans="1:13" ht="13" x14ac:dyDescent="0.15">
      <c r="A3138" s="5" t="str">
        <f>HYPERLINK("https://onemount.atlassian.net/browse/DBA-1635","DBA-1635")</f>
        <v>DBA-1635</v>
      </c>
      <c r="B3138" s="6" t="s">
        <v>21</v>
      </c>
      <c r="C3138" s="6" t="s">
        <v>13118</v>
      </c>
      <c r="D3138" s="8" t="s">
        <v>17</v>
      </c>
      <c r="E3138" s="6" t="s">
        <v>23</v>
      </c>
      <c r="F3138" s="6" t="s">
        <v>96</v>
      </c>
      <c r="G3138" s="6" t="s">
        <v>13119</v>
      </c>
      <c r="H3138" s="10">
        <v>45822</v>
      </c>
      <c r="I3138" s="6" t="s">
        <v>13120</v>
      </c>
      <c r="J3138" s="6" t="s">
        <v>715</v>
      </c>
      <c r="K3138" s="6" t="s">
        <v>55</v>
      </c>
      <c r="L3138" s="6" t="s">
        <v>715</v>
      </c>
      <c r="M3138" s="6" t="s">
        <v>13121</v>
      </c>
    </row>
    <row r="3139" spans="1:13" ht="13" x14ac:dyDescent="0.15">
      <c r="A3139" s="5" t="str">
        <f>HYPERLINK("https://onemount.atlassian.net/browse/DBA-1634","DBA-1634")</f>
        <v>DBA-1634</v>
      </c>
      <c r="B3139" s="6" t="s">
        <v>21</v>
      </c>
      <c r="C3139" s="6" t="s">
        <v>13122</v>
      </c>
      <c r="D3139" s="8" t="s">
        <v>17</v>
      </c>
      <c r="E3139" s="6" t="s">
        <v>23</v>
      </c>
      <c r="F3139" s="6" t="s">
        <v>24</v>
      </c>
      <c r="G3139" s="6" t="s">
        <v>13123</v>
      </c>
      <c r="H3139" s="10">
        <v>45819</v>
      </c>
      <c r="I3139" s="6" t="s">
        <v>13124</v>
      </c>
      <c r="J3139" s="6" t="s">
        <v>85</v>
      </c>
      <c r="K3139" s="6" t="s">
        <v>55</v>
      </c>
      <c r="L3139" s="6" t="s">
        <v>270</v>
      </c>
      <c r="M3139" s="6" t="s">
        <v>13125</v>
      </c>
    </row>
    <row r="3140" spans="1:13" ht="13" x14ac:dyDescent="0.15">
      <c r="A3140" s="5" t="str">
        <f>HYPERLINK("https://onemount.atlassian.net/browse/DBA-1633","DBA-1633")</f>
        <v>DBA-1633</v>
      </c>
      <c r="B3140" s="6" t="s">
        <v>21</v>
      </c>
      <c r="C3140" s="6" t="s">
        <v>13126</v>
      </c>
      <c r="D3140" s="8" t="s">
        <v>17</v>
      </c>
      <c r="E3140" s="6" t="s">
        <v>23</v>
      </c>
      <c r="F3140" s="6" t="s">
        <v>24</v>
      </c>
      <c r="G3140" s="6" t="s">
        <v>13127</v>
      </c>
      <c r="H3140" s="10">
        <v>45821</v>
      </c>
      <c r="I3140" s="6" t="s">
        <v>13128</v>
      </c>
      <c r="J3140" s="6" t="s">
        <v>3940</v>
      </c>
      <c r="K3140" s="6" t="s">
        <v>46</v>
      </c>
      <c r="L3140" s="6" t="s">
        <v>160</v>
      </c>
      <c r="M3140" s="6" t="s">
        <v>13129</v>
      </c>
    </row>
    <row r="3141" spans="1:13" ht="13" x14ac:dyDescent="0.15">
      <c r="A3141" s="5" t="str">
        <f>HYPERLINK("https://onemount.atlassian.net/browse/DBA-1630","DBA-1630")</f>
        <v>DBA-1630</v>
      </c>
      <c r="B3141" s="6" t="s">
        <v>21</v>
      </c>
      <c r="C3141" s="6" t="s">
        <v>13130</v>
      </c>
      <c r="D3141" s="8" t="s">
        <v>17</v>
      </c>
      <c r="E3141" s="6" t="s">
        <v>23</v>
      </c>
      <c r="F3141" s="6" t="s">
        <v>96</v>
      </c>
      <c r="G3141" s="6" t="s">
        <v>13131</v>
      </c>
      <c r="H3141" s="10">
        <v>45819</v>
      </c>
      <c r="I3141" s="6" t="s">
        <v>13132</v>
      </c>
      <c r="J3141" s="6" t="s">
        <v>1091</v>
      </c>
      <c r="K3141" s="6" t="s">
        <v>165</v>
      </c>
      <c r="L3141" s="6" t="s">
        <v>1091</v>
      </c>
      <c r="M3141" s="6" t="s">
        <v>13133</v>
      </c>
    </row>
    <row r="3142" spans="1:13" ht="13" x14ac:dyDescent="0.15">
      <c r="A3142" s="5" t="str">
        <f>HYPERLINK("https://onemount.atlassian.net/browse/DBA-1629","DBA-1629")</f>
        <v>DBA-1629</v>
      </c>
      <c r="B3142" s="6" t="s">
        <v>21</v>
      </c>
      <c r="C3142" s="6" t="s">
        <v>13134</v>
      </c>
      <c r="D3142" s="8" t="s">
        <v>17</v>
      </c>
      <c r="E3142" s="6" t="s">
        <v>23</v>
      </c>
      <c r="F3142" s="6" t="s">
        <v>24</v>
      </c>
      <c r="G3142" s="6" t="s">
        <v>13135</v>
      </c>
      <c r="H3142" s="10">
        <v>45820</v>
      </c>
      <c r="I3142" s="6" t="s">
        <v>13136</v>
      </c>
      <c r="J3142" s="6" t="s">
        <v>56</v>
      </c>
      <c r="K3142" s="6" t="s">
        <v>55</v>
      </c>
      <c r="L3142" s="6" t="s">
        <v>56</v>
      </c>
      <c r="M3142" s="6" t="s">
        <v>13137</v>
      </c>
    </row>
    <row r="3143" spans="1:13" ht="13" x14ac:dyDescent="0.15">
      <c r="A3143" s="5" t="str">
        <f>HYPERLINK("https://onemount.atlassian.net/browse/DBA-1628","DBA-1628")</f>
        <v>DBA-1628</v>
      </c>
      <c r="B3143" s="6" t="s">
        <v>21</v>
      </c>
      <c r="C3143" s="6" t="s">
        <v>13138</v>
      </c>
      <c r="D3143" s="8" t="s">
        <v>17</v>
      </c>
      <c r="E3143" s="6" t="s">
        <v>23</v>
      </c>
      <c r="F3143" s="6" t="s">
        <v>24</v>
      </c>
      <c r="G3143" s="6" t="s">
        <v>13139</v>
      </c>
      <c r="H3143" s="10">
        <v>45819</v>
      </c>
      <c r="I3143" s="6" t="s">
        <v>13140</v>
      </c>
      <c r="J3143" s="6" t="s">
        <v>628</v>
      </c>
      <c r="K3143" s="6" t="s">
        <v>35</v>
      </c>
      <c r="L3143" s="6" t="s">
        <v>628</v>
      </c>
      <c r="M3143" s="6" t="s">
        <v>13141</v>
      </c>
    </row>
    <row r="3144" spans="1:13" ht="13" x14ac:dyDescent="0.15">
      <c r="A3144" s="5" t="str">
        <f>HYPERLINK("https://onemount.atlassian.net/browse/DBA-1626","DBA-1626")</f>
        <v>DBA-1626</v>
      </c>
      <c r="B3144" s="6" t="s">
        <v>21</v>
      </c>
      <c r="C3144" s="6" t="s">
        <v>12600</v>
      </c>
      <c r="D3144" s="8" t="s">
        <v>17</v>
      </c>
      <c r="E3144" s="6" t="s">
        <v>23</v>
      </c>
      <c r="F3144" s="6" t="s">
        <v>24</v>
      </c>
      <c r="G3144" s="6" t="s">
        <v>13142</v>
      </c>
      <c r="H3144" s="10">
        <v>45820</v>
      </c>
      <c r="I3144" s="6" t="s">
        <v>13143</v>
      </c>
      <c r="J3144" s="6" t="s">
        <v>34</v>
      </c>
      <c r="K3144" s="6" t="s">
        <v>35</v>
      </c>
      <c r="L3144" s="6" t="s">
        <v>36</v>
      </c>
      <c r="M3144" s="6" t="s">
        <v>13144</v>
      </c>
    </row>
    <row r="3145" spans="1:13" ht="13" x14ac:dyDescent="0.15">
      <c r="A3145" s="5" t="str">
        <f>HYPERLINK("https://onemount.atlassian.net/browse/DBA-1625","DBA-1625")</f>
        <v>DBA-1625</v>
      </c>
      <c r="B3145" s="6" t="s">
        <v>21</v>
      </c>
      <c r="C3145" s="6" t="s">
        <v>13145</v>
      </c>
      <c r="D3145" s="8" t="s">
        <v>17</v>
      </c>
      <c r="E3145" s="6" t="s">
        <v>23</v>
      </c>
      <c r="F3145" s="6" t="s">
        <v>31</v>
      </c>
      <c r="G3145" s="6" t="s">
        <v>13146</v>
      </c>
      <c r="H3145" s="10">
        <v>45818</v>
      </c>
      <c r="I3145" s="6" t="s">
        <v>13147</v>
      </c>
      <c r="J3145" s="6" t="s">
        <v>56</v>
      </c>
      <c r="K3145" s="6" t="s">
        <v>55</v>
      </c>
      <c r="L3145" s="6" t="s">
        <v>56</v>
      </c>
      <c r="M3145" s="6" t="s">
        <v>13148</v>
      </c>
    </row>
    <row r="3146" spans="1:13" ht="13" x14ac:dyDescent="0.15">
      <c r="A3146" s="5" t="str">
        <f>HYPERLINK("https://onemount.atlassian.net/browse/DBA-1624","DBA-1624")</f>
        <v>DBA-1624</v>
      </c>
      <c r="B3146" s="6" t="s">
        <v>21</v>
      </c>
      <c r="C3146" s="6" t="s">
        <v>13149</v>
      </c>
      <c r="D3146" s="8" t="s">
        <v>17</v>
      </c>
      <c r="E3146" s="6" t="s">
        <v>23</v>
      </c>
      <c r="F3146" s="6" t="s">
        <v>31</v>
      </c>
      <c r="G3146" s="6" t="s">
        <v>13150</v>
      </c>
      <c r="H3146" s="10">
        <v>45818</v>
      </c>
      <c r="I3146" s="6" t="s">
        <v>13151</v>
      </c>
      <c r="J3146" s="6" t="s">
        <v>1564</v>
      </c>
      <c r="K3146" s="6" t="s">
        <v>35</v>
      </c>
      <c r="L3146" s="6" t="s">
        <v>36</v>
      </c>
      <c r="M3146" s="6" t="s">
        <v>13152</v>
      </c>
    </row>
    <row r="3147" spans="1:13" ht="13" x14ac:dyDescent="0.15">
      <c r="A3147" s="5" t="str">
        <f>HYPERLINK("https://onemount.atlassian.net/browse/DBA-1623","DBA-1623")</f>
        <v>DBA-1623</v>
      </c>
      <c r="B3147" s="6" t="s">
        <v>21</v>
      </c>
      <c r="C3147" s="6" t="s">
        <v>12158</v>
      </c>
      <c r="D3147" s="8" t="s">
        <v>17</v>
      </c>
      <c r="E3147" s="6" t="s">
        <v>23</v>
      </c>
      <c r="F3147" s="6" t="s">
        <v>31</v>
      </c>
      <c r="G3147" s="6" t="s">
        <v>13153</v>
      </c>
      <c r="H3147" s="10">
        <v>45825</v>
      </c>
      <c r="I3147" s="6" t="s">
        <v>13154</v>
      </c>
      <c r="J3147" s="6" t="s">
        <v>12023</v>
      </c>
      <c r="K3147" s="6" t="s">
        <v>35</v>
      </c>
      <c r="L3147" s="6" t="s">
        <v>276</v>
      </c>
      <c r="M3147" s="6" t="s">
        <v>13155</v>
      </c>
    </row>
    <row r="3148" spans="1:13" ht="13" x14ac:dyDescent="0.15">
      <c r="A3148" s="5" t="str">
        <f>HYPERLINK("https://onemount.atlassian.net/browse/DBA-1622","DBA-1622")</f>
        <v>DBA-1622</v>
      </c>
      <c r="B3148" s="6" t="s">
        <v>21</v>
      </c>
      <c r="C3148" s="6" t="s">
        <v>13156</v>
      </c>
      <c r="D3148" s="8" t="s">
        <v>17</v>
      </c>
      <c r="E3148" s="6" t="s">
        <v>23</v>
      </c>
      <c r="F3148" s="6" t="s">
        <v>24</v>
      </c>
      <c r="G3148" s="6" t="s">
        <v>13157</v>
      </c>
      <c r="H3148" s="10">
        <v>45819</v>
      </c>
      <c r="I3148" s="6" t="s">
        <v>13158</v>
      </c>
      <c r="J3148" s="6" t="s">
        <v>13159</v>
      </c>
      <c r="K3148" s="6" t="s">
        <v>46</v>
      </c>
      <c r="L3148" s="6" t="s">
        <v>39</v>
      </c>
      <c r="M3148" s="6" t="s">
        <v>13160</v>
      </c>
    </row>
    <row r="3149" spans="1:13" ht="13" x14ac:dyDescent="0.15">
      <c r="A3149" s="5" t="str">
        <f>HYPERLINK("https://onemount.atlassian.net/browse/DBA-1621","DBA-1621")</f>
        <v>DBA-1621</v>
      </c>
      <c r="B3149" s="6" t="s">
        <v>21</v>
      </c>
      <c r="C3149" s="6" t="s">
        <v>13062</v>
      </c>
      <c r="D3149" s="8" t="s">
        <v>17</v>
      </c>
      <c r="E3149" s="6" t="s">
        <v>23</v>
      </c>
      <c r="F3149" s="6" t="s">
        <v>96</v>
      </c>
      <c r="G3149" s="6" t="s">
        <v>13161</v>
      </c>
      <c r="H3149" s="10">
        <v>45818</v>
      </c>
      <c r="I3149" s="6" t="s">
        <v>13162</v>
      </c>
      <c r="J3149" s="6" t="s">
        <v>1898</v>
      </c>
      <c r="K3149" s="6" t="s">
        <v>165</v>
      </c>
      <c r="L3149" s="6" t="s">
        <v>1097</v>
      </c>
      <c r="M3149" s="6" t="s">
        <v>13163</v>
      </c>
    </row>
    <row r="3150" spans="1:13" ht="13" x14ac:dyDescent="0.15">
      <c r="A3150" s="5" t="str">
        <f>HYPERLINK("https://onemount.atlassian.net/browse/DBA-1619","DBA-1619")</f>
        <v>DBA-1619</v>
      </c>
      <c r="B3150" s="6" t="s">
        <v>21</v>
      </c>
      <c r="C3150" s="6" t="s">
        <v>13164</v>
      </c>
      <c r="D3150" s="8" t="s">
        <v>17</v>
      </c>
      <c r="E3150" s="6" t="s">
        <v>23</v>
      </c>
      <c r="F3150" s="6" t="s">
        <v>96</v>
      </c>
      <c r="G3150" s="6" t="s">
        <v>13165</v>
      </c>
      <c r="H3150" s="10">
        <v>45818</v>
      </c>
      <c r="I3150" s="6" t="s">
        <v>13166</v>
      </c>
      <c r="J3150" s="6" t="s">
        <v>55</v>
      </c>
      <c r="K3150" s="6" t="s">
        <v>55</v>
      </c>
      <c r="L3150" s="6" t="s">
        <v>254</v>
      </c>
      <c r="M3150" s="6" t="s">
        <v>13167</v>
      </c>
    </row>
    <row r="3151" spans="1:13" ht="13" x14ac:dyDescent="0.15">
      <c r="A3151" s="5" t="str">
        <f>HYPERLINK("https://onemount.atlassian.net/browse/DBA-1618","DBA-1618")</f>
        <v>DBA-1618</v>
      </c>
      <c r="B3151" s="6" t="s">
        <v>21</v>
      </c>
      <c r="C3151" s="6" t="s">
        <v>13168</v>
      </c>
      <c r="D3151" s="8" t="s">
        <v>17</v>
      </c>
      <c r="E3151" s="6" t="s">
        <v>23</v>
      </c>
      <c r="F3151" s="6" t="s">
        <v>96</v>
      </c>
      <c r="G3151" s="6" t="s">
        <v>13169</v>
      </c>
      <c r="H3151" s="10">
        <v>45818</v>
      </c>
      <c r="I3151" s="6" t="s">
        <v>13170</v>
      </c>
      <c r="J3151" s="6" t="s">
        <v>8808</v>
      </c>
      <c r="K3151" s="6" t="s">
        <v>165</v>
      </c>
      <c r="L3151" s="6" t="s">
        <v>1076</v>
      </c>
      <c r="M3151" s="6" t="s">
        <v>13171</v>
      </c>
    </row>
    <row r="3152" spans="1:13" ht="13" x14ac:dyDescent="0.15">
      <c r="A3152" s="5" t="str">
        <f>HYPERLINK("https://onemount.atlassian.net/browse/DBA-1617","DBA-1617")</f>
        <v>DBA-1617</v>
      </c>
      <c r="B3152" s="6" t="s">
        <v>21</v>
      </c>
      <c r="C3152" s="6" t="s">
        <v>13172</v>
      </c>
      <c r="D3152" s="8" t="s">
        <v>17</v>
      </c>
      <c r="E3152" s="6" t="s">
        <v>23</v>
      </c>
      <c r="F3152" s="6" t="s">
        <v>96</v>
      </c>
      <c r="G3152" s="6" t="s">
        <v>13173</v>
      </c>
      <c r="H3152" s="10">
        <v>45817</v>
      </c>
      <c r="I3152" s="6" t="s">
        <v>13174</v>
      </c>
      <c r="J3152" s="6" t="s">
        <v>254</v>
      </c>
      <c r="K3152" s="6" t="s">
        <v>55</v>
      </c>
      <c r="L3152" s="6" t="s">
        <v>254</v>
      </c>
      <c r="M3152" s="6" t="s">
        <v>13175</v>
      </c>
    </row>
    <row r="3153" spans="1:13" ht="13" x14ac:dyDescent="0.15">
      <c r="A3153" s="5" t="str">
        <f>HYPERLINK("https://onemount.atlassian.net/browse/DBA-1616","DBA-1616")</f>
        <v>DBA-1616</v>
      </c>
      <c r="B3153" s="6" t="s">
        <v>21</v>
      </c>
      <c r="C3153" s="6" t="s">
        <v>13176</v>
      </c>
      <c r="D3153" s="8" t="s">
        <v>17</v>
      </c>
      <c r="E3153" s="6" t="s">
        <v>23</v>
      </c>
      <c r="F3153" s="6" t="s">
        <v>96</v>
      </c>
      <c r="G3153" s="6" t="s">
        <v>13177</v>
      </c>
      <c r="H3153" s="10">
        <v>45817</v>
      </c>
      <c r="I3153" s="6" t="s">
        <v>13178</v>
      </c>
      <c r="J3153" s="6" t="s">
        <v>85</v>
      </c>
      <c r="K3153" s="6" t="s">
        <v>55</v>
      </c>
      <c r="L3153" s="6" t="s">
        <v>85</v>
      </c>
      <c r="M3153" s="6" t="s">
        <v>13179</v>
      </c>
    </row>
    <row r="3154" spans="1:13" ht="13" x14ac:dyDescent="0.15">
      <c r="A3154" s="5" t="str">
        <f>HYPERLINK("https://onemount.atlassian.net/browse/DBA-1615","DBA-1615")</f>
        <v>DBA-1615</v>
      </c>
      <c r="B3154" s="6" t="s">
        <v>21</v>
      </c>
      <c r="C3154" s="6" t="s">
        <v>13180</v>
      </c>
      <c r="D3154" s="8" t="s">
        <v>17</v>
      </c>
      <c r="E3154" s="6" t="s">
        <v>23</v>
      </c>
      <c r="F3154" s="6" t="s">
        <v>96</v>
      </c>
      <c r="G3154" s="6" t="s">
        <v>13181</v>
      </c>
      <c r="H3154" s="10">
        <v>45817</v>
      </c>
      <c r="I3154" s="6" t="s">
        <v>13182</v>
      </c>
      <c r="J3154" s="6" t="s">
        <v>13183</v>
      </c>
      <c r="K3154" s="6" t="s">
        <v>46</v>
      </c>
      <c r="L3154" s="6" t="s">
        <v>164</v>
      </c>
      <c r="M3154" s="6" t="s">
        <v>13184</v>
      </c>
    </row>
    <row r="3155" spans="1:13" ht="13" x14ac:dyDescent="0.15">
      <c r="A3155" s="5" t="str">
        <f>HYPERLINK("https://onemount.atlassian.net/browse/DBA-1614","DBA-1614")</f>
        <v>DBA-1614</v>
      </c>
      <c r="B3155" s="6" t="s">
        <v>21</v>
      </c>
      <c r="C3155" s="6" t="s">
        <v>13185</v>
      </c>
      <c r="D3155" s="8" t="s">
        <v>17</v>
      </c>
      <c r="E3155" s="6" t="s">
        <v>23</v>
      </c>
      <c r="F3155" s="6" t="s">
        <v>96</v>
      </c>
      <c r="G3155" s="6" t="s">
        <v>13186</v>
      </c>
      <c r="H3155" s="10">
        <v>45815</v>
      </c>
      <c r="I3155" s="6" t="s">
        <v>13187</v>
      </c>
      <c r="J3155" s="6" t="s">
        <v>85</v>
      </c>
      <c r="K3155" s="6" t="s">
        <v>55</v>
      </c>
      <c r="L3155" s="6" t="s">
        <v>85</v>
      </c>
      <c r="M3155" s="6" t="s">
        <v>13188</v>
      </c>
    </row>
    <row r="3156" spans="1:13" ht="13" x14ac:dyDescent="0.15">
      <c r="A3156" s="5" t="str">
        <f>HYPERLINK("https://onemount.atlassian.net/browse/DBA-1611","DBA-1611")</f>
        <v>DBA-1611</v>
      </c>
      <c r="B3156" s="6" t="s">
        <v>21</v>
      </c>
      <c r="C3156" s="6" t="s">
        <v>12158</v>
      </c>
      <c r="D3156" s="8" t="s">
        <v>17</v>
      </c>
      <c r="E3156" s="6" t="s">
        <v>23</v>
      </c>
      <c r="F3156" s="6" t="s">
        <v>24</v>
      </c>
      <c r="G3156" s="6" t="s">
        <v>13189</v>
      </c>
      <c r="H3156" s="10">
        <v>45814</v>
      </c>
      <c r="I3156" s="6" t="s">
        <v>13190</v>
      </c>
      <c r="J3156" s="6" t="s">
        <v>12023</v>
      </c>
      <c r="K3156" s="6" t="s">
        <v>35</v>
      </c>
      <c r="L3156" s="6" t="s">
        <v>276</v>
      </c>
      <c r="M3156" s="6" t="s">
        <v>13191</v>
      </c>
    </row>
    <row r="3157" spans="1:13" ht="13" x14ac:dyDescent="0.15">
      <c r="A3157" s="5" t="str">
        <f>HYPERLINK("https://onemount.atlassian.net/browse/DBA-1610","DBA-1610")</f>
        <v>DBA-1610</v>
      </c>
      <c r="B3157" s="6" t="s">
        <v>21</v>
      </c>
      <c r="C3157" s="6" t="s">
        <v>13192</v>
      </c>
      <c r="D3157" s="8" t="s">
        <v>17</v>
      </c>
      <c r="E3157" s="6" t="s">
        <v>23</v>
      </c>
      <c r="F3157" s="6" t="s">
        <v>31</v>
      </c>
      <c r="G3157" s="6" t="s">
        <v>13193</v>
      </c>
      <c r="H3157" s="10">
        <v>45815</v>
      </c>
      <c r="I3157" s="6" t="s">
        <v>13194</v>
      </c>
      <c r="J3157" s="6" t="s">
        <v>6804</v>
      </c>
      <c r="K3157" s="6" t="s">
        <v>165</v>
      </c>
      <c r="L3157" s="6" t="s">
        <v>338</v>
      </c>
      <c r="M3157" s="6" t="s">
        <v>13195</v>
      </c>
    </row>
    <row r="3158" spans="1:13" ht="13" x14ac:dyDescent="0.15">
      <c r="A3158" s="5" t="str">
        <f>HYPERLINK("https://onemount.atlassian.net/browse/DBA-1609","DBA-1609")</f>
        <v>DBA-1609</v>
      </c>
      <c r="B3158" s="6" t="s">
        <v>21</v>
      </c>
      <c r="C3158" s="6" t="s">
        <v>13196</v>
      </c>
      <c r="D3158" s="8" t="s">
        <v>17</v>
      </c>
      <c r="E3158" s="6" t="s">
        <v>23</v>
      </c>
      <c r="F3158" s="6" t="s">
        <v>24</v>
      </c>
      <c r="G3158" s="6" t="s">
        <v>13197</v>
      </c>
      <c r="H3158" s="10">
        <v>45815</v>
      </c>
      <c r="I3158" s="6" t="s">
        <v>13198</v>
      </c>
      <c r="J3158" s="6" t="s">
        <v>56</v>
      </c>
      <c r="K3158" s="6" t="s">
        <v>55</v>
      </c>
      <c r="L3158" s="6" t="s">
        <v>56</v>
      </c>
      <c r="M3158" s="6" t="s">
        <v>13199</v>
      </c>
    </row>
    <row r="3159" spans="1:13" ht="13" x14ac:dyDescent="0.15">
      <c r="A3159" s="5" t="str">
        <f>HYPERLINK("https://onemount.atlassian.net/browse/DBA-1608","DBA-1608")</f>
        <v>DBA-1608</v>
      </c>
      <c r="B3159" s="6" t="s">
        <v>21</v>
      </c>
      <c r="C3159" s="6" t="s">
        <v>13200</v>
      </c>
      <c r="D3159" s="8" t="s">
        <v>17</v>
      </c>
      <c r="E3159" s="6" t="s">
        <v>23</v>
      </c>
      <c r="F3159" s="6" t="s">
        <v>24</v>
      </c>
      <c r="G3159" s="6" t="s">
        <v>13201</v>
      </c>
      <c r="H3159" s="10">
        <v>45814</v>
      </c>
      <c r="I3159" s="6" t="s">
        <v>13202</v>
      </c>
      <c r="J3159" s="6" t="s">
        <v>55</v>
      </c>
      <c r="K3159" s="6" t="s">
        <v>55</v>
      </c>
      <c r="L3159" s="6" t="s">
        <v>56</v>
      </c>
      <c r="M3159" s="6" t="s">
        <v>13203</v>
      </c>
    </row>
    <row r="3160" spans="1:13" ht="13" x14ac:dyDescent="0.15">
      <c r="A3160" s="5" t="str">
        <f>HYPERLINK("https://onemount.atlassian.net/browse/DBA-1607","DBA-1607")</f>
        <v>DBA-1607</v>
      </c>
      <c r="B3160" s="6" t="s">
        <v>21</v>
      </c>
      <c r="C3160" s="6" t="s">
        <v>13204</v>
      </c>
      <c r="D3160" s="8" t="s">
        <v>17</v>
      </c>
      <c r="E3160" s="6" t="s">
        <v>23</v>
      </c>
      <c r="F3160" s="6" t="s">
        <v>24</v>
      </c>
      <c r="G3160" s="6" t="s">
        <v>13205</v>
      </c>
      <c r="H3160" s="10">
        <v>45815</v>
      </c>
      <c r="I3160" s="6" t="s">
        <v>13206</v>
      </c>
      <c r="J3160" s="6" t="s">
        <v>56</v>
      </c>
      <c r="K3160" s="6" t="s">
        <v>55</v>
      </c>
      <c r="L3160" s="6" t="s">
        <v>56</v>
      </c>
      <c r="M3160" s="6" t="s">
        <v>13207</v>
      </c>
    </row>
    <row r="3161" spans="1:13" ht="13" x14ac:dyDescent="0.15">
      <c r="A3161" s="5" t="str">
        <f>HYPERLINK("https://onemount.atlassian.net/browse/DBA-1606","DBA-1606")</f>
        <v>DBA-1606</v>
      </c>
      <c r="B3161" s="6" t="s">
        <v>21</v>
      </c>
      <c r="C3161" s="6" t="s">
        <v>13208</v>
      </c>
      <c r="D3161" s="8" t="s">
        <v>17</v>
      </c>
      <c r="E3161" s="6" t="s">
        <v>23</v>
      </c>
      <c r="F3161" s="6" t="s">
        <v>24</v>
      </c>
      <c r="G3161" s="6" t="s">
        <v>13209</v>
      </c>
      <c r="H3161" s="10">
        <v>45814</v>
      </c>
      <c r="I3161" s="6" t="s">
        <v>13210</v>
      </c>
      <c r="J3161" s="6" t="s">
        <v>645</v>
      </c>
      <c r="K3161" s="6" t="s">
        <v>165</v>
      </c>
      <c r="L3161" s="6" t="s">
        <v>645</v>
      </c>
      <c r="M3161" s="6" t="s">
        <v>13211</v>
      </c>
    </row>
    <row r="3162" spans="1:13" ht="13" x14ac:dyDescent="0.15">
      <c r="A3162" s="5" t="str">
        <f>HYPERLINK("https://onemount.atlassian.net/browse/DBA-1605","DBA-1605")</f>
        <v>DBA-1605</v>
      </c>
      <c r="B3162" s="6" t="s">
        <v>21</v>
      </c>
      <c r="C3162" s="6" t="s">
        <v>13212</v>
      </c>
      <c r="D3162" s="8" t="s">
        <v>17</v>
      </c>
      <c r="E3162" s="6" t="s">
        <v>23</v>
      </c>
      <c r="F3162" s="6" t="s">
        <v>24</v>
      </c>
      <c r="G3162" s="6" t="s">
        <v>13213</v>
      </c>
      <c r="H3162" s="10">
        <v>45813</v>
      </c>
      <c r="I3162" s="6" t="s">
        <v>13214</v>
      </c>
      <c r="J3162" s="6" t="s">
        <v>55</v>
      </c>
      <c r="K3162" s="6" t="s">
        <v>55</v>
      </c>
      <c r="L3162" s="6" t="s">
        <v>56</v>
      </c>
      <c r="M3162" s="6" t="s">
        <v>13215</v>
      </c>
    </row>
    <row r="3163" spans="1:13" ht="13" x14ac:dyDescent="0.15">
      <c r="A3163" s="5" t="str">
        <f>HYPERLINK("https://onemount.atlassian.net/browse/DBA-1604","DBA-1604")</f>
        <v>DBA-1604</v>
      </c>
      <c r="B3163" s="6" t="s">
        <v>21</v>
      </c>
      <c r="C3163" s="6" t="s">
        <v>13216</v>
      </c>
      <c r="D3163" s="8" t="s">
        <v>17</v>
      </c>
      <c r="E3163" s="6" t="s">
        <v>23</v>
      </c>
      <c r="F3163" s="6" t="s">
        <v>96</v>
      </c>
      <c r="G3163" s="6" t="s">
        <v>13217</v>
      </c>
      <c r="H3163" s="10">
        <v>45813</v>
      </c>
      <c r="I3163" s="6" t="s">
        <v>13218</v>
      </c>
      <c r="J3163" s="6" t="s">
        <v>254</v>
      </c>
      <c r="K3163" s="6" t="s">
        <v>55</v>
      </c>
      <c r="L3163" s="6" t="s">
        <v>254</v>
      </c>
      <c r="M3163" s="6" t="s">
        <v>13219</v>
      </c>
    </row>
    <row r="3164" spans="1:13" ht="13" x14ac:dyDescent="0.15">
      <c r="A3164" s="5" t="str">
        <f>HYPERLINK("https://onemount.atlassian.net/browse/DBA-1603","DBA-1603")</f>
        <v>DBA-1603</v>
      </c>
      <c r="B3164" s="6" t="s">
        <v>21</v>
      </c>
      <c r="C3164" s="6" t="s">
        <v>13220</v>
      </c>
      <c r="D3164" s="8" t="s">
        <v>17</v>
      </c>
      <c r="E3164" s="6" t="s">
        <v>23</v>
      </c>
      <c r="F3164" s="6" t="s">
        <v>31</v>
      </c>
      <c r="G3164" s="6" t="s">
        <v>13221</v>
      </c>
      <c r="H3164" s="10">
        <v>45814</v>
      </c>
      <c r="I3164" s="6" t="s">
        <v>13222</v>
      </c>
      <c r="J3164" s="6" t="s">
        <v>11906</v>
      </c>
      <c r="K3164" s="6" t="s">
        <v>35</v>
      </c>
      <c r="L3164" s="6" t="s">
        <v>962</v>
      </c>
      <c r="M3164" s="6" t="s">
        <v>13223</v>
      </c>
    </row>
    <row r="3165" spans="1:13" ht="13" x14ac:dyDescent="0.15">
      <c r="A3165" s="5" t="str">
        <f>HYPERLINK("https://onemount.atlassian.net/browse/DBA-1602","DBA-1602")</f>
        <v>DBA-1602</v>
      </c>
      <c r="B3165" s="6" t="s">
        <v>21</v>
      </c>
      <c r="C3165" s="6" t="s">
        <v>13224</v>
      </c>
      <c r="D3165" s="8" t="s">
        <v>17</v>
      </c>
      <c r="E3165" s="6" t="s">
        <v>23</v>
      </c>
      <c r="F3165" s="6" t="s">
        <v>96</v>
      </c>
      <c r="G3165" s="6" t="s">
        <v>13225</v>
      </c>
      <c r="H3165" s="10">
        <v>45814</v>
      </c>
      <c r="I3165" s="6" t="s">
        <v>13226</v>
      </c>
      <c r="J3165" s="6" t="s">
        <v>2453</v>
      </c>
      <c r="K3165" s="6" t="s">
        <v>165</v>
      </c>
      <c r="L3165" s="6" t="s">
        <v>119</v>
      </c>
      <c r="M3165" s="6" t="s">
        <v>13227</v>
      </c>
    </row>
    <row r="3166" spans="1:13" ht="13" x14ac:dyDescent="0.15">
      <c r="A3166" s="5" t="str">
        <f>HYPERLINK("https://onemount.atlassian.net/browse/DBA-1601","DBA-1601")</f>
        <v>DBA-1601</v>
      </c>
      <c r="B3166" s="6" t="s">
        <v>21</v>
      </c>
      <c r="C3166" s="6" t="s">
        <v>13228</v>
      </c>
      <c r="D3166" s="8" t="s">
        <v>17</v>
      </c>
      <c r="E3166" s="6" t="s">
        <v>23</v>
      </c>
      <c r="F3166" s="6" t="s">
        <v>96</v>
      </c>
      <c r="G3166" s="6" t="s">
        <v>13229</v>
      </c>
      <c r="H3166" s="10">
        <v>45843</v>
      </c>
      <c r="I3166" s="6" t="s">
        <v>13230</v>
      </c>
      <c r="J3166" s="6" t="s">
        <v>55</v>
      </c>
      <c r="K3166" s="6" t="s">
        <v>55</v>
      </c>
      <c r="L3166" s="6" t="s">
        <v>895</v>
      </c>
      <c r="M3166" s="6" t="s">
        <v>13231</v>
      </c>
    </row>
    <row r="3167" spans="1:13" ht="13" x14ac:dyDescent="0.15">
      <c r="A3167" s="5" t="str">
        <f>HYPERLINK("https://onemount.atlassian.net/browse/DBA-1600","DBA-1600")</f>
        <v>DBA-1600</v>
      </c>
      <c r="B3167" s="6" t="s">
        <v>21</v>
      </c>
      <c r="C3167" s="6" t="s">
        <v>13232</v>
      </c>
      <c r="D3167" s="8" t="s">
        <v>17</v>
      </c>
      <c r="E3167" s="6" t="s">
        <v>23</v>
      </c>
      <c r="F3167" s="6" t="s">
        <v>96</v>
      </c>
      <c r="G3167" s="6" t="s">
        <v>13233</v>
      </c>
      <c r="H3167" s="10">
        <v>45815</v>
      </c>
      <c r="I3167" s="6" t="s">
        <v>13234</v>
      </c>
      <c r="J3167" s="6" t="s">
        <v>55</v>
      </c>
      <c r="K3167" s="6" t="s">
        <v>55</v>
      </c>
      <c r="L3167" s="6" t="s">
        <v>738</v>
      </c>
      <c r="M3167" s="6" t="s">
        <v>13235</v>
      </c>
    </row>
    <row r="3168" spans="1:13" ht="13" x14ac:dyDescent="0.15">
      <c r="A3168" s="5" t="str">
        <f>HYPERLINK("https://onemount.atlassian.net/browse/DBA-1599","DBA-1599")</f>
        <v>DBA-1599</v>
      </c>
      <c r="B3168" s="6" t="s">
        <v>21</v>
      </c>
      <c r="C3168" s="6" t="s">
        <v>13236</v>
      </c>
      <c r="D3168" s="8" t="s">
        <v>17</v>
      </c>
      <c r="E3168" s="6" t="s">
        <v>23</v>
      </c>
      <c r="F3168" s="6" t="s">
        <v>31</v>
      </c>
      <c r="G3168" s="6" t="s">
        <v>13237</v>
      </c>
      <c r="H3168" s="10">
        <v>45814</v>
      </c>
      <c r="I3168" s="6" t="s">
        <v>13238</v>
      </c>
      <c r="J3168" s="6" t="s">
        <v>11906</v>
      </c>
      <c r="K3168" s="6" t="s">
        <v>35</v>
      </c>
      <c r="L3168" s="6" t="s">
        <v>962</v>
      </c>
      <c r="M3168" s="6" t="s">
        <v>13239</v>
      </c>
    </row>
    <row r="3169" spans="1:13" ht="13" x14ac:dyDescent="0.15">
      <c r="A3169" s="5" t="str">
        <f>HYPERLINK("https://onemount.atlassian.net/browse/DBA-1598","DBA-1598")</f>
        <v>DBA-1598</v>
      </c>
      <c r="B3169" s="6" t="s">
        <v>21</v>
      </c>
      <c r="C3169" s="6" t="s">
        <v>13240</v>
      </c>
      <c r="D3169" s="8" t="s">
        <v>17</v>
      </c>
      <c r="E3169" s="6" t="s">
        <v>23</v>
      </c>
      <c r="F3169" s="6" t="s">
        <v>24</v>
      </c>
      <c r="G3169" s="6" t="s">
        <v>13241</v>
      </c>
      <c r="H3169" s="10">
        <v>45813</v>
      </c>
      <c r="I3169" s="6" t="s">
        <v>13242</v>
      </c>
      <c r="J3169" s="6" t="s">
        <v>628</v>
      </c>
      <c r="K3169" s="6" t="s">
        <v>35</v>
      </c>
      <c r="L3169" s="6" t="s">
        <v>628</v>
      </c>
      <c r="M3169" s="6" t="s">
        <v>13243</v>
      </c>
    </row>
    <row r="3170" spans="1:13" ht="13" x14ac:dyDescent="0.15">
      <c r="A3170" s="5" t="str">
        <f>HYPERLINK("https://onemount.atlassian.net/browse/DBA-1597","DBA-1597")</f>
        <v>DBA-1597</v>
      </c>
      <c r="B3170" s="6" t="s">
        <v>21</v>
      </c>
      <c r="C3170" s="6" t="s">
        <v>12981</v>
      </c>
      <c r="D3170" s="8" t="s">
        <v>17</v>
      </c>
      <c r="E3170" s="6" t="s">
        <v>23</v>
      </c>
      <c r="F3170" s="6" t="s">
        <v>31</v>
      </c>
      <c r="G3170" s="6" t="s">
        <v>13244</v>
      </c>
      <c r="H3170" s="10">
        <v>45813</v>
      </c>
      <c r="I3170" s="6" t="s">
        <v>13245</v>
      </c>
      <c r="J3170" s="6" t="s">
        <v>55</v>
      </c>
      <c r="K3170" s="6" t="s">
        <v>55</v>
      </c>
      <c r="L3170" s="6" t="s">
        <v>979</v>
      </c>
      <c r="M3170" s="6" t="s">
        <v>13246</v>
      </c>
    </row>
    <row r="3171" spans="1:13" ht="13" x14ac:dyDescent="0.15">
      <c r="A3171" s="5" t="str">
        <f>HYPERLINK("https://onemount.atlassian.net/browse/DBA-1596","DBA-1596")</f>
        <v>DBA-1596</v>
      </c>
      <c r="B3171" s="6" t="s">
        <v>21</v>
      </c>
      <c r="C3171" s="6" t="s">
        <v>13247</v>
      </c>
      <c r="D3171" s="8" t="s">
        <v>17</v>
      </c>
      <c r="E3171" s="6" t="s">
        <v>23</v>
      </c>
      <c r="F3171" s="6" t="s">
        <v>96</v>
      </c>
      <c r="G3171" s="6" t="s">
        <v>13248</v>
      </c>
      <c r="H3171" s="10">
        <v>45813</v>
      </c>
      <c r="I3171" s="6" t="s">
        <v>13249</v>
      </c>
      <c r="J3171" s="6" t="s">
        <v>2453</v>
      </c>
      <c r="K3171" s="6" t="s">
        <v>165</v>
      </c>
      <c r="L3171" s="6" t="s">
        <v>119</v>
      </c>
      <c r="M3171" s="6" t="s">
        <v>13250</v>
      </c>
    </row>
    <row r="3172" spans="1:13" ht="13" x14ac:dyDescent="0.15">
      <c r="A3172" s="5" t="str">
        <f>HYPERLINK("https://onemount.atlassian.net/browse/DBA-1593","DBA-1593")</f>
        <v>DBA-1593</v>
      </c>
      <c r="B3172" s="6" t="s">
        <v>21</v>
      </c>
      <c r="C3172" s="6" t="s">
        <v>13251</v>
      </c>
      <c r="D3172" s="8" t="s">
        <v>17</v>
      </c>
      <c r="E3172" s="6" t="s">
        <v>23</v>
      </c>
      <c r="F3172" s="6" t="s">
        <v>96</v>
      </c>
      <c r="G3172" s="6" t="s">
        <v>13252</v>
      </c>
      <c r="H3172" s="10">
        <v>45813</v>
      </c>
      <c r="I3172" s="6" t="s">
        <v>13253</v>
      </c>
      <c r="J3172" s="6" t="s">
        <v>1091</v>
      </c>
      <c r="K3172" s="6" t="s">
        <v>165</v>
      </c>
      <c r="L3172" s="6" t="s">
        <v>1091</v>
      </c>
      <c r="M3172" s="6" t="s">
        <v>13254</v>
      </c>
    </row>
    <row r="3173" spans="1:13" ht="13" x14ac:dyDescent="0.15">
      <c r="A3173" s="5" t="str">
        <f>HYPERLINK("https://onemount.atlassian.net/browse/DBA-1590","DBA-1590")</f>
        <v>DBA-1590</v>
      </c>
      <c r="B3173" s="6" t="s">
        <v>21</v>
      </c>
      <c r="C3173" s="6" t="s">
        <v>13255</v>
      </c>
      <c r="D3173" s="8" t="s">
        <v>17</v>
      </c>
      <c r="E3173" s="6" t="s">
        <v>23</v>
      </c>
      <c r="F3173" s="6" t="s">
        <v>31</v>
      </c>
      <c r="G3173" s="6" t="s">
        <v>13256</v>
      </c>
      <c r="H3173" s="10">
        <v>45812</v>
      </c>
      <c r="I3173" s="6" t="s">
        <v>13257</v>
      </c>
      <c r="J3173" s="6" t="s">
        <v>4033</v>
      </c>
      <c r="K3173" s="6" t="s">
        <v>35</v>
      </c>
      <c r="L3173" s="6" t="s">
        <v>962</v>
      </c>
      <c r="M3173" s="6" t="s">
        <v>13258</v>
      </c>
    </row>
    <row r="3174" spans="1:13" ht="13" x14ac:dyDescent="0.15">
      <c r="A3174" s="5" t="str">
        <f>HYPERLINK("https://onemount.atlassian.net/browse/DBA-1589","DBA-1589")</f>
        <v>DBA-1589</v>
      </c>
      <c r="B3174" s="6" t="s">
        <v>21</v>
      </c>
      <c r="C3174" s="6" t="s">
        <v>13259</v>
      </c>
      <c r="D3174" s="8" t="s">
        <v>17</v>
      </c>
      <c r="E3174" s="6" t="s">
        <v>23</v>
      </c>
      <c r="F3174" s="6" t="s">
        <v>31</v>
      </c>
      <c r="G3174" s="6" t="s">
        <v>13260</v>
      </c>
      <c r="H3174" s="10">
        <v>45812</v>
      </c>
      <c r="I3174" s="6" t="s">
        <v>13261</v>
      </c>
      <c r="J3174" s="6" t="s">
        <v>13262</v>
      </c>
      <c r="K3174" s="6" t="s">
        <v>35</v>
      </c>
      <c r="L3174" s="6" t="s">
        <v>389</v>
      </c>
      <c r="M3174" s="6" t="s">
        <v>13263</v>
      </c>
    </row>
    <row r="3175" spans="1:13" ht="13" x14ac:dyDescent="0.15">
      <c r="A3175" s="5" t="str">
        <f>HYPERLINK("https://onemount.atlassian.net/browse/DBA-1588","DBA-1588")</f>
        <v>DBA-1588</v>
      </c>
      <c r="B3175" s="6" t="s">
        <v>21</v>
      </c>
      <c r="C3175" s="6" t="s">
        <v>13264</v>
      </c>
      <c r="D3175" s="8" t="s">
        <v>17</v>
      </c>
      <c r="E3175" s="6" t="s">
        <v>23</v>
      </c>
      <c r="F3175" s="6" t="s">
        <v>24</v>
      </c>
      <c r="G3175" s="6" t="s">
        <v>13265</v>
      </c>
      <c r="H3175" s="10">
        <v>45812</v>
      </c>
      <c r="I3175" s="6" t="s">
        <v>13266</v>
      </c>
      <c r="J3175" s="6" t="s">
        <v>7506</v>
      </c>
      <c r="K3175" s="6" t="s">
        <v>55</v>
      </c>
      <c r="L3175" s="6" t="s">
        <v>738</v>
      </c>
      <c r="M3175" s="6" t="s">
        <v>13267</v>
      </c>
    </row>
    <row r="3176" spans="1:13" ht="13" x14ac:dyDescent="0.15">
      <c r="A3176" s="5" t="str">
        <f>HYPERLINK("https://onemount.atlassian.net/browse/DBA-1587","DBA-1587")</f>
        <v>DBA-1587</v>
      </c>
      <c r="B3176" s="6" t="s">
        <v>21</v>
      </c>
      <c r="C3176" s="6" t="s">
        <v>12158</v>
      </c>
      <c r="D3176" s="8" t="s">
        <v>17</v>
      </c>
      <c r="E3176" s="6" t="s">
        <v>23</v>
      </c>
      <c r="F3176" s="6" t="s">
        <v>31</v>
      </c>
      <c r="G3176" s="6" t="s">
        <v>13268</v>
      </c>
      <c r="H3176" s="10">
        <v>45812</v>
      </c>
      <c r="I3176" s="6" t="s">
        <v>13269</v>
      </c>
      <c r="J3176" s="6" t="s">
        <v>12023</v>
      </c>
      <c r="K3176" s="6" t="s">
        <v>35</v>
      </c>
      <c r="L3176" s="6" t="s">
        <v>276</v>
      </c>
      <c r="M3176" s="6" t="s">
        <v>13270</v>
      </c>
    </row>
    <row r="3177" spans="1:13" ht="13" x14ac:dyDescent="0.15">
      <c r="A3177" s="5" t="str">
        <f>HYPERLINK("https://onemount.atlassian.net/browse/DBA-1584","DBA-1584")</f>
        <v>DBA-1584</v>
      </c>
      <c r="B3177" s="6" t="s">
        <v>21</v>
      </c>
      <c r="C3177" s="6" t="s">
        <v>13271</v>
      </c>
      <c r="D3177" s="8" t="s">
        <v>17</v>
      </c>
      <c r="E3177" s="6" t="s">
        <v>23</v>
      </c>
      <c r="F3177" s="6" t="s">
        <v>31</v>
      </c>
      <c r="G3177" s="6" t="s">
        <v>13272</v>
      </c>
      <c r="H3177" s="10">
        <v>45812</v>
      </c>
      <c r="I3177" s="6" t="s">
        <v>13273</v>
      </c>
      <c r="J3177" s="6" t="s">
        <v>246</v>
      </c>
      <c r="K3177" s="6" t="s">
        <v>35</v>
      </c>
      <c r="L3177" s="6" t="s">
        <v>36</v>
      </c>
      <c r="M3177" s="6" t="s">
        <v>13274</v>
      </c>
    </row>
    <row r="3178" spans="1:13" ht="13" x14ac:dyDescent="0.15">
      <c r="A3178" s="5" t="str">
        <f>HYPERLINK("https://onemount.atlassian.net/browse/DBA-1583","DBA-1583")</f>
        <v>DBA-1583</v>
      </c>
      <c r="B3178" s="6" t="s">
        <v>21</v>
      </c>
      <c r="C3178" s="6" t="s">
        <v>13275</v>
      </c>
      <c r="D3178" s="8" t="s">
        <v>17</v>
      </c>
      <c r="E3178" s="6" t="s">
        <v>23</v>
      </c>
      <c r="F3178" s="6" t="s">
        <v>96</v>
      </c>
      <c r="G3178" s="6" t="s">
        <v>13276</v>
      </c>
      <c r="H3178" s="10">
        <v>45812</v>
      </c>
      <c r="I3178" s="6" t="s">
        <v>13277</v>
      </c>
      <c r="J3178" s="6" t="s">
        <v>254</v>
      </c>
      <c r="K3178" s="6" t="s">
        <v>55</v>
      </c>
      <c r="L3178" s="6" t="s">
        <v>254</v>
      </c>
      <c r="M3178" s="6" t="s">
        <v>13278</v>
      </c>
    </row>
    <row r="3179" spans="1:13" ht="13" x14ac:dyDescent="0.15">
      <c r="A3179" s="5" t="str">
        <f>HYPERLINK("https://onemount.atlassian.net/browse/DBA-1582","DBA-1582")</f>
        <v>DBA-1582</v>
      </c>
      <c r="B3179" s="6" t="s">
        <v>21</v>
      </c>
      <c r="C3179" s="6" t="s">
        <v>13279</v>
      </c>
      <c r="D3179" s="8" t="s">
        <v>17</v>
      </c>
      <c r="E3179" s="6" t="s">
        <v>23</v>
      </c>
      <c r="F3179" s="6" t="s">
        <v>31</v>
      </c>
      <c r="G3179" s="6" t="s">
        <v>13280</v>
      </c>
      <c r="H3179" s="10">
        <v>45813</v>
      </c>
      <c r="I3179" s="6" t="s">
        <v>13281</v>
      </c>
      <c r="J3179" s="6" t="s">
        <v>1564</v>
      </c>
      <c r="K3179" s="6" t="s">
        <v>35</v>
      </c>
      <c r="L3179" s="6" t="s">
        <v>36</v>
      </c>
      <c r="M3179" s="6" t="s">
        <v>13282</v>
      </c>
    </row>
    <row r="3180" spans="1:13" ht="13" x14ac:dyDescent="0.15">
      <c r="A3180" s="5" t="str">
        <f>HYPERLINK("https://onemount.atlassian.net/browse/DBA-1581","DBA-1581")</f>
        <v>DBA-1581</v>
      </c>
      <c r="B3180" s="6" t="s">
        <v>21</v>
      </c>
      <c r="C3180" s="6" t="s">
        <v>12158</v>
      </c>
      <c r="D3180" s="8" t="s">
        <v>17</v>
      </c>
      <c r="E3180" s="6" t="s">
        <v>23</v>
      </c>
      <c r="F3180" s="6" t="s">
        <v>31</v>
      </c>
      <c r="G3180" s="6" t="s">
        <v>13283</v>
      </c>
      <c r="H3180" s="10">
        <v>45812</v>
      </c>
      <c r="I3180" s="6" t="s">
        <v>13284</v>
      </c>
      <c r="J3180" s="6" t="s">
        <v>12023</v>
      </c>
      <c r="K3180" s="6" t="s">
        <v>35</v>
      </c>
      <c r="L3180" s="6" t="s">
        <v>276</v>
      </c>
      <c r="M3180" s="6" t="s">
        <v>13285</v>
      </c>
    </row>
    <row r="3181" spans="1:13" ht="13" x14ac:dyDescent="0.15">
      <c r="A3181" s="5" t="str">
        <f>HYPERLINK("https://onemount.atlassian.net/browse/DBA-1580","DBA-1580")</f>
        <v>DBA-1580</v>
      </c>
      <c r="B3181" s="6" t="s">
        <v>21</v>
      </c>
      <c r="C3181" s="6" t="s">
        <v>13286</v>
      </c>
      <c r="D3181" s="8" t="s">
        <v>17</v>
      </c>
      <c r="E3181" s="6" t="s">
        <v>23</v>
      </c>
      <c r="F3181" s="6" t="s">
        <v>96</v>
      </c>
      <c r="G3181" s="6" t="s">
        <v>13287</v>
      </c>
      <c r="H3181" s="10">
        <v>45941</v>
      </c>
      <c r="I3181" s="6" t="s">
        <v>13288</v>
      </c>
      <c r="J3181" s="6" t="s">
        <v>8773</v>
      </c>
      <c r="K3181" s="6" t="s">
        <v>165</v>
      </c>
      <c r="L3181" s="6" t="s">
        <v>1076</v>
      </c>
      <c r="M3181" s="6" t="s">
        <v>13289</v>
      </c>
    </row>
    <row r="3182" spans="1:13" ht="13" x14ac:dyDescent="0.15">
      <c r="A3182" s="5" t="str">
        <f>HYPERLINK("https://onemount.atlassian.net/browse/DBA-1579","DBA-1579")</f>
        <v>DBA-1579</v>
      </c>
      <c r="B3182" s="6" t="s">
        <v>21</v>
      </c>
      <c r="C3182" s="6" t="s">
        <v>13290</v>
      </c>
      <c r="D3182" s="8" t="s">
        <v>17</v>
      </c>
      <c r="E3182" s="6" t="s">
        <v>23</v>
      </c>
      <c r="F3182" s="6" t="s">
        <v>96</v>
      </c>
      <c r="G3182" s="6" t="s">
        <v>13291</v>
      </c>
      <c r="H3182" s="10">
        <v>45812</v>
      </c>
      <c r="I3182" s="6" t="s">
        <v>13292</v>
      </c>
      <c r="J3182" s="6" t="s">
        <v>1898</v>
      </c>
      <c r="K3182" s="6" t="s">
        <v>165</v>
      </c>
      <c r="L3182" s="6" t="s">
        <v>1097</v>
      </c>
      <c r="M3182" s="6" t="s">
        <v>13293</v>
      </c>
    </row>
    <row r="3183" spans="1:13" ht="13" x14ac:dyDescent="0.15">
      <c r="A3183" s="5" t="str">
        <f>HYPERLINK("https://onemount.atlassian.net/browse/DBA-1578","DBA-1578")</f>
        <v>DBA-1578</v>
      </c>
      <c r="B3183" s="6" t="s">
        <v>21</v>
      </c>
      <c r="C3183" s="6" t="s">
        <v>12600</v>
      </c>
      <c r="D3183" s="8" t="s">
        <v>17</v>
      </c>
      <c r="E3183" s="6" t="s">
        <v>23</v>
      </c>
      <c r="F3183" s="6" t="s">
        <v>31</v>
      </c>
      <c r="G3183" s="6" t="s">
        <v>13294</v>
      </c>
      <c r="H3183" s="10">
        <v>45812</v>
      </c>
      <c r="I3183" s="6" t="s">
        <v>13295</v>
      </c>
      <c r="J3183" s="6" t="s">
        <v>1564</v>
      </c>
      <c r="K3183" s="6" t="s">
        <v>35</v>
      </c>
      <c r="L3183" s="6" t="s">
        <v>36</v>
      </c>
      <c r="M3183" s="6" t="s">
        <v>13296</v>
      </c>
    </row>
    <row r="3184" spans="1:13" ht="13" x14ac:dyDescent="0.15">
      <c r="A3184" s="5" t="str">
        <f>HYPERLINK("https://onemount.atlassian.net/browse/DBA-1577","DBA-1577")</f>
        <v>DBA-1577</v>
      </c>
      <c r="B3184" s="6" t="s">
        <v>21</v>
      </c>
      <c r="C3184" s="6" t="s">
        <v>13297</v>
      </c>
      <c r="D3184" s="8" t="s">
        <v>17</v>
      </c>
      <c r="E3184" s="6" t="s">
        <v>23</v>
      </c>
      <c r="F3184" s="6" t="s">
        <v>31</v>
      </c>
      <c r="G3184" s="6" t="s">
        <v>13298</v>
      </c>
      <c r="H3184" s="10">
        <v>45814</v>
      </c>
      <c r="I3184" s="6" t="s">
        <v>13299</v>
      </c>
      <c r="J3184" s="6" t="s">
        <v>12023</v>
      </c>
      <c r="K3184" s="6" t="s">
        <v>35</v>
      </c>
      <c r="L3184" s="6" t="s">
        <v>276</v>
      </c>
      <c r="M3184" s="6" t="s">
        <v>13300</v>
      </c>
    </row>
    <row r="3185" spans="1:13" ht="13" x14ac:dyDescent="0.15">
      <c r="A3185" s="5" t="str">
        <f>HYPERLINK("https://onemount.atlassian.net/browse/DBA-1576","DBA-1576")</f>
        <v>DBA-1576</v>
      </c>
      <c r="B3185" s="6" t="s">
        <v>21</v>
      </c>
      <c r="C3185" s="6" t="s">
        <v>13301</v>
      </c>
      <c r="D3185" s="8" t="s">
        <v>17</v>
      </c>
      <c r="E3185" s="6" t="s">
        <v>23</v>
      </c>
      <c r="F3185" s="6" t="s">
        <v>96</v>
      </c>
      <c r="G3185" s="6" t="s">
        <v>13302</v>
      </c>
      <c r="H3185" s="10">
        <v>45811</v>
      </c>
      <c r="I3185" s="6" t="s">
        <v>13303</v>
      </c>
      <c r="J3185" s="6" t="s">
        <v>13304</v>
      </c>
      <c r="K3185" s="6" t="s">
        <v>28</v>
      </c>
      <c r="L3185" s="6" t="s">
        <v>1000</v>
      </c>
      <c r="M3185" s="6" t="s">
        <v>13305</v>
      </c>
    </row>
    <row r="3186" spans="1:13" ht="13" x14ac:dyDescent="0.15">
      <c r="A3186" s="5" t="str">
        <f>HYPERLINK("https://onemount.atlassian.net/browse/DBA-1573","DBA-1573")</f>
        <v>DBA-1573</v>
      </c>
      <c r="B3186" s="6" t="s">
        <v>21</v>
      </c>
      <c r="C3186" s="6" t="s">
        <v>13306</v>
      </c>
      <c r="D3186" s="8" t="s">
        <v>17</v>
      </c>
      <c r="E3186" s="6" t="s">
        <v>23</v>
      </c>
      <c r="F3186" s="6" t="s">
        <v>31</v>
      </c>
      <c r="G3186" s="6" t="s">
        <v>13307</v>
      </c>
      <c r="H3186" s="10">
        <v>45812</v>
      </c>
      <c r="I3186" s="6" t="s">
        <v>13308</v>
      </c>
      <c r="J3186" s="6" t="s">
        <v>56</v>
      </c>
      <c r="K3186" s="6" t="s">
        <v>55</v>
      </c>
      <c r="L3186" s="6" t="s">
        <v>56</v>
      </c>
      <c r="M3186" s="6" t="s">
        <v>13309</v>
      </c>
    </row>
    <row r="3187" spans="1:13" ht="13" x14ac:dyDescent="0.15">
      <c r="A3187" s="5" t="str">
        <f>HYPERLINK("https://onemount.atlassian.net/browse/DBA-1572","DBA-1572")</f>
        <v>DBA-1572</v>
      </c>
      <c r="B3187" s="6" t="s">
        <v>21</v>
      </c>
      <c r="C3187" s="6" t="s">
        <v>13310</v>
      </c>
      <c r="D3187" s="8" t="s">
        <v>17</v>
      </c>
      <c r="E3187" s="6" t="s">
        <v>23</v>
      </c>
      <c r="F3187" s="6" t="s">
        <v>96</v>
      </c>
      <c r="G3187" s="6" t="s">
        <v>13311</v>
      </c>
      <c r="H3187" s="10">
        <v>45811</v>
      </c>
      <c r="I3187" s="6" t="s">
        <v>13312</v>
      </c>
      <c r="J3187" s="6" t="s">
        <v>715</v>
      </c>
      <c r="K3187" s="6" t="s">
        <v>165</v>
      </c>
      <c r="L3187" s="6" t="s">
        <v>715</v>
      </c>
      <c r="M3187" s="6" t="s">
        <v>13313</v>
      </c>
    </row>
    <row r="3188" spans="1:13" ht="13" x14ac:dyDescent="0.15">
      <c r="A3188" s="5" t="str">
        <f>HYPERLINK("https://onemount.atlassian.net/browse/DBA-1571","DBA-1571")</f>
        <v>DBA-1571</v>
      </c>
      <c r="B3188" s="6" t="s">
        <v>21</v>
      </c>
      <c r="C3188" s="6" t="s">
        <v>13314</v>
      </c>
      <c r="D3188" s="8" t="s">
        <v>17</v>
      </c>
      <c r="E3188" s="6" t="s">
        <v>23</v>
      </c>
      <c r="F3188" s="6" t="s">
        <v>31</v>
      </c>
      <c r="G3188" s="6" t="s">
        <v>13315</v>
      </c>
      <c r="H3188" s="10">
        <v>45810</v>
      </c>
      <c r="I3188" s="6" t="s">
        <v>13316</v>
      </c>
      <c r="J3188" s="6" t="s">
        <v>1217</v>
      </c>
      <c r="K3188" s="6" t="s">
        <v>35</v>
      </c>
      <c r="L3188" s="6" t="s">
        <v>1217</v>
      </c>
      <c r="M3188" s="6" t="s">
        <v>13317</v>
      </c>
    </row>
    <row r="3189" spans="1:13" ht="13" x14ac:dyDescent="0.15">
      <c r="A3189" s="5" t="str">
        <f>HYPERLINK("https://onemount.atlassian.net/browse/DBA-1570","DBA-1570")</f>
        <v>DBA-1570</v>
      </c>
      <c r="B3189" s="6" t="s">
        <v>21</v>
      </c>
      <c r="C3189" s="6" t="s">
        <v>13318</v>
      </c>
      <c r="D3189" s="8" t="s">
        <v>17</v>
      </c>
      <c r="E3189" s="6" t="s">
        <v>23</v>
      </c>
      <c r="F3189" s="6" t="s">
        <v>96</v>
      </c>
      <c r="G3189" s="6" t="s">
        <v>13319</v>
      </c>
      <c r="H3189" s="10">
        <v>45811</v>
      </c>
      <c r="I3189" s="6" t="s">
        <v>13320</v>
      </c>
      <c r="J3189" s="6" t="s">
        <v>8773</v>
      </c>
      <c r="K3189" s="6" t="s">
        <v>165</v>
      </c>
      <c r="L3189" s="6" t="s">
        <v>1076</v>
      </c>
      <c r="M3189" s="6" t="s">
        <v>13321</v>
      </c>
    </row>
    <row r="3190" spans="1:13" ht="13" x14ac:dyDescent="0.15">
      <c r="A3190" s="5" t="str">
        <f>HYPERLINK("https://onemount.atlassian.net/browse/DBA-1569","DBA-1569")</f>
        <v>DBA-1569</v>
      </c>
      <c r="B3190" s="6" t="s">
        <v>21</v>
      </c>
      <c r="C3190" s="6" t="s">
        <v>13322</v>
      </c>
      <c r="D3190" s="8" t="s">
        <v>17</v>
      </c>
      <c r="E3190" s="6" t="s">
        <v>23</v>
      </c>
      <c r="F3190" s="6" t="s">
        <v>31</v>
      </c>
      <c r="G3190" s="6" t="s">
        <v>13323</v>
      </c>
      <c r="H3190" s="10">
        <v>45811</v>
      </c>
      <c r="I3190" s="6" t="s">
        <v>13324</v>
      </c>
      <c r="J3190" s="6" t="s">
        <v>49</v>
      </c>
      <c r="K3190" s="6" t="s">
        <v>35</v>
      </c>
      <c r="L3190" s="6" t="s">
        <v>981</v>
      </c>
      <c r="M3190" s="6" t="s">
        <v>13325</v>
      </c>
    </row>
    <row r="3191" spans="1:13" ht="13" x14ac:dyDescent="0.15">
      <c r="A3191" s="5" t="str">
        <f>HYPERLINK("https://onemount.atlassian.net/browse/DBA-1568","DBA-1568")</f>
        <v>DBA-1568</v>
      </c>
      <c r="B3191" s="6" t="s">
        <v>21</v>
      </c>
      <c r="C3191" s="6" t="s">
        <v>13326</v>
      </c>
      <c r="D3191" s="8" t="s">
        <v>17</v>
      </c>
      <c r="E3191" s="6" t="s">
        <v>23</v>
      </c>
      <c r="F3191" s="6" t="s">
        <v>24</v>
      </c>
      <c r="G3191" s="6" t="s">
        <v>13327</v>
      </c>
      <c r="H3191" s="10">
        <v>45808</v>
      </c>
      <c r="I3191" s="6" t="s">
        <v>13328</v>
      </c>
      <c r="J3191" s="6" t="s">
        <v>55</v>
      </c>
      <c r="K3191" s="6" t="s">
        <v>55</v>
      </c>
      <c r="L3191" s="6" t="s">
        <v>56</v>
      </c>
      <c r="M3191" s="6" t="s">
        <v>13329</v>
      </c>
    </row>
    <row r="3192" spans="1:13" ht="13" x14ac:dyDescent="0.15">
      <c r="A3192" s="5" t="str">
        <f>HYPERLINK("https://onemount.atlassian.net/browse/DBA-1567","DBA-1567")</f>
        <v>DBA-1567</v>
      </c>
      <c r="B3192" s="6" t="s">
        <v>21</v>
      </c>
      <c r="C3192" s="6" t="s">
        <v>13330</v>
      </c>
      <c r="D3192" s="8" t="s">
        <v>17</v>
      </c>
      <c r="E3192" s="6" t="s">
        <v>23</v>
      </c>
      <c r="F3192" s="6" t="s">
        <v>96</v>
      </c>
      <c r="G3192" s="6" t="s">
        <v>13331</v>
      </c>
      <c r="H3192" s="10">
        <v>45808</v>
      </c>
      <c r="I3192" s="6" t="s">
        <v>13332</v>
      </c>
      <c r="J3192" s="6" t="s">
        <v>13333</v>
      </c>
      <c r="K3192" s="6" t="s">
        <v>165</v>
      </c>
      <c r="L3192" s="6" t="s">
        <v>1016</v>
      </c>
      <c r="M3192" s="6" t="s">
        <v>13334</v>
      </c>
    </row>
    <row r="3193" spans="1:13" ht="13" x14ac:dyDescent="0.15">
      <c r="A3193" s="5" t="str">
        <f>HYPERLINK("https://onemount.atlassian.net/browse/DBA-1566","DBA-1566")</f>
        <v>DBA-1566</v>
      </c>
      <c r="B3193" s="6" t="s">
        <v>21</v>
      </c>
      <c r="C3193" s="6" t="s">
        <v>13335</v>
      </c>
      <c r="D3193" s="8" t="s">
        <v>17</v>
      </c>
      <c r="E3193" s="6" t="s">
        <v>23</v>
      </c>
      <c r="F3193" s="6" t="s">
        <v>24</v>
      </c>
      <c r="G3193" s="6" t="s">
        <v>13336</v>
      </c>
      <c r="H3193" s="10">
        <v>45808</v>
      </c>
      <c r="I3193" s="6" t="s">
        <v>13337</v>
      </c>
      <c r="J3193" s="6" t="s">
        <v>85</v>
      </c>
      <c r="K3193" s="6" t="s">
        <v>55</v>
      </c>
      <c r="L3193" s="6" t="s">
        <v>270</v>
      </c>
      <c r="M3193" s="6" t="s">
        <v>13338</v>
      </c>
    </row>
    <row r="3194" spans="1:13" ht="13" x14ac:dyDescent="0.15">
      <c r="A3194" s="5" t="str">
        <f>HYPERLINK("https://onemount.atlassian.net/browse/DBA-1565","DBA-1565")</f>
        <v>DBA-1565</v>
      </c>
      <c r="B3194" s="6" t="s">
        <v>21</v>
      </c>
      <c r="C3194" s="6" t="s">
        <v>13339</v>
      </c>
      <c r="D3194" s="8" t="s">
        <v>17</v>
      </c>
      <c r="E3194" s="6" t="s">
        <v>23</v>
      </c>
      <c r="F3194" s="6" t="s">
        <v>31</v>
      </c>
      <c r="G3194" s="6" t="s">
        <v>13340</v>
      </c>
      <c r="H3194" s="10">
        <v>45809</v>
      </c>
      <c r="I3194" s="6" t="s">
        <v>13341</v>
      </c>
      <c r="J3194" s="6" t="s">
        <v>13342</v>
      </c>
      <c r="K3194" s="6" t="s">
        <v>35</v>
      </c>
      <c r="L3194" s="6" t="s">
        <v>389</v>
      </c>
      <c r="M3194" s="6" t="s">
        <v>13343</v>
      </c>
    </row>
    <row r="3195" spans="1:13" ht="13" x14ac:dyDescent="0.15">
      <c r="A3195" s="5" t="str">
        <f>HYPERLINK("https://onemount.atlassian.net/browse/DBA-1564","DBA-1564")</f>
        <v>DBA-1564</v>
      </c>
      <c r="B3195" s="6" t="s">
        <v>21</v>
      </c>
      <c r="C3195" s="6" t="s">
        <v>13344</v>
      </c>
      <c r="D3195" s="8" t="s">
        <v>17</v>
      </c>
      <c r="E3195" s="6" t="s">
        <v>23</v>
      </c>
      <c r="F3195" s="6" t="s">
        <v>24</v>
      </c>
      <c r="G3195" s="6" t="s">
        <v>13345</v>
      </c>
      <c r="H3195" s="10">
        <v>45807</v>
      </c>
      <c r="I3195" s="6" t="s">
        <v>13346</v>
      </c>
      <c r="J3195" s="6" t="s">
        <v>55</v>
      </c>
      <c r="K3195" s="6" t="s">
        <v>55</v>
      </c>
      <c r="L3195" s="6" t="s">
        <v>56</v>
      </c>
      <c r="M3195" s="6" t="s">
        <v>13347</v>
      </c>
    </row>
    <row r="3196" spans="1:13" ht="13" x14ac:dyDescent="0.15">
      <c r="A3196" s="5" t="str">
        <f>HYPERLINK("https://onemount.atlassian.net/browse/DBA-1563","DBA-1563")</f>
        <v>DBA-1563</v>
      </c>
      <c r="B3196" s="6" t="s">
        <v>21</v>
      </c>
      <c r="C3196" s="6" t="s">
        <v>13348</v>
      </c>
      <c r="D3196" s="8" t="s">
        <v>17</v>
      </c>
      <c r="E3196" s="6" t="s">
        <v>23</v>
      </c>
      <c r="F3196" s="6" t="s">
        <v>31</v>
      </c>
      <c r="G3196" s="6" t="s">
        <v>13349</v>
      </c>
      <c r="H3196" s="10">
        <v>45807</v>
      </c>
      <c r="I3196" s="6" t="s">
        <v>13350</v>
      </c>
      <c r="J3196" s="6" t="s">
        <v>1564</v>
      </c>
      <c r="K3196" s="6" t="s">
        <v>35</v>
      </c>
      <c r="L3196" s="6" t="s">
        <v>36</v>
      </c>
      <c r="M3196" s="6" t="s">
        <v>13351</v>
      </c>
    </row>
    <row r="3197" spans="1:13" ht="13" x14ac:dyDescent="0.15">
      <c r="A3197" s="5" t="str">
        <f>HYPERLINK("https://onemount.atlassian.net/browse/DBA-1562","DBA-1562")</f>
        <v>DBA-1562</v>
      </c>
      <c r="B3197" s="6" t="s">
        <v>21</v>
      </c>
      <c r="C3197" s="6" t="s">
        <v>13352</v>
      </c>
      <c r="D3197" s="8" t="s">
        <v>17</v>
      </c>
      <c r="E3197" s="6" t="s">
        <v>23</v>
      </c>
      <c r="F3197" s="6" t="s">
        <v>24</v>
      </c>
      <c r="G3197" s="6" t="s">
        <v>13353</v>
      </c>
      <c r="H3197" s="10">
        <v>45808</v>
      </c>
      <c r="I3197" s="6" t="s">
        <v>13354</v>
      </c>
      <c r="J3197" s="6" t="s">
        <v>55</v>
      </c>
      <c r="K3197" s="6" t="s">
        <v>55</v>
      </c>
      <c r="L3197" s="6" t="s">
        <v>56</v>
      </c>
      <c r="M3197" s="6" t="s">
        <v>13355</v>
      </c>
    </row>
    <row r="3198" spans="1:13" ht="13" x14ac:dyDescent="0.15">
      <c r="A3198" s="5" t="str">
        <f>HYPERLINK("https://onemount.atlassian.net/browse/DBA-1561","DBA-1561")</f>
        <v>DBA-1561</v>
      </c>
      <c r="B3198" s="6" t="s">
        <v>21</v>
      </c>
      <c r="C3198" s="6" t="s">
        <v>13356</v>
      </c>
      <c r="D3198" s="8" t="s">
        <v>17</v>
      </c>
      <c r="E3198" s="6" t="s">
        <v>23</v>
      </c>
      <c r="F3198" s="6" t="s">
        <v>31</v>
      </c>
      <c r="G3198" s="6" t="s">
        <v>13357</v>
      </c>
      <c r="H3198" s="10">
        <v>45807</v>
      </c>
      <c r="I3198" s="6" t="s">
        <v>13358</v>
      </c>
      <c r="J3198" s="6" t="s">
        <v>707</v>
      </c>
      <c r="K3198" s="6" t="s">
        <v>35</v>
      </c>
      <c r="L3198" s="6" t="s">
        <v>707</v>
      </c>
      <c r="M3198" s="6" t="s">
        <v>13359</v>
      </c>
    </row>
    <row r="3199" spans="1:13" ht="13" x14ac:dyDescent="0.15">
      <c r="A3199" s="5" t="str">
        <f>HYPERLINK("https://onemount.atlassian.net/browse/DBA-1560","DBA-1560")</f>
        <v>DBA-1560</v>
      </c>
      <c r="B3199" s="6" t="s">
        <v>21</v>
      </c>
      <c r="C3199" s="6" t="s">
        <v>13264</v>
      </c>
      <c r="D3199" s="8" t="s">
        <v>17</v>
      </c>
      <c r="E3199" s="6" t="s">
        <v>23</v>
      </c>
      <c r="F3199" s="6" t="s">
        <v>24</v>
      </c>
      <c r="G3199" s="6" t="s">
        <v>13360</v>
      </c>
      <c r="H3199" s="10">
        <v>45806</v>
      </c>
      <c r="I3199" s="6" t="s">
        <v>13361</v>
      </c>
      <c r="J3199" s="6" t="s">
        <v>55</v>
      </c>
      <c r="K3199" s="6" t="s">
        <v>55</v>
      </c>
      <c r="L3199" s="6" t="s">
        <v>738</v>
      </c>
      <c r="M3199" s="6" t="s">
        <v>13362</v>
      </c>
    </row>
    <row r="3200" spans="1:13" ht="13" x14ac:dyDescent="0.15">
      <c r="A3200" s="5" t="str">
        <f>HYPERLINK("https://onemount.atlassian.net/browse/DBA-1559","DBA-1559")</f>
        <v>DBA-1559</v>
      </c>
      <c r="B3200" s="6" t="s">
        <v>21</v>
      </c>
      <c r="C3200" s="6" t="s">
        <v>13363</v>
      </c>
      <c r="D3200" s="8" t="s">
        <v>17</v>
      </c>
      <c r="E3200" s="6" t="s">
        <v>23</v>
      </c>
      <c r="F3200" s="6" t="s">
        <v>31</v>
      </c>
      <c r="G3200" s="6" t="s">
        <v>13364</v>
      </c>
      <c r="H3200" s="10">
        <v>45807</v>
      </c>
      <c r="I3200" s="6" t="s">
        <v>13365</v>
      </c>
      <c r="J3200" s="6" t="s">
        <v>13366</v>
      </c>
      <c r="K3200" s="6" t="s">
        <v>55</v>
      </c>
      <c r="L3200" s="6" t="s">
        <v>254</v>
      </c>
      <c r="M3200" s="6" t="s">
        <v>13367</v>
      </c>
    </row>
    <row r="3201" spans="1:13" ht="13" x14ac:dyDescent="0.15">
      <c r="A3201" s="5" t="str">
        <f>HYPERLINK("https://onemount.atlassian.net/browse/DBA-1558","DBA-1558")</f>
        <v>DBA-1558</v>
      </c>
      <c r="B3201" s="6" t="s">
        <v>21</v>
      </c>
      <c r="C3201" s="6" t="s">
        <v>13368</v>
      </c>
      <c r="D3201" s="8" t="s">
        <v>17</v>
      </c>
      <c r="E3201" s="6" t="s">
        <v>23</v>
      </c>
      <c r="F3201" s="6" t="s">
        <v>31</v>
      </c>
      <c r="G3201" s="6" t="s">
        <v>13369</v>
      </c>
      <c r="H3201" s="10">
        <v>45806</v>
      </c>
      <c r="I3201" s="6" t="s">
        <v>13370</v>
      </c>
      <c r="J3201" s="6" t="s">
        <v>34</v>
      </c>
      <c r="K3201" s="6" t="s">
        <v>35</v>
      </c>
      <c r="L3201" s="6" t="s">
        <v>36</v>
      </c>
      <c r="M3201" s="6" t="s">
        <v>13371</v>
      </c>
    </row>
    <row r="3202" spans="1:13" ht="13" x14ac:dyDescent="0.15">
      <c r="A3202" s="5" t="str">
        <f>HYPERLINK("https://onemount.atlassian.net/browse/DBA-1557","DBA-1557")</f>
        <v>DBA-1557</v>
      </c>
      <c r="B3202" s="6" t="s">
        <v>21</v>
      </c>
      <c r="C3202" s="6" t="s">
        <v>13372</v>
      </c>
      <c r="D3202" s="8" t="s">
        <v>17</v>
      </c>
      <c r="E3202" s="6" t="s">
        <v>23</v>
      </c>
      <c r="F3202" s="6" t="s">
        <v>96</v>
      </c>
      <c r="G3202" s="6" t="s">
        <v>13373</v>
      </c>
      <c r="H3202" s="10">
        <v>45806</v>
      </c>
      <c r="I3202" s="6" t="s">
        <v>13374</v>
      </c>
      <c r="J3202" s="6" t="s">
        <v>1898</v>
      </c>
      <c r="K3202" s="6" t="s">
        <v>165</v>
      </c>
      <c r="L3202" s="6" t="s">
        <v>1097</v>
      </c>
      <c r="M3202" s="6" t="s">
        <v>13375</v>
      </c>
    </row>
    <row r="3203" spans="1:13" ht="13" x14ac:dyDescent="0.15">
      <c r="A3203" s="5" t="str">
        <f>HYPERLINK("https://onemount.atlassian.net/browse/DBA-1556","DBA-1556")</f>
        <v>DBA-1556</v>
      </c>
      <c r="B3203" s="6" t="s">
        <v>21</v>
      </c>
      <c r="C3203" s="6" t="s">
        <v>13376</v>
      </c>
      <c r="D3203" s="8" t="s">
        <v>17</v>
      </c>
      <c r="E3203" s="6" t="s">
        <v>23</v>
      </c>
      <c r="F3203" s="6" t="s">
        <v>96</v>
      </c>
      <c r="G3203" s="6" t="s">
        <v>13377</v>
      </c>
      <c r="H3203" s="10">
        <v>45809</v>
      </c>
      <c r="I3203" s="6" t="s">
        <v>13378</v>
      </c>
      <c r="J3203" s="6" t="s">
        <v>55</v>
      </c>
      <c r="K3203" s="6" t="s">
        <v>55</v>
      </c>
      <c r="L3203" s="6" t="s">
        <v>942</v>
      </c>
      <c r="M3203" s="6" t="s">
        <v>13379</v>
      </c>
    </row>
    <row r="3204" spans="1:13" ht="13" x14ac:dyDescent="0.15">
      <c r="A3204" s="5" t="str">
        <f>HYPERLINK("https://onemount.atlassian.net/browse/DBA-1555","DBA-1555")</f>
        <v>DBA-1555</v>
      </c>
      <c r="B3204" s="6" t="s">
        <v>21</v>
      </c>
      <c r="C3204" s="6" t="s">
        <v>13380</v>
      </c>
      <c r="D3204" s="8" t="s">
        <v>17</v>
      </c>
      <c r="E3204" s="6" t="s">
        <v>23</v>
      </c>
      <c r="F3204" s="6" t="s">
        <v>96</v>
      </c>
      <c r="G3204" s="6" t="s">
        <v>13381</v>
      </c>
      <c r="H3204" s="10">
        <v>45809</v>
      </c>
      <c r="I3204" s="6" t="s">
        <v>13382</v>
      </c>
      <c r="J3204" s="6" t="s">
        <v>55</v>
      </c>
      <c r="K3204" s="6" t="s">
        <v>55</v>
      </c>
      <c r="L3204" s="6" t="s">
        <v>981</v>
      </c>
      <c r="M3204" s="6" t="s">
        <v>13383</v>
      </c>
    </row>
    <row r="3205" spans="1:13" ht="13" x14ac:dyDescent="0.15">
      <c r="A3205" s="5" t="str">
        <f>HYPERLINK("https://onemount.atlassian.net/browse/DBA-1554","DBA-1554")</f>
        <v>DBA-1554</v>
      </c>
      <c r="B3205" s="6" t="s">
        <v>21</v>
      </c>
      <c r="C3205" s="6" t="s">
        <v>13384</v>
      </c>
      <c r="D3205" s="8" t="s">
        <v>17</v>
      </c>
      <c r="E3205" s="6" t="s">
        <v>23</v>
      </c>
      <c r="F3205" s="6" t="s">
        <v>31</v>
      </c>
      <c r="G3205" s="6" t="s">
        <v>13385</v>
      </c>
      <c r="H3205" s="10">
        <v>45807</v>
      </c>
      <c r="I3205" s="6" t="s">
        <v>13386</v>
      </c>
      <c r="J3205" s="6" t="s">
        <v>49</v>
      </c>
      <c r="K3205" s="6" t="s">
        <v>35</v>
      </c>
      <c r="L3205" s="6" t="s">
        <v>981</v>
      </c>
      <c r="M3205" s="6" t="s">
        <v>13387</v>
      </c>
    </row>
    <row r="3206" spans="1:13" ht="13" x14ac:dyDescent="0.15">
      <c r="A3206" s="5" t="str">
        <f>HYPERLINK("https://onemount.atlassian.net/browse/DBA-1553","DBA-1553")</f>
        <v>DBA-1553</v>
      </c>
      <c r="B3206" s="6" t="s">
        <v>21</v>
      </c>
      <c r="C3206" s="6" t="s">
        <v>2330</v>
      </c>
      <c r="D3206" s="8" t="s">
        <v>17</v>
      </c>
      <c r="E3206" s="6" t="s">
        <v>23</v>
      </c>
      <c r="F3206" s="6" t="s">
        <v>96</v>
      </c>
      <c r="G3206" s="6" t="s">
        <v>13388</v>
      </c>
      <c r="H3206" s="10">
        <v>45806</v>
      </c>
      <c r="I3206" s="6" t="s">
        <v>13389</v>
      </c>
      <c r="J3206" s="6" t="s">
        <v>55</v>
      </c>
      <c r="K3206" s="6" t="s">
        <v>55</v>
      </c>
      <c r="L3206" s="6" t="s">
        <v>956</v>
      </c>
      <c r="M3206" s="6" t="s">
        <v>13390</v>
      </c>
    </row>
    <row r="3207" spans="1:13" ht="13" x14ac:dyDescent="0.15">
      <c r="A3207" s="5" t="str">
        <f>HYPERLINK("https://onemount.atlassian.net/browse/DBA-1552","DBA-1552")</f>
        <v>DBA-1552</v>
      </c>
      <c r="B3207" s="6" t="s">
        <v>21</v>
      </c>
      <c r="C3207" s="6" t="s">
        <v>13391</v>
      </c>
      <c r="D3207" s="8" t="s">
        <v>17</v>
      </c>
      <c r="E3207" s="6" t="s">
        <v>23</v>
      </c>
      <c r="F3207" s="6" t="s">
        <v>96</v>
      </c>
      <c r="G3207" s="6" t="s">
        <v>13392</v>
      </c>
      <c r="H3207" s="10">
        <v>45807</v>
      </c>
      <c r="I3207" s="6" t="s">
        <v>13393</v>
      </c>
      <c r="J3207" s="6" t="s">
        <v>55</v>
      </c>
      <c r="K3207" s="6" t="s">
        <v>55</v>
      </c>
      <c r="L3207" s="6" t="s">
        <v>956</v>
      </c>
      <c r="M3207" s="6" t="s">
        <v>13394</v>
      </c>
    </row>
    <row r="3208" spans="1:13" ht="13" x14ac:dyDescent="0.15">
      <c r="A3208" s="5" t="str">
        <f>HYPERLINK("https://onemount.atlassian.net/browse/DBA-1551","DBA-1551")</f>
        <v>DBA-1551</v>
      </c>
      <c r="B3208" s="6" t="s">
        <v>21</v>
      </c>
      <c r="C3208" s="6" t="s">
        <v>13395</v>
      </c>
      <c r="D3208" s="8" t="s">
        <v>17</v>
      </c>
      <c r="E3208" s="6" t="s">
        <v>23</v>
      </c>
      <c r="F3208" s="6" t="s">
        <v>31</v>
      </c>
      <c r="G3208" s="6" t="s">
        <v>13396</v>
      </c>
      <c r="H3208" s="10">
        <v>45807</v>
      </c>
      <c r="I3208" s="6" t="s">
        <v>13397</v>
      </c>
      <c r="J3208" s="6" t="s">
        <v>56</v>
      </c>
      <c r="K3208" s="6" t="s">
        <v>55</v>
      </c>
      <c r="L3208" s="6" t="s">
        <v>56</v>
      </c>
      <c r="M3208" s="6" t="s">
        <v>13398</v>
      </c>
    </row>
    <row r="3209" spans="1:13" ht="13" x14ac:dyDescent="0.15">
      <c r="A3209" s="5" t="str">
        <f>HYPERLINK("https://onemount.atlassian.net/browse/DBA-1550","DBA-1550")</f>
        <v>DBA-1550</v>
      </c>
      <c r="B3209" s="6" t="s">
        <v>21</v>
      </c>
      <c r="C3209" s="6" t="s">
        <v>13399</v>
      </c>
      <c r="D3209" s="8" t="s">
        <v>17</v>
      </c>
      <c r="E3209" s="6" t="s">
        <v>23</v>
      </c>
      <c r="F3209" s="6" t="s">
        <v>31</v>
      </c>
      <c r="G3209" s="6" t="s">
        <v>13400</v>
      </c>
      <c r="H3209" s="10">
        <v>45807</v>
      </c>
      <c r="I3209" s="6" t="s">
        <v>13401</v>
      </c>
      <c r="J3209" s="6" t="s">
        <v>55</v>
      </c>
      <c r="K3209" s="6" t="s">
        <v>55</v>
      </c>
      <c r="L3209" s="6" t="s">
        <v>979</v>
      </c>
      <c r="M3209" s="6" t="s">
        <v>13402</v>
      </c>
    </row>
    <row r="3210" spans="1:13" ht="13" x14ac:dyDescent="0.15">
      <c r="A3210" s="5" t="str">
        <f>HYPERLINK("https://onemount.atlassian.net/browse/DBA-1549","DBA-1549")</f>
        <v>DBA-1549</v>
      </c>
      <c r="B3210" s="6" t="s">
        <v>21</v>
      </c>
      <c r="C3210" s="6" t="s">
        <v>13306</v>
      </c>
      <c r="D3210" s="8" t="s">
        <v>17</v>
      </c>
      <c r="E3210" s="6" t="s">
        <v>23</v>
      </c>
      <c r="F3210" s="6" t="s">
        <v>31</v>
      </c>
      <c r="G3210" s="6" t="s">
        <v>13403</v>
      </c>
      <c r="H3210" s="10">
        <v>45807</v>
      </c>
      <c r="I3210" s="6" t="s">
        <v>13404</v>
      </c>
      <c r="J3210" s="6" t="s">
        <v>56</v>
      </c>
      <c r="K3210" s="6" t="s">
        <v>55</v>
      </c>
      <c r="L3210" s="6" t="s">
        <v>56</v>
      </c>
      <c r="M3210" s="6" t="s">
        <v>13405</v>
      </c>
    </row>
    <row r="3211" spans="1:13" ht="13" x14ac:dyDescent="0.15">
      <c r="A3211" s="5" t="str">
        <f>HYPERLINK("https://onemount.atlassian.net/browse/DBA-1548","DBA-1548")</f>
        <v>DBA-1548</v>
      </c>
      <c r="B3211" s="6" t="s">
        <v>21</v>
      </c>
      <c r="C3211" s="6" t="s">
        <v>13406</v>
      </c>
      <c r="D3211" s="8" t="s">
        <v>17</v>
      </c>
      <c r="E3211" s="6" t="s">
        <v>23</v>
      </c>
      <c r="F3211" s="6" t="s">
        <v>96</v>
      </c>
      <c r="G3211" s="6" t="s">
        <v>13407</v>
      </c>
      <c r="H3211" s="10">
        <v>45805</v>
      </c>
      <c r="I3211" s="6" t="s">
        <v>13408</v>
      </c>
      <c r="J3211" s="6" t="s">
        <v>1091</v>
      </c>
      <c r="K3211" s="6" t="s">
        <v>165</v>
      </c>
      <c r="L3211" s="6" t="s">
        <v>1091</v>
      </c>
      <c r="M3211" s="6" t="s">
        <v>13409</v>
      </c>
    </row>
    <row r="3212" spans="1:13" ht="13" x14ac:dyDescent="0.15">
      <c r="A3212" s="5" t="str">
        <f>HYPERLINK("https://onemount.atlassian.net/browse/DBA-1547","DBA-1547")</f>
        <v>DBA-1547</v>
      </c>
      <c r="B3212" s="6" t="s">
        <v>21</v>
      </c>
      <c r="C3212" s="6" t="s">
        <v>13410</v>
      </c>
      <c r="D3212" s="8" t="s">
        <v>17</v>
      </c>
      <c r="E3212" s="6" t="s">
        <v>23</v>
      </c>
      <c r="F3212" s="6" t="s">
        <v>96</v>
      </c>
      <c r="G3212" s="6" t="s">
        <v>13411</v>
      </c>
      <c r="H3212" s="10">
        <v>45805</v>
      </c>
      <c r="I3212" s="6" t="s">
        <v>13412</v>
      </c>
      <c r="J3212" s="6" t="s">
        <v>165</v>
      </c>
      <c r="K3212" s="6" t="s">
        <v>165</v>
      </c>
      <c r="L3212" s="6" t="s">
        <v>1052</v>
      </c>
      <c r="M3212" s="6" t="s">
        <v>13413</v>
      </c>
    </row>
    <row r="3213" spans="1:13" ht="13" x14ac:dyDescent="0.15">
      <c r="A3213" s="5" t="str">
        <f>HYPERLINK("https://onemount.atlassian.net/browse/DBA-1546","DBA-1546")</f>
        <v>DBA-1546</v>
      </c>
      <c r="B3213" s="6" t="s">
        <v>21</v>
      </c>
      <c r="C3213" s="6" t="s">
        <v>13414</v>
      </c>
      <c r="D3213" s="8" t="s">
        <v>17</v>
      </c>
      <c r="E3213" s="6" t="s">
        <v>23</v>
      </c>
      <c r="F3213" s="6" t="s">
        <v>24</v>
      </c>
      <c r="G3213" s="6" t="s">
        <v>13415</v>
      </c>
      <c r="H3213" s="10">
        <v>45805</v>
      </c>
      <c r="I3213" s="6" t="s">
        <v>13416</v>
      </c>
      <c r="J3213" s="6" t="s">
        <v>85</v>
      </c>
      <c r="K3213" s="6" t="s">
        <v>55</v>
      </c>
      <c r="L3213" s="6" t="s">
        <v>270</v>
      </c>
      <c r="M3213" s="6" t="s">
        <v>13417</v>
      </c>
    </row>
    <row r="3214" spans="1:13" ht="13" x14ac:dyDescent="0.15">
      <c r="A3214" s="5" t="str">
        <f>HYPERLINK("https://onemount.atlassian.net/browse/DBA-1545","DBA-1545")</f>
        <v>DBA-1545</v>
      </c>
      <c r="B3214" s="6" t="s">
        <v>21</v>
      </c>
      <c r="C3214" s="6" t="s">
        <v>13418</v>
      </c>
      <c r="D3214" s="8" t="s">
        <v>17</v>
      </c>
      <c r="E3214" s="6" t="s">
        <v>23</v>
      </c>
      <c r="F3214" s="6" t="s">
        <v>24</v>
      </c>
      <c r="G3214" s="6" t="s">
        <v>13419</v>
      </c>
      <c r="H3214" s="10">
        <v>45805</v>
      </c>
      <c r="I3214" s="6" t="s">
        <v>13420</v>
      </c>
      <c r="J3214" s="6" t="s">
        <v>85</v>
      </c>
      <c r="K3214" s="6" t="s">
        <v>55</v>
      </c>
      <c r="L3214" s="6" t="s">
        <v>906</v>
      </c>
      <c r="M3214" s="6" t="s">
        <v>13421</v>
      </c>
    </row>
    <row r="3215" spans="1:13" ht="13" x14ac:dyDescent="0.15">
      <c r="A3215" s="5" t="str">
        <f>HYPERLINK("https://onemount.atlassian.net/browse/DBA-1544","DBA-1544")</f>
        <v>DBA-1544</v>
      </c>
      <c r="B3215" s="6" t="s">
        <v>21</v>
      </c>
      <c r="C3215" s="6" t="s">
        <v>13422</v>
      </c>
      <c r="D3215" s="8" t="s">
        <v>17</v>
      </c>
      <c r="E3215" s="6" t="s">
        <v>23</v>
      </c>
      <c r="F3215" s="6" t="s">
        <v>31</v>
      </c>
      <c r="G3215" s="6" t="s">
        <v>13423</v>
      </c>
      <c r="H3215" s="10">
        <v>45805</v>
      </c>
      <c r="I3215" s="6" t="s">
        <v>13424</v>
      </c>
      <c r="J3215" s="6" t="s">
        <v>13425</v>
      </c>
      <c r="K3215" s="6" t="s">
        <v>35</v>
      </c>
      <c r="L3215" s="6" t="s">
        <v>36</v>
      </c>
      <c r="M3215" s="6" t="s">
        <v>13426</v>
      </c>
    </row>
    <row r="3216" spans="1:13" ht="13" x14ac:dyDescent="0.15">
      <c r="A3216" s="5" t="str">
        <f>HYPERLINK("https://onemount.atlassian.net/browse/DBA-1543","DBA-1543")</f>
        <v>DBA-1543</v>
      </c>
      <c r="B3216" s="23" t="str">
        <f>HYPERLINK("https://onemount.atlassian.net/browse/DBA-2062","DBA-2062")</f>
        <v>DBA-2062</v>
      </c>
      <c r="C3216" s="6" t="s">
        <v>13427</v>
      </c>
      <c r="D3216" s="8" t="s">
        <v>17</v>
      </c>
      <c r="E3216" s="6" t="s">
        <v>428</v>
      </c>
      <c r="F3216" s="6" t="s">
        <v>24</v>
      </c>
      <c r="G3216" s="6" t="s">
        <v>13428</v>
      </c>
      <c r="H3216" s="10">
        <v>45805</v>
      </c>
      <c r="I3216" s="6" t="s">
        <v>13429</v>
      </c>
      <c r="J3216" s="6" t="s">
        <v>7825</v>
      </c>
      <c r="K3216" s="6" t="s">
        <v>55</v>
      </c>
      <c r="L3216" s="6" t="s">
        <v>925</v>
      </c>
      <c r="M3216" s="6" t="s">
        <v>13430</v>
      </c>
    </row>
    <row r="3217" spans="1:13" ht="13" x14ac:dyDescent="0.15">
      <c r="A3217" s="5" t="str">
        <f>HYPERLINK("https://onemount.atlassian.net/browse/DBA-1542","DBA-1542")</f>
        <v>DBA-1542</v>
      </c>
      <c r="B3217" s="6" t="s">
        <v>21</v>
      </c>
      <c r="C3217" s="6" t="s">
        <v>13431</v>
      </c>
      <c r="D3217" s="8" t="s">
        <v>17</v>
      </c>
      <c r="E3217" s="6" t="s">
        <v>23</v>
      </c>
      <c r="F3217" s="6" t="s">
        <v>96</v>
      </c>
      <c r="G3217" s="6" t="s">
        <v>13432</v>
      </c>
      <c r="H3217" s="10">
        <v>45804</v>
      </c>
      <c r="I3217" s="6" t="s">
        <v>13433</v>
      </c>
      <c r="J3217" s="6" t="s">
        <v>353</v>
      </c>
      <c r="K3217" s="6" t="s">
        <v>55</v>
      </c>
      <c r="L3217" s="6" t="s">
        <v>956</v>
      </c>
      <c r="M3217" s="6" t="s">
        <v>13434</v>
      </c>
    </row>
    <row r="3218" spans="1:13" ht="13" x14ac:dyDescent="0.15">
      <c r="A3218" s="5" t="str">
        <f>HYPERLINK("https://onemount.atlassian.net/browse/DBA-1541","DBA-1541")</f>
        <v>DBA-1541</v>
      </c>
      <c r="B3218" s="6" t="s">
        <v>21</v>
      </c>
      <c r="C3218" s="6" t="s">
        <v>13435</v>
      </c>
      <c r="D3218" s="8" t="s">
        <v>17</v>
      </c>
      <c r="E3218" s="6" t="s">
        <v>23</v>
      </c>
      <c r="F3218" s="6" t="s">
        <v>96</v>
      </c>
      <c r="G3218" s="6" t="s">
        <v>13436</v>
      </c>
      <c r="H3218" s="10">
        <v>45804</v>
      </c>
      <c r="I3218" s="6" t="s">
        <v>13437</v>
      </c>
      <c r="J3218" s="6" t="s">
        <v>55</v>
      </c>
      <c r="K3218" s="6" t="s">
        <v>55</v>
      </c>
      <c r="L3218" s="6" t="s">
        <v>935</v>
      </c>
      <c r="M3218" s="6" t="s">
        <v>13438</v>
      </c>
    </row>
    <row r="3219" spans="1:13" ht="13" x14ac:dyDescent="0.15">
      <c r="A3219" s="5" t="str">
        <f>HYPERLINK("https://onemount.atlassian.net/browse/DBA-1540","DBA-1540")</f>
        <v>DBA-1540</v>
      </c>
      <c r="B3219" s="6" t="s">
        <v>21</v>
      </c>
      <c r="C3219" s="6" t="s">
        <v>13439</v>
      </c>
      <c r="D3219" s="8" t="s">
        <v>17</v>
      </c>
      <c r="E3219" s="6" t="s">
        <v>23</v>
      </c>
      <c r="F3219" s="6" t="s">
        <v>96</v>
      </c>
      <c r="G3219" s="6" t="s">
        <v>13440</v>
      </c>
      <c r="H3219" s="10">
        <v>45805</v>
      </c>
      <c r="I3219" s="6" t="s">
        <v>13441</v>
      </c>
      <c r="J3219" s="6" t="s">
        <v>165</v>
      </c>
      <c r="K3219" s="6" t="s">
        <v>165</v>
      </c>
      <c r="L3219" s="6" t="s">
        <v>1052</v>
      </c>
      <c r="M3219" s="6" t="s">
        <v>13442</v>
      </c>
    </row>
    <row r="3220" spans="1:13" ht="13" x14ac:dyDescent="0.15">
      <c r="A3220" s="5" t="str">
        <f>HYPERLINK("https://onemount.atlassian.net/browse/DBA-1539","DBA-1539")</f>
        <v>DBA-1539</v>
      </c>
      <c r="B3220" s="6" t="s">
        <v>21</v>
      </c>
      <c r="C3220" s="6" t="s">
        <v>8702</v>
      </c>
      <c r="D3220" s="8" t="s">
        <v>17</v>
      </c>
      <c r="E3220" s="6" t="s">
        <v>23</v>
      </c>
      <c r="F3220" s="6" t="s">
        <v>96</v>
      </c>
      <c r="G3220" s="6" t="s">
        <v>13443</v>
      </c>
      <c r="H3220" s="10">
        <v>45804</v>
      </c>
      <c r="I3220" s="6" t="s">
        <v>13444</v>
      </c>
      <c r="J3220" s="6" t="s">
        <v>6269</v>
      </c>
      <c r="K3220" s="6" t="s">
        <v>28</v>
      </c>
      <c r="L3220" s="6" t="s">
        <v>1000</v>
      </c>
      <c r="M3220" s="6" t="s">
        <v>13445</v>
      </c>
    </row>
    <row r="3221" spans="1:13" ht="13" x14ac:dyDescent="0.15">
      <c r="A3221" s="5" t="str">
        <f>HYPERLINK("https://onemount.atlassian.net/browse/DBA-1538","DBA-1538")</f>
        <v>DBA-1538</v>
      </c>
      <c r="B3221" s="6" t="s">
        <v>21</v>
      </c>
      <c r="C3221" s="6" t="s">
        <v>13352</v>
      </c>
      <c r="D3221" s="8" t="s">
        <v>17</v>
      </c>
      <c r="E3221" s="6" t="s">
        <v>23</v>
      </c>
      <c r="F3221" s="6" t="s">
        <v>24</v>
      </c>
      <c r="G3221" s="6" t="s">
        <v>13446</v>
      </c>
      <c r="H3221" s="10">
        <v>45805</v>
      </c>
      <c r="I3221" s="6" t="s">
        <v>13447</v>
      </c>
      <c r="J3221" s="6" t="s">
        <v>55</v>
      </c>
      <c r="K3221" s="6" t="s">
        <v>55</v>
      </c>
      <c r="L3221" s="6" t="s">
        <v>56</v>
      </c>
      <c r="M3221" s="6" t="s">
        <v>13448</v>
      </c>
    </row>
    <row r="3222" spans="1:13" ht="13" x14ac:dyDescent="0.15">
      <c r="A3222" s="5" t="str">
        <f>HYPERLINK("https://onemount.atlassian.net/browse/DBA-1534","DBA-1534")</f>
        <v>DBA-1534</v>
      </c>
      <c r="B3222" s="6" t="s">
        <v>21</v>
      </c>
      <c r="C3222" s="6" t="s">
        <v>13449</v>
      </c>
      <c r="D3222" s="8" t="s">
        <v>17</v>
      </c>
      <c r="E3222" s="6" t="s">
        <v>23</v>
      </c>
      <c r="F3222" s="6" t="s">
        <v>31</v>
      </c>
      <c r="G3222" s="6" t="s">
        <v>13450</v>
      </c>
      <c r="H3222" s="10">
        <v>45806</v>
      </c>
      <c r="I3222" s="6" t="s">
        <v>13451</v>
      </c>
      <c r="J3222" s="6" t="s">
        <v>34</v>
      </c>
      <c r="K3222" s="6" t="s">
        <v>35</v>
      </c>
      <c r="L3222" s="6" t="s">
        <v>36</v>
      </c>
      <c r="M3222" s="6" t="s">
        <v>13452</v>
      </c>
    </row>
    <row r="3223" spans="1:13" ht="13" x14ac:dyDescent="0.15">
      <c r="A3223" s="5" t="str">
        <f>HYPERLINK("https://onemount.atlassian.net/browse/DBA-1533","DBA-1533")</f>
        <v>DBA-1533</v>
      </c>
      <c r="B3223" s="6" t="s">
        <v>21</v>
      </c>
      <c r="C3223" s="6" t="s">
        <v>13453</v>
      </c>
      <c r="D3223" s="8" t="s">
        <v>17</v>
      </c>
      <c r="E3223" s="6" t="s">
        <v>23</v>
      </c>
      <c r="F3223" s="6" t="s">
        <v>96</v>
      </c>
      <c r="G3223" s="6" t="s">
        <v>13454</v>
      </c>
      <c r="H3223" s="10">
        <v>45804</v>
      </c>
      <c r="I3223" s="6" t="s">
        <v>13455</v>
      </c>
      <c r="J3223" s="6" t="s">
        <v>463</v>
      </c>
      <c r="K3223" s="6" t="s">
        <v>55</v>
      </c>
      <c r="L3223" s="6" t="s">
        <v>254</v>
      </c>
      <c r="M3223" s="6" t="s">
        <v>13456</v>
      </c>
    </row>
    <row r="3224" spans="1:13" ht="13" x14ac:dyDescent="0.15">
      <c r="A3224" s="5" t="str">
        <f>HYPERLINK("https://onemount.atlassian.net/browse/DBA-1532","DBA-1532")</f>
        <v>DBA-1532</v>
      </c>
      <c r="B3224" s="6" t="s">
        <v>21</v>
      </c>
      <c r="C3224" s="6" t="s">
        <v>13457</v>
      </c>
      <c r="D3224" s="8" t="s">
        <v>17</v>
      </c>
      <c r="E3224" s="6" t="s">
        <v>23</v>
      </c>
      <c r="F3224" s="6" t="s">
        <v>96</v>
      </c>
      <c r="G3224" s="6" t="s">
        <v>13458</v>
      </c>
      <c r="H3224" s="10">
        <v>45803</v>
      </c>
      <c r="I3224" s="6" t="s">
        <v>13459</v>
      </c>
      <c r="J3224" s="6" t="s">
        <v>8065</v>
      </c>
      <c r="K3224" s="6" t="s">
        <v>165</v>
      </c>
      <c r="L3224" s="6" t="s">
        <v>1084</v>
      </c>
      <c r="M3224" s="6" t="s">
        <v>13460</v>
      </c>
    </row>
    <row r="3225" spans="1:13" ht="13" x14ac:dyDescent="0.15">
      <c r="A3225" s="5" t="str">
        <f>HYPERLINK("https://onemount.atlassian.net/browse/DBA-1531","DBA-1531")</f>
        <v>DBA-1531</v>
      </c>
      <c r="B3225" s="6" t="s">
        <v>21</v>
      </c>
      <c r="C3225" s="6" t="s">
        <v>12158</v>
      </c>
      <c r="D3225" s="8" t="s">
        <v>17</v>
      </c>
      <c r="E3225" s="6" t="s">
        <v>23</v>
      </c>
      <c r="F3225" s="6" t="s">
        <v>31</v>
      </c>
      <c r="G3225" s="6" t="s">
        <v>13461</v>
      </c>
      <c r="H3225" s="10">
        <v>45806</v>
      </c>
      <c r="I3225" s="6" t="s">
        <v>13462</v>
      </c>
      <c r="J3225" s="6" t="s">
        <v>12023</v>
      </c>
      <c r="K3225" s="6" t="s">
        <v>35</v>
      </c>
      <c r="L3225" s="6" t="s">
        <v>276</v>
      </c>
      <c r="M3225" s="6" t="s">
        <v>13463</v>
      </c>
    </row>
    <row r="3226" spans="1:13" ht="13" x14ac:dyDescent="0.15">
      <c r="A3226" s="5" t="str">
        <f>HYPERLINK("https://onemount.atlassian.net/browse/DBA-1530","DBA-1530")</f>
        <v>DBA-1530</v>
      </c>
      <c r="B3226" s="6" t="s">
        <v>21</v>
      </c>
      <c r="C3226" s="6" t="s">
        <v>13464</v>
      </c>
      <c r="D3226" s="8" t="s">
        <v>17</v>
      </c>
      <c r="E3226" s="6" t="s">
        <v>23</v>
      </c>
      <c r="F3226" s="6" t="s">
        <v>96</v>
      </c>
      <c r="G3226" s="6" t="s">
        <v>13465</v>
      </c>
      <c r="H3226" s="10">
        <v>45803</v>
      </c>
      <c r="I3226" s="6" t="s">
        <v>13466</v>
      </c>
      <c r="J3226" s="6" t="s">
        <v>55</v>
      </c>
      <c r="K3226" s="6" t="s">
        <v>55</v>
      </c>
      <c r="L3226" s="6" t="s">
        <v>906</v>
      </c>
      <c r="M3226" s="6" t="s">
        <v>13467</v>
      </c>
    </row>
    <row r="3227" spans="1:13" ht="13" x14ac:dyDescent="0.15">
      <c r="A3227" s="5" t="str">
        <f>HYPERLINK("https://onemount.atlassian.net/browse/DBA-1529","DBA-1529")</f>
        <v>DBA-1529</v>
      </c>
      <c r="B3227" s="6" t="s">
        <v>21</v>
      </c>
      <c r="C3227" s="6" t="s">
        <v>13468</v>
      </c>
      <c r="D3227" s="8" t="s">
        <v>17</v>
      </c>
      <c r="E3227" s="6" t="s">
        <v>23</v>
      </c>
      <c r="F3227" s="6" t="s">
        <v>31</v>
      </c>
      <c r="G3227" s="6" t="s">
        <v>13469</v>
      </c>
      <c r="H3227" s="10">
        <v>45805</v>
      </c>
      <c r="I3227" s="6" t="s">
        <v>13470</v>
      </c>
      <c r="J3227" s="6" t="s">
        <v>374</v>
      </c>
      <c r="K3227" s="6" t="s">
        <v>35</v>
      </c>
      <c r="L3227" s="6" t="s">
        <v>374</v>
      </c>
      <c r="M3227" s="6" t="s">
        <v>13471</v>
      </c>
    </row>
    <row r="3228" spans="1:13" ht="13" x14ac:dyDescent="0.15">
      <c r="A3228" s="5" t="str">
        <f>HYPERLINK("https://onemount.atlassian.net/browse/DBA-1528","DBA-1528")</f>
        <v>DBA-1528</v>
      </c>
      <c r="B3228" s="6" t="s">
        <v>21</v>
      </c>
      <c r="C3228" s="6" t="s">
        <v>12158</v>
      </c>
      <c r="D3228" s="8" t="s">
        <v>17</v>
      </c>
      <c r="E3228" s="6" t="s">
        <v>23</v>
      </c>
      <c r="F3228" s="6" t="s">
        <v>31</v>
      </c>
      <c r="G3228" s="6" t="s">
        <v>13472</v>
      </c>
      <c r="H3228" s="10">
        <v>45804</v>
      </c>
      <c r="I3228" s="6" t="s">
        <v>13473</v>
      </c>
      <c r="J3228" s="6" t="s">
        <v>12023</v>
      </c>
      <c r="K3228" s="6" t="s">
        <v>35</v>
      </c>
      <c r="L3228" s="6" t="s">
        <v>276</v>
      </c>
      <c r="M3228" s="6" t="s">
        <v>13474</v>
      </c>
    </row>
    <row r="3229" spans="1:13" ht="13" x14ac:dyDescent="0.15">
      <c r="A3229" s="5" t="str">
        <f>HYPERLINK("https://onemount.atlassian.net/browse/DBA-1527","DBA-1527")</f>
        <v>DBA-1527</v>
      </c>
      <c r="B3229" s="6" t="s">
        <v>21</v>
      </c>
      <c r="C3229" s="6" t="s">
        <v>13475</v>
      </c>
      <c r="D3229" s="8" t="s">
        <v>17</v>
      </c>
      <c r="E3229" s="6" t="s">
        <v>23</v>
      </c>
      <c r="F3229" s="6" t="s">
        <v>96</v>
      </c>
      <c r="G3229" s="6" t="s">
        <v>13476</v>
      </c>
      <c r="H3229" s="10">
        <v>45814</v>
      </c>
      <c r="I3229" s="6" t="s">
        <v>13477</v>
      </c>
      <c r="J3229" s="6" t="s">
        <v>319</v>
      </c>
      <c r="K3229" s="6" t="s">
        <v>55</v>
      </c>
      <c r="L3229" s="6" t="s">
        <v>715</v>
      </c>
      <c r="M3229" s="6" t="s">
        <v>13478</v>
      </c>
    </row>
    <row r="3230" spans="1:13" ht="13" x14ac:dyDescent="0.15">
      <c r="A3230" s="5" t="str">
        <f>HYPERLINK("https://onemount.atlassian.net/browse/DBA-1523","DBA-1523")</f>
        <v>DBA-1523</v>
      </c>
      <c r="B3230" s="6" t="s">
        <v>21</v>
      </c>
      <c r="C3230" s="6" t="s">
        <v>13479</v>
      </c>
      <c r="D3230" s="8" t="s">
        <v>17</v>
      </c>
      <c r="E3230" s="6" t="s">
        <v>23</v>
      </c>
      <c r="F3230" s="6" t="s">
        <v>31</v>
      </c>
      <c r="G3230" s="6" t="s">
        <v>13480</v>
      </c>
      <c r="H3230" s="10">
        <v>45801</v>
      </c>
      <c r="I3230" s="6" t="s">
        <v>13481</v>
      </c>
      <c r="J3230" s="6" t="s">
        <v>276</v>
      </c>
      <c r="K3230" s="6" t="s">
        <v>35</v>
      </c>
      <c r="L3230" s="6" t="s">
        <v>276</v>
      </c>
      <c r="M3230" s="6" t="s">
        <v>13482</v>
      </c>
    </row>
    <row r="3231" spans="1:13" ht="13" x14ac:dyDescent="0.15">
      <c r="A3231" s="5" t="str">
        <f>HYPERLINK("https://onemount.atlassian.net/browse/DBA-1522","DBA-1522")</f>
        <v>DBA-1522</v>
      </c>
      <c r="B3231" s="6" t="s">
        <v>21</v>
      </c>
      <c r="C3231" s="6" t="s">
        <v>13335</v>
      </c>
      <c r="D3231" s="8" t="s">
        <v>17</v>
      </c>
      <c r="E3231" s="6" t="s">
        <v>23</v>
      </c>
      <c r="F3231" s="6" t="s">
        <v>24</v>
      </c>
      <c r="G3231" s="6" t="s">
        <v>13483</v>
      </c>
      <c r="H3231" s="10">
        <v>45800</v>
      </c>
      <c r="I3231" s="6" t="s">
        <v>13484</v>
      </c>
      <c r="J3231" s="6" t="s">
        <v>85</v>
      </c>
      <c r="K3231" s="6" t="s">
        <v>55</v>
      </c>
      <c r="L3231" s="6" t="s">
        <v>270</v>
      </c>
      <c r="M3231" s="6" t="s">
        <v>13485</v>
      </c>
    </row>
    <row r="3232" spans="1:13" ht="13" x14ac:dyDescent="0.15">
      <c r="A3232" s="5" t="str">
        <f>HYPERLINK("https://onemount.atlassian.net/browse/DBA-1521","DBA-1521")</f>
        <v>DBA-1521</v>
      </c>
      <c r="B3232" s="6" t="s">
        <v>21</v>
      </c>
      <c r="C3232" s="6" t="s">
        <v>13486</v>
      </c>
      <c r="D3232" s="8" t="s">
        <v>17</v>
      </c>
      <c r="E3232" s="6" t="s">
        <v>23</v>
      </c>
      <c r="F3232" s="6" t="s">
        <v>31</v>
      </c>
      <c r="G3232" s="6" t="s">
        <v>13487</v>
      </c>
      <c r="H3232" s="10">
        <v>45800</v>
      </c>
      <c r="I3232" s="6" t="s">
        <v>13488</v>
      </c>
      <c r="J3232" s="6" t="s">
        <v>55</v>
      </c>
      <c r="K3232" s="6" t="s">
        <v>55</v>
      </c>
      <c r="L3232" s="6" t="s">
        <v>984</v>
      </c>
      <c r="M3232" s="6" t="s">
        <v>13489</v>
      </c>
    </row>
    <row r="3233" spans="1:13" ht="13" x14ac:dyDescent="0.15">
      <c r="A3233" s="5" t="str">
        <f>HYPERLINK("https://onemount.atlassian.net/browse/DBA-1520","DBA-1520")</f>
        <v>DBA-1520</v>
      </c>
      <c r="B3233" s="6" t="s">
        <v>21</v>
      </c>
      <c r="C3233" s="6" t="s">
        <v>13490</v>
      </c>
      <c r="D3233" s="8" t="s">
        <v>17</v>
      </c>
      <c r="E3233" s="6" t="s">
        <v>23</v>
      </c>
      <c r="F3233" s="6" t="s">
        <v>31</v>
      </c>
      <c r="G3233" s="6" t="s">
        <v>13491</v>
      </c>
      <c r="H3233" s="10">
        <v>45801</v>
      </c>
      <c r="I3233" s="6" t="s">
        <v>13492</v>
      </c>
      <c r="J3233" s="6" t="s">
        <v>13262</v>
      </c>
      <c r="K3233" s="6" t="s">
        <v>35</v>
      </c>
      <c r="L3233" s="6" t="s">
        <v>389</v>
      </c>
      <c r="M3233" s="6" t="s">
        <v>13493</v>
      </c>
    </row>
    <row r="3234" spans="1:13" ht="13" x14ac:dyDescent="0.15">
      <c r="A3234" s="5" t="str">
        <f>HYPERLINK("https://onemount.atlassian.net/browse/DBA-1519","DBA-1519")</f>
        <v>DBA-1519</v>
      </c>
      <c r="B3234" s="6" t="s">
        <v>21</v>
      </c>
      <c r="C3234" s="6" t="s">
        <v>10815</v>
      </c>
      <c r="D3234" s="8" t="s">
        <v>17</v>
      </c>
      <c r="E3234" s="6" t="s">
        <v>23</v>
      </c>
      <c r="F3234" s="6" t="s">
        <v>96</v>
      </c>
      <c r="G3234" s="6" t="s">
        <v>13494</v>
      </c>
      <c r="H3234" s="10">
        <v>45799</v>
      </c>
      <c r="I3234" s="6" t="s">
        <v>13495</v>
      </c>
      <c r="J3234" s="6" t="s">
        <v>6269</v>
      </c>
      <c r="K3234" s="6" t="s">
        <v>28</v>
      </c>
      <c r="L3234" s="6" t="s">
        <v>1000</v>
      </c>
      <c r="M3234" s="6" t="s">
        <v>13496</v>
      </c>
    </row>
    <row r="3235" spans="1:13" ht="13" x14ac:dyDescent="0.15">
      <c r="A3235" s="5" t="str">
        <f>HYPERLINK("https://onemount.atlassian.net/browse/DBA-1518","DBA-1518")</f>
        <v>DBA-1518</v>
      </c>
      <c r="B3235" s="6" t="s">
        <v>21</v>
      </c>
      <c r="C3235" s="6" t="s">
        <v>13497</v>
      </c>
      <c r="D3235" s="8" t="s">
        <v>17</v>
      </c>
      <c r="E3235" s="6" t="s">
        <v>23</v>
      </c>
      <c r="F3235" s="6" t="s">
        <v>96</v>
      </c>
      <c r="G3235" s="6" t="s">
        <v>13498</v>
      </c>
      <c r="H3235" s="10">
        <v>45801</v>
      </c>
      <c r="I3235" s="6" t="s">
        <v>13499</v>
      </c>
      <c r="J3235" s="6" t="s">
        <v>254</v>
      </c>
      <c r="K3235" s="6" t="s">
        <v>55</v>
      </c>
      <c r="L3235" s="6" t="s">
        <v>254</v>
      </c>
      <c r="M3235" s="6" t="s">
        <v>13500</v>
      </c>
    </row>
    <row r="3236" spans="1:13" ht="13" x14ac:dyDescent="0.15">
      <c r="A3236" s="5" t="str">
        <f>HYPERLINK("https://onemount.atlassian.net/browse/DBA-1517","DBA-1517")</f>
        <v>DBA-1517</v>
      </c>
      <c r="B3236" s="6" t="s">
        <v>21</v>
      </c>
      <c r="C3236" s="6" t="s">
        <v>13501</v>
      </c>
      <c r="D3236" s="8" t="s">
        <v>17</v>
      </c>
      <c r="E3236" s="6" t="s">
        <v>23</v>
      </c>
      <c r="F3236" s="6" t="s">
        <v>96</v>
      </c>
      <c r="G3236" s="6" t="s">
        <v>13502</v>
      </c>
      <c r="H3236" s="10">
        <v>45801</v>
      </c>
      <c r="I3236" s="6" t="s">
        <v>13503</v>
      </c>
      <c r="J3236" s="6" t="s">
        <v>39</v>
      </c>
      <c r="K3236" s="6" t="s">
        <v>165</v>
      </c>
      <c r="L3236" s="6" t="s">
        <v>1054</v>
      </c>
      <c r="M3236" s="6" t="s">
        <v>13504</v>
      </c>
    </row>
    <row r="3237" spans="1:13" ht="13" x14ac:dyDescent="0.15">
      <c r="A3237" s="5" t="str">
        <f>HYPERLINK("https://onemount.atlassian.net/browse/DBA-1516","DBA-1516")</f>
        <v>DBA-1516</v>
      </c>
      <c r="B3237" s="6" t="s">
        <v>21</v>
      </c>
      <c r="C3237" s="6" t="s">
        <v>13505</v>
      </c>
      <c r="D3237" s="8" t="s">
        <v>17</v>
      </c>
      <c r="E3237" s="6" t="s">
        <v>23</v>
      </c>
      <c r="F3237" s="6" t="s">
        <v>96</v>
      </c>
      <c r="G3237" s="6" t="s">
        <v>13506</v>
      </c>
      <c r="H3237" s="10">
        <v>45800</v>
      </c>
      <c r="I3237" s="6" t="s">
        <v>13507</v>
      </c>
      <c r="J3237" s="6" t="s">
        <v>8808</v>
      </c>
      <c r="K3237" s="6" t="s">
        <v>165</v>
      </c>
      <c r="L3237" s="6" t="s">
        <v>1076</v>
      </c>
      <c r="M3237" s="6" t="s">
        <v>13508</v>
      </c>
    </row>
    <row r="3238" spans="1:13" ht="13" x14ac:dyDescent="0.15">
      <c r="A3238" s="5" t="str">
        <f>HYPERLINK("https://onemount.atlassian.net/browse/DBA-1515","DBA-1515")</f>
        <v>DBA-1515</v>
      </c>
      <c r="B3238" s="6" t="s">
        <v>21</v>
      </c>
      <c r="C3238" s="6" t="s">
        <v>13509</v>
      </c>
      <c r="D3238" s="8" t="s">
        <v>17</v>
      </c>
      <c r="E3238" s="6" t="s">
        <v>23</v>
      </c>
      <c r="F3238" s="6" t="s">
        <v>96</v>
      </c>
      <c r="G3238" s="6" t="s">
        <v>13510</v>
      </c>
      <c r="H3238" s="10">
        <v>45799</v>
      </c>
      <c r="I3238" s="6" t="s">
        <v>13511</v>
      </c>
      <c r="J3238" s="6" t="s">
        <v>1004</v>
      </c>
      <c r="K3238" s="6" t="s">
        <v>165</v>
      </c>
      <c r="L3238" s="6" t="s">
        <v>1004</v>
      </c>
      <c r="M3238" s="6" t="s">
        <v>13512</v>
      </c>
    </row>
    <row r="3239" spans="1:13" ht="13" x14ac:dyDescent="0.15">
      <c r="A3239" s="5" t="str">
        <f>HYPERLINK("https://onemount.atlassian.net/browse/DBA-1514","DBA-1514")</f>
        <v>DBA-1514</v>
      </c>
      <c r="B3239" s="6" t="s">
        <v>21</v>
      </c>
      <c r="C3239" s="6" t="s">
        <v>13513</v>
      </c>
      <c r="D3239" s="8" t="s">
        <v>17</v>
      </c>
      <c r="E3239" s="6" t="s">
        <v>23</v>
      </c>
      <c r="F3239" s="6" t="s">
        <v>24</v>
      </c>
      <c r="G3239" s="6" t="s">
        <v>13514</v>
      </c>
      <c r="H3239" s="10">
        <v>45799</v>
      </c>
      <c r="I3239" s="6" t="s">
        <v>13515</v>
      </c>
      <c r="J3239" s="6" t="s">
        <v>85</v>
      </c>
      <c r="K3239" s="6" t="s">
        <v>55</v>
      </c>
      <c r="L3239" s="6" t="s">
        <v>270</v>
      </c>
      <c r="M3239" s="6" t="s">
        <v>13516</v>
      </c>
    </row>
    <row r="3240" spans="1:13" ht="13" x14ac:dyDescent="0.15">
      <c r="A3240" s="5" t="str">
        <f>HYPERLINK("https://onemount.atlassian.net/browse/DBA-1513","DBA-1513")</f>
        <v>DBA-1513</v>
      </c>
      <c r="B3240" s="6" t="s">
        <v>21</v>
      </c>
      <c r="C3240" s="6" t="s">
        <v>6266</v>
      </c>
      <c r="D3240" s="8" t="s">
        <v>17</v>
      </c>
      <c r="E3240" s="6" t="s">
        <v>23</v>
      </c>
      <c r="F3240" s="6" t="s">
        <v>96</v>
      </c>
      <c r="G3240" s="6" t="s">
        <v>13517</v>
      </c>
      <c r="H3240" s="10">
        <v>45800</v>
      </c>
      <c r="I3240" s="6" t="s">
        <v>13518</v>
      </c>
      <c r="J3240" s="6" t="s">
        <v>1000</v>
      </c>
      <c r="K3240" s="6" t="s">
        <v>28</v>
      </c>
      <c r="L3240" s="6" t="s">
        <v>1000</v>
      </c>
      <c r="M3240" s="6" t="s">
        <v>13519</v>
      </c>
    </row>
    <row r="3241" spans="1:13" ht="13" x14ac:dyDescent="0.15">
      <c r="A3241" s="5" t="str">
        <f>HYPERLINK("https://onemount.atlassian.net/browse/DBA-1512","DBA-1512")</f>
        <v>DBA-1512</v>
      </c>
      <c r="B3241" s="6" t="s">
        <v>21</v>
      </c>
      <c r="C3241" s="6" t="s">
        <v>13520</v>
      </c>
      <c r="D3241" s="8" t="s">
        <v>17</v>
      </c>
      <c r="E3241" s="6" t="s">
        <v>23</v>
      </c>
      <c r="F3241" s="6" t="s">
        <v>31</v>
      </c>
      <c r="G3241" s="6" t="s">
        <v>13521</v>
      </c>
      <c r="H3241" s="10">
        <v>45799</v>
      </c>
      <c r="I3241" s="6" t="s">
        <v>13522</v>
      </c>
      <c r="J3241" s="6" t="s">
        <v>55</v>
      </c>
      <c r="K3241" s="6" t="s">
        <v>55</v>
      </c>
      <c r="L3241" s="6" t="s">
        <v>984</v>
      </c>
      <c r="M3241" s="6" t="s">
        <v>13523</v>
      </c>
    </row>
    <row r="3242" spans="1:13" ht="13" x14ac:dyDescent="0.15">
      <c r="A3242" s="5" t="str">
        <f>HYPERLINK("https://onemount.atlassian.net/browse/DBA-1511","DBA-1511")</f>
        <v>DBA-1511</v>
      </c>
      <c r="B3242" s="6" t="s">
        <v>21</v>
      </c>
      <c r="C3242" s="6" t="s">
        <v>13524</v>
      </c>
      <c r="D3242" s="8" t="s">
        <v>17</v>
      </c>
      <c r="E3242" s="6" t="s">
        <v>23</v>
      </c>
      <c r="F3242" s="6" t="s">
        <v>96</v>
      </c>
      <c r="G3242" s="6" t="s">
        <v>13525</v>
      </c>
      <c r="H3242" s="10">
        <v>45799</v>
      </c>
      <c r="I3242" s="6" t="s">
        <v>13526</v>
      </c>
      <c r="J3242" s="6" t="s">
        <v>13527</v>
      </c>
      <c r="K3242" s="6" t="s">
        <v>28</v>
      </c>
      <c r="L3242" s="6" t="s">
        <v>1140</v>
      </c>
      <c r="M3242" s="6" t="s">
        <v>13528</v>
      </c>
    </row>
    <row r="3243" spans="1:13" ht="13" x14ac:dyDescent="0.15">
      <c r="A3243" s="5" t="str">
        <f>HYPERLINK("https://onemount.atlassian.net/browse/DBA-1510","DBA-1510")</f>
        <v>DBA-1510</v>
      </c>
      <c r="B3243" s="6" t="s">
        <v>21</v>
      </c>
      <c r="C3243" s="6" t="s">
        <v>13529</v>
      </c>
      <c r="D3243" s="8" t="s">
        <v>17</v>
      </c>
      <c r="E3243" s="6" t="s">
        <v>23</v>
      </c>
      <c r="F3243" s="6" t="s">
        <v>96</v>
      </c>
      <c r="G3243" s="6" t="s">
        <v>13530</v>
      </c>
      <c r="H3243" s="10">
        <v>45799</v>
      </c>
      <c r="I3243" s="6" t="s">
        <v>13531</v>
      </c>
      <c r="J3243" s="6" t="s">
        <v>165</v>
      </c>
      <c r="K3243" s="6" t="s">
        <v>165</v>
      </c>
      <c r="L3243" s="6" t="s">
        <v>1097</v>
      </c>
      <c r="M3243" s="6" t="s">
        <v>13532</v>
      </c>
    </row>
    <row r="3244" spans="1:13" ht="13" x14ac:dyDescent="0.15">
      <c r="A3244" s="5" t="str">
        <f>HYPERLINK("https://onemount.atlassian.net/browse/DBA-1509","DBA-1509")</f>
        <v>DBA-1509</v>
      </c>
      <c r="B3244" s="6" t="s">
        <v>21</v>
      </c>
      <c r="C3244" s="6" t="s">
        <v>13533</v>
      </c>
      <c r="D3244" s="8" t="s">
        <v>17</v>
      </c>
      <c r="E3244" s="6" t="s">
        <v>23</v>
      </c>
      <c r="F3244" s="6" t="s">
        <v>96</v>
      </c>
      <c r="G3244" s="6" t="s">
        <v>13534</v>
      </c>
      <c r="H3244" s="10">
        <v>45799</v>
      </c>
      <c r="I3244" s="6" t="s">
        <v>13535</v>
      </c>
      <c r="J3244" s="6" t="s">
        <v>165</v>
      </c>
      <c r="K3244" s="6" t="s">
        <v>165</v>
      </c>
      <c r="L3244" s="6" t="s">
        <v>715</v>
      </c>
      <c r="M3244" s="6" t="s">
        <v>13536</v>
      </c>
    </row>
    <row r="3245" spans="1:13" ht="13" x14ac:dyDescent="0.15">
      <c r="A3245" s="5" t="str">
        <f>HYPERLINK("https://onemount.atlassian.net/browse/DBA-1508","DBA-1508")</f>
        <v>DBA-1508</v>
      </c>
      <c r="B3245" s="6" t="s">
        <v>21</v>
      </c>
      <c r="C3245" s="6" t="s">
        <v>13537</v>
      </c>
      <c r="D3245" s="8" t="s">
        <v>17</v>
      </c>
      <c r="E3245" s="6" t="s">
        <v>23</v>
      </c>
      <c r="F3245" s="6" t="s">
        <v>96</v>
      </c>
      <c r="G3245" s="6" t="s">
        <v>13538</v>
      </c>
      <c r="H3245" s="10">
        <v>45799</v>
      </c>
      <c r="I3245" s="6" t="s">
        <v>13539</v>
      </c>
      <c r="J3245" s="6" t="s">
        <v>165</v>
      </c>
      <c r="K3245" s="6" t="s">
        <v>165</v>
      </c>
      <c r="L3245" s="6" t="s">
        <v>1006</v>
      </c>
      <c r="M3245" s="6" t="s">
        <v>13540</v>
      </c>
    </row>
    <row r="3246" spans="1:13" ht="13" x14ac:dyDescent="0.15">
      <c r="A3246" s="5" t="str">
        <f>HYPERLINK("https://onemount.atlassian.net/browse/DBA-1507","DBA-1507")</f>
        <v>DBA-1507</v>
      </c>
      <c r="B3246" s="6" t="s">
        <v>21</v>
      </c>
      <c r="C3246" s="6" t="s">
        <v>13541</v>
      </c>
      <c r="D3246" s="8" t="s">
        <v>17</v>
      </c>
      <c r="E3246" s="6" t="s">
        <v>23</v>
      </c>
      <c r="F3246" s="6" t="s">
        <v>31</v>
      </c>
      <c r="G3246" s="6" t="s">
        <v>13542</v>
      </c>
      <c r="H3246" s="10">
        <v>45801</v>
      </c>
      <c r="I3246" s="6" t="s">
        <v>13543</v>
      </c>
      <c r="J3246" s="6" t="s">
        <v>55</v>
      </c>
      <c r="K3246" s="6" t="s">
        <v>55</v>
      </c>
      <c r="L3246" s="6" t="s">
        <v>984</v>
      </c>
      <c r="M3246" s="6" t="s">
        <v>13544</v>
      </c>
    </row>
    <row r="3247" spans="1:13" ht="13" x14ac:dyDescent="0.15">
      <c r="A3247" s="5" t="str">
        <f>HYPERLINK("https://onemount.atlassian.net/browse/DBA-1506","DBA-1506")</f>
        <v>DBA-1506</v>
      </c>
      <c r="B3247" s="23" t="str">
        <f>HYPERLINK("https://onemount.atlassian.net/browse/DBA-1909","DBA-1909")</f>
        <v>DBA-1909</v>
      </c>
      <c r="C3247" s="6" t="s">
        <v>13545</v>
      </c>
      <c r="D3247" s="8" t="s">
        <v>17</v>
      </c>
      <c r="E3247" s="6" t="s">
        <v>428</v>
      </c>
      <c r="F3247" s="6" t="s">
        <v>96</v>
      </c>
      <c r="G3247" s="6" t="s">
        <v>13546</v>
      </c>
      <c r="H3247" s="10">
        <v>45799</v>
      </c>
      <c r="I3247" s="6" t="s">
        <v>13547</v>
      </c>
      <c r="J3247" s="6" t="s">
        <v>13548</v>
      </c>
      <c r="K3247" s="6" t="s">
        <v>46</v>
      </c>
      <c r="L3247" s="6" t="s">
        <v>603</v>
      </c>
      <c r="M3247" s="6" t="s">
        <v>13549</v>
      </c>
    </row>
    <row r="3248" spans="1:13" ht="13" x14ac:dyDescent="0.15">
      <c r="A3248" s="5" t="str">
        <f>HYPERLINK("https://onemount.atlassian.net/browse/DBA-1505","DBA-1505")</f>
        <v>DBA-1505</v>
      </c>
      <c r="B3248" s="6" t="s">
        <v>21</v>
      </c>
      <c r="C3248" s="6" t="s">
        <v>13550</v>
      </c>
      <c r="D3248" s="8" t="s">
        <v>17</v>
      </c>
      <c r="E3248" s="6" t="s">
        <v>23</v>
      </c>
      <c r="F3248" s="6" t="s">
        <v>96</v>
      </c>
      <c r="G3248" s="6" t="s">
        <v>13551</v>
      </c>
      <c r="H3248" s="10">
        <v>45799</v>
      </c>
      <c r="I3248" s="6" t="s">
        <v>13552</v>
      </c>
      <c r="J3248" s="6" t="s">
        <v>46</v>
      </c>
      <c r="K3248" s="6" t="s">
        <v>46</v>
      </c>
      <c r="L3248" s="6" t="s">
        <v>278</v>
      </c>
      <c r="M3248" s="6" t="s">
        <v>13553</v>
      </c>
    </row>
    <row r="3249" spans="1:13" ht="13" x14ac:dyDescent="0.15">
      <c r="A3249" s="5" t="str">
        <f>HYPERLINK("https://onemount.atlassian.net/browse/DBA-1502","DBA-1502")</f>
        <v>DBA-1502</v>
      </c>
      <c r="B3249" s="6" t="s">
        <v>21</v>
      </c>
      <c r="C3249" s="6" t="s">
        <v>6266</v>
      </c>
      <c r="D3249" s="8" t="s">
        <v>17</v>
      </c>
      <c r="E3249" s="6" t="s">
        <v>23</v>
      </c>
      <c r="F3249" s="6" t="s">
        <v>96</v>
      </c>
      <c r="G3249" s="6" t="s">
        <v>13554</v>
      </c>
      <c r="H3249" s="10">
        <v>45797</v>
      </c>
      <c r="I3249" s="6" t="s">
        <v>13555</v>
      </c>
      <c r="J3249" s="6" t="s">
        <v>6269</v>
      </c>
      <c r="K3249" s="6" t="s">
        <v>28</v>
      </c>
      <c r="L3249" s="6" t="s">
        <v>1000</v>
      </c>
      <c r="M3249" s="6" t="s">
        <v>13556</v>
      </c>
    </row>
    <row r="3250" spans="1:13" ht="13" x14ac:dyDescent="0.15">
      <c r="A3250" s="21" t="str">
        <f>HYPERLINK("https://onemount.atlassian.net/browse/DBA-1501","DBA-1501")</f>
        <v>DBA-1501</v>
      </c>
      <c r="B3250" s="6" t="s">
        <v>21</v>
      </c>
      <c r="C3250" s="6" t="s">
        <v>10709</v>
      </c>
      <c r="D3250" s="8" t="s">
        <v>17</v>
      </c>
      <c r="E3250" s="6" t="s">
        <v>23</v>
      </c>
      <c r="F3250" s="6" t="s">
        <v>31</v>
      </c>
      <c r="G3250" s="6" t="s">
        <v>13557</v>
      </c>
      <c r="H3250" s="10">
        <v>45798</v>
      </c>
      <c r="I3250" s="6" t="s">
        <v>13558</v>
      </c>
      <c r="J3250" s="6" t="s">
        <v>49</v>
      </c>
      <c r="K3250" s="6" t="s">
        <v>35</v>
      </c>
      <c r="L3250" s="6" t="s">
        <v>981</v>
      </c>
      <c r="M3250" s="6" t="s">
        <v>13559</v>
      </c>
    </row>
    <row r="3251" spans="1:13" ht="13" x14ac:dyDescent="0.15">
      <c r="A3251" s="5" t="str">
        <f>HYPERLINK("https://onemount.atlassian.net/browse/DBA-1500","DBA-1500")</f>
        <v>DBA-1500</v>
      </c>
      <c r="B3251" s="6" t="s">
        <v>21</v>
      </c>
      <c r="C3251" s="6" t="s">
        <v>13560</v>
      </c>
      <c r="D3251" s="8" t="s">
        <v>17</v>
      </c>
      <c r="E3251" s="6" t="s">
        <v>23</v>
      </c>
      <c r="F3251" s="6" t="s">
        <v>96</v>
      </c>
      <c r="G3251" s="6" t="s">
        <v>13561</v>
      </c>
      <c r="H3251" s="10">
        <v>45798</v>
      </c>
      <c r="I3251" s="6" t="s">
        <v>13562</v>
      </c>
      <c r="J3251" s="6" t="s">
        <v>85</v>
      </c>
      <c r="K3251" s="6" t="s">
        <v>55</v>
      </c>
      <c r="L3251" s="6" t="s">
        <v>85</v>
      </c>
      <c r="M3251" s="6" t="s">
        <v>13563</v>
      </c>
    </row>
    <row r="3252" spans="1:13" ht="13" x14ac:dyDescent="0.15">
      <c r="A3252" s="5" t="str">
        <f>HYPERLINK("https://onemount.atlassian.net/browse/DBA-1487","DBA-1487")</f>
        <v>DBA-1487</v>
      </c>
      <c r="B3252" s="6" t="s">
        <v>21</v>
      </c>
      <c r="C3252" s="6" t="s">
        <v>13058</v>
      </c>
      <c r="D3252" s="8" t="s">
        <v>17</v>
      </c>
      <c r="E3252" s="6" t="s">
        <v>23</v>
      </c>
      <c r="F3252" s="6" t="s">
        <v>31</v>
      </c>
      <c r="G3252" s="6" t="s">
        <v>13564</v>
      </c>
      <c r="H3252" s="10">
        <v>45797</v>
      </c>
      <c r="I3252" s="6" t="s">
        <v>13565</v>
      </c>
      <c r="J3252" s="6" t="s">
        <v>12023</v>
      </c>
      <c r="K3252" s="6" t="s">
        <v>35</v>
      </c>
      <c r="L3252" s="6" t="s">
        <v>276</v>
      </c>
      <c r="M3252" s="6" t="s">
        <v>13566</v>
      </c>
    </row>
    <row r="3253" spans="1:13" ht="13" x14ac:dyDescent="0.15">
      <c r="A3253" s="5" t="str">
        <f>HYPERLINK("https://onemount.atlassian.net/browse/DBA-1486","DBA-1486")</f>
        <v>DBA-1486</v>
      </c>
      <c r="B3253" s="6" t="s">
        <v>21</v>
      </c>
      <c r="C3253" s="6" t="s">
        <v>13567</v>
      </c>
      <c r="D3253" s="8" t="s">
        <v>17</v>
      </c>
      <c r="E3253" s="6" t="s">
        <v>23</v>
      </c>
      <c r="F3253" s="6" t="s">
        <v>96</v>
      </c>
      <c r="G3253" s="6" t="s">
        <v>13568</v>
      </c>
      <c r="H3253" s="10">
        <v>45797</v>
      </c>
      <c r="I3253" s="6" t="s">
        <v>13569</v>
      </c>
      <c r="J3253" s="6" t="s">
        <v>2453</v>
      </c>
      <c r="K3253" s="6" t="s">
        <v>165</v>
      </c>
      <c r="L3253" s="6" t="s">
        <v>119</v>
      </c>
      <c r="M3253" s="6" t="s">
        <v>13570</v>
      </c>
    </row>
    <row r="3254" spans="1:13" ht="13" x14ac:dyDescent="0.15">
      <c r="A3254" s="5" t="str">
        <f>HYPERLINK("https://onemount.atlassian.net/browse/DBA-1485","DBA-1485")</f>
        <v>DBA-1485</v>
      </c>
      <c r="B3254" s="6" t="s">
        <v>21</v>
      </c>
      <c r="C3254" s="6" t="s">
        <v>13571</v>
      </c>
      <c r="D3254" s="8" t="s">
        <v>17</v>
      </c>
      <c r="E3254" s="6" t="s">
        <v>23</v>
      </c>
      <c r="F3254" s="6" t="s">
        <v>96</v>
      </c>
      <c r="G3254" s="6" t="s">
        <v>13572</v>
      </c>
      <c r="H3254" s="10">
        <v>45797</v>
      </c>
      <c r="I3254" s="6" t="s">
        <v>13573</v>
      </c>
      <c r="J3254" s="6" t="s">
        <v>254</v>
      </c>
      <c r="K3254" s="6" t="s">
        <v>55</v>
      </c>
      <c r="L3254" s="6" t="s">
        <v>254</v>
      </c>
      <c r="M3254" s="6" t="s">
        <v>13574</v>
      </c>
    </row>
    <row r="3255" spans="1:13" ht="13" x14ac:dyDescent="0.15">
      <c r="A3255" s="5" t="str">
        <f>HYPERLINK("https://onemount.atlassian.net/browse/DBA-1483","DBA-1483")</f>
        <v>DBA-1483</v>
      </c>
      <c r="B3255" s="6" t="s">
        <v>21</v>
      </c>
      <c r="C3255" s="6" t="s">
        <v>13575</v>
      </c>
      <c r="D3255" s="8" t="s">
        <v>17</v>
      </c>
      <c r="E3255" s="6" t="s">
        <v>23</v>
      </c>
      <c r="F3255" s="6" t="s">
        <v>31</v>
      </c>
      <c r="G3255" s="6" t="s">
        <v>13576</v>
      </c>
      <c r="H3255" s="10">
        <v>45797</v>
      </c>
      <c r="I3255" s="6" t="s">
        <v>13577</v>
      </c>
      <c r="J3255" s="6" t="s">
        <v>55</v>
      </c>
      <c r="K3255" s="6" t="s">
        <v>55</v>
      </c>
      <c r="L3255" s="6" t="s">
        <v>984</v>
      </c>
      <c r="M3255" s="6" t="s">
        <v>13578</v>
      </c>
    </row>
    <row r="3256" spans="1:13" ht="13" x14ac:dyDescent="0.15">
      <c r="A3256" s="5" t="str">
        <f>HYPERLINK("https://onemount.atlassian.net/browse/DBA-1482","DBA-1482")</f>
        <v>DBA-1482</v>
      </c>
      <c r="B3256" s="6" t="s">
        <v>21</v>
      </c>
      <c r="C3256" s="6" t="s">
        <v>13579</v>
      </c>
      <c r="D3256" s="8" t="s">
        <v>17</v>
      </c>
      <c r="E3256" s="6" t="s">
        <v>23</v>
      </c>
      <c r="F3256" s="6" t="s">
        <v>31</v>
      </c>
      <c r="G3256" s="6" t="s">
        <v>13580</v>
      </c>
      <c r="H3256" s="10">
        <v>45798</v>
      </c>
      <c r="I3256" s="6" t="s">
        <v>13581</v>
      </c>
      <c r="J3256" s="6" t="s">
        <v>56</v>
      </c>
      <c r="K3256" s="6" t="s">
        <v>55</v>
      </c>
      <c r="L3256" s="6" t="s">
        <v>56</v>
      </c>
      <c r="M3256" s="6" t="s">
        <v>13582</v>
      </c>
    </row>
    <row r="3257" spans="1:13" ht="13" x14ac:dyDescent="0.15">
      <c r="A3257" s="5" t="str">
        <f>HYPERLINK("https://onemount.atlassian.net/browse/DBA-1481","DBA-1481")</f>
        <v>DBA-1481</v>
      </c>
      <c r="B3257" s="23" t="str">
        <f>HYPERLINK("https://onemount.atlassian.net/browse/DBA-2023","DBA-2023")</f>
        <v>DBA-2023</v>
      </c>
      <c r="C3257" s="6" t="s">
        <v>13583</v>
      </c>
      <c r="D3257" s="8" t="s">
        <v>17</v>
      </c>
      <c r="E3257" s="6" t="s">
        <v>428</v>
      </c>
      <c r="F3257" s="6" t="s">
        <v>24</v>
      </c>
      <c r="G3257" s="6" t="s">
        <v>13584</v>
      </c>
      <c r="H3257" s="10">
        <v>45797</v>
      </c>
      <c r="I3257" s="6" t="s">
        <v>13585</v>
      </c>
      <c r="J3257" s="6" t="s">
        <v>254</v>
      </c>
      <c r="K3257" s="6" t="s">
        <v>55</v>
      </c>
      <c r="L3257" s="6" t="s">
        <v>254</v>
      </c>
      <c r="M3257" s="6" t="s">
        <v>13586</v>
      </c>
    </row>
    <row r="3258" spans="1:13" ht="13" x14ac:dyDescent="0.15">
      <c r="A3258" s="5" t="str">
        <f>HYPERLINK("https://onemount.atlassian.net/browse/DBA-1480","DBA-1480")</f>
        <v>DBA-1480</v>
      </c>
      <c r="B3258" s="6" t="s">
        <v>21</v>
      </c>
      <c r="C3258" s="6" t="s">
        <v>13587</v>
      </c>
      <c r="D3258" s="8" t="s">
        <v>17</v>
      </c>
      <c r="E3258" s="6" t="s">
        <v>23</v>
      </c>
      <c r="F3258" s="6" t="s">
        <v>96</v>
      </c>
      <c r="G3258" s="6" t="s">
        <v>13588</v>
      </c>
      <c r="H3258" s="10">
        <v>45796</v>
      </c>
      <c r="I3258" s="6" t="s">
        <v>13589</v>
      </c>
      <c r="J3258" s="6" t="s">
        <v>6269</v>
      </c>
      <c r="K3258" s="6" t="s">
        <v>28</v>
      </c>
      <c r="L3258" s="6" t="s">
        <v>1000</v>
      </c>
      <c r="M3258" s="6" t="s">
        <v>13590</v>
      </c>
    </row>
    <row r="3259" spans="1:13" ht="13" x14ac:dyDescent="0.15">
      <c r="A3259" s="5" t="str">
        <f>HYPERLINK("https://onemount.atlassian.net/browse/DBA-1479","DBA-1479")</f>
        <v>DBA-1479</v>
      </c>
      <c r="B3259" s="6" t="s">
        <v>21</v>
      </c>
      <c r="C3259" s="6" t="s">
        <v>13591</v>
      </c>
      <c r="D3259" s="8" t="s">
        <v>17</v>
      </c>
      <c r="E3259" s="6" t="s">
        <v>23</v>
      </c>
      <c r="F3259" s="6" t="s">
        <v>96</v>
      </c>
      <c r="G3259" s="6" t="s">
        <v>13592</v>
      </c>
      <c r="H3259" s="10">
        <v>45797</v>
      </c>
      <c r="I3259" s="6" t="s">
        <v>13593</v>
      </c>
      <c r="J3259" s="6" t="s">
        <v>8773</v>
      </c>
      <c r="K3259" s="6" t="s">
        <v>165</v>
      </c>
      <c r="L3259" s="6" t="s">
        <v>1076</v>
      </c>
      <c r="M3259" s="6" t="s">
        <v>13594</v>
      </c>
    </row>
    <row r="3260" spans="1:13" ht="13" x14ac:dyDescent="0.15">
      <c r="A3260" s="5" t="str">
        <f>HYPERLINK("https://onemount.atlassian.net/browse/DBA-1477","DBA-1477")</f>
        <v>DBA-1477</v>
      </c>
      <c r="B3260" s="6" t="s">
        <v>21</v>
      </c>
      <c r="C3260" s="6" t="s">
        <v>13595</v>
      </c>
      <c r="D3260" s="8" t="s">
        <v>17</v>
      </c>
      <c r="E3260" s="6" t="s">
        <v>23</v>
      </c>
      <c r="F3260" s="6" t="s">
        <v>24</v>
      </c>
      <c r="G3260" s="6" t="s">
        <v>13596</v>
      </c>
      <c r="H3260" s="10">
        <v>45796</v>
      </c>
      <c r="I3260" s="6" t="s">
        <v>13597</v>
      </c>
      <c r="J3260" s="6" t="s">
        <v>55</v>
      </c>
      <c r="K3260" s="6" t="s">
        <v>55</v>
      </c>
      <c r="L3260" s="6" t="s">
        <v>984</v>
      </c>
      <c r="M3260" s="6" t="s">
        <v>13598</v>
      </c>
    </row>
    <row r="3261" spans="1:13" ht="13" x14ac:dyDescent="0.15">
      <c r="A3261" s="5" t="str">
        <f>HYPERLINK("https://onemount.atlassian.net/browse/DBA-1476","DBA-1476")</f>
        <v>DBA-1476</v>
      </c>
      <c r="B3261" s="6" t="s">
        <v>21</v>
      </c>
      <c r="C3261" s="6" t="s">
        <v>13185</v>
      </c>
      <c r="D3261" s="8" t="s">
        <v>17</v>
      </c>
      <c r="E3261" s="6" t="s">
        <v>23</v>
      </c>
      <c r="F3261" s="6" t="s">
        <v>96</v>
      </c>
      <c r="G3261" s="6" t="s">
        <v>13599</v>
      </c>
      <c r="H3261" s="10">
        <v>45797</v>
      </c>
      <c r="I3261" s="6" t="s">
        <v>13600</v>
      </c>
      <c r="J3261" s="6" t="s">
        <v>85</v>
      </c>
      <c r="K3261" s="6" t="s">
        <v>55</v>
      </c>
      <c r="L3261" s="6" t="s">
        <v>85</v>
      </c>
      <c r="M3261" s="6" t="s">
        <v>13601</v>
      </c>
    </row>
    <row r="3262" spans="1:13" ht="13" x14ac:dyDescent="0.15">
      <c r="A3262" s="5" t="str">
        <f>HYPERLINK("https://onemount.atlassian.net/browse/DBA-1475","DBA-1475")</f>
        <v>DBA-1475</v>
      </c>
      <c r="B3262" s="6" t="s">
        <v>21</v>
      </c>
      <c r="C3262" s="6" t="s">
        <v>13602</v>
      </c>
      <c r="D3262" s="8" t="s">
        <v>17</v>
      </c>
      <c r="E3262" s="6" t="s">
        <v>23</v>
      </c>
      <c r="F3262" s="6" t="s">
        <v>96</v>
      </c>
      <c r="G3262" s="6" t="s">
        <v>13603</v>
      </c>
      <c r="H3262" s="10">
        <v>45796</v>
      </c>
      <c r="I3262" s="6" t="s">
        <v>13604</v>
      </c>
      <c r="J3262" s="6" t="s">
        <v>1886</v>
      </c>
      <c r="K3262" s="6" t="s">
        <v>165</v>
      </c>
      <c r="L3262" s="6" t="s">
        <v>288</v>
      </c>
      <c r="M3262" s="6" t="s">
        <v>13605</v>
      </c>
    </row>
    <row r="3263" spans="1:13" ht="13" x14ac:dyDescent="0.15">
      <c r="A3263" s="5" t="str">
        <f>HYPERLINK("https://onemount.atlassian.net/browse/DBA-1474","DBA-1474")</f>
        <v>DBA-1474</v>
      </c>
      <c r="B3263" s="6" t="s">
        <v>21</v>
      </c>
      <c r="C3263" s="6" t="s">
        <v>13606</v>
      </c>
      <c r="D3263" s="8" t="s">
        <v>17</v>
      </c>
      <c r="E3263" s="6" t="s">
        <v>23</v>
      </c>
      <c r="F3263" s="6" t="s">
        <v>96</v>
      </c>
      <c r="G3263" s="6" t="s">
        <v>13607</v>
      </c>
      <c r="H3263" s="10">
        <v>45797</v>
      </c>
      <c r="I3263" s="6" t="s">
        <v>13608</v>
      </c>
      <c r="J3263" s="6" t="s">
        <v>1000</v>
      </c>
      <c r="K3263" s="6" t="s">
        <v>28</v>
      </c>
      <c r="L3263" s="6" t="s">
        <v>1000</v>
      </c>
      <c r="M3263" s="6" t="s">
        <v>13609</v>
      </c>
    </row>
    <row r="3264" spans="1:13" ht="13" x14ac:dyDescent="0.15">
      <c r="A3264" s="5" t="str">
        <f>HYPERLINK("https://onemount.atlassian.net/browse/DBA-1473","DBA-1473")</f>
        <v>DBA-1473</v>
      </c>
      <c r="B3264" s="23" t="str">
        <f t="shared" ref="B3264:B3282" si="56">HYPERLINK("https://onemount.atlassian.net/browse/DBA-501","DBA-501")</f>
        <v>DBA-501</v>
      </c>
      <c r="C3264" s="6" t="s">
        <v>13610</v>
      </c>
      <c r="D3264" s="8" t="s">
        <v>17</v>
      </c>
      <c r="E3264" s="6" t="s">
        <v>428</v>
      </c>
      <c r="F3264" s="6" t="s">
        <v>24</v>
      </c>
      <c r="G3264" s="6" t="s">
        <v>13611</v>
      </c>
      <c r="H3264" s="10">
        <v>45797</v>
      </c>
      <c r="I3264" s="6" t="s">
        <v>13612</v>
      </c>
      <c r="J3264" s="6" t="s">
        <v>13613</v>
      </c>
      <c r="K3264" s="6" t="s">
        <v>35</v>
      </c>
      <c r="L3264" s="6" t="s">
        <v>278</v>
      </c>
      <c r="M3264" s="6" t="s">
        <v>13614</v>
      </c>
    </row>
    <row r="3265" spans="1:13" ht="13" x14ac:dyDescent="0.15">
      <c r="A3265" s="5" t="str">
        <f>HYPERLINK("https://onemount.atlassian.net/browse/DBA-1472","DBA-1472")</f>
        <v>DBA-1472</v>
      </c>
      <c r="B3265" s="23" t="str">
        <f t="shared" si="56"/>
        <v>DBA-501</v>
      </c>
      <c r="C3265" s="6" t="s">
        <v>13615</v>
      </c>
      <c r="D3265" s="8" t="s">
        <v>17</v>
      </c>
      <c r="E3265" s="6" t="s">
        <v>428</v>
      </c>
      <c r="F3265" s="6" t="s">
        <v>24</v>
      </c>
      <c r="G3265" s="6" t="s">
        <v>13616</v>
      </c>
      <c r="H3265" s="10">
        <v>45797</v>
      </c>
      <c r="I3265" s="6" t="s">
        <v>13617</v>
      </c>
      <c r="J3265" s="6" t="s">
        <v>13613</v>
      </c>
      <c r="K3265" s="6" t="s">
        <v>35</v>
      </c>
      <c r="L3265" s="6" t="s">
        <v>278</v>
      </c>
      <c r="M3265" s="6" t="s">
        <v>13618</v>
      </c>
    </row>
    <row r="3266" spans="1:13" ht="13" x14ac:dyDescent="0.15">
      <c r="A3266" s="5" t="str">
        <f>HYPERLINK("https://onemount.atlassian.net/browse/DBA-1471","DBA-1471")</f>
        <v>DBA-1471</v>
      </c>
      <c r="B3266" s="23" t="str">
        <f t="shared" si="56"/>
        <v>DBA-501</v>
      </c>
      <c r="C3266" s="6" t="s">
        <v>13619</v>
      </c>
      <c r="D3266" s="8" t="s">
        <v>17</v>
      </c>
      <c r="E3266" s="6" t="s">
        <v>428</v>
      </c>
      <c r="F3266" s="6" t="s">
        <v>24</v>
      </c>
      <c r="G3266" s="6" t="s">
        <v>13620</v>
      </c>
      <c r="H3266" s="10">
        <v>45797</v>
      </c>
      <c r="I3266" s="6" t="s">
        <v>13621</v>
      </c>
      <c r="J3266" s="6" t="s">
        <v>13613</v>
      </c>
      <c r="K3266" s="6" t="s">
        <v>35</v>
      </c>
      <c r="L3266" s="6" t="s">
        <v>278</v>
      </c>
      <c r="M3266" s="6" t="s">
        <v>13622</v>
      </c>
    </row>
    <row r="3267" spans="1:13" ht="13" x14ac:dyDescent="0.15">
      <c r="A3267" s="5" t="str">
        <f>HYPERLINK("https://onemount.atlassian.net/browse/DBA-1470","DBA-1470")</f>
        <v>DBA-1470</v>
      </c>
      <c r="B3267" s="23" t="str">
        <f t="shared" si="56"/>
        <v>DBA-501</v>
      </c>
      <c r="C3267" s="6" t="s">
        <v>13623</v>
      </c>
      <c r="D3267" s="8" t="s">
        <v>17</v>
      </c>
      <c r="E3267" s="6" t="s">
        <v>428</v>
      </c>
      <c r="F3267" s="6" t="s">
        <v>24</v>
      </c>
      <c r="G3267" s="6" t="s">
        <v>13624</v>
      </c>
      <c r="H3267" s="10">
        <v>45797</v>
      </c>
      <c r="I3267" s="6" t="s">
        <v>13625</v>
      </c>
      <c r="J3267" s="6" t="s">
        <v>13613</v>
      </c>
      <c r="K3267" s="6" t="s">
        <v>165</v>
      </c>
      <c r="L3267" s="6" t="s">
        <v>278</v>
      </c>
      <c r="M3267" s="6" t="s">
        <v>13626</v>
      </c>
    </row>
    <row r="3268" spans="1:13" ht="13" x14ac:dyDescent="0.15">
      <c r="A3268" s="5" t="str">
        <f>HYPERLINK("https://onemount.atlassian.net/browse/DBA-1469","DBA-1469")</f>
        <v>DBA-1469</v>
      </c>
      <c r="B3268" s="23" t="str">
        <f t="shared" si="56"/>
        <v>DBA-501</v>
      </c>
      <c r="C3268" s="6" t="s">
        <v>13627</v>
      </c>
      <c r="D3268" s="8" t="s">
        <v>17</v>
      </c>
      <c r="E3268" s="6" t="s">
        <v>428</v>
      </c>
      <c r="F3268" s="6" t="s">
        <v>24</v>
      </c>
      <c r="G3268" s="6" t="s">
        <v>13628</v>
      </c>
      <c r="H3268" s="10">
        <v>45797</v>
      </c>
      <c r="I3268" s="6" t="s">
        <v>13629</v>
      </c>
      <c r="J3268" s="6" t="s">
        <v>13613</v>
      </c>
      <c r="K3268" s="6" t="s">
        <v>55</v>
      </c>
      <c r="L3268" s="6" t="s">
        <v>278</v>
      </c>
      <c r="M3268" s="6" t="s">
        <v>13630</v>
      </c>
    </row>
    <row r="3269" spans="1:13" ht="13" x14ac:dyDescent="0.15">
      <c r="A3269" s="5" t="str">
        <f>HYPERLINK("https://onemount.atlassian.net/browse/DBA-1468","DBA-1468")</f>
        <v>DBA-1468</v>
      </c>
      <c r="B3269" s="23" t="str">
        <f t="shared" si="56"/>
        <v>DBA-501</v>
      </c>
      <c r="C3269" s="6" t="s">
        <v>13631</v>
      </c>
      <c r="D3269" s="8" t="s">
        <v>17</v>
      </c>
      <c r="E3269" s="6" t="s">
        <v>428</v>
      </c>
      <c r="F3269" s="6" t="s">
        <v>24</v>
      </c>
      <c r="G3269" s="6" t="s">
        <v>13632</v>
      </c>
      <c r="H3269" s="10">
        <v>45797</v>
      </c>
      <c r="I3269" s="6" t="s">
        <v>13633</v>
      </c>
      <c r="J3269" s="6" t="s">
        <v>13613</v>
      </c>
      <c r="K3269" s="6" t="s">
        <v>55</v>
      </c>
      <c r="L3269" s="6" t="s">
        <v>278</v>
      </c>
      <c r="M3269" s="6" t="s">
        <v>13634</v>
      </c>
    </row>
    <row r="3270" spans="1:13" ht="13" x14ac:dyDescent="0.15">
      <c r="A3270" s="5" t="str">
        <f>HYPERLINK("https://onemount.atlassian.net/browse/DBA-1467","DBA-1467")</f>
        <v>DBA-1467</v>
      </c>
      <c r="B3270" s="23" t="str">
        <f t="shared" si="56"/>
        <v>DBA-501</v>
      </c>
      <c r="C3270" s="6" t="s">
        <v>13635</v>
      </c>
      <c r="D3270" s="8" t="s">
        <v>17</v>
      </c>
      <c r="E3270" s="6" t="s">
        <v>428</v>
      </c>
      <c r="F3270" s="6" t="s">
        <v>24</v>
      </c>
      <c r="G3270" s="6" t="s">
        <v>13636</v>
      </c>
      <c r="H3270" s="10">
        <v>45797</v>
      </c>
      <c r="I3270" s="6" t="s">
        <v>13637</v>
      </c>
      <c r="J3270" s="6" t="s">
        <v>13613</v>
      </c>
      <c r="K3270" s="6" t="s">
        <v>55</v>
      </c>
      <c r="L3270" s="6" t="s">
        <v>278</v>
      </c>
      <c r="M3270" s="6" t="s">
        <v>13638</v>
      </c>
    </row>
    <row r="3271" spans="1:13" ht="13" x14ac:dyDescent="0.15">
      <c r="A3271" s="5" t="str">
        <f>HYPERLINK("https://onemount.atlassian.net/browse/DBA-1466","DBA-1466")</f>
        <v>DBA-1466</v>
      </c>
      <c r="B3271" s="23" t="str">
        <f t="shared" si="56"/>
        <v>DBA-501</v>
      </c>
      <c r="C3271" s="6" t="s">
        <v>13639</v>
      </c>
      <c r="D3271" s="8" t="s">
        <v>17</v>
      </c>
      <c r="E3271" s="6" t="s">
        <v>428</v>
      </c>
      <c r="F3271" s="6" t="s">
        <v>24</v>
      </c>
      <c r="G3271" s="6" t="s">
        <v>13640</v>
      </c>
      <c r="H3271" s="10">
        <v>45797</v>
      </c>
      <c r="I3271" s="6" t="s">
        <v>13641</v>
      </c>
      <c r="J3271" s="6" t="s">
        <v>13613</v>
      </c>
      <c r="K3271" s="6" t="s">
        <v>55</v>
      </c>
      <c r="L3271" s="6" t="s">
        <v>278</v>
      </c>
      <c r="M3271" s="6" t="s">
        <v>13642</v>
      </c>
    </row>
    <row r="3272" spans="1:13" ht="13" x14ac:dyDescent="0.15">
      <c r="A3272" s="5" t="str">
        <f>HYPERLINK("https://onemount.atlassian.net/browse/DBA-1465","DBA-1465")</f>
        <v>DBA-1465</v>
      </c>
      <c r="B3272" s="23" t="str">
        <f t="shared" si="56"/>
        <v>DBA-501</v>
      </c>
      <c r="C3272" s="6" t="s">
        <v>13643</v>
      </c>
      <c r="D3272" s="8" t="s">
        <v>17</v>
      </c>
      <c r="E3272" s="6" t="s">
        <v>428</v>
      </c>
      <c r="F3272" s="6" t="s">
        <v>24</v>
      </c>
      <c r="G3272" s="6" t="s">
        <v>13644</v>
      </c>
      <c r="H3272" s="10">
        <v>45797</v>
      </c>
      <c r="I3272" s="6" t="s">
        <v>13645</v>
      </c>
      <c r="J3272" s="6" t="s">
        <v>13613</v>
      </c>
      <c r="K3272" s="6" t="s">
        <v>55</v>
      </c>
      <c r="L3272" s="6" t="s">
        <v>278</v>
      </c>
      <c r="M3272" s="6" t="s">
        <v>13646</v>
      </c>
    </row>
    <row r="3273" spans="1:13" ht="13" x14ac:dyDescent="0.15">
      <c r="A3273" s="5" t="str">
        <f>HYPERLINK("https://onemount.atlassian.net/browse/DBA-1464","DBA-1464")</f>
        <v>DBA-1464</v>
      </c>
      <c r="B3273" s="23" t="str">
        <f t="shared" si="56"/>
        <v>DBA-501</v>
      </c>
      <c r="C3273" s="6" t="s">
        <v>13647</v>
      </c>
      <c r="D3273" s="8" t="s">
        <v>17</v>
      </c>
      <c r="E3273" s="6" t="s">
        <v>428</v>
      </c>
      <c r="F3273" s="6" t="s">
        <v>24</v>
      </c>
      <c r="G3273" s="6" t="s">
        <v>13648</v>
      </c>
      <c r="H3273" s="10">
        <v>45797</v>
      </c>
      <c r="I3273" s="6" t="s">
        <v>13649</v>
      </c>
      <c r="J3273" s="6" t="s">
        <v>13613</v>
      </c>
      <c r="K3273" s="6" t="s">
        <v>55</v>
      </c>
      <c r="L3273" s="6" t="s">
        <v>278</v>
      </c>
      <c r="M3273" s="6" t="s">
        <v>13650</v>
      </c>
    </row>
    <row r="3274" spans="1:13" ht="13" x14ac:dyDescent="0.15">
      <c r="A3274" s="5" t="str">
        <f>HYPERLINK("https://onemount.atlassian.net/browse/DBA-1463","DBA-1463")</f>
        <v>DBA-1463</v>
      </c>
      <c r="B3274" s="23" t="str">
        <f t="shared" si="56"/>
        <v>DBA-501</v>
      </c>
      <c r="C3274" s="6" t="s">
        <v>13651</v>
      </c>
      <c r="D3274" s="8" t="s">
        <v>17</v>
      </c>
      <c r="E3274" s="6" t="s">
        <v>428</v>
      </c>
      <c r="F3274" s="6" t="s">
        <v>24</v>
      </c>
      <c r="G3274" s="6" t="s">
        <v>13652</v>
      </c>
      <c r="H3274" s="10">
        <v>45797</v>
      </c>
      <c r="I3274" s="6" t="s">
        <v>13653</v>
      </c>
      <c r="J3274" s="6" t="s">
        <v>13613</v>
      </c>
      <c r="K3274" s="6" t="s">
        <v>55</v>
      </c>
      <c r="L3274" s="6" t="s">
        <v>278</v>
      </c>
      <c r="M3274" s="6" t="s">
        <v>13654</v>
      </c>
    </row>
    <row r="3275" spans="1:13" ht="13" x14ac:dyDescent="0.15">
      <c r="A3275" s="5" t="str">
        <f>HYPERLINK("https://onemount.atlassian.net/browse/DBA-1462","DBA-1462")</f>
        <v>DBA-1462</v>
      </c>
      <c r="B3275" s="23" t="str">
        <f t="shared" si="56"/>
        <v>DBA-501</v>
      </c>
      <c r="C3275" s="6" t="s">
        <v>13655</v>
      </c>
      <c r="D3275" s="8" t="s">
        <v>17</v>
      </c>
      <c r="E3275" s="6" t="s">
        <v>428</v>
      </c>
      <c r="F3275" s="6" t="s">
        <v>24</v>
      </c>
      <c r="G3275" s="6" t="s">
        <v>13656</v>
      </c>
      <c r="H3275" s="10">
        <v>45797</v>
      </c>
      <c r="I3275" s="6" t="s">
        <v>13657</v>
      </c>
      <c r="J3275" s="6" t="s">
        <v>13613</v>
      </c>
      <c r="K3275" s="6" t="s">
        <v>55</v>
      </c>
      <c r="L3275" s="6" t="s">
        <v>278</v>
      </c>
      <c r="M3275" s="6" t="s">
        <v>13658</v>
      </c>
    </row>
    <row r="3276" spans="1:13" ht="13" x14ac:dyDescent="0.15">
      <c r="A3276" s="5" t="str">
        <f>HYPERLINK("https://onemount.atlassian.net/browse/DBA-1461","DBA-1461")</f>
        <v>DBA-1461</v>
      </c>
      <c r="B3276" s="23" t="str">
        <f t="shared" si="56"/>
        <v>DBA-501</v>
      </c>
      <c r="C3276" s="6" t="s">
        <v>13659</v>
      </c>
      <c r="D3276" s="8" t="s">
        <v>17</v>
      </c>
      <c r="E3276" s="6" t="s">
        <v>428</v>
      </c>
      <c r="F3276" s="6" t="s">
        <v>24</v>
      </c>
      <c r="G3276" s="6" t="s">
        <v>13660</v>
      </c>
      <c r="H3276" s="10">
        <v>45797</v>
      </c>
      <c r="I3276" s="6" t="s">
        <v>13661</v>
      </c>
      <c r="J3276" s="6" t="s">
        <v>13613</v>
      </c>
      <c r="K3276" s="6" t="s">
        <v>55</v>
      </c>
      <c r="L3276" s="6" t="s">
        <v>278</v>
      </c>
      <c r="M3276" s="6" t="s">
        <v>13662</v>
      </c>
    </row>
    <row r="3277" spans="1:13" ht="13" x14ac:dyDescent="0.15">
      <c r="A3277" s="5" t="str">
        <f>HYPERLINK("https://onemount.atlassian.net/browse/DBA-1460","DBA-1460")</f>
        <v>DBA-1460</v>
      </c>
      <c r="B3277" s="23" t="str">
        <f t="shared" si="56"/>
        <v>DBA-501</v>
      </c>
      <c r="C3277" s="6" t="s">
        <v>13663</v>
      </c>
      <c r="D3277" s="8" t="s">
        <v>17</v>
      </c>
      <c r="E3277" s="6" t="s">
        <v>428</v>
      </c>
      <c r="F3277" s="6" t="s">
        <v>24</v>
      </c>
      <c r="G3277" s="6" t="s">
        <v>13664</v>
      </c>
      <c r="H3277" s="10">
        <v>45797</v>
      </c>
      <c r="I3277" s="6" t="s">
        <v>13665</v>
      </c>
      <c r="J3277" s="6" t="s">
        <v>13613</v>
      </c>
      <c r="K3277" s="6" t="s">
        <v>55</v>
      </c>
      <c r="L3277" s="6" t="s">
        <v>278</v>
      </c>
      <c r="M3277" s="6" t="s">
        <v>13666</v>
      </c>
    </row>
    <row r="3278" spans="1:13" ht="13" x14ac:dyDescent="0.15">
      <c r="A3278" s="5" t="str">
        <f>HYPERLINK("https://onemount.atlassian.net/browse/DBA-1459","DBA-1459")</f>
        <v>DBA-1459</v>
      </c>
      <c r="B3278" s="23" t="str">
        <f t="shared" si="56"/>
        <v>DBA-501</v>
      </c>
      <c r="C3278" s="6" t="s">
        <v>13667</v>
      </c>
      <c r="D3278" s="8" t="s">
        <v>17</v>
      </c>
      <c r="E3278" s="6" t="s">
        <v>428</v>
      </c>
      <c r="F3278" s="6" t="s">
        <v>24</v>
      </c>
      <c r="G3278" s="6" t="s">
        <v>13668</v>
      </c>
      <c r="H3278" s="10">
        <v>45797</v>
      </c>
      <c r="I3278" s="6" t="s">
        <v>13669</v>
      </c>
      <c r="J3278" s="6" t="s">
        <v>13613</v>
      </c>
      <c r="K3278" s="6" t="s">
        <v>55</v>
      </c>
      <c r="L3278" s="6" t="s">
        <v>278</v>
      </c>
      <c r="M3278" s="6" t="s">
        <v>13670</v>
      </c>
    </row>
    <row r="3279" spans="1:13" ht="13" x14ac:dyDescent="0.15">
      <c r="A3279" s="5" t="str">
        <f>HYPERLINK("https://onemount.atlassian.net/browse/DBA-1458","DBA-1458")</f>
        <v>DBA-1458</v>
      </c>
      <c r="B3279" s="23" t="str">
        <f t="shared" si="56"/>
        <v>DBA-501</v>
      </c>
      <c r="C3279" s="6" t="s">
        <v>13671</v>
      </c>
      <c r="D3279" s="8" t="s">
        <v>17</v>
      </c>
      <c r="E3279" s="6" t="s">
        <v>428</v>
      </c>
      <c r="F3279" s="6" t="s">
        <v>24</v>
      </c>
      <c r="G3279" s="6" t="s">
        <v>13672</v>
      </c>
      <c r="H3279" s="10">
        <v>45797</v>
      </c>
      <c r="I3279" s="6" t="s">
        <v>13673</v>
      </c>
      <c r="J3279" s="6" t="s">
        <v>13613</v>
      </c>
      <c r="K3279" s="6" t="s">
        <v>35</v>
      </c>
      <c r="L3279" s="6" t="s">
        <v>278</v>
      </c>
      <c r="M3279" s="6" t="s">
        <v>13674</v>
      </c>
    </row>
    <row r="3280" spans="1:13" ht="13" x14ac:dyDescent="0.15">
      <c r="A3280" s="5" t="str">
        <f>HYPERLINK("https://onemount.atlassian.net/browse/DBA-1457","DBA-1457")</f>
        <v>DBA-1457</v>
      </c>
      <c r="B3280" s="23" t="str">
        <f t="shared" si="56"/>
        <v>DBA-501</v>
      </c>
      <c r="C3280" s="6" t="s">
        <v>13675</v>
      </c>
      <c r="D3280" s="8" t="s">
        <v>17</v>
      </c>
      <c r="E3280" s="6" t="s">
        <v>428</v>
      </c>
      <c r="F3280" s="6" t="s">
        <v>24</v>
      </c>
      <c r="G3280" s="6" t="s">
        <v>13676</v>
      </c>
      <c r="H3280" s="10">
        <v>45797</v>
      </c>
      <c r="I3280" s="6" t="s">
        <v>13677</v>
      </c>
      <c r="J3280" s="6" t="s">
        <v>13613</v>
      </c>
      <c r="K3280" s="6" t="s">
        <v>46</v>
      </c>
      <c r="L3280" s="6" t="s">
        <v>278</v>
      </c>
      <c r="M3280" s="6" t="s">
        <v>13678</v>
      </c>
    </row>
    <row r="3281" spans="1:13" ht="13" x14ac:dyDescent="0.15">
      <c r="A3281" s="5" t="str">
        <f>HYPERLINK("https://onemount.atlassian.net/browse/DBA-1456","DBA-1456")</f>
        <v>DBA-1456</v>
      </c>
      <c r="B3281" s="23" t="str">
        <f t="shared" si="56"/>
        <v>DBA-501</v>
      </c>
      <c r="C3281" s="6" t="s">
        <v>13679</v>
      </c>
      <c r="D3281" s="8" t="s">
        <v>17</v>
      </c>
      <c r="E3281" s="6" t="s">
        <v>428</v>
      </c>
      <c r="F3281" s="6" t="s">
        <v>24</v>
      </c>
      <c r="G3281" s="6" t="s">
        <v>13680</v>
      </c>
      <c r="H3281" s="10">
        <v>45797</v>
      </c>
      <c r="I3281" s="6" t="s">
        <v>13681</v>
      </c>
      <c r="J3281" s="6" t="s">
        <v>13613</v>
      </c>
      <c r="K3281" s="6" t="s">
        <v>46</v>
      </c>
      <c r="L3281" s="6" t="s">
        <v>278</v>
      </c>
      <c r="M3281" s="6" t="s">
        <v>13682</v>
      </c>
    </row>
    <row r="3282" spans="1:13" ht="13" x14ac:dyDescent="0.15">
      <c r="A3282" s="5" t="str">
        <f>HYPERLINK("https://onemount.atlassian.net/browse/DBA-1455","DBA-1455")</f>
        <v>DBA-1455</v>
      </c>
      <c r="B3282" s="23" t="str">
        <f t="shared" si="56"/>
        <v>DBA-501</v>
      </c>
      <c r="C3282" s="6" t="s">
        <v>13683</v>
      </c>
      <c r="D3282" s="8" t="s">
        <v>17</v>
      </c>
      <c r="E3282" s="6" t="s">
        <v>428</v>
      </c>
      <c r="F3282" s="6" t="s">
        <v>24</v>
      </c>
      <c r="G3282" s="6" t="s">
        <v>13684</v>
      </c>
      <c r="H3282" s="10">
        <v>45797</v>
      </c>
      <c r="I3282" s="6" t="s">
        <v>13685</v>
      </c>
      <c r="J3282" s="6" t="s">
        <v>13613</v>
      </c>
      <c r="K3282" s="6" t="s">
        <v>46</v>
      </c>
      <c r="L3282" s="6" t="s">
        <v>278</v>
      </c>
      <c r="M3282" s="6" t="s">
        <v>13686</v>
      </c>
    </row>
    <row r="3283" spans="1:13" ht="13" x14ac:dyDescent="0.15">
      <c r="A3283" s="5" t="str">
        <f>HYPERLINK("https://onemount.atlassian.net/browse/DBA-1454","DBA-1454")</f>
        <v>DBA-1454</v>
      </c>
      <c r="B3283" s="23" t="str">
        <f t="shared" ref="B3283:B3286" si="57">HYPERLINK("https://onemount.atlassian.net/browse/DBA-1449","DBA-1449")</f>
        <v>DBA-1449</v>
      </c>
      <c r="C3283" s="6" t="s">
        <v>13687</v>
      </c>
      <c r="D3283" s="8" t="s">
        <v>17</v>
      </c>
      <c r="E3283" s="6" t="s">
        <v>428</v>
      </c>
      <c r="F3283" s="6" t="s">
        <v>24</v>
      </c>
      <c r="G3283" s="6" t="s">
        <v>13688</v>
      </c>
      <c r="H3283" s="10">
        <v>45811</v>
      </c>
      <c r="I3283" s="6" t="s">
        <v>13689</v>
      </c>
      <c r="J3283" s="6" t="s">
        <v>56</v>
      </c>
      <c r="K3283" s="6" t="s">
        <v>55</v>
      </c>
      <c r="L3283" s="6" t="s">
        <v>56</v>
      </c>
      <c r="M3283" s="6" t="s">
        <v>13687</v>
      </c>
    </row>
    <row r="3284" spans="1:13" ht="13" x14ac:dyDescent="0.15">
      <c r="A3284" s="5" t="str">
        <f>HYPERLINK("https://onemount.atlassian.net/browse/DBA-1453","DBA-1453")</f>
        <v>DBA-1453</v>
      </c>
      <c r="B3284" s="23" t="str">
        <f t="shared" si="57"/>
        <v>DBA-1449</v>
      </c>
      <c r="C3284" s="6" t="s">
        <v>13690</v>
      </c>
      <c r="D3284" s="8" t="s">
        <v>17</v>
      </c>
      <c r="E3284" s="6" t="s">
        <v>428</v>
      </c>
      <c r="F3284" s="6" t="s">
        <v>24</v>
      </c>
      <c r="G3284" s="6" t="s">
        <v>13691</v>
      </c>
      <c r="H3284" s="10">
        <v>45798</v>
      </c>
      <c r="I3284" s="6" t="s">
        <v>13692</v>
      </c>
      <c r="J3284" s="6" t="s">
        <v>56</v>
      </c>
      <c r="K3284" s="6" t="s">
        <v>55</v>
      </c>
      <c r="L3284" s="6" t="s">
        <v>56</v>
      </c>
      <c r="M3284" s="6" t="s">
        <v>13693</v>
      </c>
    </row>
    <row r="3285" spans="1:13" ht="13" x14ac:dyDescent="0.15">
      <c r="A3285" s="5" t="str">
        <f>HYPERLINK("https://onemount.atlassian.net/browse/DBA-1452","DBA-1452")</f>
        <v>DBA-1452</v>
      </c>
      <c r="B3285" s="23" t="str">
        <f t="shared" si="57"/>
        <v>DBA-1449</v>
      </c>
      <c r="C3285" s="6" t="s">
        <v>13694</v>
      </c>
      <c r="D3285" s="8" t="s">
        <v>17</v>
      </c>
      <c r="E3285" s="6" t="s">
        <v>428</v>
      </c>
      <c r="F3285" s="6" t="s">
        <v>24</v>
      </c>
      <c r="G3285" s="6" t="s">
        <v>13695</v>
      </c>
      <c r="H3285" s="10">
        <v>45798</v>
      </c>
      <c r="I3285" s="6" t="s">
        <v>13696</v>
      </c>
      <c r="J3285" s="6" t="s">
        <v>56</v>
      </c>
      <c r="K3285" s="6" t="s">
        <v>55</v>
      </c>
      <c r="L3285" s="6" t="s">
        <v>56</v>
      </c>
      <c r="M3285" s="6" t="s">
        <v>13694</v>
      </c>
    </row>
    <row r="3286" spans="1:13" ht="13" x14ac:dyDescent="0.15">
      <c r="A3286" s="5" t="str">
        <f>HYPERLINK("https://onemount.atlassian.net/browse/DBA-1451","DBA-1451")</f>
        <v>DBA-1451</v>
      </c>
      <c r="B3286" s="23" t="str">
        <f t="shared" si="57"/>
        <v>DBA-1449</v>
      </c>
      <c r="C3286" s="6" t="s">
        <v>13697</v>
      </c>
      <c r="D3286" s="8" t="s">
        <v>17</v>
      </c>
      <c r="E3286" s="6" t="s">
        <v>428</v>
      </c>
      <c r="F3286" s="6" t="s">
        <v>24</v>
      </c>
      <c r="G3286" s="6" t="s">
        <v>13698</v>
      </c>
      <c r="H3286" s="10">
        <v>45798</v>
      </c>
      <c r="I3286" s="6" t="s">
        <v>13699</v>
      </c>
      <c r="J3286" s="6" t="s">
        <v>56</v>
      </c>
      <c r="K3286" s="6" t="s">
        <v>46</v>
      </c>
      <c r="L3286" s="6" t="s">
        <v>56</v>
      </c>
      <c r="M3286" s="6" t="s">
        <v>13700</v>
      </c>
    </row>
    <row r="3287" spans="1:13" ht="13" x14ac:dyDescent="0.15">
      <c r="A3287" s="5" t="str">
        <f>HYPERLINK("https://onemount.atlassian.net/browse/DBA-1450","DBA-1450")</f>
        <v>DBA-1450</v>
      </c>
      <c r="B3287" s="23" t="str">
        <f>HYPERLINK("https://onemount.atlassian.net/browse/DBA-501","DBA-501")</f>
        <v>DBA-501</v>
      </c>
      <c r="C3287" s="6" t="s">
        <v>13701</v>
      </c>
      <c r="D3287" s="8" t="s">
        <v>17</v>
      </c>
      <c r="E3287" s="6" t="s">
        <v>428</v>
      </c>
      <c r="F3287" s="6" t="s">
        <v>24</v>
      </c>
      <c r="G3287" s="6" t="s">
        <v>13702</v>
      </c>
      <c r="H3287" s="10">
        <v>45797</v>
      </c>
      <c r="I3287" s="6" t="s">
        <v>13703</v>
      </c>
      <c r="J3287" s="6" t="s">
        <v>13613</v>
      </c>
      <c r="K3287" s="6" t="s">
        <v>46</v>
      </c>
      <c r="L3287" s="6" t="s">
        <v>278</v>
      </c>
      <c r="M3287" s="6" t="s">
        <v>13704</v>
      </c>
    </row>
    <row r="3288" spans="1:13" ht="13" x14ac:dyDescent="0.15">
      <c r="A3288" s="5" t="str">
        <f>HYPERLINK("https://onemount.atlassian.net/browse/DBA-1449","DBA-1449")</f>
        <v>DBA-1449</v>
      </c>
      <c r="B3288" s="23" t="str">
        <f>HYPERLINK("https://onemount.atlassian.net/browse/DBA-3006","DBA-3006")</f>
        <v>DBA-3006</v>
      </c>
      <c r="C3288" s="6" t="s">
        <v>13705</v>
      </c>
      <c r="D3288" s="8" t="s">
        <v>17</v>
      </c>
      <c r="E3288" s="6" t="s">
        <v>23</v>
      </c>
      <c r="F3288" s="6" t="s">
        <v>24</v>
      </c>
      <c r="G3288" s="6" t="s">
        <v>13706</v>
      </c>
      <c r="H3288" s="10">
        <v>45810</v>
      </c>
      <c r="I3288" s="6" t="s">
        <v>13707</v>
      </c>
      <c r="J3288" s="6" t="s">
        <v>56</v>
      </c>
      <c r="K3288" s="6" t="s">
        <v>55</v>
      </c>
      <c r="L3288" s="6" t="s">
        <v>56</v>
      </c>
      <c r="M3288" s="6" t="s">
        <v>13708</v>
      </c>
    </row>
    <row r="3289" spans="1:13" ht="13" x14ac:dyDescent="0.15">
      <c r="A3289" s="5" t="str">
        <f>HYPERLINK("https://onemount.atlassian.net/browse/DBA-1447","DBA-1447")</f>
        <v>DBA-1447</v>
      </c>
      <c r="B3289" s="6" t="s">
        <v>21</v>
      </c>
      <c r="C3289" s="6" t="s">
        <v>10781</v>
      </c>
      <c r="D3289" s="8" t="s">
        <v>17</v>
      </c>
      <c r="E3289" s="6" t="s">
        <v>23</v>
      </c>
      <c r="F3289" s="6" t="s">
        <v>96</v>
      </c>
      <c r="G3289" s="6" t="s">
        <v>13709</v>
      </c>
      <c r="H3289" s="10">
        <v>45796</v>
      </c>
      <c r="I3289" s="6" t="s">
        <v>13710</v>
      </c>
      <c r="J3289" s="6" t="s">
        <v>1898</v>
      </c>
      <c r="K3289" s="6" t="s">
        <v>165</v>
      </c>
      <c r="L3289" s="6" t="s">
        <v>1097</v>
      </c>
      <c r="M3289" s="6" t="s">
        <v>13711</v>
      </c>
    </row>
    <row r="3290" spans="1:13" ht="13" x14ac:dyDescent="0.15">
      <c r="A3290" s="5" t="str">
        <f>HYPERLINK("https://onemount.atlassian.net/browse/DBA-1446","DBA-1446")</f>
        <v>DBA-1446</v>
      </c>
      <c r="B3290" s="6" t="s">
        <v>21</v>
      </c>
      <c r="C3290" s="6" t="s">
        <v>13712</v>
      </c>
      <c r="D3290" s="8" t="s">
        <v>17</v>
      </c>
      <c r="E3290" s="6" t="s">
        <v>23</v>
      </c>
      <c r="F3290" s="6" t="s">
        <v>24</v>
      </c>
      <c r="G3290" s="6" t="s">
        <v>13713</v>
      </c>
      <c r="H3290" s="10">
        <v>45798</v>
      </c>
      <c r="I3290" s="6" t="s">
        <v>13714</v>
      </c>
      <c r="J3290" s="6" t="s">
        <v>55</v>
      </c>
      <c r="K3290" s="6" t="s">
        <v>46</v>
      </c>
      <c r="L3290" s="6" t="s">
        <v>39</v>
      </c>
      <c r="M3290" s="6" t="s">
        <v>13715</v>
      </c>
    </row>
    <row r="3291" spans="1:13" ht="13" x14ac:dyDescent="0.15">
      <c r="A3291" s="5" t="str">
        <f>HYPERLINK("https://onemount.atlassian.net/browse/DBA-1445","DBA-1445")</f>
        <v>DBA-1445</v>
      </c>
      <c r="B3291" s="6" t="s">
        <v>21</v>
      </c>
      <c r="C3291" s="6" t="s">
        <v>13716</v>
      </c>
      <c r="D3291" s="8" t="s">
        <v>17</v>
      </c>
      <c r="E3291" s="6" t="s">
        <v>23</v>
      </c>
      <c r="F3291" s="6" t="s">
        <v>24</v>
      </c>
      <c r="G3291" s="6" t="s">
        <v>13717</v>
      </c>
      <c r="H3291" s="10">
        <v>45796</v>
      </c>
      <c r="I3291" s="6" t="s">
        <v>13718</v>
      </c>
      <c r="J3291" s="6" t="s">
        <v>56</v>
      </c>
      <c r="K3291" s="6" t="s">
        <v>55</v>
      </c>
      <c r="L3291" s="6" t="s">
        <v>56</v>
      </c>
      <c r="M3291" s="6" t="s">
        <v>13719</v>
      </c>
    </row>
    <row r="3292" spans="1:13" ht="13" x14ac:dyDescent="0.15">
      <c r="A3292" s="5" t="str">
        <f>HYPERLINK("https://onemount.atlassian.net/browse/DBA-1443","DBA-1443")</f>
        <v>DBA-1443</v>
      </c>
      <c r="B3292" s="6" t="s">
        <v>21</v>
      </c>
      <c r="C3292" s="6" t="s">
        <v>13720</v>
      </c>
      <c r="D3292" s="8" t="s">
        <v>17</v>
      </c>
      <c r="E3292" s="6" t="s">
        <v>23</v>
      </c>
      <c r="F3292" s="6" t="s">
        <v>31</v>
      </c>
      <c r="G3292" s="6" t="s">
        <v>13721</v>
      </c>
      <c r="H3292" s="10">
        <v>45796</v>
      </c>
      <c r="I3292" s="6" t="s">
        <v>13722</v>
      </c>
      <c r="J3292" s="6" t="s">
        <v>34</v>
      </c>
      <c r="K3292" s="6" t="s">
        <v>35</v>
      </c>
      <c r="L3292" s="6" t="s">
        <v>36</v>
      </c>
      <c r="M3292" s="6" t="s">
        <v>13723</v>
      </c>
    </row>
    <row r="3293" spans="1:13" ht="13" x14ac:dyDescent="0.15">
      <c r="A3293" s="5" t="str">
        <f>HYPERLINK("https://onemount.atlassian.net/browse/DBA-1442","DBA-1442")</f>
        <v>DBA-1442</v>
      </c>
      <c r="B3293" s="6" t="s">
        <v>21</v>
      </c>
      <c r="C3293" s="6" t="s">
        <v>13724</v>
      </c>
      <c r="D3293" s="8" t="s">
        <v>17</v>
      </c>
      <c r="E3293" s="6" t="s">
        <v>23</v>
      </c>
      <c r="F3293" s="6" t="s">
        <v>31</v>
      </c>
      <c r="G3293" s="6" t="s">
        <v>13725</v>
      </c>
      <c r="H3293" s="10">
        <v>45797</v>
      </c>
      <c r="I3293" s="6" t="s">
        <v>13726</v>
      </c>
      <c r="J3293" s="6" t="s">
        <v>23</v>
      </c>
      <c r="K3293" s="6" t="s">
        <v>46</v>
      </c>
      <c r="L3293" s="6" t="s">
        <v>151</v>
      </c>
      <c r="M3293" s="6" t="s">
        <v>13727</v>
      </c>
    </row>
    <row r="3294" spans="1:13" ht="13" x14ac:dyDescent="0.15">
      <c r="A3294" s="5" t="str">
        <f>HYPERLINK("https://onemount.atlassian.net/browse/DBA-1441","DBA-1441")</f>
        <v>DBA-1441</v>
      </c>
      <c r="B3294" s="6" t="s">
        <v>21</v>
      </c>
      <c r="C3294" s="6" t="s">
        <v>13728</v>
      </c>
      <c r="D3294" s="8" t="s">
        <v>17</v>
      </c>
      <c r="E3294" s="6" t="s">
        <v>23</v>
      </c>
      <c r="F3294" s="6" t="s">
        <v>31</v>
      </c>
      <c r="G3294" s="6" t="s">
        <v>13729</v>
      </c>
      <c r="H3294" s="10">
        <v>45797</v>
      </c>
      <c r="I3294" s="6" t="s">
        <v>13730</v>
      </c>
      <c r="J3294" s="6" t="s">
        <v>358</v>
      </c>
      <c r="K3294" s="6" t="s">
        <v>46</v>
      </c>
      <c r="L3294" s="6" t="s">
        <v>358</v>
      </c>
      <c r="M3294" s="6" t="s">
        <v>13731</v>
      </c>
    </row>
    <row r="3295" spans="1:13" ht="13" x14ac:dyDescent="0.15">
      <c r="A3295" s="5" t="str">
        <f>HYPERLINK("https://onemount.atlassian.net/browse/DBA-1440","DBA-1440")</f>
        <v>DBA-1440</v>
      </c>
      <c r="B3295" s="6" t="s">
        <v>21</v>
      </c>
      <c r="C3295" s="6" t="s">
        <v>13732</v>
      </c>
      <c r="D3295" s="8" t="s">
        <v>17</v>
      </c>
      <c r="E3295" s="6" t="s">
        <v>23</v>
      </c>
      <c r="F3295" s="6" t="s">
        <v>24</v>
      </c>
      <c r="G3295" s="6" t="s">
        <v>13733</v>
      </c>
      <c r="H3295" s="10">
        <v>45797</v>
      </c>
      <c r="I3295" s="6" t="s">
        <v>13734</v>
      </c>
      <c r="J3295" s="6" t="s">
        <v>10503</v>
      </c>
      <c r="K3295" s="6" t="s">
        <v>55</v>
      </c>
      <c r="L3295" s="6" t="s">
        <v>966</v>
      </c>
      <c r="M3295" s="6" t="s">
        <v>13735</v>
      </c>
    </row>
    <row r="3296" spans="1:13" ht="13" x14ac:dyDescent="0.15">
      <c r="A3296" s="5" t="str">
        <f>HYPERLINK("https://onemount.atlassian.net/browse/DBA-1439","DBA-1439")</f>
        <v>DBA-1439</v>
      </c>
      <c r="B3296" s="6" t="s">
        <v>21</v>
      </c>
      <c r="C3296" s="6" t="s">
        <v>13736</v>
      </c>
      <c r="D3296" s="8" t="s">
        <v>17</v>
      </c>
      <c r="E3296" s="6" t="s">
        <v>23</v>
      </c>
      <c r="F3296" s="6" t="s">
        <v>24</v>
      </c>
      <c r="G3296" s="6" t="s">
        <v>13737</v>
      </c>
      <c r="H3296" s="10">
        <v>45796</v>
      </c>
      <c r="I3296" s="6" t="s">
        <v>13738</v>
      </c>
      <c r="J3296" s="6" t="s">
        <v>56</v>
      </c>
      <c r="K3296" s="6" t="s">
        <v>55</v>
      </c>
      <c r="L3296" s="6" t="s">
        <v>56</v>
      </c>
      <c r="M3296" s="6" t="s">
        <v>13739</v>
      </c>
    </row>
    <row r="3297" spans="1:13" ht="13" x14ac:dyDescent="0.15">
      <c r="A3297" s="5" t="str">
        <f>HYPERLINK("https://onemount.atlassian.net/browse/DBA-1438","DBA-1438")</f>
        <v>DBA-1438</v>
      </c>
      <c r="B3297" s="6" t="s">
        <v>21</v>
      </c>
      <c r="C3297" s="6" t="s">
        <v>13740</v>
      </c>
      <c r="D3297" s="8" t="s">
        <v>17</v>
      </c>
      <c r="E3297" s="6" t="s">
        <v>23</v>
      </c>
      <c r="F3297" s="6" t="s">
        <v>96</v>
      </c>
      <c r="G3297" s="6" t="s">
        <v>13741</v>
      </c>
      <c r="H3297" s="10">
        <v>45794</v>
      </c>
      <c r="I3297" s="6" t="s">
        <v>13742</v>
      </c>
      <c r="J3297" s="6" t="s">
        <v>463</v>
      </c>
      <c r="K3297" s="6" t="s">
        <v>55</v>
      </c>
      <c r="L3297" s="6" t="s">
        <v>975</v>
      </c>
      <c r="M3297" s="6" t="s">
        <v>13743</v>
      </c>
    </row>
    <row r="3298" spans="1:13" ht="13" x14ac:dyDescent="0.15">
      <c r="A3298" s="5" t="str">
        <f>HYPERLINK("https://onemount.atlassian.net/browse/DBA-1437","DBA-1437")</f>
        <v>DBA-1437</v>
      </c>
      <c r="B3298" s="6" t="s">
        <v>21</v>
      </c>
      <c r="C3298" s="6" t="s">
        <v>13744</v>
      </c>
      <c r="D3298" s="8" t="s">
        <v>17</v>
      </c>
      <c r="E3298" s="6" t="s">
        <v>23</v>
      </c>
      <c r="F3298" s="6" t="s">
        <v>31</v>
      </c>
      <c r="G3298" s="6" t="s">
        <v>13745</v>
      </c>
      <c r="H3298" s="10">
        <v>45795</v>
      </c>
      <c r="I3298" s="6" t="s">
        <v>13746</v>
      </c>
      <c r="J3298" s="6" t="s">
        <v>34</v>
      </c>
      <c r="K3298" s="6" t="s">
        <v>35</v>
      </c>
      <c r="L3298" s="6" t="s">
        <v>36</v>
      </c>
      <c r="M3298" s="6" t="s">
        <v>13747</v>
      </c>
    </row>
    <row r="3299" spans="1:13" ht="13" x14ac:dyDescent="0.15">
      <c r="A3299" s="5" t="str">
        <f>HYPERLINK("https://onemount.atlassian.net/browse/DBA-1436","DBA-1436")</f>
        <v>DBA-1436</v>
      </c>
      <c r="B3299" s="6" t="s">
        <v>21</v>
      </c>
      <c r="C3299" s="6" t="s">
        <v>13748</v>
      </c>
      <c r="D3299" s="8" t="s">
        <v>17</v>
      </c>
      <c r="E3299" s="6" t="s">
        <v>23</v>
      </c>
      <c r="F3299" s="6" t="s">
        <v>31</v>
      </c>
      <c r="G3299" s="6" t="s">
        <v>13749</v>
      </c>
      <c r="H3299" s="10">
        <v>45798</v>
      </c>
      <c r="I3299" s="6" t="s">
        <v>13750</v>
      </c>
      <c r="J3299" s="6" t="s">
        <v>992</v>
      </c>
      <c r="K3299" s="6" t="s">
        <v>55</v>
      </c>
      <c r="L3299" s="6" t="s">
        <v>992</v>
      </c>
      <c r="M3299" s="6" t="s">
        <v>13751</v>
      </c>
    </row>
    <row r="3300" spans="1:13" ht="13" x14ac:dyDescent="0.15">
      <c r="A3300" s="5" t="str">
        <f>HYPERLINK("https://onemount.atlassian.net/browse/DBA-1434","DBA-1434")</f>
        <v>DBA-1434</v>
      </c>
      <c r="B3300" s="6" t="s">
        <v>21</v>
      </c>
      <c r="C3300" s="6" t="s">
        <v>13264</v>
      </c>
      <c r="D3300" s="8" t="s">
        <v>17</v>
      </c>
      <c r="E3300" s="6" t="s">
        <v>23</v>
      </c>
      <c r="F3300" s="6" t="s">
        <v>24</v>
      </c>
      <c r="G3300" s="6" t="s">
        <v>13752</v>
      </c>
      <c r="H3300" s="10">
        <v>45795</v>
      </c>
      <c r="I3300" s="6" t="s">
        <v>13753</v>
      </c>
      <c r="J3300" s="6" t="s">
        <v>328</v>
      </c>
      <c r="K3300" s="6" t="s">
        <v>55</v>
      </c>
      <c r="L3300" s="6" t="s">
        <v>738</v>
      </c>
      <c r="M3300" s="6" t="s">
        <v>13754</v>
      </c>
    </row>
    <row r="3301" spans="1:13" ht="13" x14ac:dyDescent="0.15">
      <c r="A3301" s="5" t="str">
        <f>HYPERLINK("https://onemount.atlassian.net/browse/DBA-1427","DBA-1427")</f>
        <v>DBA-1427</v>
      </c>
      <c r="B3301" s="6" t="s">
        <v>21</v>
      </c>
      <c r="C3301" s="6" t="s">
        <v>13755</v>
      </c>
      <c r="D3301" s="8" t="s">
        <v>17</v>
      </c>
      <c r="E3301" s="6" t="s">
        <v>23</v>
      </c>
      <c r="F3301" s="6" t="s">
        <v>31</v>
      </c>
      <c r="G3301" s="6" t="s">
        <v>13756</v>
      </c>
      <c r="H3301" s="10">
        <v>45793</v>
      </c>
      <c r="I3301" s="6" t="s">
        <v>13757</v>
      </c>
      <c r="J3301" s="6" t="s">
        <v>276</v>
      </c>
      <c r="K3301" s="6" t="s">
        <v>35</v>
      </c>
      <c r="L3301" s="6" t="s">
        <v>276</v>
      </c>
      <c r="M3301" s="6" t="s">
        <v>13758</v>
      </c>
    </row>
    <row r="3302" spans="1:13" ht="13" x14ac:dyDescent="0.15">
      <c r="A3302" s="5" t="str">
        <f>HYPERLINK("https://onemount.atlassian.net/browse/DBA-1426","DBA-1426")</f>
        <v>DBA-1426</v>
      </c>
      <c r="B3302" s="6" t="s">
        <v>21</v>
      </c>
      <c r="C3302" s="6" t="s">
        <v>13759</v>
      </c>
      <c r="D3302" s="8" t="s">
        <v>17</v>
      </c>
      <c r="E3302" s="6" t="s">
        <v>23</v>
      </c>
      <c r="F3302" s="6" t="s">
        <v>24</v>
      </c>
      <c r="G3302" s="6" t="s">
        <v>13760</v>
      </c>
      <c r="H3302" s="10">
        <v>45794</v>
      </c>
      <c r="I3302" s="6" t="s">
        <v>13761</v>
      </c>
      <c r="J3302" s="6" t="s">
        <v>638</v>
      </c>
      <c r="K3302" s="6" t="s">
        <v>35</v>
      </c>
      <c r="L3302" s="6" t="s">
        <v>36</v>
      </c>
      <c r="M3302" s="6" t="s">
        <v>13762</v>
      </c>
    </row>
    <row r="3303" spans="1:13" ht="13" x14ac:dyDescent="0.15">
      <c r="A3303" s="5" t="str">
        <f>HYPERLINK("https://onemount.atlassian.net/browse/DBA-1425","DBA-1425")</f>
        <v>DBA-1425</v>
      </c>
      <c r="B3303" s="6" t="s">
        <v>21</v>
      </c>
      <c r="C3303" s="6" t="s">
        <v>13763</v>
      </c>
      <c r="D3303" s="8" t="s">
        <v>17</v>
      </c>
      <c r="E3303" s="6" t="s">
        <v>23</v>
      </c>
      <c r="F3303" s="6" t="s">
        <v>96</v>
      </c>
      <c r="G3303" s="6" t="s">
        <v>13764</v>
      </c>
      <c r="H3303" s="10">
        <v>45794</v>
      </c>
      <c r="I3303" s="6" t="s">
        <v>13765</v>
      </c>
      <c r="J3303" s="6" t="s">
        <v>6856</v>
      </c>
      <c r="K3303" s="6" t="s">
        <v>165</v>
      </c>
      <c r="L3303" s="6" t="s">
        <v>715</v>
      </c>
      <c r="M3303" s="6" t="s">
        <v>13766</v>
      </c>
    </row>
    <row r="3304" spans="1:13" ht="13" x14ac:dyDescent="0.15">
      <c r="A3304" s="5" t="str">
        <f>HYPERLINK("https://onemount.atlassian.net/browse/DBA-1422","DBA-1422")</f>
        <v>DBA-1422</v>
      </c>
      <c r="B3304" s="6" t="s">
        <v>21</v>
      </c>
      <c r="C3304" s="6" t="s">
        <v>13767</v>
      </c>
      <c r="D3304" s="8" t="s">
        <v>17</v>
      </c>
      <c r="E3304" s="6" t="s">
        <v>23</v>
      </c>
      <c r="F3304" s="6" t="s">
        <v>96</v>
      </c>
      <c r="G3304" s="6" t="s">
        <v>13768</v>
      </c>
      <c r="H3304" s="10">
        <v>45793</v>
      </c>
      <c r="I3304" s="6" t="s">
        <v>13769</v>
      </c>
      <c r="J3304" s="6" t="s">
        <v>13770</v>
      </c>
      <c r="K3304" s="6" t="s">
        <v>165</v>
      </c>
      <c r="L3304" s="6" t="s">
        <v>1006</v>
      </c>
      <c r="M3304" s="6" t="s">
        <v>13771</v>
      </c>
    </row>
    <row r="3305" spans="1:13" ht="13" x14ac:dyDescent="0.15">
      <c r="A3305" s="5" t="str">
        <f>HYPERLINK("https://onemount.atlassian.net/browse/DBA-1421","DBA-1421")</f>
        <v>DBA-1421</v>
      </c>
      <c r="B3305" s="6" t="s">
        <v>21</v>
      </c>
      <c r="C3305" s="6" t="s">
        <v>13772</v>
      </c>
      <c r="D3305" s="8" t="s">
        <v>17</v>
      </c>
      <c r="E3305" s="6" t="s">
        <v>23</v>
      </c>
      <c r="F3305" s="6" t="s">
        <v>24</v>
      </c>
      <c r="G3305" s="6" t="s">
        <v>13773</v>
      </c>
      <c r="H3305" s="10">
        <v>45792</v>
      </c>
      <c r="I3305" s="6" t="s">
        <v>13774</v>
      </c>
      <c r="J3305" s="6" t="s">
        <v>55</v>
      </c>
      <c r="K3305" s="6" t="s">
        <v>55</v>
      </c>
      <c r="L3305" s="6" t="s">
        <v>56</v>
      </c>
      <c r="M3305" s="6" t="s">
        <v>13775</v>
      </c>
    </row>
    <row r="3306" spans="1:13" ht="13" x14ac:dyDescent="0.15">
      <c r="A3306" s="5" t="str">
        <f>HYPERLINK("https://onemount.atlassian.net/browse/DBA-1417","DBA-1417")</f>
        <v>DBA-1417</v>
      </c>
      <c r="B3306" s="6" t="s">
        <v>21</v>
      </c>
      <c r="C3306" s="6" t="s">
        <v>13776</v>
      </c>
      <c r="D3306" s="8" t="s">
        <v>17</v>
      </c>
      <c r="E3306" s="6" t="s">
        <v>23</v>
      </c>
      <c r="F3306" s="6" t="s">
        <v>96</v>
      </c>
      <c r="G3306" s="6" t="s">
        <v>13777</v>
      </c>
      <c r="H3306" s="10">
        <v>45792</v>
      </c>
      <c r="I3306" s="6" t="s">
        <v>13778</v>
      </c>
      <c r="J3306" s="6" t="s">
        <v>254</v>
      </c>
      <c r="K3306" s="6" t="s">
        <v>55</v>
      </c>
      <c r="L3306" s="6" t="s">
        <v>254</v>
      </c>
      <c r="M3306" s="6" t="s">
        <v>13779</v>
      </c>
    </row>
    <row r="3307" spans="1:13" ht="13" x14ac:dyDescent="0.15">
      <c r="A3307" s="5" t="str">
        <f>HYPERLINK("https://onemount.atlassian.net/browse/DBA-1414","DBA-1414")</f>
        <v>DBA-1414</v>
      </c>
      <c r="B3307" s="6" t="s">
        <v>21</v>
      </c>
      <c r="C3307" s="6" t="s">
        <v>13780</v>
      </c>
      <c r="D3307" s="8" t="s">
        <v>17</v>
      </c>
      <c r="E3307" s="6" t="s">
        <v>23</v>
      </c>
      <c r="F3307" s="6" t="s">
        <v>31</v>
      </c>
      <c r="G3307" s="6" t="s">
        <v>13781</v>
      </c>
      <c r="H3307" s="10">
        <v>45792</v>
      </c>
      <c r="I3307" s="6" t="s">
        <v>13782</v>
      </c>
      <c r="J3307" s="6" t="s">
        <v>992</v>
      </c>
      <c r="K3307" s="6" t="s">
        <v>55</v>
      </c>
      <c r="L3307" s="6" t="s">
        <v>992</v>
      </c>
      <c r="M3307" s="6" t="s">
        <v>13783</v>
      </c>
    </row>
    <row r="3308" spans="1:13" ht="13" x14ac:dyDescent="0.15">
      <c r="A3308" s="5" t="str">
        <f>HYPERLINK("https://onemount.atlassian.net/browse/DBA-1410","DBA-1410")</f>
        <v>DBA-1410</v>
      </c>
      <c r="B3308" s="6" t="s">
        <v>21</v>
      </c>
      <c r="C3308" s="6" t="s">
        <v>6266</v>
      </c>
      <c r="D3308" s="8" t="s">
        <v>17</v>
      </c>
      <c r="E3308" s="6" t="s">
        <v>23</v>
      </c>
      <c r="F3308" s="6" t="s">
        <v>96</v>
      </c>
      <c r="G3308" s="6" t="s">
        <v>13784</v>
      </c>
      <c r="H3308" s="10">
        <v>45792</v>
      </c>
      <c r="I3308" s="6" t="s">
        <v>13785</v>
      </c>
      <c r="J3308" s="6" t="s">
        <v>6269</v>
      </c>
      <c r="K3308" s="6" t="s">
        <v>28</v>
      </c>
      <c r="L3308" s="6" t="s">
        <v>1000</v>
      </c>
      <c r="M3308" s="6" t="s">
        <v>13786</v>
      </c>
    </row>
    <row r="3309" spans="1:13" ht="13" x14ac:dyDescent="0.15">
      <c r="A3309" s="5" t="str">
        <f>HYPERLINK("https://onemount.atlassian.net/browse/DBA-1408","DBA-1408")</f>
        <v>DBA-1408</v>
      </c>
      <c r="B3309" s="6" t="s">
        <v>21</v>
      </c>
      <c r="C3309" s="6" t="s">
        <v>13787</v>
      </c>
      <c r="D3309" s="8" t="s">
        <v>17</v>
      </c>
      <c r="E3309" s="6" t="s">
        <v>23</v>
      </c>
      <c r="F3309" s="6" t="s">
        <v>31</v>
      </c>
      <c r="G3309" s="6" t="s">
        <v>13788</v>
      </c>
      <c r="H3309" s="10">
        <v>45792</v>
      </c>
      <c r="I3309" s="6" t="s">
        <v>13789</v>
      </c>
      <c r="J3309" s="6" t="s">
        <v>276</v>
      </c>
      <c r="K3309" s="6" t="s">
        <v>35</v>
      </c>
      <c r="L3309" s="6" t="s">
        <v>276</v>
      </c>
      <c r="M3309" s="6" t="s">
        <v>13790</v>
      </c>
    </row>
    <row r="3310" spans="1:13" ht="13" x14ac:dyDescent="0.15">
      <c r="A3310" s="5" t="str">
        <f>HYPERLINK("https://onemount.atlassian.net/browse/DBA-1405","DBA-1405")</f>
        <v>DBA-1405</v>
      </c>
      <c r="B3310" s="6" t="s">
        <v>21</v>
      </c>
      <c r="C3310" s="6" t="s">
        <v>13791</v>
      </c>
      <c r="D3310" s="8" t="s">
        <v>17</v>
      </c>
      <c r="E3310" s="6" t="s">
        <v>23</v>
      </c>
      <c r="F3310" s="6" t="s">
        <v>96</v>
      </c>
      <c r="G3310" s="6" t="s">
        <v>13792</v>
      </c>
      <c r="H3310" s="10">
        <v>45793</v>
      </c>
      <c r="I3310" s="6" t="s">
        <v>13793</v>
      </c>
      <c r="J3310" s="6" t="s">
        <v>28</v>
      </c>
      <c r="K3310" s="6" t="s">
        <v>28</v>
      </c>
      <c r="L3310" s="6" t="s">
        <v>1129</v>
      </c>
      <c r="M3310" s="6" t="s">
        <v>13794</v>
      </c>
    </row>
    <row r="3311" spans="1:13" ht="13" x14ac:dyDescent="0.15">
      <c r="A3311" s="5" t="str">
        <f>HYPERLINK("https://onemount.atlassian.net/browse/DBA-1395","DBA-1395")</f>
        <v>DBA-1395</v>
      </c>
      <c r="B3311" s="6" t="s">
        <v>21</v>
      </c>
      <c r="C3311" s="6" t="s">
        <v>12287</v>
      </c>
      <c r="D3311" s="8" t="s">
        <v>17</v>
      </c>
      <c r="E3311" s="6" t="s">
        <v>23</v>
      </c>
      <c r="F3311" s="6" t="s">
        <v>24</v>
      </c>
      <c r="G3311" s="6" t="s">
        <v>13795</v>
      </c>
      <c r="H3311" s="10">
        <v>45793</v>
      </c>
      <c r="I3311" s="6" t="s">
        <v>13796</v>
      </c>
      <c r="J3311" s="6" t="s">
        <v>10037</v>
      </c>
      <c r="K3311" s="6" t="s">
        <v>55</v>
      </c>
      <c r="L3311" s="6" t="s">
        <v>270</v>
      </c>
      <c r="M3311" s="6" t="s">
        <v>13797</v>
      </c>
    </row>
    <row r="3312" spans="1:13" ht="13" x14ac:dyDescent="0.15">
      <c r="A3312" s="21" t="str">
        <f>HYPERLINK("https://onemount.atlassian.net/browse/DBA-1394","DBA-1394")</f>
        <v>DBA-1394</v>
      </c>
      <c r="B3312" s="6" t="s">
        <v>21</v>
      </c>
      <c r="C3312" s="6" t="s">
        <v>9200</v>
      </c>
      <c r="D3312" s="8" t="s">
        <v>17</v>
      </c>
      <c r="E3312" s="6" t="s">
        <v>23</v>
      </c>
      <c r="F3312" s="6" t="s">
        <v>31</v>
      </c>
      <c r="G3312" s="6" t="s">
        <v>13798</v>
      </c>
      <c r="H3312" s="10">
        <v>45791</v>
      </c>
      <c r="I3312" s="6" t="s">
        <v>13799</v>
      </c>
      <c r="J3312" s="6" t="s">
        <v>358</v>
      </c>
      <c r="K3312" s="6" t="s">
        <v>46</v>
      </c>
      <c r="L3312" s="6" t="s">
        <v>358</v>
      </c>
      <c r="M3312" s="6" t="s">
        <v>13800</v>
      </c>
    </row>
    <row r="3313" spans="1:13" ht="13" x14ac:dyDescent="0.15">
      <c r="A3313" s="5" t="str">
        <f>HYPERLINK("https://onemount.atlassian.net/browse/DBA-1384","DBA-1384")</f>
        <v>DBA-1384</v>
      </c>
      <c r="B3313" s="6" t="s">
        <v>21</v>
      </c>
      <c r="C3313" s="6" t="s">
        <v>13801</v>
      </c>
      <c r="D3313" s="8" t="s">
        <v>17</v>
      </c>
      <c r="E3313" s="6" t="s">
        <v>23</v>
      </c>
      <c r="F3313" s="6" t="s">
        <v>31</v>
      </c>
      <c r="G3313" s="6" t="s">
        <v>13802</v>
      </c>
      <c r="H3313" s="10">
        <v>45791</v>
      </c>
      <c r="I3313" s="6" t="s">
        <v>13803</v>
      </c>
      <c r="J3313" s="6" t="s">
        <v>358</v>
      </c>
      <c r="K3313" s="6" t="s">
        <v>46</v>
      </c>
      <c r="L3313" s="6" t="s">
        <v>358</v>
      </c>
      <c r="M3313" s="6" t="s">
        <v>13804</v>
      </c>
    </row>
    <row r="3314" spans="1:13" ht="13" x14ac:dyDescent="0.15">
      <c r="A3314" s="5" t="str">
        <f>HYPERLINK("https://onemount.atlassian.net/browse/DBA-1383","DBA-1383")</f>
        <v>DBA-1383</v>
      </c>
      <c r="B3314" s="6" t="s">
        <v>21</v>
      </c>
      <c r="C3314" s="6" t="s">
        <v>13805</v>
      </c>
      <c r="D3314" s="8" t="s">
        <v>17</v>
      </c>
      <c r="E3314" s="6" t="s">
        <v>23</v>
      </c>
      <c r="F3314" s="6" t="s">
        <v>31</v>
      </c>
      <c r="G3314" s="6" t="s">
        <v>13806</v>
      </c>
      <c r="H3314" s="10">
        <v>45792</v>
      </c>
      <c r="I3314" s="6" t="s">
        <v>13807</v>
      </c>
      <c r="J3314" s="6" t="s">
        <v>13808</v>
      </c>
      <c r="K3314" s="6" t="s">
        <v>55</v>
      </c>
      <c r="L3314" s="6" t="s">
        <v>992</v>
      </c>
      <c r="M3314" s="6" t="s">
        <v>13809</v>
      </c>
    </row>
    <row r="3315" spans="1:13" ht="13" x14ac:dyDescent="0.15">
      <c r="A3315" s="5" t="str">
        <f>HYPERLINK("https://onemount.atlassian.net/browse/DBA-1382","DBA-1382")</f>
        <v>DBA-1382</v>
      </c>
      <c r="B3315" s="6" t="s">
        <v>21</v>
      </c>
      <c r="C3315" s="6" t="s">
        <v>13810</v>
      </c>
      <c r="D3315" s="8" t="s">
        <v>17</v>
      </c>
      <c r="E3315" s="6" t="s">
        <v>23</v>
      </c>
      <c r="F3315" s="6" t="s">
        <v>96</v>
      </c>
      <c r="G3315" s="6" t="s">
        <v>13811</v>
      </c>
      <c r="H3315" s="10">
        <v>45791</v>
      </c>
      <c r="I3315" s="6" t="s">
        <v>13812</v>
      </c>
      <c r="J3315" s="6" t="s">
        <v>13813</v>
      </c>
      <c r="K3315" s="6" t="s">
        <v>55</v>
      </c>
      <c r="L3315" s="6" t="s">
        <v>910</v>
      </c>
      <c r="M3315" s="6" t="s">
        <v>13814</v>
      </c>
    </row>
    <row r="3316" spans="1:13" ht="13" x14ac:dyDescent="0.15">
      <c r="A3316" s="21" t="str">
        <f>HYPERLINK("https://onemount.atlassian.net/browse/DBA-1381","DBA-1381")</f>
        <v>DBA-1381</v>
      </c>
      <c r="B3316" s="6" t="s">
        <v>21</v>
      </c>
      <c r="C3316" s="6" t="s">
        <v>9200</v>
      </c>
      <c r="D3316" s="8" t="s">
        <v>17</v>
      </c>
      <c r="E3316" s="6" t="s">
        <v>23</v>
      </c>
      <c r="F3316" s="6" t="s">
        <v>31</v>
      </c>
      <c r="G3316" s="6" t="s">
        <v>13815</v>
      </c>
      <c r="H3316" s="10">
        <v>45793</v>
      </c>
      <c r="I3316" s="6" t="s">
        <v>13816</v>
      </c>
      <c r="J3316" s="6" t="s">
        <v>358</v>
      </c>
      <c r="K3316" s="6" t="s">
        <v>46</v>
      </c>
      <c r="L3316" s="6" t="s">
        <v>358</v>
      </c>
      <c r="M3316" s="6" t="s">
        <v>13800</v>
      </c>
    </row>
    <row r="3317" spans="1:13" ht="13" x14ac:dyDescent="0.15">
      <c r="A3317" s="5" t="str">
        <f>HYPERLINK("https://onemount.atlassian.net/browse/DBA-1380","DBA-1380")</f>
        <v>DBA-1380</v>
      </c>
      <c r="B3317" s="6" t="s">
        <v>21</v>
      </c>
      <c r="C3317" s="6" t="s">
        <v>6266</v>
      </c>
      <c r="D3317" s="8" t="s">
        <v>17</v>
      </c>
      <c r="E3317" s="6" t="s">
        <v>23</v>
      </c>
      <c r="F3317" s="6" t="s">
        <v>96</v>
      </c>
      <c r="G3317" s="6" t="s">
        <v>13817</v>
      </c>
      <c r="H3317" s="10">
        <v>45792</v>
      </c>
      <c r="I3317" s="6" t="s">
        <v>13818</v>
      </c>
      <c r="J3317" s="6" t="s">
        <v>6269</v>
      </c>
      <c r="K3317" s="6" t="s">
        <v>28</v>
      </c>
      <c r="L3317" s="6" t="s">
        <v>1000</v>
      </c>
      <c r="M3317" s="6" t="s">
        <v>13819</v>
      </c>
    </row>
    <row r="3318" spans="1:13" ht="13" x14ac:dyDescent="0.15">
      <c r="A3318" s="5" t="str">
        <f>HYPERLINK("https://onemount.atlassian.net/browse/DBA-1379","DBA-1379")</f>
        <v>DBA-1379</v>
      </c>
      <c r="B3318" s="6" t="s">
        <v>21</v>
      </c>
      <c r="C3318" s="6" t="s">
        <v>13820</v>
      </c>
      <c r="D3318" s="8" t="s">
        <v>17</v>
      </c>
      <c r="E3318" s="6" t="s">
        <v>23</v>
      </c>
      <c r="F3318" s="6" t="s">
        <v>31</v>
      </c>
      <c r="G3318" s="6" t="s">
        <v>13821</v>
      </c>
      <c r="H3318" s="10">
        <v>45801</v>
      </c>
      <c r="I3318" s="6" t="s">
        <v>13822</v>
      </c>
      <c r="J3318" s="6" t="s">
        <v>358</v>
      </c>
      <c r="K3318" s="6" t="s">
        <v>46</v>
      </c>
      <c r="L3318" s="6" t="s">
        <v>358</v>
      </c>
      <c r="M3318" s="6" t="s">
        <v>13823</v>
      </c>
    </row>
    <row r="3319" spans="1:13" ht="13" x14ac:dyDescent="0.15">
      <c r="A3319" s="5" t="str">
        <f>HYPERLINK("https://onemount.atlassian.net/browse/DBA-1378","DBA-1378")</f>
        <v>DBA-1378</v>
      </c>
      <c r="B3319" s="6" t="s">
        <v>21</v>
      </c>
      <c r="C3319" s="6" t="s">
        <v>13824</v>
      </c>
      <c r="D3319" s="8" t="s">
        <v>17</v>
      </c>
      <c r="E3319" s="6" t="s">
        <v>23</v>
      </c>
      <c r="F3319" s="6" t="s">
        <v>96</v>
      </c>
      <c r="G3319" s="6" t="s">
        <v>13825</v>
      </c>
      <c r="H3319" s="10">
        <v>45791</v>
      </c>
      <c r="I3319" s="6" t="s">
        <v>13826</v>
      </c>
      <c r="J3319" s="6" t="s">
        <v>1091</v>
      </c>
      <c r="K3319" s="6" t="s">
        <v>165</v>
      </c>
      <c r="L3319" s="6" t="s">
        <v>1091</v>
      </c>
      <c r="M3319" s="6" t="s">
        <v>13827</v>
      </c>
    </row>
    <row r="3320" spans="1:13" ht="13" x14ac:dyDescent="0.15">
      <c r="A3320" s="5" t="str">
        <f>HYPERLINK("https://onemount.atlassian.net/browse/DBA-1377","DBA-1377")</f>
        <v>DBA-1377</v>
      </c>
      <c r="B3320" s="23" t="str">
        <f>HYPERLINK("https://onemount.atlassian.net/browse/DBA-2023","DBA-2023")</f>
        <v>DBA-2023</v>
      </c>
      <c r="C3320" s="6" t="s">
        <v>13828</v>
      </c>
      <c r="D3320" s="8" t="s">
        <v>17</v>
      </c>
      <c r="E3320" s="6" t="s">
        <v>428</v>
      </c>
      <c r="F3320" s="6" t="s">
        <v>31</v>
      </c>
      <c r="G3320" s="6" t="s">
        <v>13829</v>
      </c>
      <c r="H3320" s="10">
        <v>45792</v>
      </c>
      <c r="I3320" s="6" t="s">
        <v>13830</v>
      </c>
      <c r="J3320" s="6" t="s">
        <v>13831</v>
      </c>
      <c r="K3320" s="6" t="s">
        <v>55</v>
      </c>
      <c r="L3320" s="6" t="s">
        <v>984</v>
      </c>
      <c r="M3320" s="6" t="s">
        <v>13832</v>
      </c>
    </row>
    <row r="3321" spans="1:13" ht="13" x14ac:dyDescent="0.15">
      <c r="A3321" s="5" t="str">
        <f>HYPERLINK("https://onemount.atlassian.net/browse/DBA-1376","DBA-1376")</f>
        <v>DBA-1376</v>
      </c>
      <c r="B3321" s="6" t="s">
        <v>21</v>
      </c>
      <c r="C3321" s="6" t="s">
        <v>13833</v>
      </c>
      <c r="D3321" s="8" t="s">
        <v>17</v>
      </c>
      <c r="E3321" s="6" t="s">
        <v>23</v>
      </c>
      <c r="F3321" s="6" t="s">
        <v>96</v>
      </c>
      <c r="G3321" s="6" t="s">
        <v>13834</v>
      </c>
      <c r="H3321" s="10">
        <v>45791</v>
      </c>
      <c r="I3321" s="6" t="s">
        <v>13835</v>
      </c>
      <c r="J3321" s="6" t="s">
        <v>1898</v>
      </c>
      <c r="K3321" s="6" t="s">
        <v>165</v>
      </c>
      <c r="L3321" s="6" t="s">
        <v>1097</v>
      </c>
      <c r="M3321" s="6" t="s">
        <v>13836</v>
      </c>
    </row>
    <row r="3322" spans="1:13" ht="13" x14ac:dyDescent="0.15">
      <c r="A3322" s="5" t="str">
        <f>HYPERLINK("https://onemount.atlassian.net/browse/DBA-1375","DBA-1375")</f>
        <v>DBA-1375</v>
      </c>
      <c r="B3322" s="23" t="str">
        <f t="shared" ref="B3322:B3324" si="58">HYPERLINK("https://onemount.atlassian.net/browse/DBA-1372","DBA-1372")</f>
        <v>DBA-1372</v>
      </c>
      <c r="C3322" s="6" t="s">
        <v>13837</v>
      </c>
      <c r="D3322" s="8" t="s">
        <v>17</v>
      </c>
      <c r="E3322" s="6" t="s">
        <v>428</v>
      </c>
      <c r="F3322" s="6" t="s">
        <v>24</v>
      </c>
      <c r="G3322" s="6" t="s">
        <v>13838</v>
      </c>
      <c r="H3322" s="10">
        <v>45829</v>
      </c>
      <c r="I3322" s="6" t="s">
        <v>13839</v>
      </c>
      <c r="J3322" s="6" t="s">
        <v>55</v>
      </c>
      <c r="K3322" s="6" t="s">
        <v>55</v>
      </c>
      <c r="L3322" s="6" t="s">
        <v>254</v>
      </c>
      <c r="M3322" s="6" t="s">
        <v>13840</v>
      </c>
    </row>
    <row r="3323" spans="1:13" ht="13" x14ac:dyDescent="0.15">
      <c r="A3323" s="5" t="str">
        <f>HYPERLINK("https://onemount.atlassian.net/browse/DBA-1374","DBA-1374")</f>
        <v>DBA-1374</v>
      </c>
      <c r="B3323" s="23" t="str">
        <f t="shared" si="58"/>
        <v>DBA-1372</v>
      </c>
      <c r="C3323" s="6" t="s">
        <v>13841</v>
      </c>
      <c r="D3323" s="8" t="s">
        <v>17</v>
      </c>
      <c r="E3323" s="6" t="s">
        <v>428</v>
      </c>
      <c r="F3323" s="6" t="s">
        <v>24</v>
      </c>
      <c r="G3323" s="6" t="s">
        <v>13842</v>
      </c>
      <c r="H3323" s="10">
        <v>45863</v>
      </c>
      <c r="I3323" s="6" t="s">
        <v>13843</v>
      </c>
      <c r="J3323" s="6" t="s">
        <v>55</v>
      </c>
      <c r="K3323" s="6" t="s">
        <v>55</v>
      </c>
      <c r="L3323" s="6" t="s">
        <v>56</v>
      </c>
      <c r="M3323" s="6" t="s">
        <v>13844</v>
      </c>
    </row>
    <row r="3324" spans="1:13" ht="13" x14ac:dyDescent="0.15">
      <c r="A3324" s="5" t="str">
        <f>HYPERLINK("https://onemount.atlassian.net/browse/DBA-1373","DBA-1373")</f>
        <v>DBA-1373</v>
      </c>
      <c r="B3324" s="23" t="str">
        <f t="shared" si="58"/>
        <v>DBA-1372</v>
      </c>
      <c r="C3324" s="6" t="s">
        <v>13845</v>
      </c>
      <c r="D3324" s="8" t="s">
        <v>17</v>
      </c>
      <c r="E3324" s="6" t="s">
        <v>428</v>
      </c>
      <c r="F3324" s="6" t="s">
        <v>24</v>
      </c>
      <c r="G3324" s="6" t="s">
        <v>13846</v>
      </c>
      <c r="H3324" s="10">
        <v>45821</v>
      </c>
      <c r="I3324" s="6" t="s">
        <v>13847</v>
      </c>
      <c r="J3324" s="6" t="s">
        <v>55</v>
      </c>
      <c r="K3324" s="6" t="s">
        <v>55</v>
      </c>
      <c r="L3324" s="6" t="s">
        <v>906</v>
      </c>
      <c r="M3324" s="6" t="s">
        <v>13848</v>
      </c>
    </row>
    <row r="3325" spans="1:13" ht="13" x14ac:dyDescent="0.15">
      <c r="A3325" s="5" t="str">
        <f>HYPERLINK("https://onemount.atlassian.net/browse/DBA-1372","DBA-1372")</f>
        <v>DBA-1372</v>
      </c>
      <c r="B3325" s="6" t="s">
        <v>21</v>
      </c>
      <c r="C3325" s="6" t="s">
        <v>13849</v>
      </c>
      <c r="D3325" s="8" t="s">
        <v>17</v>
      </c>
      <c r="E3325" s="6" t="s">
        <v>23</v>
      </c>
      <c r="F3325" s="6" t="s">
        <v>24</v>
      </c>
      <c r="G3325" s="6" t="s">
        <v>13850</v>
      </c>
      <c r="H3325" s="10">
        <v>45863</v>
      </c>
      <c r="I3325" s="6" t="s">
        <v>13851</v>
      </c>
      <c r="J3325" s="6" t="s">
        <v>55</v>
      </c>
      <c r="K3325" s="6" t="s">
        <v>55</v>
      </c>
      <c r="L3325" s="6" t="s">
        <v>55</v>
      </c>
      <c r="M3325" s="6" t="s">
        <v>13852</v>
      </c>
    </row>
    <row r="3326" spans="1:13" ht="13" x14ac:dyDescent="0.15">
      <c r="A3326" s="5" t="str">
        <f>HYPERLINK("https://onemount.atlassian.net/browse/DBA-1371","DBA-1371")</f>
        <v>DBA-1371</v>
      </c>
      <c r="B3326" s="6" t="s">
        <v>21</v>
      </c>
      <c r="C3326" s="6" t="s">
        <v>13853</v>
      </c>
      <c r="D3326" s="8" t="s">
        <v>17</v>
      </c>
      <c r="E3326" s="6" t="s">
        <v>23</v>
      </c>
      <c r="F3326" s="6" t="s">
        <v>31</v>
      </c>
      <c r="G3326" s="6" t="s">
        <v>13854</v>
      </c>
      <c r="H3326" s="10">
        <v>45790</v>
      </c>
      <c r="I3326" s="6" t="s">
        <v>13855</v>
      </c>
      <c r="J3326" s="6" t="s">
        <v>1564</v>
      </c>
      <c r="K3326" s="6" t="s">
        <v>35</v>
      </c>
      <c r="L3326" s="6" t="s">
        <v>36</v>
      </c>
      <c r="M3326" s="6" t="s">
        <v>13856</v>
      </c>
    </row>
    <row r="3327" spans="1:13" ht="13" x14ac:dyDescent="0.15">
      <c r="A3327" s="5" t="str">
        <f>HYPERLINK("https://onemount.atlassian.net/browse/DBA-1370","DBA-1370")</f>
        <v>DBA-1370</v>
      </c>
      <c r="B3327" s="6" t="s">
        <v>21</v>
      </c>
      <c r="C3327" s="6" t="s">
        <v>13857</v>
      </c>
      <c r="D3327" s="8" t="s">
        <v>17</v>
      </c>
      <c r="E3327" s="6" t="s">
        <v>23</v>
      </c>
      <c r="F3327" s="6" t="s">
        <v>96</v>
      </c>
      <c r="G3327" s="6" t="s">
        <v>13858</v>
      </c>
      <c r="H3327" s="10">
        <v>45791</v>
      </c>
      <c r="I3327" s="6" t="s">
        <v>13859</v>
      </c>
      <c r="J3327" s="6" t="s">
        <v>13860</v>
      </c>
      <c r="K3327" s="6" t="s">
        <v>55</v>
      </c>
      <c r="L3327" s="6" t="s">
        <v>906</v>
      </c>
      <c r="M3327" s="6" t="s">
        <v>13861</v>
      </c>
    </row>
    <row r="3328" spans="1:13" ht="13" x14ac:dyDescent="0.15">
      <c r="A3328" s="5" t="str">
        <f>HYPERLINK("https://onemount.atlassian.net/browse/DBA-1369","DBA-1369")</f>
        <v>DBA-1369</v>
      </c>
      <c r="B3328" s="6" t="s">
        <v>21</v>
      </c>
      <c r="C3328" s="6" t="s">
        <v>13862</v>
      </c>
      <c r="D3328" s="8" t="s">
        <v>17</v>
      </c>
      <c r="E3328" s="6" t="s">
        <v>23</v>
      </c>
      <c r="F3328" s="6" t="s">
        <v>31</v>
      </c>
      <c r="G3328" s="6" t="s">
        <v>13863</v>
      </c>
      <c r="H3328" s="10">
        <v>45789</v>
      </c>
      <c r="I3328" s="6" t="s">
        <v>13864</v>
      </c>
      <c r="J3328" s="6" t="s">
        <v>276</v>
      </c>
      <c r="K3328" s="6" t="s">
        <v>35</v>
      </c>
      <c r="L3328" s="6" t="s">
        <v>276</v>
      </c>
      <c r="M3328" s="6" t="s">
        <v>13865</v>
      </c>
    </row>
    <row r="3329" spans="1:13" ht="13" x14ac:dyDescent="0.15">
      <c r="A3329" s="5" t="str">
        <f>HYPERLINK("https://onemount.atlassian.net/browse/DBA-1368","DBA-1368")</f>
        <v>DBA-1368</v>
      </c>
      <c r="B3329" s="6" t="s">
        <v>21</v>
      </c>
      <c r="C3329" s="6" t="s">
        <v>13866</v>
      </c>
      <c r="D3329" s="8" t="s">
        <v>17</v>
      </c>
      <c r="E3329" s="6" t="s">
        <v>23</v>
      </c>
      <c r="F3329" s="6" t="s">
        <v>24</v>
      </c>
      <c r="G3329" s="6" t="s">
        <v>13867</v>
      </c>
      <c r="H3329" s="10">
        <v>45790</v>
      </c>
      <c r="I3329" s="6" t="s">
        <v>13868</v>
      </c>
      <c r="J3329" s="6" t="s">
        <v>9672</v>
      </c>
      <c r="K3329" s="6" t="s">
        <v>46</v>
      </c>
      <c r="L3329" s="6" t="s">
        <v>319</v>
      </c>
      <c r="M3329" s="6" t="s">
        <v>13869</v>
      </c>
    </row>
    <row r="3330" spans="1:13" ht="13" x14ac:dyDescent="0.15">
      <c r="A3330" s="5" t="str">
        <f>HYPERLINK("https://onemount.atlassian.net/browse/DBA-1367","DBA-1367")</f>
        <v>DBA-1367</v>
      </c>
      <c r="B3330" s="6" t="s">
        <v>21</v>
      </c>
      <c r="C3330" s="6" t="s">
        <v>10509</v>
      </c>
      <c r="D3330" s="8" t="s">
        <v>17</v>
      </c>
      <c r="E3330" s="6" t="s">
        <v>23</v>
      </c>
      <c r="F3330" s="6" t="s">
        <v>31</v>
      </c>
      <c r="G3330" s="6" t="s">
        <v>13870</v>
      </c>
      <c r="H3330" s="10">
        <v>45789</v>
      </c>
      <c r="I3330" s="6" t="s">
        <v>13871</v>
      </c>
      <c r="J3330" s="6" t="s">
        <v>55</v>
      </c>
      <c r="K3330" s="6" t="s">
        <v>55</v>
      </c>
      <c r="L3330" s="6" t="s">
        <v>900</v>
      </c>
      <c r="M3330" s="6" t="s">
        <v>13872</v>
      </c>
    </row>
    <row r="3331" spans="1:13" ht="13" x14ac:dyDescent="0.15">
      <c r="A3331" s="5" t="str">
        <f>HYPERLINK("https://onemount.atlassian.net/browse/DBA-1365","DBA-1365")</f>
        <v>DBA-1365</v>
      </c>
      <c r="B3331" s="6" t="s">
        <v>21</v>
      </c>
      <c r="C3331" s="6" t="s">
        <v>13873</v>
      </c>
      <c r="D3331" s="8" t="s">
        <v>17</v>
      </c>
      <c r="E3331" s="6" t="s">
        <v>23</v>
      </c>
      <c r="F3331" s="6" t="s">
        <v>24</v>
      </c>
      <c r="G3331" s="6" t="s">
        <v>13874</v>
      </c>
      <c r="H3331" s="10">
        <v>45790</v>
      </c>
      <c r="I3331" s="6" t="s">
        <v>13875</v>
      </c>
      <c r="J3331" s="6" t="s">
        <v>13159</v>
      </c>
      <c r="K3331" s="6" t="s">
        <v>46</v>
      </c>
      <c r="L3331" s="6" t="s">
        <v>39</v>
      </c>
      <c r="M3331" s="6" t="s">
        <v>13876</v>
      </c>
    </row>
    <row r="3332" spans="1:13" ht="13" x14ac:dyDescent="0.15">
      <c r="A3332" s="5" t="str">
        <f>HYPERLINK("https://onemount.atlassian.net/browse/DBA-1362","DBA-1362")</f>
        <v>DBA-1362</v>
      </c>
      <c r="B3332" s="6" t="s">
        <v>21</v>
      </c>
      <c r="C3332" s="6" t="s">
        <v>13877</v>
      </c>
      <c r="D3332" s="8" t="s">
        <v>17</v>
      </c>
      <c r="E3332" s="6" t="s">
        <v>23</v>
      </c>
      <c r="F3332" s="6" t="s">
        <v>96</v>
      </c>
      <c r="G3332" s="6" t="s">
        <v>13878</v>
      </c>
      <c r="H3332" s="10">
        <v>45789</v>
      </c>
      <c r="I3332" s="6" t="s">
        <v>13879</v>
      </c>
      <c r="J3332" s="6" t="s">
        <v>55</v>
      </c>
      <c r="K3332" s="6" t="s">
        <v>55</v>
      </c>
      <c r="L3332" s="6" t="s">
        <v>900</v>
      </c>
      <c r="M3332" s="6" t="s">
        <v>13880</v>
      </c>
    </row>
    <row r="3333" spans="1:13" ht="13" x14ac:dyDescent="0.15">
      <c r="A3333" s="5" t="str">
        <f>HYPERLINK("https://onemount.atlassian.net/browse/DBA-1361","DBA-1361")</f>
        <v>DBA-1361</v>
      </c>
      <c r="B3333" s="6" t="s">
        <v>21</v>
      </c>
      <c r="C3333" s="6" t="s">
        <v>13881</v>
      </c>
      <c r="D3333" s="8" t="s">
        <v>17</v>
      </c>
      <c r="E3333" s="6" t="s">
        <v>23</v>
      </c>
      <c r="F3333" s="6" t="s">
        <v>24</v>
      </c>
      <c r="G3333" s="6" t="s">
        <v>13882</v>
      </c>
      <c r="H3333" s="10">
        <v>45789</v>
      </c>
      <c r="I3333" s="6" t="s">
        <v>13883</v>
      </c>
      <c r="J3333" s="6" t="s">
        <v>8924</v>
      </c>
      <c r="K3333" s="6" t="s">
        <v>55</v>
      </c>
      <c r="L3333" s="6" t="s">
        <v>956</v>
      </c>
      <c r="M3333" s="6" t="s">
        <v>13884</v>
      </c>
    </row>
    <row r="3334" spans="1:13" ht="13" x14ac:dyDescent="0.15">
      <c r="A3334" s="5" t="str">
        <f>HYPERLINK("https://onemount.atlassian.net/browse/DBA-1360","DBA-1360")</f>
        <v>DBA-1360</v>
      </c>
      <c r="B3334" s="6" t="s">
        <v>21</v>
      </c>
      <c r="C3334" s="6" t="s">
        <v>13885</v>
      </c>
      <c r="D3334" s="8" t="s">
        <v>17</v>
      </c>
      <c r="E3334" s="6" t="s">
        <v>23</v>
      </c>
      <c r="F3334" s="6" t="s">
        <v>96</v>
      </c>
      <c r="G3334" s="6" t="s">
        <v>13886</v>
      </c>
      <c r="H3334" s="10">
        <v>45790</v>
      </c>
      <c r="I3334" s="6" t="s">
        <v>13887</v>
      </c>
      <c r="J3334" s="6" t="s">
        <v>13888</v>
      </c>
      <c r="K3334" s="6" t="s">
        <v>55</v>
      </c>
      <c r="L3334" s="6" t="s">
        <v>85</v>
      </c>
      <c r="M3334" s="6" t="s">
        <v>13889</v>
      </c>
    </row>
    <row r="3335" spans="1:13" ht="13" x14ac:dyDescent="0.15">
      <c r="A3335" s="5" t="str">
        <f>HYPERLINK("https://onemount.atlassian.net/browse/DBA-1359","DBA-1359")</f>
        <v>DBA-1359</v>
      </c>
      <c r="B3335" s="6" t="s">
        <v>21</v>
      </c>
      <c r="C3335" s="6" t="s">
        <v>13890</v>
      </c>
      <c r="D3335" s="8" t="s">
        <v>17</v>
      </c>
      <c r="E3335" s="6" t="s">
        <v>23</v>
      </c>
      <c r="F3335" s="6" t="s">
        <v>96</v>
      </c>
      <c r="G3335" s="6" t="s">
        <v>13891</v>
      </c>
      <c r="H3335" s="10">
        <v>45790</v>
      </c>
      <c r="I3335" s="6" t="s">
        <v>13892</v>
      </c>
      <c r="J3335" s="6" t="s">
        <v>645</v>
      </c>
      <c r="K3335" s="6" t="s">
        <v>165</v>
      </c>
      <c r="L3335" s="6" t="s">
        <v>645</v>
      </c>
      <c r="M3335" s="6" t="s">
        <v>13893</v>
      </c>
    </row>
    <row r="3336" spans="1:13" ht="13" x14ac:dyDescent="0.15">
      <c r="A3336" s="5" t="str">
        <f>HYPERLINK("https://onemount.atlassian.net/browse/DBA-1358","DBA-1358")</f>
        <v>DBA-1358</v>
      </c>
      <c r="B3336" s="6" t="s">
        <v>21</v>
      </c>
      <c r="C3336" s="6" t="s">
        <v>13894</v>
      </c>
      <c r="D3336" s="8" t="s">
        <v>17</v>
      </c>
      <c r="E3336" s="6" t="s">
        <v>23</v>
      </c>
      <c r="F3336" s="6" t="s">
        <v>31</v>
      </c>
      <c r="G3336" s="6" t="s">
        <v>13895</v>
      </c>
      <c r="H3336" s="10">
        <v>45787</v>
      </c>
      <c r="I3336" s="6" t="s">
        <v>13896</v>
      </c>
      <c r="J3336" s="6" t="s">
        <v>12023</v>
      </c>
      <c r="K3336" s="6" t="s">
        <v>35</v>
      </c>
      <c r="L3336" s="6" t="s">
        <v>276</v>
      </c>
      <c r="M3336" s="6" t="s">
        <v>13897</v>
      </c>
    </row>
    <row r="3337" spans="1:13" ht="13" x14ac:dyDescent="0.15">
      <c r="A3337" s="5" t="str">
        <f>HYPERLINK("https://onemount.atlassian.net/browse/DBA-1357","DBA-1357")</f>
        <v>DBA-1357</v>
      </c>
      <c r="B3337" s="6" t="s">
        <v>21</v>
      </c>
      <c r="C3337" s="6" t="s">
        <v>13475</v>
      </c>
      <c r="D3337" s="8" t="s">
        <v>17</v>
      </c>
      <c r="E3337" s="6" t="s">
        <v>23</v>
      </c>
      <c r="F3337" s="6" t="s">
        <v>96</v>
      </c>
      <c r="G3337" s="6" t="s">
        <v>13898</v>
      </c>
      <c r="H3337" s="10">
        <v>45790</v>
      </c>
      <c r="I3337" s="6" t="s">
        <v>13899</v>
      </c>
      <c r="J3337" s="6" t="s">
        <v>13900</v>
      </c>
      <c r="K3337" s="6" t="s">
        <v>55</v>
      </c>
      <c r="L3337" s="6" t="s">
        <v>715</v>
      </c>
      <c r="M3337" s="6" t="s">
        <v>13901</v>
      </c>
    </row>
    <row r="3338" spans="1:13" ht="13" x14ac:dyDescent="0.15">
      <c r="A3338" s="5" t="str">
        <f>HYPERLINK("https://onemount.atlassian.net/browse/DBA-1356","DBA-1356")</f>
        <v>DBA-1356</v>
      </c>
      <c r="B3338" s="6" t="s">
        <v>21</v>
      </c>
      <c r="C3338" s="6" t="s">
        <v>13902</v>
      </c>
      <c r="D3338" s="8" t="s">
        <v>17</v>
      </c>
      <c r="E3338" s="6" t="s">
        <v>23</v>
      </c>
      <c r="F3338" s="6" t="s">
        <v>96</v>
      </c>
      <c r="G3338" s="6" t="s">
        <v>13903</v>
      </c>
      <c r="H3338" s="10">
        <v>45787</v>
      </c>
      <c r="I3338" s="6" t="s">
        <v>13904</v>
      </c>
      <c r="J3338" s="6" t="s">
        <v>55</v>
      </c>
      <c r="K3338" s="6" t="s">
        <v>55</v>
      </c>
      <c r="L3338" s="6" t="s">
        <v>956</v>
      </c>
      <c r="M3338" s="6" t="s">
        <v>13905</v>
      </c>
    </row>
    <row r="3339" spans="1:13" ht="13" x14ac:dyDescent="0.15">
      <c r="A3339" s="5" t="str">
        <f>HYPERLINK("https://onemount.atlassian.net/browse/DBA-1355","DBA-1355")</f>
        <v>DBA-1355</v>
      </c>
      <c r="B3339" s="6" t="s">
        <v>21</v>
      </c>
      <c r="C3339" s="6" t="s">
        <v>13772</v>
      </c>
      <c r="D3339" s="8" t="s">
        <v>17</v>
      </c>
      <c r="E3339" s="6" t="s">
        <v>23</v>
      </c>
      <c r="F3339" s="6" t="s">
        <v>24</v>
      </c>
      <c r="G3339" s="6" t="s">
        <v>13906</v>
      </c>
      <c r="H3339" s="10">
        <v>45789</v>
      </c>
      <c r="I3339" s="6" t="s">
        <v>13907</v>
      </c>
      <c r="J3339" s="6" t="s">
        <v>55</v>
      </c>
      <c r="K3339" s="6" t="s">
        <v>55</v>
      </c>
      <c r="L3339" s="6" t="s">
        <v>56</v>
      </c>
      <c r="M3339" s="6" t="s">
        <v>13908</v>
      </c>
    </row>
    <row r="3340" spans="1:13" ht="13" x14ac:dyDescent="0.15">
      <c r="A3340" s="5" t="str">
        <f>HYPERLINK("https://onemount.atlassian.net/browse/DBA-1354","DBA-1354")</f>
        <v>DBA-1354</v>
      </c>
      <c r="B3340" s="6" t="s">
        <v>21</v>
      </c>
      <c r="C3340" s="6" t="s">
        <v>13909</v>
      </c>
      <c r="D3340" s="8" t="s">
        <v>17</v>
      </c>
      <c r="E3340" s="6" t="s">
        <v>23</v>
      </c>
      <c r="F3340" s="6" t="s">
        <v>96</v>
      </c>
      <c r="G3340" s="6" t="s">
        <v>13910</v>
      </c>
      <c r="H3340" s="10">
        <v>45790</v>
      </c>
      <c r="I3340" s="6" t="s">
        <v>13911</v>
      </c>
      <c r="J3340" s="6" t="s">
        <v>55</v>
      </c>
      <c r="K3340" s="6" t="s">
        <v>55</v>
      </c>
      <c r="L3340" s="6" t="s">
        <v>715</v>
      </c>
      <c r="M3340" s="6" t="s">
        <v>13912</v>
      </c>
    </row>
    <row r="3341" spans="1:13" ht="13" x14ac:dyDescent="0.15">
      <c r="A3341" s="5" t="str">
        <f>HYPERLINK("https://onemount.atlassian.net/browse/DBA-1353","DBA-1353")</f>
        <v>DBA-1353</v>
      </c>
      <c r="B3341" s="6" t="s">
        <v>21</v>
      </c>
      <c r="C3341" s="6" t="s">
        <v>13913</v>
      </c>
      <c r="D3341" s="8" t="s">
        <v>17</v>
      </c>
      <c r="E3341" s="6" t="s">
        <v>23</v>
      </c>
      <c r="F3341" s="6" t="s">
        <v>31</v>
      </c>
      <c r="G3341" s="6" t="s">
        <v>13914</v>
      </c>
      <c r="H3341" s="10">
        <v>45786</v>
      </c>
      <c r="I3341" s="6" t="s">
        <v>13915</v>
      </c>
      <c r="J3341" s="6" t="s">
        <v>276</v>
      </c>
      <c r="K3341" s="6" t="s">
        <v>35</v>
      </c>
      <c r="L3341" s="6" t="s">
        <v>276</v>
      </c>
      <c r="M3341" s="6" t="s">
        <v>13916</v>
      </c>
    </row>
    <row r="3342" spans="1:13" ht="13" x14ac:dyDescent="0.15">
      <c r="A3342" s="5" t="str">
        <f>HYPERLINK("https://onemount.atlassian.net/browse/DBA-1350","DBA-1350")</f>
        <v>DBA-1350</v>
      </c>
      <c r="B3342" s="6" t="s">
        <v>21</v>
      </c>
      <c r="C3342" s="6" t="s">
        <v>13917</v>
      </c>
      <c r="D3342" s="8" t="s">
        <v>17</v>
      </c>
      <c r="E3342" s="6" t="s">
        <v>23</v>
      </c>
      <c r="F3342" s="6" t="s">
        <v>24</v>
      </c>
      <c r="G3342" s="6" t="s">
        <v>13918</v>
      </c>
      <c r="H3342" s="10">
        <v>45785</v>
      </c>
      <c r="I3342" s="6" t="s">
        <v>13919</v>
      </c>
      <c r="J3342" s="6" t="s">
        <v>46</v>
      </c>
      <c r="K3342" s="6" t="s">
        <v>46</v>
      </c>
      <c r="L3342" s="6" t="s">
        <v>375</v>
      </c>
      <c r="M3342" s="6" t="s">
        <v>13920</v>
      </c>
    </row>
    <row r="3343" spans="1:13" ht="13" x14ac:dyDescent="0.15">
      <c r="A3343" s="5" t="str">
        <f>HYPERLINK("https://onemount.atlassian.net/browse/DBA-1349","DBA-1349")</f>
        <v>DBA-1349</v>
      </c>
      <c r="B3343" s="6" t="s">
        <v>21</v>
      </c>
      <c r="C3343" s="6" t="s">
        <v>13921</v>
      </c>
      <c r="D3343" s="8" t="s">
        <v>17</v>
      </c>
      <c r="E3343" s="6" t="s">
        <v>23</v>
      </c>
      <c r="F3343" s="6" t="s">
        <v>24</v>
      </c>
      <c r="G3343" s="6" t="s">
        <v>13922</v>
      </c>
      <c r="H3343" s="10">
        <v>45785</v>
      </c>
      <c r="I3343" s="6" t="s">
        <v>13923</v>
      </c>
      <c r="J3343" s="6" t="s">
        <v>13924</v>
      </c>
      <c r="K3343" s="6" t="s">
        <v>55</v>
      </c>
      <c r="L3343" s="6" t="s">
        <v>956</v>
      </c>
      <c r="M3343" s="6" t="s">
        <v>13925</v>
      </c>
    </row>
    <row r="3344" spans="1:13" ht="13" x14ac:dyDescent="0.15">
      <c r="A3344" s="5" t="str">
        <f>HYPERLINK("https://onemount.atlassian.net/browse/DBA-1348","DBA-1348")</f>
        <v>DBA-1348</v>
      </c>
      <c r="B3344" s="6" t="s">
        <v>21</v>
      </c>
      <c r="C3344" s="6" t="s">
        <v>13352</v>
      </c>
      <c r="D3344" s="8" t="s">
        <v>17</v>
      </c>
      <c r="E3344" s="6" t="s">
        <v>23</v>
      </c>
      <c r="F3344" s="6" t="s">
        <v>24</v>
      </c>
      <c r="G3344" s="6" t="s">
        <v>13926</v>
      </c>
      <c r="H3344" s="10">
        <v>45785</v>
      </c>
      <c r="I3344" s="6" t="s">
        <v>13927</v>
      </c>
      <c r="J3344" s="6" t="s">
        <v>55</v>
      </c>
      <c r="K3344" s="6" t="s">
        <v>55</v>
      </c>
      <c r="L3344" s="6" t="s">
        <v>56</v>
      </c>
      <c r="M3344" s="6" t="s">
        <v>13928</v>
      </c>
    </row>
    <row r="3345" spans="1:13" ht="13" x14ac:dyDescent="0.15">
      <c r="A3345" s="5" t="str">
        <f>HYPERLINK("https://onemount.atlassian.net/browse/DBA-1347","DBA-1347")</f>
        <v>DBA-1347</v>
      </c>
      <c r="B3345" s="6" t="s">
        <v>21</v>
      </c>
      <c r="C3345" s="6" t="s">
        <v>13929</v>
      </c>
      <c r="D3345" s="8" t="s">
        <v>17</v>
      </c>
      <c r="E3345" s="6" t="s">
        <v>23</v>
      </c>
      <c r="F3345" s="6" t="s">
        <v>24</v>
      </c>
      <c r="G3345" s="6" t="s">
        <v>13930</v>
      </c>
      <c r="H3345" s="10">
        <v>45786</v>
      </c>
      <c r="I3345" s="6" t="s">
        <v>13931</v>
      </c>
      <c r="J3345" s="6" t="s">
        <v>13159</v>
      </c>
      <c r="K3345" s="6" t="s">
        <v>46</v>
      </c>
      <c r="L3345" s="6" t="s">
        <v>39</v>
      </c>
      <c r="M3345" s="6" t="s">
        <v>13932</v>
      </c>
    </row>
    <row r="3346" spans="1:13" ht="13" x14ac:dyDescent="0.15">
      <c r="A3346" s="5" t="str">
        <f>HYPERLINK("https://onemount.atlassian.net/browse/DBA-1346","DBA-1346")</f>
        <v>DBA-1346</v>
      </c>
      <c r="B3346" s="6" t="s">
        <v>21</v>
      </c>
      <c r="C3346" s="6" t="s">
        <v>13933</v>
      </c>
      <c r="D3346" s="8" t="s">
        <v>17</v>
      </c>
      <c r="E3346" s="6" t="s">
        <v>23</v>
      </c>
      <c r="F3346" s="6" t="s">
        <v>24</v>
      </c>
      <c r="G3346" s="6" t="s">
        <v>13934</v>
      </c>
      <c r="H3346" s="10">
        <v>45785</v>
      </c>
      <c r="I3346" s="6" t="s">
        <v>13935</v>
      </c>
      <c r="J3346" s="6" t="s">
        <v>328</v>
      </c>
      <c r="K3346" s="6" t="s">
        <v>55</v>
      </c>
      <c r="L3346" s="6" t="s">
        <v>738</v>
      </c>
      <c r="M3346" s="6" t="s">
        <v>13936</v>
      </c>
    </row>
    <row r="3347" spans="1:13" ht="13" x14ac:dyDescent="0.15">
      <c r="A3347" s="21" t="str">
        <f>HYPERLINK("https://onemount.atlassian.net/browse/DBA-1345","DBA-1345")</f>
        <v>DBA-1345</v>
      </c>
      <c r="B3347" s="6" t="s">
        <v>21</v>
      </c>
      <c r="C3347" s="6" t="s">
        <v>10709</v>
      </c>
      <c r="D3347" s="8" t="s">
        <v>17</v>
      </c>
      <c r="E3347" s="6" t="s">
        <v>23</v>
      </c>
      <c r="F3347" s="6" t="s">
        <v>24</v>
      </c>
      <c r="G3347" s="6" t="s">
        <v>13937</v>
      </c>
      <c r="H3347" s="10">
        <v>45786</v>
      </c>
      <c r="I3347" s="6" t="s">
        <v>13938</v>
      </c>
      <c r="J3347" s="6" t="s">
        <v>49</v>
      </c>
      <c r="K3347" s="6" t="s">
        <v>35</v>
      </c>
      <c r="L3347" s="6" t="s">
        <v>981</v>
      </c>
      <c r="M3347" s="6" t="s">
        <v>13559</v>
      </c>
    </row>
    <row r="3348" spans="1:13" ht="13" x14ac:dyDescent="0.15">
      <c r="A3348" s="5" t="str">
        <f>HYPERLINK("https://onemount.atlassian.net/browse/DBA-1344","DBA-1344")</f>
        <v>DBA-1344</v>
      </c>
      <c r="B3348" s="6" t="s">
        <v>21</v>
      </c>
      <c r="C3348" s="6" t="s">
        <v>13939</v>
      </c>
      <c r="D3348" s="8" t="s">
        <v>17</v>
      </c>
      <c r="E3348" s="6" t="s">
        <v>23</v>
      </c>
      <c r="F3348" s="6" t="s">
        <v>31</v>
      </c>
      <c r="G3348" s="6" t="s">
        <v>13940</v>
      </c>
      <c r="H3348" s="10">
        <v>45785</v>
      </c>
      <c r="I3348" s="6" t="s">
        <v>13941</v>
      </c>
      <c r="J3348" s="6" t="s">
        <v>13942</v>
      </c>
      <c r="K3348" s="6" t="s">
        <v>35</v>
      </c>
      <c r="L3348" s="6" t="s">
        <v>276</v>
      </c>
      <c r="M3348" s="6" t="s">
        <v>13943</v>
      </c>
    </row>
    <row r="3349" spans="1:13" ht="13" x14ac:dyDescent="0.15">
      <c r="A3349" s="5" t="str">
        <f>HYPERLINK("https://onemount.atlassian.net/browse/DBA-1343","DBA-1343")</f>
        <v>DBA-1343</v>
      </c>
      <c r="B3349" s="6" t="s">
        <v>21</v>
      </c>
      <c r="C3349" s="6" t="s">
        <v>13944</v>
      </c>
      <c r="D3349" s="8" t="s">
        <v>17</v>
      </c>
      <c r="E3349" s="6" t="s">
        <v>23</v>
      </c>
      <c r="F3349" s="6" t="s">
        <v>96</v>
      </c>
      <c r="G3349" s="6" t="s">
        <v>13945</v>
      </c>
      <c r="H3349" s="10">
        <v>45786</v>
      </c>
      <c r="I3349" s="6" t="s">
        <v>13946</v>
      </c>
      <c r="J3349" s="6" t="s">
        <v>628</v>
      </c>
      <c r="K3349" s="6" t="s">
        <v>165</v>
      </c>
      <c r="L3349" s="6" t="s">
        <v>119</v>
      </c>
      <c r="M3349" s="6" t="s">
        <v>13947</v>
      </c>
    </row>
    <row r="3350" spans="1:13" ht="13" x14ac:dyDescent="0.15">
      <c r="A3350" s="5" t="str">
        <f>HYPERLINK("https://onemount.atlassian.net/browse/DBA-1342","DBA-1342")</f>
        <v>DBA-1342</v>
      </c>
      <c r="B3350" s="6" t="s">
        <v>21</v>
      </c>
      <c r="C3350" s="6" t="s">
        <v>13948</v>
      </c>
      <c r="D3350" s="8" t="s">
        <v>17</v>
      </c>
      <c r="E3350" s="6" t="s">
        <v>23</v>
      </c>
      <c r="F3350" s="6" t="s">
        <v>96</v>
      </c>
      <c r="G3350" s="6" t="s">
        <v>13949</v>
      </c>
      <c r="H3350" s="10">
        <v>45696</v>
      </c>
      <c r="I3350" s="6" t="s">
        <v>13950</v>
      </c>
      <c r="J3350" s="6" t="s">
        <v>165</v>
      </c>
      <c r="K3350" s="6" t="s">
        <v>165</v>
      </c>
      <c r="L3350" s="6" t="s">
        <v>1097</v>
      </c>
      <c r="M3350" s="6" t="s">
        <v>13951</v>
      </c>
    </row>
    <row r="3351" spans="1:13" ht="13" x14ac:dyDescent="0.15">
      <c r="A3351" s="5" t="str">
        <f>HYPERLINK("https://onemount.atlassian.net/browse/DBA-1341","DBA-1341")</f>
        <v>DBA-1341</v>
      </c>
      <c r="B3351" s="6" t="s">
        <v>21</v>
      </c>
      <c r="C3351" s="6" t="s">
        <v>13952</v>
      </c>
      <c r="D3351" s="8" t="s">
        <v>17</v>
      </c>
      <c r="E3351" s="6" t="s">
        <v>23</v>
      </c>
      <c r="F3351" s="6" t="s">
        <v>31</v>
      </c>
      <c r="G3351" s="6" t="s">
        <v>13953</v>
      </c>
      <c r="H3351" s="10">
        <v>45797</v>
      </c>
      <c r="I3351" s="6" t="s">
        <v>13954</v>
      </c>
      <c r="J3351" s="6" t="s">
        <v>56</v>
      </c>
      <c r="K3351" s="6" t="s">
        <v>55</v>
      </c>
      <c r="L3351" s="6" t="s">
        <v>56</v>
      </c>
      <c r="M3351" s="6" t="s">
        <v>13955</v>
      </c>
    </row>
    <row r="3352" spans="1:13" ht="13" x14ac:dyDescent="0.15">
      <c r="A3352" s="5" t="str">
        <f>HYPERLINK("https://onemount.atlassian.net/browse/DBA-1340","DBA-1340")</f>
        <v>DBA-1340</v>
      </c>
      <c r="B3352" s="6" t="s">
        <v>21</v>
      </c>
      <c r="C3352" s="6" t="s">
        <v>12871</v>
      </c>
      <c r="D3352" s="8" t="s">
        <v>17</v>
      </c>
      <c r="E3352" s="6" t="s">
        <v>23</v>
      </c>
      <c r="F3352" s="6" t="s">
        <v>96</v>
      </c>
      <c r="G3352" s="6" t="s">
        <v>13956</v>
      </c>
      <c r="H3352" s="10">
        <v>45695</v>
      </c>
      <c r="I3352" s="6" t="s">
        <v>13957</v>
      </c>
      <c r="J3352" s="6" t="s">
        <v>165</v>
      </c>
      <c r="K3352" s="6" t="s">
        <v>165</v>
      </c>
      <c r="L3352" s="6" t="s">
        <v>1091</v>
      </c>
      <c r="M3352" s="6" t="s">
        <v>13958</v>
      </c>
    </row>
    <row r="3353" spans="1:13" ht="13" x14ac:dyDescent="0.15">
      <c r="A3353" s="5" t="str">
        <f>HYPERLINK("https://onemount.atlassian.net/browse/DBA-1339","DBA-1339")</f>
        <v>DBA-1339</v>
      </c>
      <c r="B3353" s="6" t="s">
        <v>21</v>
      </c>
      <c r="C3353" s="6" t="s">
        <v>13959</v>
      </c>
      <c r="D3353" s="8" t="s">
        <v>17</v>
      </c>
      <c r="E3353" s="6" t="s">
        <v>23</v>
      </c>
      <c r="F3353" s="6" t="s">
        <v>96</v>
      </c>
      <c r="G3353" s="6" t="s">
        <v>13960</v>
      </c>
      <c r="H3353" s="10">
        <v>45791</v>
      </c>
      <c r="I3353" s="6" t="s">
        <v>13961</v>
      </c>
      <c r="J3353" s="6" t="s">
        <v>165</v>
      </c>
      <c r="K3353" s="6" t="s">
        <v>165</v>
      </c>
      <c r="L3353" s="6" t="s">
        <v>1091</v>
      </c>
      <c r="M3353" s="6" t="s">
        <v>13962</v>
      </c>
    </row>
    <row r="3354" spans="1:13" ht="13" x14ac:dyDescent="0.15">
      <c r="A3354" s="5" t="str">
        <f>HYPERLINK("https://onemount.atlassian.net/browse/DBA-1338","DBA-1338")</f>
        <v>DBA-1338</v>
      </c>
      <c r="B3354" s="6" t="s">
        <v>21</v>
      </c>
      <c r="C3354" s="6" t="s">
        <v>13963</v>
      </c>
      <c r="D3354" s="8" t="s">
        <v>17</v>
      </c>
      <c r="E3354" s="6" t="s">
        <v>23</v>
      </c>
      <c r="F3354" s="6" t="s">
        <v>24</v>
      </c>
      <c r="G3354" s="6" t="s">
        <v>13964</v>
      </c>
      <c r="H3354" s="10">
        <v>45793</v>
      </c>
      <c r="I3354" s="6" t="s">
        <v>13965</v>
      </c>
      <c r="J3354" s="6" t="s">
        <v>28</v>
      </c>
      <c r="K3354" s="6" t="s">
        <v>46</v>
      </c>
      <c r="L3354" s="6" t="s">
        <v>160</v>
      </c>
      <c r="M3354" s="6" t="s">
        <v>13966</v>
      </c>
    </row>
    <row r="3355" spans="1:13" ht="13" x14ac:dyDescent="0.15">
      <c r="A3355" s="5" t="str">
        <f>HYPERLINK("https://onemount.atlassian.net/browse/DBA-1337","DBA-1337")</f>
        <v>DBA-1337</v>
      </c>
      <c r="B3355" s="6" t="s">
        <v>21</v>
      </c>
      <c r="C3355" s="6" t="s">
        <v>13967</v>
      </c>
      <c r="D3355" s="8" t="s">
        <v>17</v>
      </c>
      <c r="E3355" s="6" t="s">
        <v>23</v>
      </c>
      <c r="F3355" s="6" t="s">
        <v>24</v>
      </c>
      <c r="G3355" s="6" t="s">
        <v>13968</v>
      </c>
      <c r="H3355" s="10">
        <v>45784</v>
      </c>
      <c r="I3355" s="6" t="s">
        <v>13969</v>
      </c>
      <c r="J3355" s="6" t="s">
        <v>85</v>
      </c>
      <c r="K3355" s="6" t="s">
        <v>55</v>
      </c>
      <c r="L3355" s="6" t="s">
        <v>270</v>
      </c>
      <c r="M3355" s="6" t="s">
        <v>13970</v>
      </c>
    </row>
    <row r="3356" spans="1:13" ht="13" x14ac:dyDescent="0.15">
      <c r="A3356" s="5" t="str">
        <f>HYPERLINK("https://onemount.atlassian.net/browse/DBA-1336","DBA-1336")</f>
        <v>DBA-1336</v>
      </c>
      <c r="B3356" s="6" t="s">
        <v>21</v>
      </c>
      <c r="C3356" s="6" t="s">
        <v>13971</v>
      </c>
      <c r="D3356" s="8" t="s">
        <v>17</v>
      </c>
      <c r="E3356" s="6" t="s">
        <v>23</v>
      </c>
      <c r="F3356" s="6" t="s">
        <v>24</v>
      </c>
      <c r="G3356" s="6" t="s">
        <v>13972</v>
      </c>
      <c r="H3356" s="10">
        <v>45784</v>
      </c>
      <c r="I3356" s="6" t="s">
        <v>13973</v>
      </c>
      <c r="J3356" s="6" t="s">
        <v>85</v>
      </c>
      <c r="K3356" s="6" t="s">
        <v>55</v>
      </c>
      <c r="L3356" s="6" t="s">
        <v>270</v>
      </c>
      <c r="M3356" s="6" t="s">
        <v>13974</v>
      </c>
    </row>
    <row r="3357" spans="1:13" ht="13" x14ac:dyDescent="0.15">
      <c r="A3357" s="5" t="str">
        <f>HYPERLINK("https://onemount.atlassian.net/browse/DBA-1335","DBA-1335")</f>
        <v>DBA-1335</v>
      </c>
      <c r="B3357" s="6" t="s">
        <v>21</v>
      </c>
      <c r="C3357" s="6" t="s">
        <v>13975</v>
      </c>
      <c r="D3357" s="8" t="s">
        <v>17</v>
      </c>
      <c r="E3357" s="6" t="s">
        <v>23</v>
      </c>
      <c r="F3357" s="6" t="s">
        <v>96</v>
      </c>
      <c r="G3357" s="6" t="s">
        <v>13976</v>
      </c>
      <c r="H3357" s="10">
        <v>45787</v>
      </c>
      <c r="I3357" s="6" t="s">
        <v>13977</v>
      </c>
      <c r="J3357" s="6" t="s">
        <v>165</v>
      </c>
      <c r="K3357" s="6" t="s">
        <v>165</v>
      </c>
      <c r="L3357" s="6" t="s">
        <v>1054</v>
      </c>
      <c r="M3357" s="6" t="s">
        <v>13978</v>
      </c>
    </row>
    <row r="3358" spans="1:13" ht="13" x14ac:dyDescent="0.15">
      <c r="A3358" s="5" t="str">
        <f>HYPERLINK("https://onemount.atlassian.net/browse/DBA-1334","DBA-1334")</f>
        <v>DBA-1334</v>
      </c>
      <c r="B3358" s="6" t="s">
        <v>21</v>
      </c>
      <c r="C3358" s="6" t="s">
        <v>13894</v>
      </c>
      <c r="D3358" s="8" t="s">
        <v>17</v>
      </c>
      <c r="E3358" s="6" t="s">
        <v>23</v>
      </c>
      <c r="F3358" s="6" t="s">
        <v>31</v>
      </c>
      <c r="G3358" s="6" t="s">
        <v>13979</v>
      </c>
      <c r="H3358" s="10">
        <v>45785</v>
      </c>
      <c r="I3358" s="6" t="s">
        <v>13980</v>
      </c>
      <c r="J3358" s="6" t="s">
        <v>13116</v>
      </c>
      <c r="K3358" s="6" t="s">
        <v>35</v>
      </c>
      <c r="L3358" s="6" t="s">
        <v>276</v>
      </c>
      <c r="M3358" s="6" t="s">
        <v>13981</v>
      </c>
    </row>
    <row r="3359" spans="1:13" ht="13" x14ac:dyDescent="0.15">
      <c r="A3359" s="5" t="str">
        <f>HYPERLINK("https://onemount.atlassian.net/browse/DBA-1333","DBA-1333")</f>
        <v>DBA-1333</v>
      </c>
      <c r="B3359" s="6" t="s">
        <v>21</v>
      </c>
      <c r="C3359" s="6" t="s">
        <v>13982</v>
      </c>
      <c r="D3359" s="8" t="s">
        <v>17</v>
      </c>
      <c r="E3359" s="6" t="s">
        <v>23</v>
      </c>
      <c r="F3359" s="6" t="s">
        <v>96</v>
      </c>
      <c r="G3359" s="6" t="s">
        <v>13983</v>
      </c>
      <c r="H3359" s="10">
        <v>45785</v>
      </c>
      <c r="I3359" s="6" t="s">
        <v>13984</v>
      </c>
      <c r="J3359" s="6" t="s">
        <v>165</v>
      </c>
      <c r="K3359" s="6" t="s">
        <v>165</v>
      </c>
      <c r="L3359" s="6" t="s">
        <v>1091</v>
      </c>
      <c r="M3359" s="6" t="s">
        <v>13985</v>
      </c>
    </row>
    <row r="3360" spans="1:13" ht="13" x14ac:dyDescent="0.15">
      <c r="A3360" s="5" t="str">
        <f>HYPERLINK("https://onemount.atlassian.net/browse/DBA-1332","DBA-1332")</f>
        <v>DBA-1332</v>
      </c>
      <c r="B3360" s="6" t="s">
        <v>21</v>
      </c>
      <c r="C3360" s="6" t="s">
        <v>13449</v>
      </c>
      <c r="D3360" s="8" t="s">
        <v>17</v>
      </c>
      <c r="E3360" s="6" t="s">
        <v>23</v>
      </c>
      <c r="F3360" s="6" t="s">
        <v>24</v>
      </c>
      <c r="G3360" s="6" t="s">
        <v>13986</v>
      </c>
      <c r="H3360" s="10">
        <v>45784</v>
      </c>
      <c r="I3360" s="6" t="s">
        <v>13987</v>
      </c>
      <c r="J3360" s="6" t="s">
        <v>34</v>
      </c>
      <c r="K3360" s="6" t="s">
        <v>35</v>
      </c>
      <c r="L3360" s="6" t="s">
        <v>36</v>
      </c>
      <c r="M3360" s="6" t="s">
        <v>13988</v>
      </c>
    </row>
    <row r="3361" spans="1:13" ht="13" x14ac:dyDescent="0.15">
      <c r="A3361" s="5" t="str">
        <f>HYPERLINK("https://onemount.atlassian.net/browse/DBA-1331","DBA-1331")</f>
        <v>DBA-1331</v>
      </c>
      <c r="B3361" s="6" t="s">
        <v>21</v>
      </c>
      <c r="C3361" s="6" t="s">
        <v>13989</v>
      </c>
      <c r="D3361" s="8" t="s">
        <v>17</v>
      </c>
      <c r="E3361" s="6" t="s">
        <v>23</v>
      </c>
      <c r="F3361" s="6" t="s">
        <v>24</v>
      </c>
      <c r="G3361" s="6" t="s">
        <v>13990</v>
      </c>
      <c r="H3361" s="10">
        <v>45787</v>
      </c>
      <c r="I3361" s="6" t="s">
        <v>13991</v>
      </c>
      <c r="J3361" s="6" t="s">
        <v>13992</v>
      </c>
      <c r="K3361" s="6" t="s">
        <v>35</v>
      </c>
      <c r="L3361" s="6" t="s">
        <v>36</v>
      </c>
      <c r="M3361" s="6" t="s">
        <v>13993</v>
      </c>
    </row>
    <row r="3362" spans="1:13" ht="13" x14ac:dyDescent="0.15">
      <c r="A3362" s="5" t="str">
        <f>HYPERLINK("https://onemount.atlassian.net/browse/DBA-1330","DBA-1330")</f>
        <v>DBA-1330</v>
      </c>
      <c r="B3362" s="6" t="s">
        <v>21</v>
      </c>
      <c r="C3362" s="6" t="s">
        <v>13994</v>
      </c>
      <c r="D3362" s="8" t="s">
        <v>17</v>
      </c>
      <c r="E3362" s="6" t="s">
        <v>23</v>
      </c>
      <c r="F3362" s="6" t="s">
        <v>96</v>
      </c>
      <c r="G3362" s="6" t="s">
        <v>13995</v>
      </c>
      <c r="H3362" s="10">
        <v>45785</v>
      </c>
      <c r="I3362" s="6" t="s">
        <v>13996</v>
      </c>
      <c r="J3362" s="6" t="s">
        <v>645</v>
      </c>
      <c r="K3362" s="6" t="s">
        <v>165</v>
      </c>
      <c r="L3362" s="6" t="s">
        <v>645</v>
      </c>
      <c r="M3362" s="6" t="s">
        <v>13997</v>
      </c>
    </row>
    <row r="3363" spans="1:13" ht="13" x14ac:dyDescent="0.15">
      <c r="A3363" s="5" t="str">
        <f>HYPERLINK("https://onemount.atlassian.net/browse/DBA-1329","DBA-1329")</f>
        <v>DBA-1329</v>
      </c>
      <c r="B3363" s="6" t="s">
        <v>21</v>
      </c>
      <c r="C3363" s="6" t="s">
        <v>13998</v>
      </c>
      <c r="D3363" s="8" t="s">
        <v>17</v>
      </c>
      <c r="E3363" s="6" t="s">
        <v>23</v>
      </c>
      <c r="F3363" s="6" t="s">
        <v>96</v>
      </c>
      <c r="G3363" s="6" t="s">
        <v>13999</v>
      </c>
      <c r="H3363" s="10">
        <v>45693</v>
      </c>
      <c r="I3363" s="6" t="s">
        <v>14000</v>
      </c>
      <c r="J3363" s="6" t="s">
        <v>165</v>
      </c>
      <c r="K3363" s="6" t="s">
        <v>165</v>
      </c>
      <c r="L3363" s="6" t="s">
        <v>1091</v>
      </c>
      <c r="M3363" s="6" t="s">
        <v>14001</v>
      </c>
    </row>
    <row r="3364" spans="1:13" ht="13" x14ac:dyDescent="0.15">
      <c r="A3364" s="5" t="str">
        <f>HYPERLINK("https://onemount.atlassian.net/browse/DBA-1328","DBA-1328")</f>
        <v>DBA-1328</v>
      </c>
      <c r="B3364" s="6" t="s">
        <v>21</v>
      </c>
      <c r="C3364" s="6" t="s">
        <v>14002</v>
      </c>
      <c r="D3364" s="8" t="s">
        <v>17</v>
      </c>
      <c r="E3364" s="6" t="s">
        <v>23</v>
      </c>
      <c r="F3364" s="6" t="s">
        <v>96</v>
      </c>
      <c r="G3364" s="6" t="s">
        <v>14003</v>
      </c>
      <c r="H3364" s="10">
        <v>45692</v>
      </c>
      <c r="I3364" s="6" t="s">
        <v>14004</v>
      </c>
      <c r="J3364" s="6" t="s">
        <v>165</v>
      </c>
      <c r="K3364" s="6" t="s">
        <v>165</v>
      </c>
      <c r="L3364" s="6" t="s">
        <v>119</v>
      </c>
      <c r="M3364" s="6" t="s">
        <v>14005</v>
      </c>
    </row>
    <row r="3365" spans="1:13" ht="13" x14ac:dyDescent="0.15">
      <c r="A3365" s="5" t="str">
        <f>HYPERLINK("https://onemount.atlassian.net/browse/DBA-1327","DBA-1327")</f>
        <v>DBA-1327</v>
      </c>
      <c r="B3365" s="6" t="s">
        <v>21</v>
      </c>
      <c r="C3365" s="6" t="s">
        <v>14006</v>
      </c>
      <c r="D3365" s="8" t="s">
        <v>17</v>
      </c>
      <c r="E3365" s="6" t="s">
        <v>23</v>
      </c>
      <c r="F3365" s="6" t="s">
        <v>31</v>
      </c>
      <c r="G3365" s="6" t="s">
        <v>14007</v>
      </c>
      <c r="H3365" s="10">
        <v>45784</v>
      </c>
      <c r="I3365" s="6" t="s">
        <v>14008</v>
      </c>
      <c r="J3365" s="6" t="s">
        <v>14009</v>
      </c>
      <c r="K3365" s="6" t="s">
        <v>28</v>
      </c>
      <c r="L3365" s="6" t="s">
        <v>719</v>
      </c>
      <c r="M3365" s="6" t="s">
        <v>14010</v>
      </c>
    </row>
    <row r="3366" spans="1:13" ht="13" x14ac:dyDescent="0.15">
      <c r="A3366" s="5" t="str">
        <f>HYPERLINK("https://onemount.atlassian.net/browse/DBA-1326","DBA-1326")</f>
        <v>DBA-1326</v>
      </c>
      <c r="B3366" s="6" t="s">
        <v>21</v>
      </c>
      <c r="C3366" s="6" t="s">
        <v>14011</v>
      </c>
      <c r="D3366" s="8" t="s">
        <v>17</v>
      </c>
      <c r="E3366" s="6" t="s">
        <v>23</v>
      </c>
      <c r="F3366" s="6" t="s">
        <v>96</v>
      </c>
      <c r="G3366" s="6" t="s">
        <v>14012</v>
      </c>
      <c r="H3366" s="10">
        <v>45700</v>
      </c>
      <c r="I3366" s="6" t="s">
        <v>14013</v>
      </c>
      <c r="J3366" s="6" t="s">
        <v>46</v>
      </c>
      <c r="K3366" s="6" t="s">
        <v>46</v>
      </c>
      <c r="L3366" s="6" t="s">
        <v>571</v>
      </c>
      <c r="M3366" s="6" t="s">
        <v>14014</v>
      </c>
    </row>
    <row r="3367" spans="1:13" ht="13" x14ac:dyDescent="0.15">
      <c r="A3367" s="5" t="str">
        <f>HYPERLINK("https://onemount.atlassian.net/browse/DBA-1306","DBA-1306")</f>
        <v>DBA-1306</v>
      </c>
      <c r="B3367" s="6" t="s">
        <v>21</v>
      </c>
      <c r="C3367" s="6" t="s">
        <v>14015</v>
      </c>
      <c r="D3367" s="8" t="s">
        <v>17</v>
      </c>
      <c r="E3367" s="6" t="s">
        <v>23</v>
      </c>
      <c r="F3367" s="6" t="s">
        <v>31</v>
      </c>
      <c r="G3367" s="6" t="s">
        <v>14016</v>
      </c>
      <c r="H3367" s="10">
        <v>45784</v>
      </c>
      <c r="I3367" s="6" t="s">
        <v>14017</v>
      </c>
      <c r="J3367" s="6" t="s">
        <v>887</v>
      </c>
      <c r="K3367" s="6" t="s">
        <v>55</v>
      </c>
      <c r="L3367" s="6" t="s">
        <v>254</v>
      </c>
      <c r="M3367" s="6" t="s">
        <v>14018</v>
      </c>
    </row>
    <row r="3368" spans="1:13" ht="13" x14ac:dyDescent="0.15">
      <c r="A3368" s="5" t="str">
        <f>HYPERLINK("https://onemount.atlassian.net/browse/DBA-1305","DBA-1305")</f>
        <v>DBA-1305</v>
      </c>
      <c r="B3368" s="6" t="s">
        <v>21</v>
      </c>
      <c r="C3368" s="6" t="s">
        <v>14019</v>
      </c>
      <c r="D3368" s="8" t="s">
        <v>17</v>
      </c>
      <c r="E3368" s="6" t="s">
        <v>23</v>
      </c>
      <c r="F3368" s="6" t="s">
        <v>31</v>
      </c>
      <c r="G3368" s="6" t="s">
        <v>14020</v>
      </c>
      <c r="H3368" s="10">
        <v>45783</v>
      </c>
      <c r="I3368" s="6" t="s">
        <v>14021</v>
      </c>
      <c r="J3368" s="6" t="s">
        <v>254</v>
      </c>
      <c r="K3368" s="6" t="s">
        <v>55</v>
      </c>
      <c r="L3368" s="6" t="s">
        <v>254</v>
      </c>
      <c r="M3368" s="6" t="s">
        <v>14022</v>
      </c>
    </row>
    <row r="3369" spans="1:13" ht="13" x14ac:dyDescent="0.15">
      <c r="A3369" s="5" t="str">
        <f>HYPERLINK("https://onemount.atlassian.net/browse/DBA-1304","DBA-1304")</f>
        <v>DBA-1304</v>
      </c>
      <c r="B3369" s="6" t="s">
        <v>21</v>
      </c>
      <c r="C3369" s="6" t="s">
        <v>14023</v>
      </c>
      <c r="D3369" s="8" t="s">
        <v>17</v>
      </c>
      <c r="E3369" s="6" t="s">
        <v>23</v>
      </c>
      <c r="F3369" s="6" t="s">
        <v>31</v>
      </c>
      <c r="G3369" s="6" t="s">
        <v>14024</v>
      </c>
      <c r="H3369" s="10">
        <v>45783</v>
      </c>
      <c r="I3369" s="6" t="s">
        <v>14025</v>
      </c>
      <c r="J3369" s="6" t="s">
        <v>254</v>
      </c>
      <c r="K3369" s="6" t="s">
        <v>55</v>
      </c>
      <c r="L3369" s="6" t="s">
        <v>254</v>
      </c>
      <c r="M3369" s="6" t="s">
        <v>14026</v>
      </c>
    </row>
    <row r="3370" spans="1:13" ht="13" x14ac:dyDescent="0.15">
      <c r="A3370" s="5" t="str">
        <f>HYPERLINK("https://onemount.atlassian.net/browse/DBA-1303","DBA-1303")</f>
        <v>DBA-1303</v>
      </c>
      <c r="B3370" s="6" t="s">
        <v>21</v>
      </c>
      <c r="C3370" s="6" t="s">
        <v>14027</v>
      </c>
      <c r="D3370" s="8" t="s">
        <v>17</v>
      </c>
      <c r="E3370" s="6" t="s">
        <v>23</v>
      </c>
      <c r="F3370" s="6" t="s">
        <v>31</v>
      </c>
      <c r="G3370" s="6" t="s">
        <v>14028</v>
      </c>
      <c r="H3370" s="10">
        <v>45784</v>
      </c>
      <c r="I3370" s="6" t="s">
        <v>14029</v>
      </c>
      <c r="J3370" s="6" t="s">
        <v>28</v>
      </c>
      <c r="K3370" s="6" t="s">
        <v>28</v>
      </c>
      <c r="L3370" s="6" t="s">
        <v>1127</v>
      </c>
      <c r="M3370" s="6" t="s">
        <v>14030</v>
      </c>
    </row>
    <row r="3371" spans="1:13" ht="13" x14ac:dyDescent="0.15">
      <c r="A3371" s="21" t="str">
        <f>HYPERLINK("https://onemount.atlassian.net/browse/DBA-1302","DBA-1302")</f>
        <v>DBA-1302</v>
      </c>
      <c r="B3371" s="6" t="s">
        <v>21</v>
      </c>
      <c r="C3371" s="6" t="s">
        <v>10709</v>
      </c>
      <c r="D3371" s="8" t="s">
        <v>17</v>
      </c>
      <c r="E3371" s="6" t="s">
        <v>23</v>
      </c>
      <c r="F3371" s="6" t="s">
        <v>31</v>
      </c>
      <c r="G3371" s="6" t="s">
        <v>14031</v>
      </c>
      <c r="H3371" s="10">
        <v>45784</v>
      </c>
      <c r="I3371" s="6" t="s">
        <v>14032</v>
      </c>
      <c r="J3371" s="6" t="s">
        <v>49</v>
      </c>
      <c r="K3371" s="6" t="s">
        <v>35</v>
      </c>
      <c r="L3371" s="6" t="s">
        <v>981</v>
      </c>
      <c r="M3371" s="6" t="s">
        <v>13559</v>
      </c>
    </row>
    <row r="3372" spans="1:13" ht="13" x14ac:dyDescent="0.15">
      <c r="A3372" s="5" t="str">
        <f>HYPERLINK("https://onemount.atlassian.net/browse/DBA-1301","DBA-1301")</f>
        <v>DBA-1301</v>
      </c>
      <c r="B3372" s="6" t="s">
        <v>21</v>
      </c>
      <c r="C3372" s="6" t="s">
        <v>14033</v>
      </c>
      <c r="D3372" s="8" t="s">
        <v>17</v>
      </c>
      <c r="E3372" s="6" t="s">
        <v>23</v>
      </c>
      <c r="F3372" s="6" t="s">
        <v>24</v>
      </c>
      <c r="G3372" s="6" t="s">
        <v>14034</v>
      </c>
      <c r="H3372" s="10">
        <v>45783</v>
      </c>
      <c r="I3372" s="6" t="s">
        <v>14035</v>
      </c>
      <c r="J3372" s="6" t="s">
        <v>85</v>
      </c>
      <c r="K3372" s="6" t="s">
        <v>55</v>
      </c>
      <c r="L3372" s="6" t="s">
        <v>270</v>
      </c>
      <c r="M3372" s="6" t="s">
        <v>14036</v>
      </c>
    </row>
    <row r="3373" spans="1:13" ht="13" x14ac:dyDescent="0.15">
      <c r="A3373" s="5" t="str">
        <f>HYPERLINK("https://onemount.atlassian.net/browse/DBA-1300","DBA-1300")</f>
        <v>DBA-1300</v>
      </c>
      <c r="B3373" s="6" t="s">
        <v>21</v>
      </c>
      <c r="C3373" s="6" t="s">
        <v>14037</v>
      </c>
      <c r="D3373" s="8" t="s">
        <v>17</v>
      </c>
      <c r="E3373" s="6" t="s">
        <v>23</v>
      </c>
      <c r="F3373" s="6" t="s">
        <v>96</v>
      </c>
      <c r="G3373" s="6" t="s">
        <v>14038</v>
      </c>
      <c r="H3373" s="10">
        <v>45784</v>
      </c>
      <c r="I3373" s="6" t="s">
        <v>14039</v>
      </c>
      <c r="J3373" s="6" t="s">
        <v>1097</v>
      </c>
      <c r="K3373" s="6" t="s">
        <v>165</v>
      </c>
      <c r="L3373" s="6" t="s">
        <v>1097</v>
      </c>
      <c r="M3373" s="6" t="s">
        <v>14040</v>
      </c>
    </row>
    <row r="3374" spans="1:13" ht="13" x14ac:dyDescent="0.15">
      <c r="A3374" s="5" t="str">
        <f>HYPERLINK("https://onemount.atlassian.net/browse/DBA-1299","DBA-1299")</f>
        <v>DBA-1299</v>
      </c>
      <c r="B3374" s="6" t="s">
        <v>21</v>
      </c>
      <c r="C3374" s="6" t="s">
        <v>14041</v>
      </c>
      <c r="D3374" s="8" t="s">
        <v>17</v>
      </c>
      <c r="E3374" s="6" t="s">
        <v>23</v>
      </c>
      <c r="F3374" s="6" t="s">
        <v>31</v>
      </c>
      <c r="G3374" s="6" t="s">
        <v>14042</v>
      </c>
      <c r="H3374" s="10">
        <v>45784</v>
      </c>
      <c r="I3374" s="6" t="s">
        <v>14043</v>
      </c>
      <c r="J3374" s="6" t="s">
        <v>34</v>
      </c>
      <c r="K3374" s="6" t="s">
        <v>35</v>
      </c>
      <c r="L3374" s="6" t="s">
        <v>962</v>
      </c>
      <c r="M3374" s="6" t="s">
        <v>14044</v>
      </c>
    </row>
    <row r="3375" spans="1:13" ht="13" x14ac:dyDescent="0.15">
      <c r="A3375" s="5" t="str">
        <f>HYPERLINK("https://onemount.atlassian.net/browse/DBA-1298","DBA-1298")</f>
        <v>DBA-1298</v>
      </c>
      <c r="B3375" s="6" t="s">
        <v>21</v>
      </c>
      <c r="C3375" s="6" t="s">
        <v>14045</v>
      </c>
      <c r="D3375" s="8" t="s">
        <v>17</v>
      </c>
      <c r="E3375" s="6" t="s">
        <v>23</v>
      </c>
      <c r="F3375" s="6" t="s">
        <v>31</v>
      </c>
      <c r="G3375" s="6" t="s">
        <v>14046</v>
      </c>
      <c r="H3375" s="10">
        <v>45784</v>
      </c>
      <c r="I3375" s="6" t="s">
        <v>14047</v>
      </c>
      <c r="J3375" s="6" t="s">
        <v>28</v>
      </c>
      <c r="K3375" s="6" t="s">
        <v>28</v>
      </c>
      <c r="L3375" s="6" t="s">
        <v>1127</v>
      </c>
      <c r="M3375" s="6" t="s">
        <v>14048</v>
      </c>
    </row>
    <row r="3376" spans="1:13" ht="13" x14ac:dyDescent="0.15">
      <c r="A3376" s="5" t="str">
        <f>HYPERLINK("https://onemount.atlassian.net/browse/DBA-1297","DBA-1297")</f>
        <v>DBA-1297</v>
      </c>
      <c r="B3376" s="6" t="s">
        <v>21</v>
      </c>
      <c r="C3376" s="6" t="s">
        <v>14049</v>
      </c>
      <c r="D3376" s="8" t="s">
        <v>17</v>
      </c>
      <c r="E3376" s="6" t="s">
        <v>23</v>
      </c>
      <c r="F3376" s="6" t="s">
        <v>96</v>
      </c>
      <c r="G3376" s="6" t="s">
        <v>14050</v>
      </c>
      <c r="H3376" s="10">
        <v>45784</v>
      </c>
      <c r="I3376" s="6" t="s">
        <v>14051</v>
      </c>
      <c r="J3376" s="6" t="s">
        <v>165</v>
      </c>
      <c r="K3376" s="6" t="s">
        <v>165</v>
      </c>
      <c r="L3376" s="6" t="s">
        <v>1084</v>
      </c>
      <c r="M3376" s="6" t="s">
        <v>14052</v>
      </c>
    </row>
    <row r="3377" spans="1:13" ht="13" x14ac:dyDescent="0.15">
      <c r="A3377" s="5" t="str">
        <f>HYPERLINK("https://onemount.atlassian.net/browse/DBA-1296","DBA-1296")</f>
        <v>DBA-1296</v>
      </c>
      <c r="B3377" s="6" t="s">
        <v>21</v>
      </c>
      <c r="C3377" s="6" t="s">
        <v>14053</v>
      </c>
      <c r="D3377" s="8" t="s">
        <v>17</v>
      </c>
      <c r="E3377" s="6" t="s">
        <v>23</v>
      </c>
      <c r="F3377" s="6" t="s">
        <v>31</v>
      </c>
      <c r="G3377" s="6" t="s">
        <v>14054</v>
      </c>
      <c r="H3377" s="10">
        <v>45783</v>
      </c>
      <c r="I3377" s="6" t="s">
        <v>14055</v>
      </c>
      <c r="J3377" s="6" t="s">
        <v>13116</v>
      </c>
      <c r="K3377" s="6" t="s">
        <v>35</v>
      </c>
      <c r="L3377" s="6" t="s">
        <v>276</v>
      </c>
      <c r="M3377" s="6" t="s">
        <v>14056</v>
      </c>
    </row>
    <row r="3378" spans="1:13" ht="13" x14ac:dyDescent="0.15">
      <c r="A3378" s="5" t="str">
        <f>HYPERLINK("https://onemount.atlassian.net/browse/DBA-1294","DBA-1294")</f>
        <v>DBA-1294</v>
      </c>
      <c r="B3378" s="6" t="s">
        <v>21</v>
      </c>
      <c r="C3378" s="6" t="s">
        <v>14057</v>
      </c>
      <c r="D3378" s="8" t="s">
        <v>17</v>
      </c>
      <c r="E3378" s="6" t="s">
        <v>23</v>
      </c>
      <c r="F3378" s="6" t="s">
        <v>96</v>
      </c>
      <c r="G3378" s="6" t="s">
        <v>14058</v>
      </c>
      <c r="H3378" s="10">
        <v>45783</v>
      </c>
      <c r="I3378" s="6" t="s">
        <v>14059</v>
      </c>
      <c r="J3378" s="6" t="s">
        <v>1898</v>
      </c>
      <c r="K3378" s="6" t="s">
        <v>165</v>
      </c>
      <c r="L3378" s="6" t="s">
        <v>1097</v>
      </c>
      <c r="M3378" s="6" t="s">
        <v>14060</v>
      </c>
    </row>
    <row r="3379" spans="1:13" ht="13" x14ac:dyDescent="0.15">
      <c r="A3379" s="5" t="str">
        <f>HYPERLINK("https://onemount.atlassian.net/browse/DBA-1293","DBA-1293")</f>
        <v>DBA-1293</v>
      </c>
      <c r="B3379" s="6" t="s">
        <v>21</v>
      </c>
      <c r="C3379" s="6" t="s">
        <v>14061</v>
      </c>
      <c r="D3379" s="8" t="s">
        <v>17</v>
      </c>
      <c r="E3379" s="6" t="s">
        <v>23</v>
      </c>
      <c r="F3379" s="6" t="s">
        <v>31</v>
      </c>
      <c r="G3379" s="6" t="s">
        <v>14062</v>
      </c>
      <c r="H3379" s="10">
        <v>45783</v>
      </c>
      <c r="I3379" s="6" t="s">
        <v>14063</v>
      </c>
      <c r="J3379" s="6" t="s">
        <v>10253</v>
      </c>
      <c r="K3379" s="6" t="s">
        <v>46</v>
      </c>
      <c r="L3379" s="6" t="s">
        <v>285</v>
      </c>
      <c r="M3379" s="6" t="s">
        <v>14064</v>
      </c>
    </row>
    <row r="3380" spans="1:13" ht="13" x14ac:dyDescent="0.15">
      <c r="A3380" s="5" t="str">
        <f>HYPERLINK("https://onemount.atlassian.net/browse/DBA-1292","DBA-1292")</f>
        <v>DBA-1292</v>
      </c>
      <c r="B3380" s="6" t="s">
        <v>21</v>
      </c>
      <c r="C3380" s="6" t="s">
        <v>14065</v>
      </c>
      <c r="D3380" s="8" t="s">
        <v>17</v>
      </c>
      <c r="E3380" s="6" t="s">
        <v>23</v>
      </c>
      <c r="F3380" s="6" t="s">
        <v>24</v>
      </c>
      <c r="G3380" s="6" t="s">
        <v>14066</v>
      </c>
      <c r="H3380" s="10">
        <v>45783</v>
      </c>
      <c r="I3380" s="6" t="s">
        <v>14067</v>
      </c>
      <c r="J3380" s="6" t="s">
        <v>14068</v>
      </c>
      <c r="K3380" s="6" t="s">
        <v>55</v>
      </c>
      <c r="L3380" s="6" t="s">
        <v>425</v>
      </c>
      <c r="M3380" s="6" t="s">
        <v>14069</v>
      </c>
    </row>
    <row r="3381" spans="1:13" ht="13" x14ac:dyDescent="0.15">
      <c r="A3381" s="5" t="str">
        <f>HYPERLINK("https://onemount.atlassian.net/browse/DBA-1291","DBA-1291")</f>
        <v>DBA-1291</v>
      </c>
      <c r="B3381" s="6" t="s">
        <v>21</v>
      </c>
      <c r="C3381" s="6" t="s">
        <v>14070</v>
      </c>
      <c r="D3381" s="8" t="s">
        <v>17</v>
      </c>
      <c r="E3381" s="6" t="s">
        <v>23</v>
      </c>
      <c r="F3381" s="6" t="s">
        <v>24</v>
      </c>
      <c r="G3381" s="6" t="s">
        <v>14071</v>
      </c>
      <c r="H3381" s="10">
        <v>45783</v>
      </c>
      <c r="I3381" s="6" t="s">
        <v>14072</v>
      </c>
      <c r="J3381" s="6" t="s">
        <v>254</v>
      </c>
      <c r="K3381" s="6" t="s">
        <v>55</v>
      </c>
      <c r="L3381" s="6" t="s">
        <v>254</v>
      </c>
      <c r="M3381" s="6" t="s">
        <v>14073</v>
      </c>
    </row>
    <row r="3382" spans="1:13" ht="13" x14ac:dyDescent="0.15">
      <c r="A3382" s="5" t="str">
        <f>HYPERLINK("https://onemount.atlassian.net/browse/DBA-1290","DBA-1290")</f>
        <v>DBA-1290</v>
      </c>
      <c r="B3382" s="6" t="s">
        <v>21</v>
      </c>
      <c r="C3382" s="6" t="s">
        <v>14074</v>
      </c>
      <c r="D3382" s="8" t="s">
        <v>17</v>
      </c>
      <c r="E3382" s="6" t="s">
        <v>23</v>
      </c>
      <c r="F3382" s="6" t="s">
        <v>24</v>
      </c>
      <c r="G3382" s="6" t="s">
        <v>14075</v>
      </c>
      <c r="H3382" s="10">
        <v>45783</v>
      </c>
      <c r="I3382" s="6" t="s">
        <v>14076</v>
      </c>
      <c r="J3382" s="6" t="s">
        <v>707</v>
      </c>
      <c r="K3382" s="6" t="s">
        <v>35</v>
      </c>
      <c r="L3382" s="6" t="s">
        <v>707</v>
      </c>
      <c r="M3382" s="6" t="s">
        <v>14077</v>
      </c>
    </row>
    <row r="3383" spans="1:13" ht="13" x14ac:dyDescent="0.15">
      <c r="A3383" s="5" t="str">
        <f>HYPERLINK("https://onemount.atlassian.net/browse/DBA-1289","DBA-1289")</f>
        <v>DBA-1289</v>
      </c>
      <c r="B3383" s="6" t="s">
        <v>21</v>
      </c>
      <c r="C3383" s="6" t="s">
        <v>14078</v>
      </c>
      <c r="D3383" s="8" t="s">
        <v>17</v>
      </c>
      <c r="E3383" s="6" t="s">
        <v>23</v>
      </c>
      <c r="F3383" s="6" t="s">
        <v>96</v>
      </c>
      <c r="G3383" s="6" t="s">
        <v>14079</v>
      </c>
      <c r="H3383" s="10">
        <v>45783</v>
      </c>
      <c r="I3383" s="6" t="s">
        <v>14080</v>
      </c>
      <c r="J3383" s="6" t="s">
        <v>14081</v>
      </c>
      <c r="K3383" s="6" t="s">
        <v>46</v>
      </c>
      <c r="L3383" s="6" t="s">
        <v>164</v>
      </c>
      <c r="M3383" s="6" t="s">
        <v>14082</v>
      </c>
    </row>
    <row r="3384" spans="1:13" ht="13" x14ac:dyDescent="0.15">
      <c r="A3384" s="5" t="str">
        <f>HYPERLINK("https://onemount.atlassian.net/browse/DBA-1288","DBA-1288")</f>
        <v>DBA-1288</v>
      </c>
      <c r="B3384" s="6" t="s">
        <v>21</v>
      </c>
      <c r="C3384" s="6" t="s">
        <v>14083</v>
      </c>
      <c r="D3384" s="8" t="s">
        <v>17</v>
      </c>
      <c r="E3384" s="6" t="s">
        <v>23</v>
      </c>
      <c r="F3384" s="6" t="s">
        <v>96</v>
      </c>
      <c r="G3384" s="6" t="s">
        <v>14084</v>
      </c>
      <c r="H3384" s="10">
        <v>45783</v>
      </c>
      <c r="I3384" s="6" t="s">
        <v>14085</v>
      </c>
      <c r="J3384" s="6" t="s">
        <v>645</v>
      </c>
      <c r="K3384" s="6" t="s">
        <v>46</v>
      </c>
      <c r="L3384" s="6" t="s">
        <v>645</v>
      </c>
      <c r="M3384" s="6" t="s">
        <v>14086</v>
      </c>
    </row>
    <row r="3385" spans="1:13" ht="13" x14ac:dyDescent="0.15">
      <c r="A3385" s="5" t="str">
        <f>HYPERLINK("https://onemount.atlassian.net/browse/DBA-1287","DBA-1287")</f>
        <v>DBA-1287</v>
      </c>
      <c r="B3385" s="6" t="s">
        <v>21</v>
      </c>
      <c r="C3385" s="6" t="s">
        <v>14087</v>
      </c>
      <c r="D3385" s="8" t="s">
        <v>17</v>
      </c>
      <c r="E3385" s="6" t="s">
        <v>23</v>
      </c>
      <c r="F3385" s="6" t="s">
        <v>31</v>
      </c>
      <c r="G3385" s="6" t="s">
        <v>14088</v>
      </c>
      <c r="H3385" s="10">
        <v>45783</v>
      </c>
      <c r="I3385" s="6" t="s">
        <v>14089</v>
      </c>
      <c r="J3385" s="6" t="s">
        <v>254</v>
      </c>
      <c r="K3385" s="6" t="s">
        <v>55</v>
      </c>
      <c r="L3385" s="6" t="s">
        <v>254</v>
      </c>
      <c r="M3385" s="6" t="s">
        <v>14090</v>
      </c>
    </row>
    <row r="3386" spans="1:13" ht="13" x14ac:dyDescent="0.15">
      <c r="A3386" s="5" t="str">
        <f>HYPERLINK("https://onemount.atlassian.net/browse/DBA-1286","DBA-1286")</f>
        <v>DBA-1286</v>
      </c>
      <c r="B3386" s="6" t="s">
        <v>21</v>
      </c>
      <c r="C3386" s="6" t="s">
        <v>14091</v>
      </c>
      <c r="D3386" s="8" t="s">
        <v>17</v>
      </c>
      <c r="E3386" s="6" t="s">
        <v>23</v>
      </c>
      <c r="F3386" s="6" t="s">
        <v>24</v>
      </c>
      <c r="G3386" s="6" t="s">
        <v>14092</v>
      </c>
      <c r="H3386" s="10">
        <v>45782</v>
      </c>
      <c r="I3386" s="6" t="s">
        <v>14093</v>
      </c>
      <c r="J3386" s="6" t="s">
        <v>14068</v>
      </c>
      <c r="K3386" s="6" t="s">
        <v>55</v>
      </c>
      <c r="L3386" s="6" t="s">
        <v>425</v>
      </c>
      <c r="M3386" s="6" t="s">
        <v>14094</v>
      </c>
    </row>
    <row r="3387" spans="1:13" ht="13" x14ac:dyDescent="0.15">
      <c r="A3387" s="5" t="str">
        <f>HYPERLINK("https://onemount.atlassian.net/browse/DBA-1285","DBA-1285")</f>
        <v>DBA-1285</v>
      </c>
      <c r="B3387" s="6" t="s">
        <v>21</v>
      </c>
      <c r="C3387" s="6" t="s">
        <v>14095</v>
      </c>
      <c r="D3387" s="8" t="s">
        <v>17</v>
      </c>
      <c r="E3387" s="6" t="s">
        <v>23</v>
      </c>
      <c r="F3387" s="6" t="s">
        <v>96</v>
      </c>
      <c r="G3387" s="6" t="s">
        <v>14096</v>
      </c>
      <c r="H3387" s="10">
        <v>45783</v>
      </c>
      <c r="I3387" s="6" t="s">
        <v>14097</v>
      </c>
      <c r="J3387" s="6" t="s">
        <v>1097</v>
      </c>
      <c r="K3387" s="6" t="s">
        <v>165</v>
      </c>
      <c r="L3387" s="6" t="s">
        <v>1097</v>
      </c>
      <c r="M3387" s="6" t="s">
        <v>14098</v>
      </c>
    </row>
    <row r="3388" spans="1:13" ht="13" x14ac:dyDescent="0.15">
      <c r="A3388" s="5" t="str">
        <f>HYPERLINK("https://onemount.atlassian.net/browse/DBA-1284","DBA-1284")</f>
        <v>DBA-1284</v>
      </c>
      <c r="B3388" s="6" t="s">
        <v>21</v>
      </c>
      <c r="C3388" s="6" t="s">
        <v>13449</v>
      </c>
      <c r="D3388" s="8" t="s">
        <v>17</v>
      </c>
      <c r="E3388" s="6" t="s">
        <v>23</v>
      </c>
      <c r="F3388" s="6" t="s">
        <v>24</v>
      </c>
      <c r="G3388" s="6" t="s">
        <v>14099</v>
      </c>
      <c r="H3388" s="10">
        <v>45779</v>
      </c>
      <c r="I3388" s="6" t="s">
        <v>14100</v>
      </c>
      <c r="J3388" s="6" t="s">
        <v>34</v>
      </c>
      <c r="K3388" s="6" t="s">
        <v>35</v>
      </c>
      <c r="L3388" s="6" t="s">
        <v>36</v>
      </c>
      <c r="M3388" s="6" t="s">
        <v>14101</v>
      </c>
    </row>
    <row r="3389" spans="1:13" ht="13" x14ac:dyDescent="0.15">
      <c r="A3389" s="5" t="str">
        <f>HYPERLINK("https://onemount.atlassian.net/browse/DBA-1281","DBA-1281")</f>
        <v>DBA-1281</v>
      </c>
      <c r="B3389" s="6" t="s">
        <v>21</v>
      </c>
      <c r="C3389" s="6" t="s">
        <v>14102</v>
      </c>
      <c r="D3389" s="8" t="s">
        <v>17</v>
      </c>
      <c r="E3389" s="6" t="s">
        <v>23</v>
      </c>
      <c r="F3389" s="6" t="s">
        <v>96</v>
      </c>
      <c r="G3389" s="6" t="s">
        <v>14103</v>
      </c>
      <c r="H3389" s="10">
        <v>45782</v>
      </c>
      <c r="I3389" s="6" t="s">
        <v>14104</v>
      </c>
      <c r="J3389" s="6" t="s">
        <v>8065</v>
      </c>
      <c r="K3389" s="6" t="s">
        <v>165</v>
      </c>
      <c r="L3389" s="6" t="s">
        <v>1084</v>
      </c>
      <c r="M3389" s="6" t="s">
        <v>14105</v>
      </c>
    </row>
    <row r="3390" spans="1:13" ht="13" x14ac:dyDescent="0.15">
      <c r="A3390" s="5" t="str">
        <f>HYPERLINK("https://onemount.atlassian.net/browse/DBA-1280","DBA-1280")</f>
        <v>DBA-1280</v>
      </c>
      <c r="B3390" s="6" t="s">
        <v>21</v>
      </c>
      <c r="C3390" s="6" t="s">
        <v>14106</v>
      </c>
      <c r="D3390" s="8" t="s">
        <v>17</v>
      </c>
      <c r="E3390" s="6" t="s">
        <v>23</v>
      </c>
      <c r="F3390" s="6" t="s">
        <v>96</v>
      </c>
      <c r="G3390" s="6" t="s">
        <v>14107</v>
      </c>
      <c r="H3390" s="10">
        <v>45782</v>
      </c>
      <c r="I3390" s="6" t="s">
        <v>14108</v>
      </c>
      <c r="J3390" s="6" t="s">
        <v>8065</v>
      </c>
      <c r="K3390" s="6" t="s">
        <v>165</v>
      </c>
      <c r="L3390" s="6" t="s">
        <v>1084</v>
      </c>
      <c r="M3390" s="6" t="s">
        <v>14109</v>
      </c>
    </row>
    <row r="3391" spans="1:13" ht="13" x14ac:dyDescent="0.15">
      <c r="A3391" s="5" t="str">
        <f>HYPERLINK("https://onemount.atlassian.net/browse/DBA-1279","DBA-1279")</f>
        <v>DBA-1279</v>
      </c>
      <c r="B3391" s="6" t="s">
        <v>21</v>
      </c>
      <c r="C3391" s="6" t="s">
        <v>14110</v>
      </c>
      <c r="D3391" s="8" t="s">
        <v>17</v>
      </c>
      <c r="E3391" s="6" t="s">
        <v>23</v>
      </c>
      <c r="F3391" s="6" t="s">
        <v>31</v>
      </c>
      <c r="G3391" s="6" t="s">
        <v>14111</v>
      </c>
      <c r="H3391" s="10">
        <v>45778</v>
      </c>
      <c r="I3391" s="6" t="s">
        <v>14112</v>
      </c>
      <c r="J3391" s="6" t="s">
        <v>56</v>
      </c>
      <c r="K3391" s="6" t="s">
        <v>55</v>
      </c>
      <c r="L3391" s="6" t="s">
        <v>56</v>
      </c>
      <c r="M3391" s="6" t="s">
        <v>14113</v>
      </c>
    </row>
    <row r="3392" spans="1:13" ht="13" x14ac:dyDescent="0.15">
      <c r="A3392" s="5" t="str">
        <f>HYPERLINK("https://onemount.atlassian.net/browse/DBA-1278","DBA-1278")</f>
        <v>DBA-1278</v>
      </c>
      <c r="B3392" s="6" t="s">
        <v>21</v>
      </c>
      <c r="C3392" s="6" t="s">
        <v>14114</v>
      </c>
      <c r="D3392" s="8" t="s">
        <v>17</v>
      </c>
      <c r="E3392" s="6" t="s">
        <v>23</v>
      </c>
      <c r="F3392" s="6" t="s">
        <v>31</v>
      </c>
      <c r="G3392" s="6" t="s">
        <v>14115</v>
      </c>
      <c r="H3392" s="10">
        <v>45778</v>
      </c>
      <c r="I3392" s="6" t="s">
        <v>14116</v>
      </c>
      <c r="J3392" s="6" t="s">
        <v>56</v>
      </c>
      <c r="K3392" s="6" t="s">
        <v>55</v>
      </c>
      <c r="L3392" s="6" t="s">
        <v>56</v>
      </c>
      <c r="M3392" s="6" t="s">
        <v>14117</v>
      </c>
    </row>
    <row r="3393" spans="1:13" ht="13" x14ac:dyDescent="0.15">
      <c r="A3393" s="5" t="str">
        <f>HYPERLINK("https://onemount.atlassian.net/browse/DBA-1276","DBA-1276")</f>
        <v>DBA-1276</v>
      </c>
      <c r="B3393" s="6" t="s">
        <v>21</v>
      </c>
      <c r="C3393" s="6" t="s">
        <v>14118</v>
      </c>
      <c r="D3393" s="8" t="s">
        <v>17</v>
      </c>
      <c r="E3393" s="6" t="s">
        <v>23</v>
      </c>
      <c r="F3393" s="6" t="s">
        <v>24</v>
      </c>
      <c r="G3393" s="6" t="s">
        <v>14119</v>
      </c>
      <c r="H3393" s="10">
        <v>45775</v>
      </c>
      <c r="I3393" s="6" t="s">
        <v>14120</v>
      </c>
      <c r="J3393" s="6" t="s">
        <v>13116</v>
      </c>
      <c r="K3393" s="6" t="s">
        <v>35</v>
      </c>
      <c r="L3393" s="6" t="s">
        <v>276</v>
      </c>
      <c r="M3393" s="6" t="s">
        <v>14121</v>
      </c>
    </row>
    <row r="3394" spans="1:13" ht="13" x14ac:dyDescent="0.15">
      <c r="A3394" s="5" t="str">
        <f>HYPERLINK("https://onemount.atlassian.net/browse/DBA-1273","DBA-1273")</f>
        <v>DBA-1273</v>
      </c>
      <c r="B3394" s="6" t="s">
        <v>21</v>
      </c>
      <c r="C3394" s="6" t="s">
        <v>14122</v>
      </c>
      <c r="D3394" s="8" t="s">
        <v>17</v>
      </c>
      <c r="E3394" s="6" t="s">
        <v>23</v>
      </c>
      <c r="F3394" s="6" t="s">
        <v>24</v>
      </c>
      <c r="G3394" s="6" t="s">
        <v>14123</v>
      </c>
      <c r="H3394" s="10">
        <v>45776</v>
      </c>
      <c r="I3394" s="6" t="s">
        <v>14124</v>
      </c>
      <c r="J3394" s="6" t="s">
        <v>1564</v>
      </c>
      <c r="K3394" s="6" t="s">
        <v>35</v>
      </c>
      <c r="L3394" s="6" t="s">
        <v>36</v>
      </c>
      <c r="M3394" s="6" t="s">
        <v>14125</v>
      </c>
    </row>
    <row r="3395" spans="1:13" ht="13" x14ac:dyDescent="0.15">
      <c r="A3395" s="5" t="str">
        <f>HYPERLINK("https://onemount.atlassian.net/browse/DBA-1272","DBA-1272")</f>
        <v>DBA-1272</v>
      </c>
      <c r="B3395" s="6" t="s">
        <v>21</v>
      </c>
      <c r="C3395" s="6" t="s">
        <v>13449</v>
      </c>
      <c r="D3395" s="8" t="s">
        <v>17</v>
      </c>
      <c r="E3395" s="6" t="s">
        <v>23</v>
      </c>
      <c r="F3395" s="6" t="s">
        <v>31</v>
      </c>
      <c r="G3395" s="6" t="s">
        <v>14126</v>
      </c>
      <c r="H3395" s="10">
        <v>45776</v>
      </c>
      <c r="I3395" s="6" t="s">
        <v>14127</v>
      </c>
      <c r="J3395" s="6" t="s">
        <v>34</v>
      </c>
      <c r="K3395" s="6" t="s">
        <v>35</v>
      </c>
      <c r="L3395" s="6" t="s">
        <v>36</v>
      </c>
      <c r="M3395" s="6" t="s">
        <v>14128</v>
      </c>
    </row>
    <row r="3396" spans="1:13" ht="13" x14ac:dyDescent="0.15">
      <c r="A3396" s="5" t="str">
        <f>HYPERLINK("https://onemount.atlassian.net/browse/DBA-1271","DBA-1271")</f>
        <v>DBA-1271</v>
      </c>
      <c r="B3396" s="6" t="s">
        <v>21</v>
      </c>
      <c r="C3396" s="6" t="s">
        <v>14129</v>
      </c>
      <c r="D3396" s="8" t="s">
        <v>17</v>
      </c>
      <c r="E3396" s="6" t="s">
        <v>23</v>
      </c>
      <c r="F3396" s="6" t="s">
        <v>31</v>
      </c>
      <c r="G3396" s="6" t="s">
        <v>14130</v>
      </c>
      <c r="H3396" s="10">
        <v>45777</v>
      </c>
      <c r="I3396" s="6" t="s">
        <v>14131</v>
      </c>
      <c r="J3396" s="6" t="s">
        <v>56</v>
      </c>
      <c r="K3396" s="6" t="s">
        <v>55</v>
      </c>
      <c r="L3396" s="6" t="s">
        <v>56</v>
      </c>
      <c r="M3396" s="6" t="s">
        <v>14132</v>
      </c>
    </row>
    <row r="3397" spans="1:13" ht="13" x14ac:dyDescent="0.15">
      <c r="A3397" s="5" t="str">
        <f>HYPERLINK("https://onemount.atlassian.net/browse/DBA-1270","DBA-1270")</f>
        <v>DBA-1270</v>
      </c>
      <c r="B3397" s="6" t="s">
        <v>21</v>
      </c>
      <c r="C3397" s="6" t="s">
        <v>14133</v>
      </c>
      <c r="D3397" s="8" t="s">
        <v>17</v>
      </c>
      <c r="E3397" s="6" t="s">
        <v>23</v>
      </c>
      <c r="F3397" s="6" t="s">
        <v>24</v>
      </c>
      <c r="G3397" s="6" t="s">
        <v>14134</v>
      </c>
      <c r="H3397" s="10">
        <v>45776</v>
      </c>
      <c r="I3397" s="6" t="s">
        <v>14135</v>
      </c>
      <c r="J3397" s="6" t="s">
        <v>55</v>
      </c>
      <c r="K3397" s="6" t="s">
        <v>46</v>
      </c>
      <c r="L3397" s="6" t="s">
        <v>541</v>
      </c>
      <c r="M3397" s="6" t="s">
        <v>14136</v>
      </c>
    </row>
    <row r="3398" spans="1:13" ht="13" x14ac:dyDescent="0.15">
      <c r="A3398" s="5" t="str">
        <f>HYPERLINK("https://onemount.atlassian.net/browse/DBA-1269","DBA-1269")</f>
        <v>DBA-1269</v>
      </c>
      <c r="B3398" s="6" t="s">
        <v>21</v>
      </c>
      <c r="C3398" s="6" t="s">
        <v>14137</v>
      </c>
      <c r="D3398" s="8" t="s">
        <v>17</v>
      </c>
      <c r="E3398" s="6" t="s">
        <v>23</v>
      </c>
      <c r="F3398" s="6" t="s">
        <v>24</v>
      </c>
      <c r="G3398" s="6" t="s">
        <v>14138</v>
      </c>
      <c r="H3398" s="10">
        <v>45776</v>
      </c>
      <c r="I3398" s="6" t="s">
        <v>14139</v>
      </c>
      <c r="J3398" s="6" t="s">
        <v>55</v>
      </c>
      <c r="K3398" s="6" t="s">
        <v>46</v>
      </c>
      <c r="L3398" s="6" t="s">
        <v>541</v>
      </c>
      <c r="M3398" s="6" t="s">
        <v>14140</v>
      </c>
    </row>
    <row r="3399" spans="1:13" ht="13" x14ac:dyDescent="0.15">
      <c r="A3399" s="5" t="str">
        <f>HYPERLINK("https://onemount.atlassian.net/browse/DBA-1268","DBA-1268")</f>
        <v>DBA-1268</v>
      </c>
      <c r="B3399" s="6" t="s">
        <v>21</v>
      </c>
      <c r="C3399" s="6" t="s">
        <v>8702</v>
      </c>
      <c r="D3399" s="8" t="s">
        <v>17</v>
      </c>
      <c r="E3399" s="6" t="s">
        <v>23</v>
      </c>
      <c r="F3399" s="6" t="s">
        <v>31</v>
      </c>
      <c r="G3399" s="6" t="s">
        <v>14141</v>
      </c>
      <c r="H3399" s="10">
        <v>45775</v>
      </c>
      <c r="I3399" s="6" t="s">
        <v>14142</v>
      </c>
      <c r="J3399" s="6" t="s">
        <v>6269</v>
      </c>
      <c r="K3399" s="6" t="s">
        <v>28</v>
      </c>
      <c r="L3399" s="6" t="s">
        <v>1000</v>
      </c>
      <c r="M3399" s="6" t="s">
        <v>14143</v>
      </c>
    </row>
    <row r="3400" spans="1:13" ht="13" x14ac:dyDescent="0.15">
      <c r="A3400" s="5" t="str">
        <f>HYPERLINK("https://onemount.atlassian.net/browse/DBA-1264","DBA-1264")</f>
        <v>DBA-1264</v>
      </c>
      <c r="B3400" s="6" t="s">
        <v>21</v>
      </c>
      <c r="C3400" s="6" t="s">
        <v>14144</v>
      </c>
      <c r="D3400" s="8" t="s">
        <v>17</v>
      </c>
      <c r="E3400" s="6" t="s">
        <v>23</v>
      </c>
      <c r="F3400" s="6" t="s">
        <v>96</v>
      </c>
      <c r="G3400" s="6" t="s">
        <v>14145</v>
      </c>
      <c r="H3400" s="10">
        <v>45776</v>
      </c>
      <c r="I3400" s="6" t="s">
        <v>14146</v>
      </c>
      <c r="J3400" s="6" t="s">
        <v>165</v>
      </c>
      <c r="K3400" s="6" t="s">
        <v>165</v>
      </c>
      <c r="L3400" s="6" t="s">
        <v>1052</v>
      </c>
      <c r="M3400" s="6" t="s">
        <v>14147</v>
      </c>
    </row>
    <row r="3401" spans="1:13" ht="13" x14ac:dyDescent="0.15">
      <c r="A3401" s="5" t="str">
        <f>HYPERLINK("https://onemount.atlassian.net/browse/DBA-1262","DBA-1262")</f>
        <v>DBA-1262</v>
      </c>
      <c r="B3401" s="6" t="s">
        <v>21</v>
      </c>
      <c r="C3401" s="6" t="s">
        <v>10815</v>
      </c>
      <c r="D3401" s="8" t="s">
        <v>17</v>
      </c>
      <c r="E3401" s="6" t="s">
        <v>23</v>
      </c>
      <c r="F3401" s="6" t="s">
        <v>31</v>
      </c>
      <c r="G3401" s="6" t="s">
        <v>14148</v>
      </c>
      <c r="H3401" s="10">
        <v>45772</v>
      </c>
      <c r="I3401" s="6" t="s">
        <v>14149</v>
      </c>
      <c r="J3401" s="6" t="s">
        <v>6269</v>
      </c>
      <c r="K3401" s="6" t="s">
        <v>28</v>
      </c>
      <c r="L3401" s="6" t="s">
        <v>1000</v>
      </c>
      <c r="M3401" s="6" t="s">
        <v>14150</v>
      </c>
    </row>
    <row r="3402" spans="1:13" ht="13" x14ac:dyDescent="0.15">
      <c r="A3402" s="5" t="str">
        <f>HYPERLINK("https://onemount.atlassian.net/browse/DBA-1261","DBA-1261")</f>
        <v>DBA-1261</v>
      </c>
      <c r="B3402" s="6" t="s">
        <v>21</v>
      </c>
      <c r="C3402" s="6" t="s">
        <v>14151</v>
      </c>
      <c r="D3402" s="8" t="s">
        <v>17</v>
      </c>
      <c r="E3402" s="6" t="s">
        <v>23</v>
      </c>
      <c r="F3402" s="6" t="s">
        <v>31</v>
      </c>
      <c r="G3402" s="6" t="s">
        <v>14152</v>
      </c>
      <c r="H3402" s="10">
        <v>45775</v>
      </c>
      <c r="I3402" s="6" t="s">
        <v>14153</v>
      </c>
      <c r="J3402" s="6" t="s">
        <v>56</v>
      </c>
      <c r="K3402" s="6" t="s">
        <v>55</v>
      </c>
      <c r="L3402" s="6" t="s">
        <v>56</v>
      </c>
      <c r="M3402" s="6" t="s">
        <v>14154</v>
      </c>
    </row>
    <row r="3403" spans="1:13" ht="13" x14ac:dyDescent="0.15">
      <c r="A3403" s="5" t="str">
        <f>HYPERLINK("https://onemount.atlassian.net/browse/DBA-1259","DBA-1259")</f>
        <v>DBA-1259</v>
      </c>
      <c r="B3403" s="6" t="s">
        <v>21</v>
      </c>
      <c r="C3403" s="6" t="s">
        <v>14155</v>
      </c>
      <c r="D3403" s="8" t="s">
        <v>17</v>
      </c>
      <c r="E3403" s="6" t="s">
        <v>23</v>
      </c>
      <c r="F3403" s="6" t="s">
        <v>96</v>
      </c>
      <c r="G3403" s="6" t="s">
        <v>14156</v>
      </c>
      <c r="H3403" s="10">
        <v>45773</v>
      </c>
      <c r="I3403" s="6" t="s">
        <v>14157</v>
      </c>
      <c r="J3403" s="6" t="s">
        <v>6856</v>
      </c>
      <c r="K3403" s="6" t="s">
        <v>165</v>
      </c>
      <c r="L3403" s="6" t="s">
        <v>715</v>
      </c>
      <c r="M3403" s="6" t="s">
        <v>14158</v>
      </c>
    </row>
    <row r="3404" spans="1:13" ht="13" x14ac:dyDescent="0.15">
      <c r="A3404" s="5" t="str">
        <f>HYPERLINK("https://onemount.atlassian.net/browse/DBA-1258","DBA-1258")</f>
        <v>DBA-1258</v>
      </c>
      <c r="B3404" s="6" t="s">
        <v>21</v>
      </c>
      <c r="C3404" s="6" t="s">
        <v>14159</v>
      </c>
      <c r="D3404" s="8" t="s">
        <v>17</v>
      </c>
      <c r="E3404" s="6" t="s">
        <v>23</v>
      </c>
      <c r="F3404" s="6" t="s">
        <v>31</v>
      </c>
      <c r="G3404" s="6" t="s">
        <v>14160</v>
      </c>
      <c r="H3404" s="10">
        <v>45774</v>
      </c>
      <c r="I3404" s="6" t="s">
        <v>14161</v>
      </c>
      <c r="J3404" s="6" t="s">
        <v>2427</v>
      </c>
      <c r="K3404" s="6" t="s">
        <v>28</v>
      </c>
      <c r="L3404" s="6" t="s">
        <v>1000</v>
      </c>
      <c r="M3404" s="6" t="s">
        <v>14162</v>
      </c>
    </row>
    <row r="3405" spans="1:13" ht="13" x14ac:dyDescent="0.15">
      <c r="A3405" s="5" t="str">
        <f>HYPERLINK("https://onemount.atlassian.net/browse/DBA-1256","DBA-1256")</f>
        <v>DBA-1256</v>
      </c>
      <c r="B3405" s="6" t="s">
        <v>21</v>
      </c>
      <c r="C3405" s="6" t="s">
        <v>14163</v>
      </c>
      <c r="D3405" s="8" t="s">
        <v>17</v>
      </c>
      <c r="E3405" s="6" t="s">
        <v>23</v>
      </c>
      <c r="F3405" s="6" t="s">
        <v>24</v>
      </c>
      <c r="G3405" s="6" t="s">
        <v>14164</v>
      </c>
      <c r="H3405" s="10">
        <v>45772</v>
      </c>
      <c r="I3405" s="6" t="s">
        <v>14165</v>
      </c>
      <c r="J3405" s="6" t="s">
        <v>55</v>
      </c>
      <c r="K3405" s="6" t="s">
        <v>55</v>
      </c>
      <c r="L3405" s="6" t="s">
        <v>56</v>
      </c>
      <c r="M3405" s="6" t="s">
        <v>14166</v>
      </c>
    </row>
    <row r="3406" spans="1:13" ht="13" x14ac:dyDescent="0.15">
      <c r="A3406" s="5" t="str">
        <f>HYPERLINK("https://onemount.atlassian.net/browse/DBA-1255","DBA-1255")</f>
        <v>DBA-1255</v>
      </c>
      <c r="B3406" s="6" t="s">
        <v>21</v>
      </c>
      <c r="C3406" s="6" t="s">
        <v>14167</v>
      </c>
      <c r="D3406" s="8" t="s">
        <v>17</v>
      </c>
      <c r="E3406" s="6" t="s">
        <v>23</v>
      </c>
      <c r="F3406" s="6" t="s">
        <v>31</v>
      </c>
      <c r="G3406" s="6" t="s">
        <v>14168</v>
      </c>
      <c r="H3406" s="10">
        <v>45772</v>
      </c>
      <c r="I3406" s="6" t="s">
        <v>14169</v>
      </c>
      <c r="J3406" s="6" t="s">
        <v>638</v>
      </c>
      <c r="K3406" s="6" t="s">
        <v>35</v>
      </c>
      <c r="L3406" s="6" t="s">
        <v>638</v>
      </c>
      <c r="M3406" s="6" t="s">
        <v>14170</v>
      </c>
    </row>
    <row r="3407" spans="1:13" ht="13" x14ac:dyDescent="0.15">
      <c r="A3407" s="5" t="str">
        <f>HYPERLINK("https://onemount.atlassian.net/browse/DBA-1254","DBA-1254")</f>
        <v>DBA-1254</v>
      </c>
      <c r="B3407" s="6" t="s">
        <v>21</v>
      </c>
      <c r="C3407" s="6" t="s">
        <v>14171</v>
      </c>
      <c r="D3407" s="8" t="s">
        <v>17</v>
      </c>
      <c r="E3407" s="6" t="s">
        <v>23</v>
      </c>
      <c r="F3407" s="6" t="s">
        <v>24</v>
      </c>
      <c r="G3407" s="6" t="s">
        <v>14172</v>
      </c>
      <c r="H3407" s="10">
        <v>45772</v>
      </c>
      <c r="I3407" s="6" t="s">
        <v>14173</v>
      </c>
      <c r="J3407" s="6" t="s">
        <v>14174</v>
      </c>
      <c r="K3407" s="6" t="s">
        <v>55</v>
      </c>
      <c r="L3407" s="6" t="s">
        <v>270</v>
      </c>
      <c r="M3407" s="6" t="s">
        <v>14175</v>
      </c>
    </row>
    <row r="3408" spans="1:13" ht="13" x14ac:dyDescent="0.15">
      <c r="A3408" s="5" t="str">
        <f>HYPERLINK("https://onemount.atlassian.net/browse/DBA-1253","DBA-1253")</f>
        <v>DBA-1253</v>
      </c>
      <c r="B3408" s="6" t="s">
        <v>21</v>
      </c>
      <c r="C3408" s="6" t="s">
        <v>14176</v>
      </c>
      <c r="D3408" s="8" t="s">
        <v>17</v>
      </c>
      <c r="E3408" s="6" t="s">
        <v>23</v>
      </c>
      <c r="F3408" s="6" t="s">
        <v>31</v>
      </c>
      <c r="G3408" s="6" t="s">
        <v>14177</v>
      </c>
      <c r="H3408" s="10">
        <v>45772</v>
      </c>
      <c r="I3408" s="6" t="s">
        <v>14178</v>
      </c>
      <c r="J3408" s="6" t="s">
        <v>34</v>
      </c>
      <c r="K3408" s="6" t="s">
        <v>35</v>
      </c>
      <c r="L3408" s="6" t="s">
        <v>36</v>
      </c>
      <c r="M3408" s="6" t="s">
        <v>14179</v>
      </c>
    </row>
    <row r="3409" spans="1:13" ht="13" x14ac:dyDescent="0.15">
      <c r="A3409" s="5" t="str">
        <f>HYPERLINK("https://onemount.atlassian.net/browse/DBA-1252","DBA-1252")</f>
        <v>DBA-1252</v>
      </c>
      <c r="B3409" s="6" t="s">
        <v>21</v>
      </c>
      <c r="C3409" s="6" t="s">
        <v>14180</v>
      </c>
      <c r="D3409" s="8" t="s">
        <v>17</v>
      </c>
      <c r="E3409" s="6" t="s">
        <v>23</v>
      </c>
      <c r="F3409" s="6" t="s">
        <v>31</v>
      </c>
      <c r="G3409" s="6" t="s">
        <v>14181</v>
      </c>
      <c r="H3409" s="10">
        <v>45772</v>
      </c>
      <c r="I3409" s="6" t="s">
        <v>14182</v>
      </c>
      <c r="J3409" s="6" t="s">
        <v>12023</v>
      </c>
      <c r="K3409" s="6" t="s">
        <v>35</v>
      </c>
      <c r="L3409" s="6" t="s">
        <v>1238</v>
      </c>
      <c r="M3409" s="6" t="s">
        <v>14183</v>
      </c>
    </row>
    <row r="3410" spans="1:13" ht="13" x14ac:dyDescent="0.15">
      <c r="A3410" s="5" t="str">
        <f>HYPERLINK("https://onemount.atlassian.net/browse/DBA-1251","DBA-1251")</f>
        <v>DBA-1251</v>
      </c>
      <c r="B3410" s="6" t="s">
        <v>21</v>
      </c>
      <c r="C3410" s="6" t="s">
        <v>14184</v>
      </c>
      <c r="D3410" s="8" t="s">
        <v>17</v>
      </c>
      <c r="E3410" s="6" t="s">
        <v>23</v>
      </c>
      <c r="F3410" s="6" t="s">
        <v>24</v>
      </c>
      <c r="G3410" s="6" t="s">
        <v>14185</v>
      </c>
      <c r="H3410" s="10">
        <v>45772</v>
      </c>
      <c r="I3410" s="6" t="s">
        <v>14186</v>
      </c>
      <c r="J3410" s="6" t="s">
        <v>55</v>
      </c>
      <c r="K3410" s="6" t="s">
        <v>55</v>
      </c>
      <c r="L3410" s="6" t="s">
        <v>906</v>
      </c>
      <c r="M3410" s="6" t="s">
        <v>14187</v>
      </c>
    </row>
    <row r="3411" spans="1:13" ht="13" x14ac:dyDescent="0.15">
      <c r="A3411" s="21" t="str">
        <f>HYPERLINK("https://onemount.atlassian.net/browse/DBA-1250","DBA-1250")</f>
        <v>DBA-1250</v>
      </c>
      <c r="B3411" s="6" t="s">
        <v>21</v>
      </c>
      <c r="C3411" s="6" t="s">
        <v>14188</v>
      </c>
      <c r="D3411" s="8" t="s">
        <v>17</v>
      </c>
      <c r="E3411" s="6" t="s">
        <v>23</v>
      </c>
      <c r="F3411" s="6" t="s">
        <v>24</v>
      </c>
      <c r="G3411" s="6" t="s">
        <v>14189</v>
      </c>
      <c r="H3411" s="10">
        <v>45773</v>
      </c>
      <c r="I3411" s="6" t="s">
        <v>14190</v>
      </c>
      <c r="J3411" s="6" t="s">
        <v>49</v>
      </c>
      <c r="K3411" s="6" t="s">
        <v>35</v>
      </c>
      <c r="L3411" s="6" t="s">
        <v>981</v>
      </c>
      <c r="M3411" s="6" t="s">
        <v>13559</v>
      </c>
    </row>
    <row r="3412" spans="1:13" ht="13" x14ac:dyDescent="0.15">
      <c r="A3412" s="5" t="str">
        <f>HYPERLINK("https://onemount.atlassian.net/browse/DBA-1249","DBA-1249")</f>
        <v>DBA-1249</v>
      </c>
      <c r="B3412" s="6" t="s">
        <v>21</v>
      </c>
      <c r="C3412" s="6" t="s">
        <v>10815</v>
      </c>
      <c r="D3412" s="8" t="s">
        <v>17</v>
      </c>
      <c r="E3412" s="6" t="s">
        <v>23</v>
      </c>
      <c r="F3412" s="6" t="s">
        <v>24</v>
      </c>
      <c r="G3412" s="6" t="s">
        <v>14191</v>
      </c>
      <c r="H3412" s="10">
        <v>45771</v>
      </c>
      <c r="I3412" s="6" t="s">
        <v>14192</v>
      </c>
      <c r="J3412" s="6" t="s">
        <v>6269</v>
      </c>
      <c r="K3412" s="6" t="s">
        <v>28</v>
      </c>
      <c r="L3412" s="6" t="s">
        <v>1000</v>
      </c>
      <c r="M3412" s="6" t="s">
        <v>14193</v>
      </c>
    </row>
    <row r="3413" spans="1:13" ht="13" x14ac:dyDescent="0.15">
      <c r="A3413" s="5" t="str">
        <f>HYPERLINK("https://onemount.atlassian.net/browse/DBA-1248","DBA-1248")</f>
        <v>DBA-1248</v>
      </c>
      <c r="B3413" s="6" t="s">
        <v>21</v>
      </c>
      <c r="C3413" s="6" t="s">
        <v>10709</v>
      </c>
      <c r="D3413" s="8" t="s">
        <v>17</v>
      </c>
      <c r="E3413" s="6" t="s">
        <v>23</v>
      </c>
      <c r="F3413" s="6" t="s">
        <v>24</v>
      </c>
      <c r="G3413" s="6" t="s">
        <v>14194</v>
      </c>
      <c r="H3413" s="10">
        <v>45773</v>
      </c>
      <c r="I3413" s="6" t="s">
        <v>14195</v>
      </c>
      <c r="J3413" s="6" t="s">
        <v>49</v>
      </c>
      <c r="K3413" s="6" t="s">
        <v>35</v>
      </c>
      <c r="L3413" s="6" t="s">
        <v>981</v>
      </c>
      <c r="M3413" s="6" t="s">
        <v>14196</v>
      </c>
    </row>
    <row r="3414" spans="1:13" ht="13" x14ac:dyDescent="0.15">
      <c r="A3414" s="5" t="str">
        <f>HYPERLINK("https://onemount.atlassian.net/browse/DBA-1246","DBA-1246")</f>
        <v>DBA-1246</v>
      </c>
      <c r="B3414" s="6" t="s">
        <v>21</v>
      </c>
      <c r="C3414" s="6" t="s">
        <v>14197</v>
      </c>
      <c r="D3414" s="8" t="s">
        <v>17</v>
      </c>
      <c r="E3414" s="6" t="s">
        <v>23</v>
      </c>
      <c r="F3414" s="6" t="s">
        <v>31</v>
      </c>
      <c r="G3414" s="6" t="s">
        <v>14198</v>
      </c>
      <c r="H3414" s="10">
        <v>45771</v>
      </c>
      <c r="I3414" s="6" t="s">
        <v>14199</v>
      </c>
      <c r="J3414" s="6" t="s">
        <v>49</v>
      </c>
      <c r="K3414" s="6" t="s">
        <v>35</v>
      </c>
      <c r="L3414" s="6" t="s">
        <v>49</v>
      </c>
      <c r="M3414" s="6" t="s">
        <v>14200</v>
      </c>
    </row>
    <row r="3415" spans="1:13" ht="13" x14ac:dyDescent="0.15">
      <c r="A3415" s="5" t="str">
        <f>HYPERLINK("https://onemount.atlassian.net/browse/DBA-1245","DBA-1245")</f>
        <v>DBA-1245</v>
      </c>
      <c r="B3415" s="6" t="s">
        <v>21</v>
      </c>
      <c r="C3415" s="6" t="s">
        <v>14201</v>
      </c>
      <c r="D3415" s="8" t="s">
        <v>17</v>
      </c>
      <c r="E3415" s="6" t="s">
        <v>23</v>
      </c>
      <c r="F3415" s="6" t="s">
        <v>24</v>
      </c>
      <c r="G3415" s="6" t="s">
        <v>14202</v>
      </c>
      <c r="H3415" s="10">
        <v>45772</v>
      </c>
      <c r="I3415" s="6" t="s">
        <v>14203</v>
      </c>
      <c r="J3415" s="6" t="s">
        <v>39</v>
      </c>
      <c r="K3415" s="6" t="s">
        <v>55</v>
      </c>
      <c r="L3415" s="6" t="s">
        <v>39</v>
      </c>
      <c r="M3415" s="6" t="s">
        <v>14204</v>
      </c>
    </row>
    <row r="3416" spans="1:13" ht="13" x14ac:dyDescent="0.15">
      <c r="A3416" s="5" t="str">
        <f>HYPERLINK("https://onemount.atlassian.net/browse/DBA-1244","DBA-1244")</f>
        <v>DBA-1244</v>
      </c>
      <c r="B3416" s="6" t="s">
        <v>21</v>
      </c>
      <c r="C3416" s="6" t="s">
        <v>14205</v>
      </c>
      <c r="D3416" s="8" t="s">
        <v>17</v>
      </c>
      <c r="E3416" s="6" t="s">
        <v>23</v>
      </c>
      <c r="F3416" s="6" t="s">
        <v>24</v>
      </c>
      <c r="G3416" s="6" t="s">
        <v>14206</v>
      </c>
      <c r="H3416" s="10">
        <v>45772</v>
      </c>
      <c r="I3416" s="6" t="s">
        <v>14207</v>
      </c>
      <c r="J3416" s="6" t="s">
        <v>14208</v>
      </c>
      <c r="K3416" s="6" t="s">
        <v>46</v>
      </c>
      <c r="L3416" s="6" t="s">
        <v>367</v>
      </c>
      <c r="M3416" s="6" t="s">
        <v>14209</v>
      </c>
    </row>
    <row r="3417" spans="1:13" ht="13" x14ac:dyDescent="0.15">
      <c r="A3417" s="5" t="str">
        <f>HYPERLINK("https://onemount.atlassian.net/browse/DBA-1243","DBA-1243")</f>
        <v>DBA-1243</v>
      </c>
      <c r="B3417" s="6" t="s">
        <v>21</v>
      </c>
      <c r="C3417" s="6" t="s">
        <v>14210</v>
      </c>
      <c r="D3417" s="8" t="s">
        <v>17</v>
      </c>
      <c r="E3417" s="6" t="s">
        <v>23</v>
      </c>
      <c r="F3417" s="6" t="s">
        <v>96</v>
      </c>
      <c r="G3417" s="6" t="s">
        <v>14211</v>
      </c>
      <c r="H3417" s="10">
        <v>45772</v>
      </c>
      <c r="I3417" s="6" t="s">
        <v>14212</v>
      </c>
      <c r="J3417" s="6" t="s">
        <v>338</v>
      </c>
      <c r="K3417" s="6" t="s">
        <v>165</v>
      </c>
      <c r="L3417" s="6" t="s">
        <v>1076</v>
      </c>
      <c r="M3417" s="6" t="s">
        <v>14213</v>
      </c>
    </row>
    <row r="3418" spans="1:13" ht="13" x14ac:dyDescent="0.15">
      <c r="A3418" s="5" t="str">
        <f>HYPERLINK("https://onemount.atlassian.net/browse/DBA-1242","DBA-1242")</f>
        <v>DBA-1242</v>
      </c>
      <c r="B3418" s="6" t="s">
        <v>21</v>
      </c>
      <c r="C3418" s="6" t="s">
        <v>14214</v>
      </c>
      <c r="D3418" s="8" t="s">
        <v>17</v>
      </c>
      <c r="E3418" s="6" t="s">
        <v>23</v>
      </c>
      <c r="F3418" s="6" t="s">
        <v>24</v>
      </c>
      <c r="G3418" s="6" t="s">
        <v>14215</v>
      </c>
      <c r="H3418" s="10">
        <v>45772</v>
      </c>
      <c r="I3418" s="6" t="s">
        <v>14216</v>
      </c>
      <c r="J3418" s="6" t="s">
        <v>165</v>
      </c>
      <c r="K3418" s="6" t="s">
        <v>46</v>
      </c>
      <c r="L3418" s="6" t="s">
        <v>39</v>
      </c>
      <c r="M3418" s="6" t="s">
        <v>14217</v>
      </c>
    </row>
    <row r="3419" spans="1:13" ht="13" x14ac:dyDescent="0.15">
      <c r="A3419" s="5" t="str">
        <f>HYPERLINK("https://onemount.atlassian.net/browse/DBA-1241","DBA-1241")</f>
        <v>DBA-1241</v>
      </c>
      <c r="B3419" s="6" t="s">
        <v>21</v>
      </c>
      <c r="C3419" s="6" t="s">
        <v>14218</v>
      </c>
      <c r="D3419" s="8" t="s">
        <v>17</v>
      </c>
      <c r="E3419" s="6" t="s">
        <v>23</v>
      </c>
      <c r="F3419" s="6" t="s">
        <v>24</v>
      </c>
      <c r="G3419" s="6" t="s">
        <v>14219</v>
      </c>
      <c r="H3419" s="10">
        <v>45772</v>
      </c>
      <c r="I3419" s="6" t="s">
        <v>14220</v>
      </c>
      <c r="J3419" s="6" t="s">
        <v>28</v>
      </c>
      <c r="K3419" s="6" t="s">
        <v>46</v>
      </c>
      <c r="L3419" s="6" t="s">
        <v>160</v>
      </c>
      <c r="M3419" s="6" t="s">
        <v>14221</v>
      </c>
    </row>
    <row r="3420" spans="1:13" ht="13" x14ac:dyDescent="0.15">
      <c r="A3420" s="5" t="str">
        <f>HYPERLINK("https://onemount.atlassian.net/browse/DBA-1240","DBA-1240")</f>
        <v>DBA-1240</v>
      </c>
      <c r="B3420" s="6" t="s">
        <v>21</v>
      </c>
      <c r="C3420" s="6" t="s">
        <v>14222</v>
      </c>
      <c r="D3420" s="8" t="s">
        <v>17</v>
      </c>
      <c r="E3420" s="6" t="s">
        <v>23</v>
      </c>
      <c r="F3420" s="6" t="s">
        <v>24</v>
      </c>
      <c r="G3420" s="6" t="s">
        <v>14223</v>
      </c>
      <c r="H3420" s="10">
        <v>45772</v>
      </c>
      <c r="I3420" s="6" t="s">
        <v>14224</v>
      </c>
      <c r="J3420" s="6" t="s">
        <v>56</v>
      </c>
      <c r="K3420" s="6" t="s">
        <v>55</v>
      </c>
      <c r="L3420" s="6" t="s">
        <v>56</v>
      </c>
      <c r="M3420" s="6" t="s">
        <v>14225</v>
      </c>
    </row>
    <row r="3421" spans="1:13" ht="13" x14ac:dyDescent="0.15">
      <c r="A3421" s="5" t="str">
        <f>HYPERLINK("https://onemount.atlassian.net/browse/DBA-1239","DBA-1239")</f>
        <v>DBA-1239</v>
      </c>
      <c r="B3421" s="6" t="s">
        <v>21</v>
      </c>
      <c r="C3421" s="6" t="s">
        <v>14226</v>
      </c>
      <c r="D3421" s="8" t="s">
        <v>17</v>
      </c>
      <c r="E3421" s="6" t="s">
        <v>23</v>
      </c>
      <c r="F3421" s="6" t="s">
        <v>24</v>
      </c>
      <c r="G3421" s="6" t="s">
        <v>14227</v>
      </c>
      <c r="H3421" s="10">
        <v>45772</v>
      </c>
      <c r="I3421" s="6" t="s">
        <v>14228</v>
      </c>
      <c r="J3421" s="6" t="s">
        <v>56</v>
      </c>
      <c r="K3421" s="6" t="s">
        <v>55</v>
      </c>
      <c r="L3421" s="6" t="s">
        <v>56</v>
      </c>
      <c r="M3421" s="6" t="s">
        <v>14229</v>
      </c>
    </row>
    <row r="3422" spans="1:13" ht="13" x14ac:dyDescent="0.15">
      <c r="A3422" s="5" t="str">
        <f>HYPERLINK("https://onemount.atlassian.net/browse/DBA-1238","DBA-1238")</f>
        <v>DBA-1238</v>
      </c>
      <c r="B3422" s="23" t="str">
        <f>HYPERLINK("https://onemount.atlassian.net/browse/DBA-1909","DBA-1909")</f>
        <v>DBA-1909</v>
      </c>
      <c r="C3422" s="6" t="s">
        <v>14230</v>
      </c>
      <c r="D3422" s="8" t="s">
        <v>17</v>
      </c>
      <c r="E3422" s="6" t="s">
        <v>428</v>
      </c>
      <c r="F3422" s="6" t="s">
        <v>96</v>
      </c>
      <c r="G3422" s="6" t="s">
        <v>14231</v>
      </c>
      <c r="H3422" s="10">
        <v>45772</v>
      </c>
      <c r="I3422" s="6" t="s">
        <v>14232</v>
      </c>
      <c r="J3422" s="6" t="s">
        <v>13548</v>
      </c>
      <c r="K3422" s="6" t="s">
        <v>46</v>
      </c>
      <c r="L3422" s="6" t="s">
        <v>603</v>
      </c>
      <c r="M3422" s="6" t="s">
        <v>14233</v>
      </c>
    </row>
    <row r="3423" spans="1:13" ht="13" x14ac:dyDescent="0.15">
      <c r="A3423" s="5" t="str">
        <f>HYPERLINK("https://onemount.atlassian.net/browse/DBA-1237","DBA-1237")</f>
        <v>DBA-1237</v>
      </c>
      <c r="B3423" s="6" t="s">
        <v>21</v>
      </c>
      <c r="C3423" s="6" t="s">
        <v>14234</v>
      </c>
      <c r="D3423" s="8" t="s">
        <v>17</v>
      </c>
      <c r="E3423" s="6" t="s">
        <v>23</v>
      </c>
      <c r="F3423" s="6" t="s">
        <v>96</v>
      </c>
      <c r="G3423" s="6" t="s">
        <v>14235</v>
      </c>
      <c r="H3423" s="10">
        <v>45771</v>
      </c>
      <c r="I3423" s="6" t="s">
        <v>14236</v>
      </c>
      <c r="J3423" s="6" t="s">
        <v>6856</v>
      </c>
      <c r="K3423" s="6" t="s">
        <v>165</v>
      </c>
      <c r="L3423" s="6" t="s">
        <v>715</v>
      </c>
      <c r="M3423" s="6" t="s">
        <v>14237</v>
      </c>
    </row>
    <row r="3424" spans="1:13" ht="13" x14ac:dyDescent="0.15">
      <c r="A3424" s="5" t="str">
        <f>HYPERLINK("https://onemount.atlassian.net/browse/DBA-1236","DBA-1236")</f>
        <v>DBA-1236</v>
      </c>
      <c r="B3424" s="6" t="s">
        <v>21</v>
      </c>
      <c r="C3424" s="6" t="s">
        <v>14238</v>
      </c>
      <c r="D3424" s="8" t="s">
        <v>17</v>
      </c>
      <c r="E3424" s="6" t="s">
        <v>23</v>
      </c>
      <c r="F3424" s="6" t="s">
        <v>96</v>
      </c>
      <c r="G3424" s="6" t="s">
        <v>14239</v>
      </c>
      <c r="H3424" s="10">
        <v>45770</v>
      </c>
      <c r="I3424" s="6" t="s">
        <v>14240</v>
      </c>
      <c r="J3424" s="6" t="s">
        <v>55</v>
      </c>
      <c r="K3424" s="6" t="s">
        <v>55</v>
      </c>
      <c r="L3424" s="6" t="s">
        <v>160</v>
      </c>
      <c r="M3424" s="6" t="s">
        <v>14241</v>
      </c>
    </row>
    <row r="3425" spans="1:13" ht="13" x14ac:dyDescent="0.15">
      <c r="A3425" s="5" t="str">
        <f>HYPERLINK("https://onemount.atlassian.net/browse/DBA-1235","DBA-1235")</f>
        <v>DBA-1235</v>
      </c>
      <c r="B3425" s="6" t="s">
        <v>21</v>
      </c>
      <c r="C3425" s="6" t="s">
        <v>14242</v>
      </c>
      <c r="D3425" s="8" t="s">
        <v>17</v>
      </c>
      <c r="E3425" s="6" t="s">
        <v>23</v>
      </c>
      <c r="F3425" s="6" t="s">
        <v>96</v>
      </c>
      <c r="G3425" s="6" t="s">
        <v>14243</v>
      </c>
      <c r="H3425" s="10">
        <v>45771</v>
      </c>
      <c r="I3425" s="6" t="s">
        <v>14244</v>
      </c>
      <c r="J3425" s="6" t="s">
        <v>2453</v>
      </c>
      <c r="K3425" s="6" t="s">
        <v>165</v>
      </c>
      <c r="L3425" s="6" t="s">
        <v>119</v>
      </c>
      <c r="M3425" s="6" t="s">
        <v>14245</v>
      </c>
    </row>
    <row r="3426" spans="1:13" ht="13" x14ac:dyDescent="0.15">
      <c r="A3426" s="5" t="str">
        <f>HYPERLINK("https://onemount.atlassian.net/browse/DBA-1234","DBA-1234")</f>
        <v>DBA-1234</v>
      </c>
      <c r="B3426" s="6" t="s">
        <v>21</v>
      </c>
      <c r="C3426" s="6" t="s">
        <v>13853</v>
      </c>
      <c r="D3426" s="8" t="s">
        <v>17</v>
      </c>
      <c r="E3426" s="6" t="s">
        <v>23</v>
      </c>
      <c r="F3426" s="6" t="s">
        <v>31</v>
      </c>
      <c r="G3426" s="6" t="s">
        <v>14246</v>
      </c>
      <c r="H3426" s="10">
        <v>45771</v>
      </c>
      <c r="I3426" s="6" t="s">
        <v>14247</v>
      </c>
      <c r="J3426" s="6" t="s">
        <v>34</v>
      </c>
      <c r="K3426" s="6" t="s">
        <v>35</v>
      </c>
      <c r="L3426" s="6" t="s">
        <v>36</v>
      </c>
      <c r="M3426" s="6" t="s">
        <v>14248</v>
      </c>
    </row>
    <row r="3427" spans="1:13" ht="13" x14ac:dyDescent="0.15">
      <c r="A3427" s="5" t="str">
        <f>HYPERLINK("https://onemount.atlassian.net/browse/DBA-1233","DBA-1233")</f>
        <v>DBA-1233</v>
      </c>
      <c r="B3427" s="6" t="s">
        <v>21</v>
      </c>
      <c r="C3427" s="6" t="s">
        <v>14249</v>
      </c>
      <c r="D3427" s="8" t="s">
        <v>17</v>
      </c>
      <c r="E3427" s="6" t="s">
        <v>23</v>
      </c>
      <c r="F3427" s="6" t="s">
        <v>31</v>
      </c>
      <c r="G3427" s="6" t="s">
        <v>14250</v>
      </c>
      <c r="H3427" s="10">
        <v>45771</v>
      </c>
      <c r="I3427" s="6" t="s">
        <v>14251</v>
      </c>
      <c r="J3427" s="6" t="s">
        <v>14252</v>
      </c>
      <c r="K3427" s="6" t="s">
        <v>28</v>
      </c>
      <c r="L3427" s="6" t="s">
        <v>1131</v>
      </c>
      <c r="M3427" s="6" t="s">
        <v>14253</v>
      </c>
    </row>
    <row r="3428" spans="1:13" ht="13" x14ac:dyDescent="0.15">
      <c r="A3428" s="5" t="str">
        <f>HYPERLINK("https://onemount.atlassian.net/browse/DBA-1232","DBA-1232")</f>
        <v>DBA-1232</v>
      </c>
      <c r="B3428" s="23" t="str">
        <f>HYPERLINK("https://onemount.atlassian.net/browse/DBA-1909","DBA-1909")</f>
        <v>DBA-1909</v>
      </c>
      <c r="C3428" s="6" t="s">
        <v>14254</v>
      </c>
      <c r="D3428" s="8" t="s">
        <v>17</v>
      </c>
      <c r="E3428" s="6" t="s">
        <v>428</v>
      </c>
      <c r="F3428" s="6" t="s">
        <v>96</v>
      </c>
      <c r="G3428" s="6" t="s">
        <v>14255</v>
      </c>
      <c r="H3428" s="10">
        <v>45771</v>
      </c>
      <c r="I3428" s="6" t="s">
        <v>14256</v>
      </c>
      <c r="J3428" s="6" t="s">
        <v>13548</v>
      </c>
      <c r="K3428" s="6" t="s">
        <v>46</v>
      </c>
      <c r="L3428" s="6" t="s">
        <v>603</v>
      </c>
      <c r="M3428" s="6" t="s">
        <v>14257</v>
      </c>
    </row>
    <row r="3429" spans="1:13" ht="13" x14ac:dyDescent="0.15">
      <c r="A3429" s="5" t="str">
        <f>HYPERLINK("https://onemount.atlassian.net/browse/DBA-1231","DBA-1231")</f>
        <v>DBA-1231</v>
      </c>
      <c r="B3429" s="6" t="s">
        <v>21</v>
      </c>
      <c r="C3429" s="6" t="s">
        <v>14258</v>
      </c>
      <c r="D3429" s="8" t="s">
        <v>17</v>
      </c>
      <c r="E3429" s="6" t="s">
        <v>23</v>
      </c>
      <c r="F3429" s="6" t="s">
        <v>31</v>
      </c>
      <c r="G3429" s="6" t="s">
        <v>14259</v>
      </c>
      <c r="H3429" s="10">
        <v>45771</v>
      </c>
      <c r="I3429" s="6" t="s">
        <v>14260</v>
      </c>
      <c r="J3429" s="6" t="s">
        <v>49</v>
      </c>
      <c r="K3429" s="6" t="s">
        <v>35</v>
      </c>
      <c r="L3429" s="6" t="s">
        <v>981</v>
      </c>
      <c r="M3429" s="6" t="s">
        <v>14261</v>
      </c>
    </row>
    <row r="3430" spans="1:13" ht="13" x14ac:dyDescent="0.15">
      <c r="A3430" s="5" t="str">
        <f>HYPERLINK("https://onemount.atlassian.net/browse/DBA-1230","DBA-1230")</f>
        <v>DBA-1230</v>
      </c>
      <c r="B3430" s="23" t="str">
        <f t="shared" ref="B3430:B3431" si="59">HYPERLINK("https://onemount.atlassian.net/browse/DBA-1909","DBA-1909")</f>
        <v>DBA-1909</v>
      </c>
      <c r="C3430" s="6" t="s">
        <v>14262</v>
      </c>
      <c r="D3430" s="8" t="s">
        <v>17</v>
      </c>
      <c r="E3430" s="6" t="s">
        <v>428</v>
      </c>
      <c r="F3430" s="6" t="s">
        <v>96</v>
      </c>
      <c r="G3430" s="6" t="s">
        <v>14263</v>
      </c>
      <c r="H3430" s="10">
        <v>45770</v>
      </c>
      <c r="I3430" s="6" t="s">
        <v>14264</v>
      </c>
      <c r="J3430" s="6" t="s">
        <v>13548</v>
      </c>
      <c r="K3430" s="6" t="s">
        <v>46</v>
      </c>
      <c r="L3430" s="6" t="s">
        <v>603</v>
      </c>
      <c r="M3430" s="6" t="s">
        <v>14265</v>
      </c>
    </row>
    <row r="3431" spans="1:13" ht="13" x14ac:dyDescent="0.15">
      <c r="A3431" s="5" t="str">
        <f>HYPERLINK("https://onemount.atlassian.net/browse/DBA-1229","DBA-1229")</f>
        <v>DBA-1229</v>
      </c>
      <c r="B3431" s="23" t="str">
        <f t="shared" si="59"/>
        <v>DBA-1909</v>
      </c>
      <c r="C3431" s="6" t="s">
        <v>14266</v>
      </c>
      <c r="D3431" s="8" t="s">
        <v>17</v>
      </c>
      <c r="E3431" s="6" t="s">
        <v>428</v>
      </c>
      <c r="F3431" s="6" t="s">
        <v>96</v>
      </c>
      <c r="G3431" s="6" t="s">
        <v>14267</v>
      </c>
      <c r="H3431" s="10">
        <v>45770</v>
      </c>
      <c r="I3431" s="6" t="s">
        <v>14268</v>
      </c>
      <c r="J3431" s="6" t="s">
        <v>13548</v>
      </c>
      <c r="K3431" s="6" t="s">
        <v>46</v>
      </c>
      <c r="L3431" s="6" t="s">
        <v>603</v>
      </c>
      <c r="M3431" s="6" t="s">
        <v>14269</v>
      </c>
    </row>
    <row r="3432" spans="1:13" ht="13" x14ac:dyDescent="0.15">
      <c r="A3432" s="5" t="str">
        <f>HYPERLINK("https://onemount.atlassian.net/browse/DBA-1228","DBA-1228")</f>
        <v>DBA-1228</v>
      </c>
      <c r="B3432" s="6" t="s">
        <v>21</v>
      </c>
      <c r="C3432" s="6" t="s">
        <v>14270</v>
      </c>
      <c r="D3432" s="8" t="s">
        <v>17</v>
      </c>
      <c r="E3432" s="6" t="s">
        <v>23</v>
      </c>
      <c r="F3432" s="6" t="s">
        <v>96</v>
      </c>
      <c r="G3432" s="6" t="s">
        <v>14271</v>
      </c>
      <c r="H3432" s="10">
        <v>45770</v>
      </c>
      <c r="I3432" s="6" t="s">
        <v>14272</v>
      </c>
      <c r="J3432" s="6" t="s">
        <v>2453</v>
      </c>
      <c r="K3432" s="6" t="s">
        <v>46</v>
      </c>
      <c r="L3432" s="6" t="s">
        <v>119</v>
      </c>
      <c r="M3432" s="6" t="s">
        <v>14273</v>
      </c>
    </row>
    <row r="3433" spans="1:13" ht="13" x14ac:dyDescent="0.15">
      <c r="A3433" s="5" t="str">
        <f>HYPERLINK("https://onemount.atlassian.net/browse/DBA-1227","DBA-1227")</f>
        <v>DBA-1227</v>
      </c>
      <c r="B3433" s="6" t="s">
        <v>21</v>
      </c>
      <c r="C3433" s="6" t="s">
        <v>14274</v>
      </c>
      <c r="D3433" s="8" t="s">
        <v>17</v>
      </c>
      <c r="E3433" s="6" t="s">
        <v>23</v>
      </c>
      <c r="F3433" s="6" t="s">
        <v>96</v>
      </c>
      <c r="G3433" s="6" t="s">
        <v>14275</v>
      </c>
      <c r="H3433" s="10">
        <v>45769</v>
      </c>
      <c r="I3433" s="6" t="s">
        <v>14276</v>
      </c>
      <c r="J3433" s="6" t="s">
        <v>3940</v>
      </c>
      <c r="K3433" s="6" t="s">
        <v>55</v>
      </c>
      <c r="L3433" s="6" t="s">
        <v>541</v>
      </c>
      <c r="M3433" s="6" t="s">
        <v>14277</v>
      </c>
    </row>
    <row r="3434" spans="1:13" ht="13" x14ac:dyDescent="0.15">
      <c r="A3434" s="5" t="str">
        <f>HYPERLINK("https://onemount.atlassian.net/browse/DBA-1226","DBA-1226")</f>
        <v>DBA-1226</v>
      </c>
      <c r="B3434" s="6" t="s">
        <v>21</v>
      </c>
      <c r="C3434" s="6" t="s">
        <v>14278</v>
      </c>
      <c r="D3434" s="8" t="s">
        <v>17</v>
      </c>
      <c r="E3434" s="6" t="s">
        <v>23</v>
      </c>
      <c r="F3434" s="6" t="s">
        <v>31</v>
      </c>
      <c r="G3434" s="6" t="s">
        <v>14279</v>
      </c>
      <c r="H3434" s="10">
        <v>45772</v>
      </c>
      <c r="I3434" s="6" t="s">
        <v>14280</v>
      </c>
      <c r="J3434" s="6" t="s">
        <v>373</v>
      </c>
      <c r="K3434" s="6" t="s">
        <v>35</v>
      </c>
      <c r="L3434" s="6" t="s">
        <v>638</v>
      </c>
      <c r="M3434" s="6" t="s">
        <v>14281</v>
      </c>
    </row>
    <row r="3435" spans="1:13" ht="13" x14ac:dyDescent="0.15">
      <c r="A3435" s="5" t="str">
        <f>HYPERLINK("https://onemount.atlassian.net/browse/DBA-1225","DBA-1225")</f>
        <v>DBA-1225</v>
      </c>
      <c r="B3435" s="6" t="s">
        <v>21</v>
      </c>
      <c r="C3435" s="6" t="s">
        <v>14282</v>
      </c>
      <c r="D3435" s="8" t="s">
        <v>17</v>
      </c>
      <c r="E3435" s="6" t="s">
        <v>23</v>
      </c>
      <c r="F3435" s="6" t="s">
        <v>96</v>
      </c>
      <c r="G3435" s="6" t="s">
        <v>14283</v>
      </c>
      <c r="H3435" s="10">
        <v>45774</v>
      </c>
      <c r="I3435" s="6" t="s">
        <v>14284</v>
      </c>
      <c r="J3435" s="6" t="s">
        <v>14285</v>
      </c>
      <c r="K3435" s="6" t="s">
        <v>165</v>
      </c>
      <c r="L3435" s="6" t="s">
        <v>998</v>
      </c>
      <c r="M3435" s="6" t="s">
        <v>14286</v>
      </c>
    </row>
    <row r="3436" spans="1:13" ht="13" x14ac:dyDescent="0.15">
      <c r="A3436" s="5" t="str">
        <f>HYPERLINK("https://onemount.atlassian.net/browse/DBA-1224","DBA-1224")</f>
        <v>DBA-1224</v>
      </c>
      <c r="B3436" s="6" t="s">
        <v>21</v>
      </c>
      <c r="C3436" s="6" t="s">
        <v>14287</v>
      </c>
      <c r="D3436" s="8" t="s">
        <v>17</v>
      </c>
      <c r="E3436" s="6" t="s">
        <v>23</v>
      </c>
      <c r="F3436" s="6" t="s">
        <v>31</v>
      </c>
      <c r="G3436" s="6" t="s">
        <v>14288</v>
      </c>
      <c r="H3436" s="10">
        <v>45770</v>
      </c>
      <c r="I3436" s="6" t="s">
        <v>14289</v>
      </c>
      <c r="J3436" s="6" t="s">
        <v>56</v>
      </c>
      <c r="K3436" s="6" t="s">
        <v>55</v>
      </c>
      <c r="L3436" s="6" t="s">
        <v>56</v>
      </c>
      <c r="M3436" s="6" t="s">
        <v>14290</v>
      </c>
    </row>
    <row r="3437" spans="1:13" ht="13" x14ac:dyDescent="0.15">
      <c r="A3437" s="5" t="str">
        <f>HYPERLINK("https://onemount.atlassian.net/browse/DBA-1222","DBA-1222")</f>
        <v>DBA-1222</v>
      </c>
      <c r="B3437" s="6" t="s">
        <v>21</v>
      </c>
      <c r="C3437" s="6" t="s">
        <v>14291</v>
      </c>
      <c r="D3437" s="8" t="s">
        <v>17</v>
      </c>
      <c r="E3437" s="6" t="s">
        <v>23</v>
      </c>
      <c r="F3437" s="6" t="s">
        <v>24</v>
      </c>
      <c r="G3437" s="6" t="s">
        <v>14292</v>
      </c>
      <c r="H3437" s="10">
        <v>45768</v>
      </c>
      <c r="I3437" s="6" t="s">
        <v>14293</v>
      </c>
      <c r="J3437" s="6" t="s">
        <v>13116</v>
      </c>
      <c r="K3437" s="6" t="s">
        <v>35</v>
      </c>
      <c r="L3437" s="6" t="s">
        <v>276</v>
      </c>
      <c r="M3437" s="6" t="s">
        <v>14294</v>
      </c>
    </row>
    <row r="3438" spans="1:13" ht="13" x14ac:dyDescent="0.15">
      <c r="A3438" s="5" t="str">
        <f>HYPERLINK("https://onemount.atlassian.net/browse/DBA-1221","DBA-1221")</f>
        <v>DBA-1221</v>
      </c>
      <c r="B3438" s="6" t="s">
        <v>21</v>
      </c>
      <c r="C3438" s="6" t="s">
        <v>14287</v>
      </c>
      <c r="D3438" s="8" t="s">
        <v>17</v>
      </c>
      <c r="E3438" s="6" t="s">
        <v>23</v>
      </c>
      <c r="F3438" s="6" t="s">
        <v>31</v>
      </c>
      <c r="G3438" s="6" t="s">
        <v>14295</v>
      </c>
      <c r="H3438" s="10">
        <v>45770</v>
      </c>
      <c r="I3438" s="6" t="s">
        <v>14296</v>
      </c>
      <c r="J3438" s="6" t="s">
        <v>56</v>
      </c>
      <c r="K3438" s="6" t="s">
        <v>55</v>
      </c>
      <c r="L3438" s="6" t="s">
        <v>56</v>
      </c>
      <c r="M3438" s="6" t="s">
        <v>14297</v>
      </c>
    </row>
    <row r="3439" spans="1:13" ht="13" x14ac:dyDescent="0.15">
      <c r="A3439" s="5" t="str">
        <f>HYPERLINK("https://onemount.atlassian.net/browse/DBA-1220","DBA-1220")</f>
        <v>DBA-1220</v>
      </c>
      <c r="B3439" s="6" t="s">
        <v>21</v>
      </c>
      <c r="C3439" s="6" t="s">
        <v>14087</v>
      </c>
      <c r="D3439" s="8" t="s">
        <v>17</v>
      </c>
      <c r="E3439" s="6" t="s">
        <v>23</v>
      </c>
      <c r="F3439" s="6" t="s">
        <v>24</v>
      </c>
      <c r="G3439" s="6" t="s">
        <v>14298</v>
      </c>
      <c r="H3439" s="10">
        <v>45768</v>
      </c>
      <c r="I3439" s="6" t="s">
        <v>14299</v>
      </c>
      <c r="J3439" s="6" t="s">
        <v>254</v>
      </c>
      <c r="K3439" s="6" t="s">
        <v>55</v>
      </c>
      <c r="L3439" s="6" t="s">
        <v>254</v>
      </c>
      <c r="M3439" s="6" t="s">
        <v>14300</v>
      </c>
    </row>
    <row r="3440" spans="1:13" ht="13" x14ac:dyDescent="0.15">
      <c r="A3440" s="5" t="str">
        <f>HYPERLINK("https://onemount.atlassian.net/browse/DBA-1219","DBA-1219")</f>
        <v>DBA-1219</v>
      </c>
      <c r="B3440" s="6" t="s">
        <v>21</v>
      </c>
      <c r="C3440" s="6" t="s">
        <v>13853</v>
      </c>
      <c r="D3440" s="8" t="s">
        <v>17</v>
      </c>
      <c r="E3440" s="6" t="s">
        <v>23</v>
      </c>
      <c r="F3440" s="6" t="s">
        <v>24</v>
      </c>
      <c r="G3440" s="6" t="s">
        <v>14301</v>
      </c>
      <c r="H3440" s="10">
        <v>45769</v>
      </c>
      <c r="I3440" s="6" t="s">
        <v>14302</v>
      </c>
      <c r="J3440" s="6" t="s">
        <v>34</v>
      </c>
      <c r="K3440" s="6" t="s">
        <v>35</v>
      </c>
      <c r="L3440" s="6" t="s">
        <v>36</v>
      </c>
      <c r="M3440" s="6" t="s">
        <v>14303</v>
      </c>
    </row>
    <row r="3441" spans="1:13" ht="13" x14ac:dyDescent="0.15">
      <c r="A3441" s="5" t="str">
        <f>HYPERLINK("https://onemount.atlassian.net/browse/DBA-1218","DBA-1218")</f>
        <v>DBA-1218</v>
      </c>
      <c r="B3441" s="6" t="s">
        <v>21</v>
      </c>
      <c r="C3441" s="6" t="s">
        <v>14304</v>
      </c>
      <c r="D3441" s="8" t="s">
        <v>17</v>
      </c>
      <c r="E3441" s="6" t="s">
        <v>23</v>
      </c>
      <c r="F3441" s="6" t="s">
        <v>24</v>
      </c>
      <c r="G3441" s="6" t="s">
        <v>14305</v>
      </c>
      <c r="H3441" s="10">
        <v>45769</v>
      </c>
      <c r="I3441" s="6" t="s">
        <v>14306</v>
      </c>
      <c r="J3441" s="6" t="s">
        <v>906</v>
      </c>
      <c r="K3441" s="6" t="s">
        <v>55</v>
      </c>
      <c r="L3441" s="6" t="s">
        <v>916</v>
      </c>
      <c r="M3441" s="6" t="s">
        <v>14307</v>
      </c>
    </row>
    <row r="3442" spans="1:13" ht="13" x14ac:dyDescent="0.15">
      <c r="A3442" s="5" t="str">
        <f>HYPERLINK("https://onemount.atlassian.net/browse/DBA-1217","DBA-1217")</f>
        <v>DBA-1217</v>
      </c>
      <c r="B3442" s="6" t="s">
        <v>21</v>
      </c>
      <c r="C3442" s="6" t="s">
        <v>14308</v>
      </c>
      <c r="D3442" s="8" t="s">
        <v>17</v>
      </c>
      <c r="E3442" s="6" t="s">
        <v>23</v>
      </c>
      <c r="F3442" s="6" t="s">
        <v>31</v>
      </c>
      <c r="G3442" s="6" t="s">
        <v>14309</v>
      </c>
      <c r="H3442" s="10">
        <v>45769</v>
      </c>
      <c r="I3442" s="6" t="s">
        <v>14310</v>
      </c>
      <c r="J3442" s="6" t="s">
        <v>13116</v>
      </c>
      <c r="K3442" s="6" t="s">
        <v>35</v>
      </c>
      <c r="L3442" s="6" t="s">
        <v>276</v>
      </c>
      <c r="M3442" s="6" t="s">
        <v>14311</v>
      </c>
    </row>
    <row r="3443" spans="1:13" ht="13" x14ac:dyDescent="0.15">
      <c r="A3443" s="5" t="str">
        <f>HYPERLINK("https://onemount.atlassian.net/browse/DBA-1216","DBA-1216")</f>
        <v>DBA-1216</v>
      </c>
      <c r="B3443" s="6" t="s">
        <v>21</v>
      </c>
      <c r="C3443" s="6" t="s">
        <v>14312</v>
      </c>
      <c r="D3443" s="8" t="s">
        <v>17</v>
      </c>
      <c r="E3443" s="6" t="s">
        <v>23</v>
      </c>
      <c r="F3443" s="6" t="s">
        <v>31</v>
      </c>
      <c r="G3443" s="6" t="s">
        <v>14313</v>
      </c>
      <c r="H3443" s="10">
        <v>45766</v>
      </c>
      <c r="I3443" s="6" t="s">
        <v>14314</v>
      </c>
      <c r="J3443" s="6" t="s">
        <v>14315</v>
      </c>
      <c r="K3443" s="6" t="s">
        <v>35</v>
      </c>
      <c r="L3443" s="6" t="s">
        <v>56</v>
      </c>
      <c r="M3443" s="6" t="s">
        <v>14316</v>
      </c>
    </row>
    <row r="3444" spans="1:13" ht="13" x14ac:dyDescent="0.15">
      <c r="A3444" s="5" t="str">
        <f>HYPERLINK("https://onemount.atlassian.net/browse/DBA-1215","DBA-1215")</f>
        <v>DBA-1215</v>
      </c>
      <c r="B3444" s="6" t="s">
        <v>21</v>
      </c>
      <c r="C3444" s="6" t="s">
        <v>14317</v>
      </c>
      <c r="D3444" s="8" t="s">
        <v>17</v>
      </c>
      <c r="E3444" s="6" t="s">
        <v>23</v>
      </c>
      <c r="F3444" s="6" t="s">
        <v>24</v>
      </c>
      <c r="G3444" s="6" t="s">
        <v>14318</v>
      </c>
      <c r="H3444" s="10">
        <v>45766</v>
      </c>
      <c r="I3444" s="6" t="s">
        <v>14319</v>
      </c>
      <c r="J3444" s="6" t="s">
        <v>55</v>
      </c>
      <c r="K3444" s="6" t="s">
        <v>55</v>
      </c>
      <c r="L3444" s="6" t="s">
        <v>56</v>
      </c>
      <c r="M3444" s="6" t="s">
        <v>14320</v>
      </c>
    </row>
    <row r="3445" spans="1:13" ht="13" x14ac:dyDescent="0.15">
      <c r="A3445" s="5" t="str">
        <f>HYPERLINK("https://onemount.atlassian.net/browse/DBA-1214","DBA-1214")</f>
        <v>DBA-1214</v>
      </c>
      <c r="B3445" s="6" t="s">
        <v>21</v>
      </c>
      <c r="C3445" s="6" t="s">
        <v>14321</v>
      </c>
      <c r="D3445" s="8" t="s">
        <v>17</v>
      </c>
      <c r="E3445" s="6" t="s">
        <v>23</v>
      </c>
      <c r="F3445" s="6" t="s">
        <v>24</v>
      </c>
      <c r="G3445" s="6" t="s">
        <v>14322</v>
      </c>
      <c r="H3445" s="10">
        <v>45767</v>
      </c>
      <c r="I3445" s="6" t="s">
        <v>14323</v>
      </c>
      <c r="J3445" s="6" t="s">
        <v>85</v>
      </c>
      <c r="K3445" s="6" t="s">
        <v>55</v>
      </c>
      <c r="L3445" s="6" t="s">
        <v>270</v>
      </c>
      <c r="M3445" s="6" t="s">
        <v>14324</v>
      </c>
    </row>
    <row r="3446" spans="1:13" ht="13" x14ac:dyDescent="0.15">
      <c r="A3446" s="5" t="str">
        <f>HYPERLINK("https://onemount.atlassian.net/browse/DBA-1213","DBA-1213")</f>
        <v>DBA-1213</v>
      </c>
      <c r="B3446" s="6" t="s">
        <v>21</v>
      </c>
      <c r="C3446" s="6" t="s">
        <v>14325</v>
      </c>
      <c r="D3446" s="8" t="s">
        <v>17</v>
      </c>
      <c r="E3446" s="6" t="s">
        <v>23</v>
      </c>
      <c r="F3446" s="6" t="s">
        <v>24</v>
      </c>
      <c r="G3446" s="6" t="s">
        <v>14326</v>
      </c>
      <c r="H3446" s="10">
        <v>45766</v>
      </c>
      <c r="I3446" s="6" t="s">
        <v>14327</v>
      </c>
      <c r="J3446" s="6" t="s">
        <v>707</v>
      </c>
      <c r="K3446" s="6" t="s">
        <v>35</v>
      </c>
      <c r="L3446" s="6" t="s">
        <v>707</v>
      </c>
      <c r="M3446" s="6" t="s">
        <v>14328</v>
      </c>
    </row>
    <row r="3447" spans="1:13" ht="13" x14ac:dyDescent="0.15">
      <c r="A3447" s="5" t="str">
        <f>HYPERLINK("https://onemount.atlassian.net/browse/DBA-1212","DBA-1212")</f>
        <v>DBA-1212</v>
      </c>
      <c r="B3447" s="6" t="s">
        <v>21</v>
      </c>
      <c r="C3447" s="6" t="s">
        <v>14329</v>
      </c>
      <c r="D3447" s="8" t="s">
        <v>17</v>
      </c>
      <c r="E3447" s="6" t="s">
        <v>23</v>
      </c>
      <c r="F3447" s="6" t="s">
        <v>31</v>
      </c>
      <c r="G3447" s="6" t="s">
        <v>14330</v>
      </c>
      <c r="H3447" s="10">
        <v>45766</v>
      </c>
      <c r="I3447" s="6" t="s">
        <v>14331</v>
      </c>
      <c r="J3447" s="6" t="s">
        <v>254</v>
      </c>
      <c r="K3447" s="6" t="s">
        <v>55</v>
      </c>
      <c r="L3447" s="6" t="s">
        <v>254</v>
      </c>
      <c r="M3447" s="6" t="s">
        <v>14332</v>
      </c>
    </row>
    <row r="3448" spans="1:13" ht="13" x14ac:dyDescent="0.15">
      <c r="A3448" s="5" t="str">
        <f>HYPERLINK("https://onemount.atlassian.net/browse/DBA-1208","DBA-1208")</f>
        <v>DBA-1208</v>
      </c>
      <c r="B3448" s="6" t="s">
        <v>21</v>
      </c>
      <c r="C3448" s="6" t="s">
        <v>14333</v>
      </c>
      <c r="D3448" s="8" t="s">
        <v>17</v>
      </c>
      <c r="E3448" s="6" t="s">
        <v>23</v>
      </c>
      <c r="F3448" s="6" t="s">
        <v>96</v>
      </c>
      <c r="G3448" s="6" t="s">
        <v>14334</v>
      </c>
      <c r="H3448" s="10">
        <v>45770</v>
      </c>
      <c r="I3448" s="6" t="s">
        <v>14335</v>
      </c>
      <c r="J3448" s="6" t="s">
        <v>14336</v>
      </c>
      <c r="K3448" s="6" t="s">
        <v>165</v>
      </c>
      <c r="L3448" s="6" t="s">
        <v>1078</v>
      </c>
      <c r="M3448" s="6" t="s">
        <v>14337</v>
      </c>
    </row>
    <row r="3449" spans="1:13" ht="13" x14ac:dyDescent="0.15">
      <c r="A3449" s="5" t="str">
        <f>HYPERLINK("https://onemount.atlassian.net/browse/DBA-1207","DBA-1207")</f>
        <v>DBA-1207</v>
      </c>
      <c r="B3449" s="6" t="s">
        <v>21</v>
      </c>
      <c r="C3449" s="6" t="s">
        <v>14338</v>
      </c>
      <c r="D3449" s="8" t="s">
        <v>17</v>
      </c>
      <c r="E3449" s="6" t="s">
        <v>23</v>
      </c>
      <c r="F3449" s="6" t="s">
        <v>24</v>
      </c>
      <c r="G3449" s="6" t="s">
        <v>14339</v>
      </c>
      <c r="H3449" s="10">
        <v>45766</v>
      </c>
      <c r="I3449" s="6" t="s">
        <v>14340</v>
      </c>
      <c r="J3449" s="6" t="s">
        <v>628</v>
      </c>
      <c r="K3449" s="6" t="s">
        <v>35</v>
      </c>
      <c r="L3449" s="6" t="s">
        <v>628</v>
      </c>
      <c r="M3449" s="6" t="s">
        <v>14341</v>
      </c>
    </row>
    <row r="3450" spans="1:13" ht="13" x14ac:dyDescent="0.15">
      <c r="A3450" s="5" t="str">
        <f>HYPERLINK("https://onemount.atlassian.net/browse/DBA-1206","DBA-1206")</f>
        <v>DBA-1206</v>
      </c>
      <c r="B3450" s="6" t="s">
        <v>21</v>
      </c>
      <c r="C3450" s="6" t="s">
        <v>14342</v>
      </c>
      <c r="D3450" s="8" t="s">
        <v>17</v>
      </c>
      <c r="E3450" s="6" t="s">
        <v>23</v>
      </c>
      <c r="F3450" s="6" t="s">
        <v>31</v>
      </c>
      <c r="G3450" s="6" t="s">
        <v>14343</v>
      </c>
      <c r="H3450" s="10">
        <v>45766</v>
      </c>
      <c r="I3450" s="6" t="s">
        <v>14344</v>
      </c>
      <c r="J3450" s="6" t="s">
        <v>254</v>
      </c>
      <c r="K3450" s="6" t="s">
        <v>55</v>
      </c>
      <c r="L3450" s="6" t="s">
        <v>254</v>
      </c>
      <c r="M3450" s="6" t="s">
        <v>14345</v>
      </c>
    </row>
    <row r="3451" spans="1:13" ht="13" x14ac:dyDescent="0.15">
      <c r="A3451" s="5" t="str">
        <f>HYPERLINK("https://onemount.atlassian.net/browse/DBA-1205","DBA-1205")</f>
        <v>DBA-1205</v>
      </c>
      <c r="B3451" s="6" t="s">
        <v>21</v>
      </c>
      <c r="C3451" s="6" t="s">
        <v>14346</v>
      </c>
      <c r="D3451" s="8" t="s">
        <v>17</v>
      </c>
      <c r="E3451" s="6" t="s">
        <v>23</v>
      </c>
      <c r="F3451" s="6" t="s">
        <v>31</v>
      </c>
      <c r="G3451" s="6" t="s">
        <v>14347</v>
      </c>
      <c r="H3451" s="10">
        <v>45765</v>
      </c>
      <c r="I3451" s="6" t="s">
        <v>14348</v>
      </c>
      <c r="J3451" s="6" t="s">
        <v>254</v>
      </c>
      <c r="K3451" s="6" t="s">
        <v>55</v>
      </c>
      <c r="L3451" s="6" t="s">
        <v>254</v>
      </c>
      <c r="M3451" s="6" t="s">
        <v>14349</v>
      </c>
    </row>
    <row r="3452" spans="1:13" ht="13" x14ac:dyDescent="0.15">
      <c r="A3452" s="5" t="str">
        <f>HYPERLINK("https://onemount.atlassian.net/browse/DBA-1204","DBA-1204")</f>
        <v>DBA-1204</v>
      </c>
      <c r="B3452" s="6" t="s">
        <v>21</v>
      </c>
      <c r="C3452" s="6" t="s">
        <v>14350</v>
      </c>
      <c r="D3452" s="8" t="s">
        <v>17</v>
      </c>
      <c r="E3452" s="6" t="s">
        <v>23</v>
      </c>
      <c r="F3452" s="6" t="s">
        <v>24</v>
      </c>
      <c r="G3452" s="6" t="s">
        <v>14351</v>
      </c>
      <c r="H3452" s="10">
        <v>45764</v>
      </c>
      <c r="I3452" s="6" t="s">
        <v>14352</v>
      </c>
      <c r="J3452" s="6" t="s">
        <v>1555</v>
      </c>
      <c r="K3452" s="6" t="s">
        <v>55</v>
      </c>
      <c r="L3452" s="6" t="s">
        <v>906</v>
      </c>
      <c r="M3452" s="6" t="s">
        <v>14353</v>
      </c>
    </row>
    <row r="3453" spans="1:13" ht="13" x14ac:dyDescent="0.15">
      <c r="A3453" s="5" t="str">
        <f>HYPERLINK("https://onemount.atlassian.net/browse/DBA-1203","DBA-1203")</f>
        <v>DBA-1203</v>
      </c>
      <c r="B3453" s="6" t="s">
        <v>21</v>
      </c>
      <c r="C3453" s="6" t="s">
        <v>14354</v>
      </c>
      <c r="D3453" s="8" t="s">
        <v>17</v>
      </c>
      <c r="E3453" s="6" t="s">
        <v>23</v>
      </c>
      <c r="F3453" s="6" t="s">
        <v>96</v>
      </c>
      <c r="G3453" s="6" t="s">
        <v>14355</v>
      </c>
      <c r="H3453" s="10">
        <v>45765</v>
      </c>
      <c r="I3453" s="6" t="s">
        <v>14356</v>
      </c>
      <c r="J3453" s="6" t="s">
        <v>165</v>
      </c>
      <c r="K3453" s="6" t="s">
        <v>165</v>
      </c>
      <c r="L3453" s="6" t="s">
        <v>998</v>
      </c>
      <c r="M3453" s="6" t="s">
        <v>14357</v>
      </c>
    </row>
    <row r="3454" spans="1:13" ht="13" x14ac:dyDescent="0.15">
      <c r="A3454" s="5" t="str">
        <f>HYPERLINK("https://onemount.atlassian.net/browse/DBA-1202","DBA-1202")</f>
        <v>DBA-1202</v>
      </c>
      <c r="B3454" s="6" t="s">
        <v>21</v>
      </c>
      <c r="C3454" s="6" t="s">
        <v>14358</v>
      </c>
      <c r="D3454" s="8" t="s">
        <v>17</v>
      </c>
      <c r="E3454" s="6" t="s">
        <v>23</v>
      </c>
      <c r="F3454" s="6" t="s">
        <v>96</v>
      </c>
      <c r="G3454" s="6" t="s">
        <v>14359</v>
      </c>
      <c r="H3454" s="10">
        <v>45765</v>
      </c>
      <c r="I3454" s="6" t="s">
        <v>14360</v>
      </c>
      <c r="J3454" s="6" t="s">
        <v>165</v>
      </c>
      <c r="K3454" s="6" t="s">
        <v>165</v>
      </c>
      <c r="L3454" s="6" t="s">
        <v>998</v>
      </c>
      <c r="M3454" s="6" t="s">
        <v>14361</v>
      </c>
    </row>
    <row r="3455" spans="1:13" ht="13" x14ac:dyDescent="0.15">
      <c r="A3455" s="5" t="str">
        <f>HYPERLINK("https://onemount.atlassian.net/browse/DBA-1201","DBA-1201")</f>
        <v>DBA-1201</v>
      </c>
      <c r="B3455" s="6" t="s">
        <v>21</v>
      </c>
      <c r="C3455" s="6" t="s">
        <v>14362</v>
      </c>
      <c r="D3455" s="8" t="s">
        <v>17</v>
      </c>
      <c r="E3455" s="6" t="s">
        <v>23</v>
      </c>
      <c r="F3455" s="6" t="s">
        <v>96</v>
      </c>
      <c r="G3455" s="6" t="s">
        <v>14363</v>
      </c>
      <c r="H3455" s="10">
        <v>45765</v>
      </c>
      <c r="I3455" s="6" t="s">
        <v>14364</v>
      </c>
      <c r="J3455" s="6" t="s">
        <v>8065</v>
      </c>
      <c r="K3455" s="6" t="s">
        <v>165</v>
      </c>
      <c r="L3455" s="6" t="s">
        <v>1084</v>
      </c>
      <c r="M3455" s="6" t="s">
        <v>14365</v>
      </c>
    </row>
    <row r="3456" spans="1:13" ht="13" x14ac:dyDescent="0.15">
      <c r="A3456" s="5" t="str">
        <f>HYPERLINK("https://onemount.atlassian.net/browse/DBA-1200","DBA-1200")</f>
        <v>DBA-1200</v>
      </c>
      <c r="B3456" s="6" t="s">
        <v>21</v>
      </c>
      <c r="C3456" s="6" t="s">
        <v>14366</v>
      </c>
      <c r="D3456" s="8" t="s">
        <v>17</v>
      </c>
      <c r="E3456" s="6" t="s">
        <v>23</v>
      </c>
      <c r="F3456" s="6" t="s">
        <v>24</v>
      </c>
      <c r="G3456" s="6" t="s">
        <v>14367</v>
      </c>
      <c r="H3456" s="10">
        <v>45764</v>
      </c>
      <c r="I3456" s="6" t="s">
        <v>14368</v>
      </c>
      <c r="J3456" s="6" t="s">
        <v>14369</v>
      </c>
      <c r="K3456" s="6" t="s">
        <v>55</v>
      </c>
      <c r="L3456" s="6" t="s">
        <v>270</v>
      </c>
      <c r="M3456" s="6" t="s">
        <v>14370</v>
      </c>
    </row>
    <row r="3457" spans="1:13" ht="13" x14ac:dyDescent="0.15">
      <c r="A3457" s="5" t="str">
        <f>HYPERLINK("https://onemount.atlassian.net/browse/DBA-1199","DBA-1199")</f>
        <v>DBA-1199</v>
      </c>
      <c r="B3457" s="6" t="s">
        <v>21</v>
      </c>
      <c r="C3457" s="6" t="s">
        <v>14371</v>
      </c>
      <c r="D3457" s="8" t="s">
        <v>17</v>
      </c>
      <c r="E3457" s="6" t="s">
        <v>23</v>
      </c>
      <c r="F3457" s="6" t="s">
        <v>24</v>
      </c>
      <c r="G3457" s="6" t="s">
        <v>14372</v>
      </c>
      <c r="H3457" s="10">
        <v>45765</v>
      </c>
      <c r="I3457" s="6" t="s">
        <v>14373</v>
      </c>
      <c r="J3457" s="6" t="s">
        <v>276</v>
      </c>
      <c r="K3457" s="6" t="s">
        <v>35</v>
      </c>
      <c r="L3457" s="6" t="s">
        <v>49</v>
      </c>
      <c r="M3457" s="6" t="s">
        <v>14374</v>
      </c>
    </row>
    <row r="3458" spans="1:13" ht="13" x14ac:dyDescent="0.15">
      <c r="A3458" s="5" t="str">
        <f>HYPERLINK("https://onemount.atlassian.net/browse/DBA-1198","DBA-1198")</f>
        <v>DBA-1198</v>
      </c>
      <c r="B3458" s="6" t="s">
        <v>21</v>
      </c>
      <c r="C3458" s="6" t="s">
        <v>14375</v>
      </c>
      <c r="D3458" s="8" t="s">
        <v>17</v>
      </c>
      <c r="E3458" s="6" t="s">
        <v>23</v>
      </c>
      <c r="F3458" s="6" t="s">
        <v>24</v>
      </c>
      <c r="G3458" s="6" t="s">
        <v>14376</v>
      </c>
      <c r="H3458" s="10">
        <v>45764</v>
      </c>
      <c r="I3458" s="6" t="s">
        <v>14377</v>
      </c>
      <c r="J3458" s="6" t="s">
        <v>7506</v>
      </c>
      <c r="K3458" s="6" t="s">
        <v>55</v>
      </c>
      <c r="L3458" s="6" t="s">
        <v>738</v>
      </c>
      <c r="M3458" s="6" t="s">
        <v>14378</v>
      </c>
    </row>
    <row r="3459" spans="1:13" ht="13" x14ac:dyDescent="0.15">
      <c r="A3459" s="5" t="str">
        <f>HYPERLINK("https://onemount.atlassian.net/browse/DBA-1197","DBA-1197")</f>
        <v>DBA-1197</v>
      </c>
      <c r="B3459" s="6" t="s">
        <v>21</v>
      </c>
      <c r="C3459" s="6" t="s">
        <v>14379</v>
      </c>
      <c r="D3459" s="8" t="s">
        <v>17</v>
      </c>
      <c r="E3459" s="6" t="s">
        <v>23</v>
      </c>
      <c r="F3459" s="6" t="s">
        <v>96</v>
      </c>
      <c r="G3459" s="6" t="s">
        <v>14380</v>
      </c>
      <c r="H3459" s="10">
        <v>45765</v>
      </c>
      <c r="I3459" s="6" t="s">
        <v>14381</v>
      </c>
      <c r="J3459" s="6" t="s">
        <v>14382</v>
      </c>
      <c r="K3459" s="6" t="s">
        <v>165</v>
      </c>
      <c r="L3459" s="6" t="s">
        <v>1076</v>
      </c>
      <c r="M3459" s="6" t="s">
        <v>14383</v>
      </c>
    </row>
    <row r="3460" spans="1:13" ht="13" x14ac:dyDescent="0.15">
      <c r="A3460" s="5" t="str">
        <f>HYPERLINK("https://onemount.atlassian.net/browse/DBA-1196","DBA-1196")</f>
        <v>DBA-1196</v>
      </c>
      <c r="B3460" s="6" t="s">
        <v>21</v>
      </c>
      <c r="C3460" s="6" t="s">
        <v>14384</v>
      </c>
      <c r="D3460" s="8" t="s">
        <v>17</v>
      </c>
      <c r="E3460" s="6" t="s">
        <v>23</v>
      </c>
      <c r="F3460" s="6" t="s">
        <v>24</v>
      </c>
      <c r="G3460" s="6" t="s">
        <v>14385</v>
      </c>
      <c r="H3460" s="10">
        <v>45764</v>
      </c>
      <c r="I3460" s="6" t="s">
        <v>14386</v>
      </c>
      <c r="J3460" s="6" t="s">
        <v>1140</v>
      </c>
      <c r="K3460" s="6" t="s">
        <v>28</v>
      </c>
      <c r="L3460" s="6" t="s">
        <v>1140</v>
      </c>
      <c r="M3460" s="6" t="s">
        <v>14387</v>
      </c>
    </row>
    <row r="3461" spans="1:13" ht="13" x14ac:dyDescent="0.15">
      <c r="A3461" s="5" t="str">
        <f>HYPERLINK("https://onemount.atlassian.net/browse/DBA-1195","DBA-1195")</f>
        <v>DBA-1195</v>
      </c>
      <c r="B3461" s="6" t="s">
        <v>21</v>
      </c>
      <c r="C3461" s="6" t="s">
        <v>14258</v>
      </c>
      <c r="D3461" s="8" t="s">
        <v>17</v>
      </c>
      <c r="E3461" s="6" t="s">
        <v>23</v>
      </c>
      <c r="F3461" s="6" t="s">
        <v>31</v>
      </c>
      <c r="G3461" s="6" t="s">
        <v>14388</v>
      </c>
      <c r="H3461" s="10">
        <v>45765</v>
      </c>
      <c r="I3461" s="6" t="s">
        <v>14389</v>
      </c>
      <c r="J3461" s="6" t="s">
        <v>14390</v>
      </c>
      <c r="K3461" s="6" t="s">
        <v>35</v>
      </c>
      <c r="L3461" s="6" t="s">
        <v>981</v>
      </c>
      <c r="M3461" s="6" t="s">
        <v>14391</v>
      </c>
    </row>
    <row r="3462" spans="1:13" ht="13" x14ac:dyDescent="0.15">
      <c r="A3462" s="5" t="str">
        <f>HYPERLINK("https://onemount.atlassian.net/browse/DBA-1194","DBA-1194")</f>
        <v>DBA-1194</v>
      </c>
      <c r="B3462" s="6" t="s">
        <v>21</v>
      </c>
      <c r="C3462" s="6" t="s">
        <v>14392</v>
      </c>
      <c r="D3462" s="8" t="s">
        <v>17</v>
      </c>
      <c r="E3462" s="6" t="s">
        <v>23</v>
      </c>
      <c r="F3462" s="6" t="s">
        <v>96</v>
      </c>
      <c r="G3462" s="6" t="s">
        <v>14393</v>
      </c>
      <c r="H3462" s="10">
        <v>45777</v>
      </c>
      <c r="I3462" s="6" t="s">
        <v>14394</v>
      </c>
      <c r="J3462" s="6" t="s">
        <v>165</v>
      </c>
      <c r="K3462" s="6" t="s">
        <v>165</v>
      </c>
      <c r="L3462" s="6" t="s">
        <v>1091</v>
      </c>
      <c r="M3462" s="6" t="s">
        <v>14395</v>
      </c>
    </row>
    <row r="3463" spans="1:13" ht="13" x14ac:dyDescent="0.15">
      <c r="A3463" s="5" t="str">
        <f>HYPERLINK("https://onemount.atlassian.net/browse/DBA-1193","DBA-1193")</f>
        <v>DBA-1193</v>
      </c>
      <c r="B3463" s="6" t="s">
        <v>21</v>
      </c>
      <c r="C3463" s="6" t="s">
        <v>14396</v>
      </c>
      <c r="D3463" s="8" t="s">
        <v>17</v>
      </c>
      <c r="E3463" s="6" t="s">
        <v>23</v>
      </c>
      <c r="F3463" s="6" t="s">
        <v>24</v>
      </c>
      <c r="G3463" s="6" t="s">
        <v>14397</v>
      </c>
      <c r="H3463" s="10">
        <v>45762</v>
      </c>
      <c r="I3463" s="6" t="s">
        <v>14398</v>
      </c>
      <c r="J3463" s="6" t="s">
        <v>992</v>
      </c>
      <c r="K3463" s="6" t="s">
        <v>55</v>
      </c>
      <c r="L3463" s="6" t="s">
        <v>906</v>
      </c>
      <c r="M3463" s="6" t="s">
        <v>14399</v>
      </c>
    </row>
    <row r="3464" spans="1:13" ht="13" x14ac:dyDescent="0.15">
      <c r="A3464" s="5" t="str">
        <f>HYPERLINK("https://onemount.atlassian.net/browse/DBA-1192","DBA-1192")</f>
        <v>DBA-1192</v>
      </c>
      <c r="B3464" s="6" t="s">
        <v>21</v>
      </c>
      <c r="C3464" s="6" t="s">
        <v>14400</v>
      </c>
      <c r="D3464" s="8" t="s">
        <v>17</v>
      </c>
      <c r="E3464" s="6" t="s">
        <v>23</v>
      </c>
      <c r="F3464" s="6" t="s">
        <v>96</v>
      </c>
      <c r="G3464" s="6" t="s">
        <v>14401</v>
      </c>
      <c r="H3464" s="10">
        <v>45765</v>
      </c>
      <c r="I3464" s="6" t="s">
        <v>14402</v>
      </c>
      <c r="J3464" s="6" t="s">
        <v>1898</v>
      </c>
      <c r="K3464" s="6" t="s">
        <v>165</v>
      </c>
      <c r="L3464" s="6" t="s">
        <v>1097</v>
      </c>
      <c r="M3464" s="6" t="s">
        <v>14403</v>
      </c>
    </row>
    <row r="3465" spans="1:13" ht="13" x14ac:dyDescent="0.15">
      <c r="A3465" s="5" t="str">
        <f>HYPERLINK("https://onemount.atlassian.net/browse/DBA-1191","DBA-1191")</f>
        <v>DBA-1191</v>
      </c>
      <c r="B3465" s="6" t="s">
        <v>21</v>
      </c>
      <c r="C3465" s="6" t="s">
        <v>14404</v>
      </c>
      <c r="D3465" s="8" t="s">
        <v>17</v>
      </c>
      <c r="E3465" s="6" t="s">
        <v>23</v>
      </c>
      <c r="F3465" s="6" t="s">
        <v>31</v>
      </c>
      <c r="G3465" s="6" t="s">
        <v>14405</v>
      </c>
      <c r="H3465" s="10">
        <v>45764</v>
      </c>
      <c r="I3465" s="6" t="s">
        <v>14406</v>
      </c>
      <c r="J3465" s="6" t="s">
        <v>56</v>
      </c>
      <c r="K3465" s="6" t="s">
        <v>55</v>
      </c>
      <c r="L3465" s="6" t="s">
        <v>56</v>
      </c>
      <c r="M3465" s="6" t="s">
        <v>14407</v>
      </c>
    </row>
    <row r="3466" spans="1:13" ht="13" x14ac:dyDescent="0.15">
      <c r="A3466" s="5" t="str">
        <f>HYPERLINK("https://onemount.atlassian.net/browse/DBA-1190","DBA-1190")</f>
        <v>DBA-1190</v>
      </c>
      <c r="B3466" s="6" t="s">
        <v>21</v>
      </c>
      <c r="C3466" s="6" t="s">
        <v>14408</v>
      </c>
      <c r="D3466" s="8" t="s">
        <v>17</v>
      </c>
      <c r="E3466" s="6" t="s">
        <v>23</v>
      </c>
      <c r="F3466" s="6" t="s">
        <v>24</v>
      </c>
      <c r="G3466" s="6" t="s">
        <v>14409</v>
      </c>
      <c r="H3466" s="10">
        <v>45761</v>
      </c>
      <c r="I3466" s="6" t="s">
        <v>14410</v>
      </c>
      <c r="J3466" s="6" t="s">
        <v>55</v>
      </c>
      <c r="K3466" s="6" t="s">
        <v>55</v>
      </c>
      <c r="L3466" s="6" t="s">
        <v>906</v>
      </c>
      <c r="M3466" s="6" t="s">
        <v>14411</v>
      </c>
    </row>
    <row r="3467" spans="1:13" ht="13" x14ac:dyDescent="0.15">
      <c r="A3467" s="5" t="str">
        <f>HYPERLINK("https://onemount.atlassian.net/browse/DBA-1189","DBA-1189")</f>
        <v>DBA-1189</v>
      </c>
      <c r="B3467" s="6" t="s">
        <v>21</v>
      </c>
      <c r="C3467" s="6" t="s">
        <v>14412</v>
      </c>
      <c r="D3467" s="8" t="s">
        <v>17</v>
      </c>
      <c r="E3467" s="6" t="s">
        <v>23</v>
      </c>
      <c r="F3467" s="6" t="s">
        <v>24</v>
      </c>
      <c r="G3467" s="6" t="s">
        <v>14413</v>
      </c>
      <c r="H3467" s="10">
        <v>45762</v>
      </c>
      <c r="I3467" s="6" t="s">
        <v>14414</v>
      </c>
      <c r="J3467" s="6" t="s">
        <v>55</v>
      </c>
      <c r="K3467" s="6" t="s">
        <v>55</v>
      </c>
      <c r="L3467" s="6" t="s">
        <v>906</v>
      </c>
      <c r="M3467" s="6" t="s">
        <v>14415</v>
      </c>
    </row>
    <row r="3468" spans="1:13" ht="13" x14ac:dyDescent="0.15">
      <c r="A3468" s="5" t="str">
        <f>HYPERLINK("https://onemount.atlassian.net/browse/DBA-1188","DBA-1188")</f>
        <v>DBA-1188</v>
      </c>
      <c r="B3468" s="6" t="s">
        <v>21</v>
      </c>
      <c r="C3468" s="6" t="s">
        <v>14416</v>
      </c>
      <c r="D3468" s="8" t="s">
        <v>17</v>
      </c>
      <c r="E3468" s="6" t="s">
        <v>23</v>
      </c>
      <c r="F3468" s="6" t="s">
        <v>24</v>
      </c>
      <c r="G3468" s="6" t="s">
        <v>14417</v>
      </c>
      <c r="H3468" s="10">
        <v>45762</v>
      </c>
      <c r="I3468" s="6" t="s">
        <v>14418</v>
      </c>
      <c r="J3468" s="6" t="s">
        <v>992</v>
      </c>
      <c r="K3468" s="6" t="s">
        <v>55</v>
      </c>
      <c r="L3468" s="6" t="s">
        <v>906</v>
      </c>
      <c r="M3468" s="6" t="s">
        <v>14419</v>
      </c>
    </row>
    <row r="3469" spans="1:13" ht="13" x14ac:dyDescent="0.15">
      <c r="A3469" s="5" t="str">
        <f>HYPERLINK("https://onemount.atlassian.net/browse/DBA-1187","DBA-1187")</f>
        <v>DBA-1187</v>
      </c>
      <c r="B3469" s="6" t="s">
        <v>21</v>
      </c>
      <c r="C3469" s="6" t="s">
        <v>14420</v>
      </c>
      <c r="D3469" s="8" t="s">
        <v>17</v>
      </c>
      <c r="E3469" s="6" t="s">
        <v>23</v>
      </c>
      <c r="F3469" s="6" t="s">
        <v>24</v>
      </c>
      <c r="G3469" s="6" t="s">
        <v>14421</v>
      </c>
      <c r="H3469" s="10">
        <v>45763</v>
      </c>
      <c r="I3469" s="6" t="s">
        <v>14422</v>
      </c>
      <c r="J3469" s="6" t="s">
        <v>165</v>
      </c>
      <c r="K3469" s="6" t="s">
        <v>46</v>
      </c>
      <c r="L3469" s="6" t="s">
        <v>39</v>
      </c>
      <c r="M3469" s="6" t="s">
        <v>14423</v>
      </c>
    </row>
    <row r="3470" spans="1:13" ht="13" x14ac:dyDescent="0.15">
      <c r="A3470" s="5" t="str">
        <f>HYPERLINK("https://onemount.atlassian.net/browse/DBA-1186","DBA-1186")</f>
        <v>DBA-1186</v>
      </c>
      <c r="B3470" s="6" t="s">
        <v>21</v>
      </c>
      <c r="C3470" s="6" t="s">
        <v>14424</v>
      </c>
      <c r="D3470" s="8" t="s">
        <v>17</v>
      </c>
      <c r="E3470" s="6" t="s">
        <v>23</v>
      </c>
      <c r="F3470" s="6" t="s">
        <v>24</v>
      </c>
      <c r="G3470" s="6" t="s">
        <v>14425</v>
      </c>
      <c r="H3470" s="10">
        <v>45762</v>
      </c>
      <c r="I3470" s="6" t="s">
        <v>14426</v>
      </c>
      <c r="J3470" s="6" t="s">
        <v>12023</v>
      </c>
      <c r="K3470" s="6" t="s">
        <v>35</v>
      </c>
      <c r="L3470" s="6" t="s">
        <v>276</v>
      </c>
      <c r="M3470" s="6" t="s">
        <v>14427</v>
      </c>
    </row>
    <row r="3471" spans="1:13" ht="13" x14ac:dyDescent="0.15">
      <c r="A3471" s="5" t="str">
        <f>HYPERLINK("https://onemount.atlassian.net/browse/DBA-1185","DBA-1185")</f>
        <v>DBA-1185</v>
      </c>
      <c r="B3471" s="6" t="s">
        <v>21</v>
      </c>
      <c r="C3471" s="6" t="s">
        <v>14428</v>
      </c>
      <c r="D3471" s="8" t="s">
        <v>17</v>
      </c>
      <c r="E3471" s="6" t="s">
        <v>23</v>
      </c>
      <c r="F3471" s="6" t="s">
        <v>31</v>
      </c>
      <c r="G3471" s="6" t="s">
        <v>14429</v>
      </c>
      <c r="H3471" s="10">
        <v>45763</v>
      </c>
      <c r="I3471" s="6" t="s">
        <v>14430</v>
      </c>
      <c r="J3471" s="6" t="s">
        <v>638</v>
      </c>
      <c r="K3471" s="6" t="s">
        <v>46</v>
      </c>
      <c r="L3471" s="6" t="s">
        <v>638</v>
      </c>
      <c r="M3471" s="6" t="s">
        <v>14431</v>
      </c>
    </row>
    <row r="3472" spans="1:13" ht="13" x14ac:dyDescent="0.15">
      <c r="A3472" s="5" t="str">
        <f>HYPERLINK("https://onemount.atlassian.net/browse/DBA-1184","DBA-1184")</f>
        <v>DBA-1184</v>
      </c>
      <c r="B3472" s="6" t="s">
        <v>21</v>
      </c>
      <c r="C3472" s="6" t="s">
        <v>14432</v>
      </c>
      <c r="D3472" s="8" t="s">
        <v>17</v>
      </c>
      <c r="E3472" s="6" t="s">
        <v>23</v>
      </c>
      <c r="F3472" s="6" t="s">
        <v>31</v>
      </c>
      <c r="G3472" s="6" t="s">
        <v>14433</v>
      </c>
      <c r="H3472" s="10">
        <v>45761</v>
      </c>
      <c r="I3472" s="6" t="s">
        <v>14434</v>
      </c>
      <c r="J3472" s="6" t="s">
        <v>707</v>
      </c>
      <c r="K3472" s="6" t="s">
        <v>55</v>
      </c>
      <c r="L3472" s="6" t="s">
        <v>707</v>
      </c>
      <c r="M3472" s="6" t="s">
        <v>14435</v>
      </c>
    </row>
    <row r="3473" spans="1:13" ht="13" x14ac:dyDescent="0.15">
      <c r="A3473" s="5" t="str">
        <f>HYPERLINK("https://onemount.atlassian.net/browse/DBA-1183","DBA-1183")</f>
        <v>DBA-1183</v>
      </c>
      <c r="B3473" s="6" t="s">
        <v>21</v>
      </c>
      <c r="C3473" s="6" t="s">
        <v>14436</v>
      </c>
      <c r="D3473" s="8" t="s">
        <v>17</v>
      </c>
      <c r="E3473" s="6" t="s">
        <v>23</v>
      </c>
      <c r="F3473" s="6" t="s">
        <v>31</v>
      </c>
      <c r="G3473" s="6" t="s">
        <v>14437</v>
      </c>
      <c r="H3473" s="10">
        <v>45762</v>
      </c>
      <c r="I3473" s="6" t="s">
        <v>14438</v>
      </c>
      <c r="J3473" s="6" t="s">
        <v>34</v>
      </c>
      <c r="K3473" s="6" t="s">
        <v>46</v>
      </c>
      <c r="L3473" s="6" t="s">
        <v>36</v>
      </c>
      <c r="M3473" s="6" t="s">
        <v>14439</v>
      </c>
    </row>
    <row r="3474" spans="1:13" ht="13" x14ac:dyDescent="0.15">
      <c r="A3474" s="5" t="str">
        <f>HYPERLINK("https://onemount.atlassian.net/browse/DBA-1182","DBA-1182")</f>
        <v>DBA-1182</v>
      </c>
      <c r="B3474" s="6" t="s">
        <v>21</v>
      </c>
      <c r="C3474" s="6" t="s">
        <v>14440</v>
      </c>
      <c r="D3474" s="8" t="s">
        <v>17</v>
      </c>
      <c r="E3474" s="6" t="s">
        <v>23</v>
      </c>
      <c r="F3474" s="6" t="s">
        <v>24</v>
      </c>
      <c r="G3474" s="6" t="s">
        <v>14441</v>
      </c>
      <c r="H3474" s="10">
        <v>45761</v>
      </c>
      <c r="I3474" s="6" t="s">
        <v>14442</v>
      </c>
      <c r="J3474" s="6" t="s">
        <v>906</v>
      </c>
      <c r="K3474" s="6" t="s">
        <v>55</v>
      </c>
      <c r="L3474" s="6" t="s">
        <v>916</v>
      </c>
      <c r="M3474" s="6" t="s">
        <v>14443</v>
      </c>
    </row>
    <row r="3475" spans="1:13" ht="13" x14ac:dyDescent="0.15">
      <c r="A3475" s="5" t="str">
        <f>HYPERLINK("https://onemount.atlassian.net/browse/DBA-1181","DBA-1181")</f>
        <v>DBA-1181</v>
      </c>
      <c r="B3475" s="6" t="s">
        <v>21</v>
      </c>
      <c r="C3475" s="6" t="s">
        <v>14444</v>
      </c>
      <c r="D3475" s="8" t="s">
        <v>17</v>
      </c>
      <c r="E3475" s="6" t="s">
        <v>23</v>
      </c>
      <c r="F3475" s="6" t="s">
        <v>24</v>
      </c>
      <c r="G3475" s="6" t="s">
        <v>14445</v>
      </c>
      <c r="H3475" s="10">
        <v>45761</v>
      </c>
      <c r="I3475" s="6" t="s">
        <v>14446</v>
      </c>
      <c r="J3475" s="6" t="s">
        <v>906</v>
      </c>
      <c r="K3475" s="6" t="s">
        <v>55</v>
      </c>
      <c r="L3475" s="6" t="s">
        <v>916</v>
      </c>
      <c r="M3475" s="6" t="s">
        <v>14447</v>
      </c>
    </row>
    <row r="3476" spans="1:13" ht="13" x14ac:dyDescent="0.15">
      <c r="A3476" s="5" t="str">
        <f>HYPERLINK("https://onemount.atlassian.net/browse/DBA-1180","DBA-1180")</f>
        <v>DBA-1180</v>
      </c>
      <c r="B3476" s="6" t="s">
        <v>21</v>
      </c>
      <c r="C3476" s="6" t="s">
        <v>14448</v>
      </c>
      <c r="D3476" s="8" t="s">
        <v>17</v>
      </c>
      <c r="E3476" s="6" t="s">
        <v>23</v>
      </c>
      <c r="F3476" s="6" t="s">
        <v>31</v>
      </c>
      <c r="G3476" s="6" t="s">
        <v>14449</v>
      </c>
      <c r="H3476" s="10">
        <v>45761</v>
      </c>
      <c r="I3476" s="6" t="s">
        <v>14450</v>
      </c>
      <c r="J3476" s="6" t="s">
        <v>992</v>
      </c>
      <c r="K3476" s="6" t="s">
        <v>55</v>
      </c>
      <c r="L3476" s="6" t="s">
        <v>906</v>
      </c>
      <c r="M3476" s="6" t="s">
        <v>14451</v>
      </c>
    </row>
    <row r="3477" spans="1:13" ht="13" x14ac:dyDescent="0.15">
      <c r="A3477" s="5" t="str">
        <f>HYPERLINK("https://onemount.atlassian.net/browse/DBA-1179","DBA-1179")</f>
        <v>DBA-1179</v>
      </c>
      <c r="B3477" s="6" t="s">
        <v>21</v>
      </c>
      <c r="C3477" s="6" t="s">
        <v>14452</v>
      </c>
      <c r="D3477" s="8" t="s">
        <v>17</v>
      </c>
      <c r="E3477" s="6" t="s">
        <v>23</v>
      </c>
      <c r="F3477" s="6" t="s">
        <v>31</v>
      </c>
      <c r="G3477" s="6" t="s">
        <v>14453</v>
      </c>
      <c r="H3477" s="10">
        <v>45762</v>
      </c>
      <c r="I3477" s="6" t="s">
        <v>14454</v>
      </c>
      <c r="J3477" s="6" t="s">
        <v>3443</v>
      </c>
      <c r="K3477" s="6" t="s">
        <v>55</v>
      </c>
      <c r="L3477" s="6" t="s">
        <v>906</v>
      </c>
      <c r="M3477" s="6" t="s">
        <v>14455</v>
      </c>
    </row>
    <row r="3478" spans="1:13" ht="13" x14ac:dyDescent="0.15">
      <c r="A3478" s="5" t="str">
        <f>HYPERLINK("https://onemount.atlassian.net/browse/DBA-1178","DBA-1178")</f>
        <v>DBA-1178</v>
      </c>
      <c r="B3478" s="6" t="s">
        <v>21</v>
      </c>
      <c r="C3478" s="6" t="s">
        <v>14456</v>
      </c>
      <c r="D3478" s="8" t="s">
        <v>17</v>
      </c>
      <c r="E3478" s="6" t="s">
        <v>23</v>
      </c>
      <c r="F3478" s="6" t="s">
        <v>31</v>
      </c>
      <c r="G3478" s="6" t="s">
        <v>14457</v>
      </c>
      <c r="H3478" s="10">
        <v>45759</v>
      </c>
      <c r="I3478" s="6" t="s">
        <v>14458</v>
      </c>
      <c r="J3478" s="6" t="s">
        <v>13116</v>
      </c>
      <c r="K3478" s="6" t="s">
        <v>35</v>
      </c>
      <c r="L3478" s="6" t="s">
        <v>276</v>
      </c>
      <c r="M3478" s="6" t="s">
        <v>14459</v>
      </c>
    </row>
    <row r="3479" spans="1:13" ht="13" x14ac:dyDescent="0.15">
      <c r="A3479" s="5" t="str">
        <f>HYPERLINK("https://onemount.atlassian.net/browse/DBA-1177","DBA-1177")</f>
        <v>DBA-1177</v>
      </c>
      <c r="B3479" s="6" t="s">
        <v>21</v>
      </c>
      <c r="C3479" s="6" t="s">
        <v>14460</v>
      </c>
      <c r="D3479" s="8" t="s">
        <v>17</v>
      </c>
      <c r="E3479" s="6" t="s">
        <v>23</v>
      </c>
      <c r="F3479" s="6" t="s">
        <v>31</v>
      </c>
      <c r="G3479" s="6" t="s">
        <v>14461</v>
      </c>
      <c r="H3479" s="10">
        <v>45760</v>
      </c>
      <c r="I3479" s="6" t="s">
        <v>14462</v>
      </c>
      <c r="J3479" s="6" t="s">
        <v>1187</v>
      </c>
      <c r="K3479" s="6" t="s">
        <v>35</v>
      </c>
      <c r="L3479" s="6" t="s">
        <v>1187</v>
      </c>
      <c r="M3479" s="6" t="s">
        <v>14463</v>
      </c>
    </row>
    <row r="3480" spans="1:13" ht="13" x14ac:dyDescent="0.15">
      <c r="A3480" s="5" t="str">
        <f>HYPERLINK("https://onemount.atlassian.net/browse/DBA-1176","DBA-1176")</f>
        <v>DBA-1176</v>
      </c>
      <c r="B3480" s="6" t="s">
        <v>21</v>
      </c>
      <c r="C3480" s="6" t="s">
        <v>14464</v>
      </c>
      <c r="D3480" s="8" t="s">
        <v>17</v>
      </c>
      <c r="E3480" s="6" t="s">
        <v>23</v>
      </c>
      <c r="F3480" s="6" t="s">
        <v>24</v>
      </c>
      <c r="G3480" s="6" t="s">
        <v>14465</v>
      </c>
      <c r="H3480" s="10">
        <v>45759</v>
      </c>
      <c r="I3480" s="6" t="s">
        <v>14466</v>
      </c>
      <c r="J3480" s="6" t="s">
        <v>1000</v>
      </c>
      <c r="K3480" s="6" t="s">
        <v>28</v>
      </c>
      <c r="L3480" s="6" t="s">
        <v>28</v>
      </c>
      <c r="M3480" s="6" t="s">
        <v>14467</v>
      </c>
    </row>
    <row r="3481" spans="1:13" ht="13" x14ac:dyDescent="0.15">
      <c r="A3481" s="5" t="str">
        <f>HYPERLINK("https://onemount.atlassian.net/browse/DBA-1175","DBA-1175")</f>
        <v>DBA-1175</v>
      </c>
      <c r="B3481" s="6" t="s">
        <v>21</v>
      </c>
      <c r="C3481" s="6" t="s">
        <v>14468</v>
      </c>
      <c r="D3481" s="8" t="s">
        <v>17</v>
      </c>
      <c r="E3481" s="6" t="s">
        <v>23</v>
      </c>
      <c r="F3481" s="6" t="s">
        <v>31</v>
      </c>
      <c r="G3481" s="6" t="s">
        <v>14469</v>
      </c>
      <c r="H3481" s="10">
        <v>45760</v>
      </c>
      <c r="I3481" s="6" t="s">
        <v>14470</v>
      </c>
      <c r="J3481" s="6" t="s">
        <v>56</v>
      </c>
      <c r="K3481" s="6" t="s">
        <v>55</v>
      </c>
      <c r="L3481" s="6" t="s">
        <v>56</v>
      </c>
      <c r="M3481" s="6" t="s">
        <v>14471</v>
      </c>
    </row>
    <row r="3482" spans="1:13" ht="13" x14ac:dyDescent="0.15">
      <c r="A3482" s="5" t="str">
        <f>HYPERLINK("https://onemount.atlassian.net/browse/DBA-1174","DBA-1174")</f>
        <v>DBA-1174</v>
      </c>
      <c r="B3482" s="6" t="s">
        <v>21</v>
      </c>
      <c r="C3482" s="6" t="s">
        <v>14472</v>
      </c>
      <c r="D3482" s="8" t="s">
        <v>17</v>
      </c>
      <c r="E3482" s="6" t="s">
        <v>23</v>
      </c>
      <c r="F3482" s="6" t="s">
        <v>24</v>
      </c>
      <c r="G3482" s="6" t="s">
        <v>14473</v>
      </c>
      <c r="H3482" s="10">
        <v>45760</v>
      </c>
      <c r="I3482" s="6" t="s">
        <v>14474</v>
      </c>
      <c r="J3482" s="6" t="s">
        <v>55</v>
      </c>
      <c r="K3482" s="6" t="s">
        <v>55</v>
      </c>
      <c r="L3482" s="6" t="s">
        <v>328</v>
      </c>
      <c r="M3482" s="6" t="s">
        <v>14475</v>
      </c>
    </row>
    <row r="3483" spans="1:13" ht="13" x14ac:dyDescent="0.15">
      <c r="A3483" s="5" t="str">
        <f>HYPERLINK("https://onemount.atlassian.net/browse/DBA-1173","DBA-1173")</f>
        <v>DBA-1173</v>
      </c>
      <c r="B3483" s="6" t="s">
        <v>21</v>
      </c>
      <c r="C3483" s="6" t="s">
        <v>14476</v>
      </c>
      <c r="D3483" s="8" t="s">
        <v>17</v>
      </c>
      <c r="E3483" s="6" t="s">
        <v>23</v>
      </c>
      <c r="F3483" s="6" t="s">
        <v>31</v>
      </c>
      <c r="G3483" s="6" t="s">
        <v>14477</v>
      </c>
      <c r="H3483" s="10">
        <v>45760</v>
      </c>
      <c r="I3483" s="6" t="s">
        <v>14478</v>
      </c>
      <c r="J3483" s="6" t="s">
        <v>56</v>
      </c>
      <c r="K3483" s="6" t="s">
        <v>55</v>
      </c>
      <c r="L3483" s="6" t="s">
        <v>56</v>
      </c>
      <c r="M3483" s="6" t="s">
        <v>14479</v>
      </c>
    </row>
    <row r="3484" spans="1:13" ht="13" x14ac:dyDescent="0.15">
      <c r="A3484" s="5" t="str">
        <f>HYPERLINK("https://onemount.atlassian.net/browse/DBA-1172","DBA-1172")</f>
        <v>DBA-1172</v>
      </c>
      <c r="B3484" s="6" t="s">
        <v>21</v>
      </c>
      <c r="C3484" s="6" t="s">
        <v>14312</v>
      </c>
      <c r="D3484" s="8" t="s">
        <v>17</v>
      </c>
      <c r="E3484" s="6" t="s">
        <v>23</v>
      </c>
      <c r="F3484" s="6" t="s">
        <v>31</v>
      </c>
      <c r="G3484" s="6" t="s">
        <v>14480</v>
      </c>
      <c r="H3484" s="10">
        <v>45759</v>
      </c>
      <c r="I3484" s="6" t="s">
        <v>14481</v>
      </c>
      <c r="J3484" s="6" t="s">
        <v>5042</v>
      </c>
      <c r="K3484" s="6" t="s">
        <v>35</v>
      </c>
      <c r="L3484" s="6" t="s">
        <v>1200</v>
      </c>
      <c r="M3484" s="6" t="s">
        <v>14482</v>
      </c>
    </row>
    <row r="3485" spans="1:13" ht="13" x14ac:dyDescent="0.15">
      <c r="A3485" s="5" t="str">
        <f>HYPERLINK("https://onemount.atlassian.net/browse/DBA-1171","DBA-1171")</f>
        <v>DBA-1171</v>
      </c>
      <c r="B3485" s="6" t="s">
        <v>21</v>
      </c>
      <c r="C3485" s="6" t="s">
        <v>14483</v>
      </c>
      <c r="D3485" s="8" t="s">
        <v>17</v>
      </c>
      <c r="E3485" s="6" t="s">
        <v>23</v>
      </c>
      <c r="F3485" s="6" t="s">
        <v>24</v>
      </c>
      <c r="G3485" s="6" t="s">
        <v>14484</v>
      </c>
      <c r="H3485" s="10">
        <v>45758</v>
      </c>
      <c r="I3485" s="6" t="s">
        <v>14485</v>
      </c>
      <c r="J3485" s="6" t="s">
        <v>55</v>
      </c>
      <c r="K3485" s="6" t="s">
        <v>55</v>
      </c>
      <c r="L3485" s="6" t="s">
        <v>906</v>
      </c>
      <c r="M3485" s="6" t="s">
        <v>14486</v>
      </c>
    </row>
    <row r="3486" spans="1:13" ht="13" x14ac:dyDescent="0.15">
      <c r="A3486" s="5" t="str">
        <f>HYPERLINK("https://onemount.atlassian.net/browse/DBA-1170","DBA-1170")</f>
        <v>DBA-1170</v>
      </c>
      <c r="B3486" s="6" t="s">
        <v>21</v>
      </c>
      <c r="C3486" s="6" t="s">
        <v>14487</v>
      </c>
      <c r="D3486" s="8" t="s">
        <v>17</v>
      </c>
      <c r="E3486" s="6" t="s">
        <v>23</v>
      </c>
      <c r="F3486" s="6" t="s">
        <v>96</v>
      </c>
      <c r="G3486" s="6" t="s">
        <v>14488</v>
      </c>
      <c r="H3486" s="10">
        <v>45759</v>
      </c>
      <c r="I3486" s="6" t="s">
        <v>14489</v>
      </c>
      <c r="J3486" s="6" t="s">
        <v>628</v>
      </c>
      <c r="K3486" s="6" t="s">
        <v>165</v>
      </c>
      <c r="L3486" s="6" t="s">
        <v>119</v>
      </c>
      <c r="M3486" s="6" t="s">
        <v>14490</v>
      </c>
    </row>
    <row r="3487" spans="1:13" ht="13" x14ac:dyDescent="0.15">
      <c r="A3487" s="5" t="str">
        <f>HYPERLINK("https://onemount.atlassian.net/browse/DBA-1169","DBA-1169")</f>
        <v>DBA-1169</v>
      </c>
      <c r="B3487" s="6" t="s">
        <v>21</v>
      </c>
      <c r="C3487" s="6" t="s">
        <v>14491</v>
      </c>
      <c r="D3487" s="8" t="s">
        <v>17</v>
      </c>
      <c r="E3487" s="6" t="s">
        <v>23</v>
      </c>
      <c r="F3487" s="6" t="s">
        <v>24</v>
      </c>
      <c r="G3487" s="6" t="s">
        <v>14492</v>
      </c>
      <c r="H3487" s="10">
        <v>45762</v>
      </c>
      <c r="I3487" s="6" t="s">
        <v>14493</v>
      </c>
      <c r="J3487" s="6" t="s">
        <v>55</v>
      </c>
      <c r="K3487" s="6" t="s">
        <v>55</v>
      </c>
      <c r="L3487" s="6" t="s">
        <v>56</v>
      </c>
      <c r="M3487" s="6" t="s">
        <v>14494</v>
      </c>
    </row>
    <row r="3488" spans="1:13" ht="13" x14ac:dyDescent="0.15">
      <c r="A3488" s="5" t="str">
        <f>HYPERLINK("https://onemount.atlassian.net/browse/DBA-1168","DBA-1168")</f>
        <v>DBA-1168</v>
      </c>
      <c r="B3488" s="6" t="s">
        <v>21</v>
      </c>
      <c r="C3488" s="6" t="s">
        <v>14495</v>
      </c>
      <c r="D3488" s="8" t="s">
        <v>17</v>
      </c>
      <c r="E3488" s="6" t="s">
        <v>23</v>
      </c>
      <c r="F3488" s="6" t="s">
        <v>24</v>
      </c>
      <c r="G3488" s="6" t="s">
        <v>14496</v>
      </c>
      <c r="H3488" s="10">
        <v>45761</v>
      </c>
      <c r="I3488" s="6" t="s">
        <v>14497</v>
      </c>
      <c r="J3488" s="6" t="s">
        <v>55</v>
      </c>
      <c r="K3488" s="6" t="s">
        <v>55</v>
      </c>
      <c r="L3488" s="6" t="s">
        <v>56</v>
      </c>
      <c r="M3488" s="6" t="s">
        <v>14498</v>
      </c>
    </row>
    <row r="3489" spans="1:13" ht="13" x14ac:dyDescent="0.15">
      <c r="A3489" s="5" t="str">
        <f>HYPERLINK("https://onemount.atlassian.net/browse/DBA-1167","DBA-1167")</f>
        <v>DBA-1167</v>
      </c>
      <c r="B3489" s="6" t="s">
        <v>21</v>
      </c>
      <c r="C3489" s="6" t="s">
        <v>14499</v>
      </c>
      <c r="D3489" s="8" t="s">
        <v>17</v>
      </c>
      <c r="E3489" s="6" t="s">
        <v>23</v>
      </c>
      <c r="F3489" s="6" t="s">
        <v>24</v>
      </c>
      <c r="G3489" s="6" t="s">
        <v>14500</v>
      </c>
      <c r="H3489" s="10">
        <v>45758</v>
      </c>
      <c r="I3489" s="6" t="s">
        <v>14501</v>
      </c>
      <c r="J3489" s="6" t="s">
        <v>55</v>
      </c>
      <c r="K3489" s="6" t="s">
        <v>55</v>
      </c>
      <c r="L3489" s="6" t="s">
        <v>900</v>
      </c>
      <c r="M3489" s="6" t="s">
        <v>14502</v>
      </c>
    </row>
    <row r="3490" spans="1:13" ht="13" x14ac:dyDescent="0.15">
      <c r="A3490" s="5" t="str">
        <f>HYPERLINK("https://onemount.atlassian.net/browse/DBA-1166","DBA-1166")</f>
        <v>DBA-1166</v>
      </c>
      <c r="B3490" s="6" t="s">
        <v>21</v>
      </c>
      <c r="C3490" s="6" t="s">
        <v>14503</v>
      </c>
      <c r="D3490" s="8" t="s">
        <v>17</v>
      </c>
      <c r="E3490" s="6" t="s">
        <v>23</v>
      </c>
      <c r="F3490" s="6" t="s">
        <v>96</v>
      </c>
      <c r="G3490" s="6" t="s">
        <v>14504</v>
      </c>
      <c r="H3490" s="10">
        <v>45682</v>
      </c>
      <c r="I3490" s="6" t="s">
        <v>14505</v>
      </c>
      <c r="J3490" s="6" t="s">
        <v>165</v>
      </c>
      <c r="K3490" s="6" t="s">
        <v>165</v>
      </c>
      <c r="L3490" s="6" t="s">
        <v>1064</v>
      </c>
      <c r="M3490" s="6" t="s">
        <v>14506</v>
      </c>
    </row>
    <row r="3491" spans="1:13" ht="13" x14ac:dyDescent="0.15">
      <c r="A3491" s="5" t="str">
        <f>HYPERLINK("https://onemount.atlassian.net/browse/DBA-1165","DBA-1165")</f>
        <v>DBA-1165</v>
      </c>
      <c r="B3491" s="6" t="s">
        <v>21</v>
      </c>
      <c r="C3491" s="6" t="s">
        <v>14507</v>
      </c>
      <c r="D3491" s="8" t="s">
        <v>17</v>
      </c>
      <c r="E3491" s="6" t="s">
        <v>23</v>
      </c>
      <c r="F3491" s="6" t="s">
        <v>96</v>
      </c>
      <c r="G3491" s="6" t="s">
        <v>14508</v>
      </c>
      <c r="H3491" s="10">
        <v>45678</v>
      </c>
      <c r="I3491" s="6" t="s">
        <v>14509</v>
      </c>
      <c r="J3491" s="6" t="s">
        <v>165</v>
      </c>
      <c r="K3491" s="6" t="s">
        <v>165</v>
      </c>
      <c r="L3491" s="6" t="s">
        <v>1008</v>
      </c>
      <c r="M3491" s="6" t="s">
        <v>14510</v>
      </c>
    </row>
    <row r="3492" spans="1:13" ht="13" x14ac:dyDescent="0.15">
      <c r="A3492" s="5" t="str">
        <f>HYPERLINK("https://onemount.atlassian.net/browse/DBA-1164","DBA-1164")</f>
        <v>DBA-1164</v>
      </c>
      <c r="B3492" s="6" t="s">
        <v>21</v>
      </c>
      <c r="C3492" s="6" t="s">
        <v>14511</v>
      </c>
      <c r="D3492" s="8" t="s">
        <v>17</v>
      </c>
      <c r="E3492" s="6" t="s">
        <v>23</v>
      </c>
      <c r="F3492" s="6" t="s">
        <v>96</v>
      </c>
      <c r="G3492" s="6" t="s">
        <v>14512</v>
      </c>
      <c r="H3492" s="10">
        <v>45679</v>
      </c>
      <c r="I3492" s="6" t="s">
        <v>14513</v>
      </c>
      <c r="J3492" s="6" t="s">
        <v>165</v>
      </c>
      <c r="K3492" s="6" t="s">
        <v>165</v>
      </c>
      <c r="L3492" s="6" t="s">
        <v>1064</v>
      </c>
      <c r="M3492" s="6" t="s">
        <v>14514</v>
      </c>
    </row>
    <row r="3493" spans="1:13" ht="13" x14ac:dyDescent="0.15">
      <c r="A3493" s="5" t="str">
        <f>HYPERLINK("https://onemount.atlassian.net/browse/DBA-1163","DBA-1163")</f>
        <v>DBA-1163</v>
      </c>
      <c r="B3493" s="6" t="s">
        <v>21</v>
      </c>
      <c r="C3493" s="6" t="s">
        <v>14515</v>
      </c>
      <c r="D3493" s="8" t="s">
        <v>17</v>
      </c>
      <c r="E3493" s="6" t="s">
        <v>23</v>
      </c>
      <c r="F3493" s="6" t="s">
        <v>96</v>
      </c>
      <c r="G3493" s="6" t="s">
        <v>14516</v>
      </c>
      <c r="H3493" s="10">
        <v>45679</v>
      </c>
      <c r="I3493" s="6" t="s">
        <v>14517</v>
      </c>
      <c r="J3493" s="6" t="s">
        <v>165</v>
      </c>
      <c r="K3493" s="6" t="s">
        <v>165</v>
      </c>
      <c r="L3493" s="6" t="s">
        <v>998</v>
      </c>
      <c r="M3493" s="6" t="s">
        <v>14518</v>
      </c>
    </row>
    <row r="3494" spans="1:13" ht="13" x14ac:dyDescent="0.15">
      <c r="A3494" s="5" t="str">
        <f>HYPERLINK("https://onemount.atlassian.net/browse/DBA-1162","DBA-1162")</f>
        <v>DBA-1162</v>
      </c>
      <c r="B3494" s="6" t="s">
        <v>21</v>
      </c>
      <c r="C3494" s="6" t="s">
        <v>14519</v>
      </c>
      <c r="D3494" s="8" t="s">
        <v>17</v>
      </c>
      <c r="E3494" s="6" t="s">
        <v>23</v>
      </c>
      <c r="F3494" s="6" t="s">
        <v>96</v>
      </c>
      <c r="G3494" s="6" t="s">
        <v>14520</v>
      </c>
      <c r="H3494" s="10">
        <v>45679</v>
      </c>
      <c r="I3494" s="6" t="s">
        <v>14521</v>
      </c>
      <c r="J3494" s="6" t="s">
        <v>165</v>
      </c>
      <c r="K3494" s="6" t="s">
        <v>165</v>
      </c>
      <c r="L3494" s="6" t="s">
        <v>715</v>
      </c>
      <c r="M3494" s="6" t="s">
        <v>14522</v>
      </c>
    </row>
    <row r="3495" spans="1:13" ht="13" x14ac:dyDescent="0.15">
      <c r="A3495" s="5" t="str">
        <f>HYPERLINK("https://onemount.atlassian.net/browse/DBA-1161","DBA-1161")</f>
        <v>DBA-1161</v>
      </c>
      <c r="B3495" s="6" t="s">
        <v>21</v>
      </c>
      <c r="C3495" s="6" t="s">
        <v>14523</v>
      </c>
      <c r="D3495" s="8" t="s">
        <v>17</v>
      </c>
      <c r="E3495" s="6" t="s">
        <v>23</v>
      </c>
      <c r="F3495" s="6" t="s">
        <v>96</v>
      </c>
      <c r="G3495" s="6" t="s">
        <v>14524</v>
      </c>
      <c r="H3495" s="10">
        <v>45679</v>
      </c>
      <c r="I3495" s="6" t="s">
        <v>14525</v>
      </c>
      <c r="J3495" s="6" t="s">
        <v>165</v>
      </c>
      <c r="K3495" s="6" t="s">
        <v>165</v>
      </c>
      <c r="L3495" s="6" t="s">
        <v>288</v>
      </c>
      <c r="M3495" s="6" t="s">
        <v>14526</v>
      </c>
    </row>
    <row r="3496" spans="1:13" ht="13" x14ac:dyDescent="0.15">
      <c r="A3496" s="5" t="str">
        <f>HYPERLINK("https://onemount.atlassian.net/browse/DBA-1160","DBA-1160")</f>
        <v>DBA-1160</v>
      </c>
      <c r="B3496" s="6" t="s">
        <v>21</v>
      </c>
      <c r="C3496" s="6" t="s">
        <v>14527</v>
      </c>
      <c r="D3496" s="8" t="s">
        <v>17</v>
      </c>
      <c r="E3496" s="6" t="s">
        <v>23</v>
      </c>
      <c r="F3496" s="6" t="s">
        <v>96</v>
      </c>
      <c r="G3496" s="6" t="s">
        <v>14528</v>
      </c>
      <c r="H3496" s="10">
        <v>45680</v>
      </c>
      <c r="I3496" s="6" t="s">
        <v>14529</v>
      </c>
      <c r="J3496" s="6" t="s">
        <v>165</v>
      </c>
      <c r="K3496" s="6" t="s">
        <v>165</v>
      </c>
      <c r="L3496" s="6" t="s">
        <v>1076</v>
      </c>
      <c r="M3496" s="6" t="s">
        <v>14530</v>
      </c>
    </row>
    <row r="3497" spans="1:13" ht="13" x14ac:dyDescent="0.15">
      <c r="A3497" s="5" t="str">
        <f>HYPERLINK("https://onemount.atlassian.net/browse/DBA-1159","DBA-1159")</f>
        <v>DBA-1159</v>
      </c>
      <c r="B3497" s="6" t="s">
        <v>21</v>
      </c>
      <c r="C3497" s="6" t="s">
        <v>14531</v>
      </c>
      <c r="D3497" s="8" t="s">
        <v>17</v>
      </c>
      <c r="E3497" s="6" t="s">
        <v>23</v>
      </c>
      <c r="F3497" s="6" t="s">
        <v>96</v>
      </c>
      <c r="G3497" s="6" t="s">
        <v>14532</v>
      </c>
      <c r="H3497" s="10">
        <v>45681</v>
      </c>
      <c r="I3497" s="6" t="s">
        <v>14533</v>
      </c>
      <c r="J3497" s="6" t="s">
        <v>165</v>
      </c>
      <c r="K3497" s="6" t="s">
        <v>165</v>
      </c>
      <c r="L3497" s="6" t="s">
        <v>715</v>
      </c>
      <c r="M3497" s="6" t="s">
        <v>14534</v>
      </c>
    </row>
    <row r="3498" spans="1:13" ht="13" x14ac:dyDescent="0.15">
      <c r="A3498" s="5" t="str">
        <f>HYPERLINK("https://onemount.atlassian.net/browse/DBA-1158","DBA-1158")</f>
        <v>DBA-1158</v>
      </c>
      <c r="B3498" s="6" t="s">
        <v>21</v>
      </c>
      <c r="C3498" s="6" t="s">
        <v>14535</v>
      </c>
      <c r="D3498" s="8" t="s">
        <v>17</v>
      </c>
      <c r="E3498" s="6" t="s">
        <v>23</v>
      </c>
      <c r="F3498" s="6" t="s">
        <v>96</v>
      </c>
      <c r="G3498" s="6" t="s">
        <v>14536</v>
      </c>
      <c r="H3498" s="10">
        <v>45681</v>
      </c>
      <c r="I3498" s="6" t="s">
        <v>14537</v>
      </c>
      <c r="J3498" s="6" t="s">
        <v>165</v>
      </c>
      <c r="K3498" s="6" t="s">
        <v>165</v>
      </c>
      <c r="L3498" s="6" t="s">
        <v>715</v>
      </c>
      <c r="M3498" s="6" t="s">
        <v>14538</v>
      </c>
    </row>
    <row r="3499" spans="1:13" ht="13" x14ac:dyDescent="0.15">
      <c r="A3499" s="5" t="str">
        <f>HYPERLINK("https://onemount.atlassian.net/browse/DBA-1157","DBA-1157")</f>
        <v>DBA-1157</v>
      </c>
      <c r="B3499" s="6" t="s">
        <v>21</v>
      </c>
      <c r="C3499" s="6" t="s">
        <v>14002</v>
      </c>
      <c r="D3499" s="8" t="s">
        <v>17</v>
      </c>
      <c r="E3499" s="6" t="s">
        <v>23</v>
      </c>
      <c r="F3499" s="6" t="s">
        <v>96</v>
      </c>
      <c r="G3499" s="6" t="s">
        <v>14539</v>
      </c>
      <c r="H3499" s="10">
        <v>45681</v>
      </c>
      <c r="I3499" s="6" t="s">
        <v>14540</v>
      </c>
      <c r="J3499" s="6" t="s">
        <v>165</v>
      </c>
      <c r="K3499" s="6" t="s">
        <v>165</v>
      </c>
      <c r="L3499" s="6" t="s">
        <v>119</v>
      </c>
      <c r="M3499" s="6" t="s">
        <v>14541</v>
      </c>
    </row>
    <row r="3500" spans="1:13" ht="13" x14ac:dyDescent="0.15">
      <c r="A3500" s="5" t="str">
        <f>HYPERLINK("https://onemount.atlassian.net/browse/DBA-1156","DBA-1156")</f>
        <v>DBA-1156</v>
      </c>
      <c r="B3500" s="6" t="s">
        <v>21</v>
      </c>
      <c r="C3500" s="6" t="s">
        <v>14542</v>
      </c>
      <c r="D3500" s="8" t="s">
        <v>17</v>
      </c>
      <c r="E3500" s="6" t="s">
        <v>23</v>
      </c>
      <c r="F3500" s="6" t="s">
        <v>24</v>
      </c>
      <c r="G3500" s="6" t="s">
        <v>14543</v>
      </c>
      <c r="H3500" s="10">
        <v>45758</v>
      </c>
      <c r="I3500" s="6" t="s">
        <v>14544</v>
      </c>
      <c r="J3500" s="6" t="s">
        <v>6269</v>
      </c>
      <c r="K3500" s="6" t="s">
        <v>28</v>
      </c>
      <c r="L3500" s="6" t="s">
        <v>1000</v>
      </c>
      <c r="M3500" s="6" t="s">
        <v>14545</v>
      </c>
    </row>
    <row r="3501" spans="1:13" ht="13" x14ac:dyDescent="0.15">
      <c r="A3501" s="5" t="str">
        <f>HYPERLINK("https://onemount.atlassian.net/browse/DBA-1155","DBA-1155")</f>
        <v>DBA-1155</v>
      </c>
      <c r="B3501" s="6" t="s">
        <v>21</v>
      </c>
      <c r="C3501" s="6" t="s">
        <v>14546</v>
      </c>
      <c r="D3501" s="8" t="s">
        <v>17</v>
      </c>
      <c r="E3501" s="6" t="s">
        <v>23</v>
      </c>
      <c r="F3501" s="6" t="s">
        <v>24</v>
      </c>
      <c r="G3501" s="6" t="s">
        <v>14547</v>
      </c>
      <c r="H3501" s="10">
        <v>45757</v>
      </c>
      <c r="I3501" s="6" t="s">
        <v>14548</v>
      </c>
      <c r="J3501" s="6" t="s">
        <v>55</v>
      </c>
      <c r="K3501" s="6" t="s">
        <v>55</v>
      </c>
      <c r="L3501" s="6" t="s">
        <v>906</v>
      </c>
      <c r="M3501" s="6" t="s">
        <v>14549</v>
      </c>
    </row>
    <row r="3502" spans="1:13" ht="13" x14ac:dyDescent="0.15">
      <c r="A3502" s="5" t="str">
        <f>HYPERLINK("https://onemount.atlassian.net/browse/DBA-1154","DBA-1154")</f>
        <v>DBA-1154</v>
      </c>
      <c r="B3502" s="6" t="s">
        <v>21</v>
      </c>
      <c r="C3502" s="6" t="s">
        <v>14550</v>
      </c>
      <c r="D3502" s="8" t="s">
        <v>17</v>
      </c>
      <c r="E3502" s="6" t="s">
        <v>23</v>
      </c>
      <c r="F3502" s="6" t="s">
        <v>24</v>
      </c>
      <c r="G3502" s="6" t="s">
        <v>14551</v>
      </c>
      <c r="H3502" s="10">
        <v>45757</v>
      </c>
      <c r="I3502" s="6" t="s">
        <v>14552</v>
      </c>
      <c r="J3502" s="6" t="s">
        <v>55</v>
      </c>
      <c r="K3502" s="6" t="s">
        <v>55</v>
      </c>
      <c r="L3502" s="6" t="s">
        <v>906</v>
      </c>
      <c r="M3502" s="6" t="s">
        <v>14553</v>
      </c>
    </row>
    <row r="3503" spans="1:13" ht="13" x14ac:dyDescent="0.15">
      <c r="A3503" s="5" t="str">
        <f>HYPERLINK("https://onemount.atlassian.net/browse/DBA-1153","DBA-1153")</f>
        <v>DBA-1153</v>
      </c>
      <c r="B3503" s="6" t="s">
        <v>21</v>
      </c>
      <c r="C3503" s="6" t="s">
        <v>10854</v>
      </c>
      <c r="D3503" s="8" t="s">
        <v>17</v>
      </c>
      <c r="E3503" s="6" t="s">
        <v>23</v>
      </c>
      <c r="F3503" s="6" t="s">
        <v>24</v>
      </c>
      <c r="G3503" s="6" t="s">
        <v>14554</v>
      </c>
      <c r="H3503" s="10">
        <v>45757</v>
      </c>
      <c r="I3503" s="6" t="s">
        <v>14555</v>
      </c>
      <c r="J3503" s="6" t="s">
        <v>6269</v>
      </c>
      <c r="K3503" s="6" t="s">
        <v>28</v>
      </c>
      <c r="L3503" s="6" t="s">
        <v>1000</v>
      </c>
      <c r="M3503" s="6" t="s">
        <v>14556</v>
      </c>
    </row>
    <row r="3504" spans="1:13" ht="13" x14ac:dyDescent="0.15">
      <c r="A3504" s="5" t="str">
        <f>HYPERLINK("https://onemount.atlassian.net/browse/DBA-1152","DBA-1152")</f>
        <v>DBA-1152</v>
      </c>
      <c r="B3504" s="6" t="s">
        <v>21</v>
      </c>
      <c r="C3504" s="6" t="s">
        <v>10854</v>
      </c>
      <c r="D3504" s="8" t="s">
        <v>17</v>
      </c>
      <c r="E3504" s="6" t="s">
        <v>23</v>
      </c>
      <c r="F3504" s="6" t="s">
        <v>31</v>
      </c>
      <c r="G3504" s="6" t="s">
        <v>14557</v>
      </c>
      <c r="H3504" s="10">
        <v>45757</v>
      </c>
      <c r="I3504" s="6" t="s">
        <v>14558</v>
      </c>
      <c r="J3504" s="6" t="s">
        <v>6269</v>
      </c>
      <c r="K3504" s="6" t="s">
        <v>28</v>
      </c>
      <c r="L3504" s="6" t="s">
        <v>1000</v>
      </c>
      <c r="M3504" s="6" t="s">
        <v>14559</v>
      </c>
    </row>
    <row r="3505" spans="1:13" ht="13" x14ac:dyDescent="0.15">
      <c r="A3505" s="5" t="str">
        <f>HYPERLINK("https://onemount.atlassian.net/browse/DBA-1151","DBA-1151")</f>
        <v>DBA-1151</v>
      </c>
      <c r="B3505" s="6" t="s">
        <v>21</v>
      </c>
      <c r="C3505" s="6" t="s">
        <v>14560</v>
      </c>
      <c r="D3505" s="8" t="s">
        <v>17</v>
      </c>
      <c r="E3505" s="6" t="s">
        <v>23</v>
      </c>
      <c r="F3505" s="6" t="s">
        <v>31</v>
      </c>
      <c r="G3505" s="6" t="s">
        <v>14561</v>
      </c>
      <c r="H3505" s="10">
        <v>45758</v>
      </c>
      <c r="I3505" s="6" t="s">
        <v>14562</v>
      </c>
      <c r="J3505" s="6" t="s">
        <v>56</v>
      </c>
      <c r="K3505" s="6" t="s">
        <v>55</v>
      </c>
      <c r="L3505" s="6" t="s">
        <v>56</v>
      </c>
      <c r="M3505" s="6" t="s">
        <v>14563</v>
      </c>
    </row>
    <row r="3506" spans="1:13" ht="13" x14ac:dyDescent="0.15">
      <c r="A3506" s="5" t="str">
        <f>HYPERLINK("https://onemount.atlassian.net/browse/DBA-1150","DBA-1150")</f>
        <v>DBA-1150</v>
      </c>
      <c r="B3506" s="6" t="s">
        <v>21</v>
      </c>
      <c r="C3506" s="6" t="s">
        <v>14564</v>
      </c>
      <c r="D3506" s="8" t="s">
        <v>17</v>
      </c>
      <c r="E3506" s="6" t="s">
        <v>23</v>
      </c>
      <c r="F3506" s="6" t="s">
        <v>24</v>
      </c>
      <c r="G3506" s="6" t="s">
        <v>14565</v>
      </c>
      <c r="H3506" s="10">
        <v>45756</v>
      </c>
      <c r="I3506" s="6" t="s">
        <v>14566</v>
      </c>
      <c r="J3506" s="6" t="s">
        <v>1140</v>
      </c>
      <c r="K3506" s="6" t="s">
        <v>28</v>
      </c>
      <c r="L3506" s="6" t="s">
        <v>1140</v>
      </c>
      <c r="M3506" s="6" t="s">
        <v>14567</v>
      </c>
    </row>
    <row r="3507" spans="1:13" ht="13" x14ac:dyDescent="0.15">
      <c r="A3507" s="5" t="str">
        <f>HYPERLINK("https://onemount.atlassian.net/browse/DBA-1149","DBA-1149")</f>
        <v>DBA-1149</v>
      </c>
      <c r="B3507" s="6" t="s">
        <v>21</v>
      </c>
      <c r="C3507" s="6" t="s">
        <v>14568</v>
      </c>
      <c r="D3507" s="8" t="s">
        <v>17</v>
      </c>
      <c r="E3507" s="6" t="s">
        <v>23</v>
      </c>
      <c r="F3507" s="6" t="s">
        <v>96</v>
      </c>
      <c r="G3507" s="6" t="s">
        <v>14569</v>
      </c>
      <c r="H3507" s="10">
        <v>45756</v>
      </c>
      <c r="I3507" s="6" t="s">
        <v>14570</v>
      </c>
      <c r="J3507" s="6" t="s">
        <v>165</v>
      </c>
      <c r="K3507" s="6" t="s">
        <v>165</v>
      </c>
      <c r="L3507" s="6" t="s">
        <v>715</v>
      </c>
      <c r="M3507" s="6" t="s">
        <v>14571</v>
      </c>
    </row>
    <row r="3508" spans="1:13" ht="13" x14ac:dyDescent="0.15">
      <c r="A3508" s="5" t="str">
        <f>HYPERLINK("https://onemount.atlassian.net/browse/DBA-1148","DBA-1148")</f>
        <v>DBA-1148</v>
      </c>
      <c r="B3508" s="6" t="s">
        <v>21</v>
      </c>
      <c r="C3508" s="6" t="s">
        <v>14572</v>
      </c>
      <c r="D3508" s="8" t="s">
        <v>17</v>
      </c>
      <c r="E3508" s="6" t="s">
        <v>23</v>
      </c>
      <c r="F3508" s="6" t="s">
        <v>31</v>
      </c>
      <c r="G3508" s="6" t="s">
        <v>14573</v>
      </c>
      <c r="H3508" s="10">
        <v>45756</v>
      </c>
      <c r="I3508" s="6" t="s">
        <v>14574</v>
      </c>
      <c r="J3508" s="6" t="s">
        <v>992</v>
      </c>
      <c r="K3508" s="6" t="s">
        <v>55</v>
      </c>
      <c r="L3508" s="6" t="s">
        <v>906</v>
      </c>
      <c r="M3508" s="6" t="s">
        <v>14575</v>
      </c>
    </row>
    <row r="3509" spans="1:13" ht="13" x14ac:dyDescent="0.15">
      <c r="A3509" s="5" t="str">
        <f>HYPERLINK("https://onemount.atlassian.net/browse/DBA-1147","DBA-1147")</f>
        <v>DBA-1147</v>
      </c>
      <c r="B3509" s="6" t="s">
        <v>21</v>
      </c>
      <c r="C3509" s="6" t="s">
        <v>14576</v>
      </c>
      <c r="D3509" s="8" t="s">
        <v>17</v>
      </c>
      <c r="E3509" s="6" t="s">
        <v>23</v>
      </c>
      <c r="F3509" s="6" t="s">
        <v>96</v>
      </c>
      <c r="G3509" s="6" t="s">
        <v>14577</v>
      </c>
      <c r="H3509" s="10">
        <v>45757</v>
      </c>
      <c r="I3509" s="6" t="s">
        <v>14578</v>
      </c>
      <c r="J3509" s="6" t="s">
        <v>645</v>
      </c>
      <c r="K3509" s="6" t="s">
        <v>46</v>
      </c>
      <c r="L3509" s="6" t="s">
        <v>597</v>
      </c>
      <c r="M3509" s="6" t="s">
        <v>14579</v>
      </c>
    </row>
    <row r="3510" spans="1:13" ht="13" x14ac:dyDescent="0.15">
      <c r="A3510" s="5" t="str">
        <f>HYPERLINK("https://onemount.atlassian.net/browse/DBA-1146","DBA-1146")</f>
        <v>DBA-1146</v>
      </c>
      <c r="B3510" s="6" t="s">
        <v>21</v>
      </c>
      <c r="C3510" s="6" t="s">
        <v>14580</v>
      </c>
      <c r="D3510" s="8" t="s">
        <v>17</v>
      </c>
      <c r="E3510" s="6" t="s">
        <v>23</v>
      </c>
      <c r="F3510" s="6" t="s">
        <v>24</v>
      </c>
      <c r="G3510" s="6" t="s">
        <v>14581</v>
      </c>
      <c r="H3510" s="10">
        <v>45757</v>
      </c>
      <c r="I3510" s="6" t="s">
        <v>14582</v>
      </c>
      <c r="J3510" s="6" t="s">
        <v>992</v>
      </c>
      <c r="K3510" s="6" t="s">
        <v>55</v>
      </c>
      <c r="L3510" s="6" t="s">
        <v>906</v>
      </c>
      <c r="M3510" s="6" t="s">
        <v>14583</v>
      </c>
    </row>
    <row r="3511" spans="1:13" ht="13" x14ac:dyDescent="0.15">
      <c r="A3511" s="5" t="str">
        <f>HYPERLINK("https://onemount.atlassian.net/browse/DBA-1145","DBA-1145")</f>
        <v>DBA-1145</v>
      </c>
      <c r="B3511" s="6" t="s">
        <v>21</v>
      </c>
      <c r="C3511" s="6" t="s">
        <v>14580</v>
      </c>
      <c r="D3511" s="8" t="s">
        <v>17</v>
      </c>
      <c r="E3511" s="6" t="s">
        <v>23</v>
      </c>
      <c r="F3511" s="6" t="s">
        <v>24</v>
      </c>
      <c r="G3511" s="6" t="s">
        <v>14584</v>
      </c>
      <c r="H3511" s="10">
        <v>45755</v>
      </c>
      <c r="I3511" s="6" t="s">
        <v>14585</v>
      </c>
      <c r="J3511" s="6" t="s">
        <v>992</v>
      </c>
      <c r="K3511" s="6" t="s">
        <v>55</v>
      </c>
      <c r="L3511" s="6" t="s">
        <v>906</v>
      </c>
      <c r="M3511" s="6" t="s">
        <v>14586</v>
      </c>
    </row>
    <row r="3512" spans="1:13" ht="13" x14ac:dyDescent="0.15">
      <c r="A3512" s="5" t="str">
        <f>HYPERLINK("https://onemount.atlassian.net/browse/DBA-1144","DBA-1144")</f>
        <v>DBA-1144</v>
      </c>
      <c r="B3512" s="6" t="s">
        <v>21</v>
      </c>
      <c r="C3512" s="6" t="s">
        <v>14587</v>
      </c>
      <c r="D3512" s="8" t="s">
        <v>17</v>
      </c>
      <c r="E3512" s="6" t="s">
        <v>23</v>
      </c>
      <c r="F3512" s="6" t="s">
        <v>24</v>
      </c>
      <c r="G3512" s="6" t="s">
        <v>14588</v>
      </c>
      <c r="H3512" s="10">
        <v>45755</v>
      </c>
      <c r="I3512" s="6" t="s">
        <v>14589</v>
      </c>
      <c r="J3512" s="6" t="s">
        <v>14590</v>
      </c>
      <c r="K3512" s="6" t="s">
        <v>55</v>
      </c>
      <c r="L3512" s="6" t="s">
        <v>425</v>
      </c>
      <c r="M3512" s="6" t="s">
        <v>14591</v>
      </c>
    </row>
    <row r="3513" spans="1:13" ht="13" x14ac:dyDescent="0.15">
      <c r="A3513" s="5" t="str">
        <f>HYPERLINK("https://onemount.atlassian.net/browse/DBA-1143","DBA-1143")</f>
        <v>DBA-1143</v>
      </c>
      <c r="B3513" s="6" t="s">
        <v>21</v>
      </c>
      <c r="C3513" s="6" t="s">
        <v>14592</v>
      </c>
      <c r="D3513" s="8" t="s">
        <v>17</v>
      </c>
      <c r="E3513" s="6" t="s">
        <v>23</v>
      </c>
      <c r="F3513" s="6" t="s">
        <v>24</v>
      </c>
      <c r="G3513" s="6" t="s">
        <v>14593</v>
      </c>
      <c r="H3513" s="10">
        <v>45755</v>
      </c>
      <c r="I3513" s="6" t="s">
        <v>14594</v>
      </c>
      <c r="J3513" s="6" t="s">
        <v>2984</v>
      </c>
      <c r="K3513" s="6" t="s">
        <v>35</v>
      </c>
      <c r="L3513" s="6" t="s">
        <v>638</v>
      </c>
      <c r="M3513" s="6" t="s">
        <v>14595</v>
      </c>
    </row>
    <row r="3514" spans="1:13" ht="13" x14ac:dyDescent="0.15">
      <c r="A3514" s="5" t="str">
        <f>HYPERLINK("https://onemount.atlassian.net/browse/DBA-1142","DBA-1142")</f>
        <v>DBA-1142</v>
      </c>
      <c r="B3514" s="6" t="s">
        <v>21</v>
      </c>
      <c r="C3514" s="6" t="s">
        <v>14596</v>
      </c>
      <c r="D3514" s="8" t="s">
        <v>17</v>
      </c>
      <c r="E3514" s="6" t="s">
        <v>23</v>
      </c>
      <c r="F3514" s="6" t="s">
        <v>24</v>
      </c>
      <c r="G3514" s="6" t="s">
        <v>14597</v>
      </c>
      <c r="H3514" s="10">
        <v>45756</v>
      </c>
      <c r="I3514" s="6" t="s">
        <v>14598</v>
      </c>
      <c r="J3514" s="6" t="s">
        <v>992</v>
      </c>
      <c r="K3514" s="6" t="s">
        <v>55</v>
      </c>
      <c r="L3514" s="6" t="s">
        <v>906</v>
      </c>
      <c r="M3514" s="6" t="s">
        <v>14599</v>
      </c>
    </row>
    <row r="3515" spans="1:13" ht="13" x14ac:dyDescent="0.15">
      <c r="A3515" s="5" t="str">
        <f>HYPERLINK("https://onemount.atlassian.net/browse/DBA-1141","DBA-1141")</f>
        <v>DBA-1141</v>
      </c>
      <c r="B3515" s="6" t="s">
        <v>21</v>
      </c>
      <c r="C3515" s="6" t="s">
        <v>14600</v>
      </c>
      <c r="D3515" s="8" t="s">
        <v>17</v>
      </c>
      <c r="E3515" s="6" t="s">
        <v>23</v>
      </c>
      <c r="F3515" s="6" t="s">
        <v>24</v>
      </c>
      <c r="G3515" s="6" t="s">
        <v>14601</v>
      </c>
      <c r="H3515" s="10">
        <v>45753</v>
      </c>
      <c r="I3515" s="6" t="s">
        <v>14602</v>
      </c>
      <c r="J3515" s="6" t="s">
        <v>992</v>
      </c>
      <c r="K3515" s="6" t="s">
        <v>55</v>
      </c>
      <c r="L3515" s="6" t="s">
        <v>992</v>
      </c>
      <c r="M3515" s="6" t="s">
        <v>14603</v>
      </c>
    </row>
    <row r="3516" spans="1:13" ht="13" x14ac:dyDescent="0.15">
      <c r="A3516" s="5" t="str">
        <f>HYPERLINK("https://onemount.atlassian.net/browse/DBA-1140","DBA-1140")</f>
        <v>DBA-1140</v>
      </c>
      <c r="B3516" s="6" t="s">
        <v>21</v>
      </c>
      <c r="C3516" s="6" t="s">
        <v>14604</v>
      </c>
      <c r="D3516" s="8" t="s">
        <v>17</v>
      </c>
      <c r="E3516" s="6" t="s">
        <v>23</v>
      </c>
      <c r="F3516" s="6" t="s">
        <v>24</v>
      </c>
      <c r="G3516" s="6" t="s">
        <v>14605</v>
      </c>
      <c r="H3516" s="10">
        <v>45755</v>
      </c>
      <c r="I3516" s="6" t="s">
        <v>14606</v>
      </c>
      <c r="J3516" s="6" t="s">
        <v>6269</v>
      </c>
      <c r="K3516" s="6" t="s">
        <v>28</v>
      </c>
      <c r="L3516" s="6" t="s">
        <v>1000</v>
      </c>
      <c r="M3516" s="6" t="s">
        <v>14607</v>
      </c>
    </row>
    <row r="3517" spans="1:13" ht="13" x14ac:dyDescent="0.15">
      <c r="A3517" s="5" t="str">
        <f>HYPERLINK("https://onemount.atlassian.net/browse/DBA-1139","DBA-1139")</f>
        <v>DBA-1139</v>
      </c>
      <c r="B3517" s="6" t="s">
        <v>21</v>
      </c>
      <c r="C3517" s="6" t="s">
        <v>14608</v>
      </c>
      <c r="D3517" s="8" t="s">
        <v>17</v>
      </c>
      <c r="E3517" s="6" t="s">
        <v>23</v>
      </c>
      <c r="F3517" s="6" t="s">
        <v>31</v>
      </c>
      <c r="G3517" s="6" t="s">
        <v>14609</v>
      </c>
      <c r="H3517" s="10">
        <v>45756</v>
      </c>
      <c r="I3517" s="6" t="s">
        <v>14610</v>
      </c>
      <c r="J3517" s="6" t="s">
        <v>254</v>
      </c>
      <c r="K3517" s="6" t="s">
        <v>55</v>
      </c>
      <c r="L3517" s="6" t="s">
        <v>254</v>
      </c>
      <c r="M3517" s="6" t="s">
        <v>14611</v>
      </c>
    </row>
    <row r="3518" spans="1:13" ht="13" x14ac:dyDescent="0.15">
      <c r="A3518" s="5" t="str">
        <f>HYPERLINK("https://onemount.atlassian.net/browse/DBA-1138","DBA-1138")</f>
        <v>DBA-1138</v>
      </c>
      <c r="B3518" s="6" t="s">
        <v>21</v>
      </c>
      <c r="C3518" s="6" t="s">
        <v>14580</v>
      </c>
      <c r="D3518" s="8" t="s">
        <v>17</v>
      </c>
      <c r="E3518" s="6" t="s">
        <v>23</v>
      </c>
      <c r="F3518" s="6" t="s">
        <v>31</v>
      </c>
      <c r="G3518" s="6" t="s">
        <v>14612</v>
      </c>
      <c r="H3518" s="10">
        <v>45755</v>
      </c>
      <c r="I3518" s="6" t="s">
        <v>14613</v>
      </c>
      <c r="J3518" s="6" t="s">
        <v>992</v>
      </c>
      <c r="K3518" s="6" t="s">
        <v>55</v>
      </c>
      <c r="L3518" s="6" t="s">
        <v>906</v>
      </c>
      <c r="M3518" s="6" t="s">
        <v>14614</v>
      </c>
    </row>
    <row r="3519" spans="1:13" ht="13" x14ac:dyDescent="0.15">
      <c r="A3519" s="5" t="str">
        <f>HYPERLINK("https://onemount.atlassian.net/browse/DBA-1137","DBA-1137")</f>
        <v>DBA-1137</v>
      </c>
      <c r="B3519" s="23" t="str">
        <f>HYPERLINK("https://onemount.atlassian.net/browse/DBA-2023","DBA-2023")</f>
        <v>DBA-2023</v>
      </c>
      <c r="C3519" s="6" t="s">
        <v>14615</v>
      </c>
      <c r="D3519" s="8" t="s">
        <v>17</v>
      </c>
      <c r="E3519" s="6" t="s">
        <v>428</v>
      </c>
      <c r="F3519" s="6" t="s">
        <v>24</v>
      </c>
      <c r="G3519" s="6" t="s">
        <v>14616</v>
      </c>
      <c r="H3519" s="10">
        <v>45754</v>
      </c>
      <c r="I3519" s="6" t="s">
        <v>14617</v>
      </c>
      <c r="J3519" s="6" t="s">
        <v>55</v>
      </c>
      <c r="K3519" s="6" t="s">
        <v>55</v>
      </c>
      <c r="L3519" s="6" t="s">
        <v>900</v>
      </c>
      <c r="M3519" s="6" t="s">
        <v>14618</v>
      </c>
    </row>
    <row r="3520" spans="1:13" ht="13" x14ac:dyDescent="0.15">
      <c r="A3520" s="5" t="str">
        <f>HYPERLINK("https://onemount.atlassian.net/browse/DBA-1136","DBA-1136")</f>
        <v>DBA-1136</v>
      </c>
      <c r="B3520" s="6" t="s">
        <v>21</v>
      </c>
      <c r="C3520" s="6" t="s">
        <v>14580</v>
      </c>
      <c r="D3520" s="8" t="s">
        <v>17</v>
      </c>
      <c r="E3520" s="6" t="s">
        <v>23</v>
      </c>
      <c r="F3520" s="6" t="s">
        <v>31</v>
      </c>
      <c r="G3520" s="6" t="s">
        <v>14619</v>
      </c>
      <c r="H3520" s="10">
        <v>45754</v>
      </c>
      <c r="I3520" s="6" t="s">
        <v>14620</v>
      </c>
      <c r="J3520" s="6" t="s">
        <v>992</v>
      </c>
      <c r="K3520" s="6" t="s">
        <v>55</v>
      </c>
      <c r="L3520" s="6" t="s">
        <v>906</v>
      </c>
      <c r="M3520" s="6" t="s">
        <v>14621</v>
      </c>
    </row>
    <row r="3521" spans="1:13" ht="13" x14ac:dyDescent="0.15">
      <c r="A3521" s="5" t="str">
        <f>HYPERLINK("https://onemount.atlassian.net/browse/DBA-1135","DBA-1135")</f>
        <v>DBA-1135</v>
      </c>
      <c r="B3521" s="6" t="s">
        <v>21</v>
      </c>
      <c r="C3521" s="6" t="s">
        <v>14622</v>
      </c>
      <c r="D3521" s="8" t="s">
        <v>17</v>
      </c>
      <c r="E3521" s="6" t="s">
        <v>23</v>
      </c>
      <c r="F3521" s="6" t="s">
        <v>24</v>
      </c>
      <c r="G3521" s="6" t="s">
        <v>14623</v>
      </c>
      <c r="H3521" s="10">
        <v>45754</v>
      </c>
      <c r="I3521" s="6" t="s">
        <v>14624</v>
      </c>
      <c r="J3521" s="6" t="s">
        <v>55</v>
      </c>
      <c r="K3521" s="6" t="s">
        <v>55</v>
      </c>
      <c r="L3521" s="6" t="s">
        <v>56</v>
      </c>
      <c r="M3521" s="6" t="s">
        <v>14625</v>
      </c>
    </row>
    <row r="3522" spans="1:13" ht="13" x14ac:dyDescent="0.15">
      <c r="A3522" s="5" t="str">
        <f>HYPERLINK("https://onemount.atlassian.net/browse/DBA-1134","DBA-1134")</f>
        <v>DBA-1134</v>
      </c>
      <c r="B3522" s="6" t="s">
        <v>21</v>
      </c>
      <c r="C3522" s="6" t="s">
        <v>14626</v>
      </c>
      <c r="D3522" s="8" t="s">
        <v>17</v>
      </c>
      <c r="E3522" s="6" t="s">
        <v>23</v>
      </c>
      <c r="F3522" s="6" t="s">
        <v>24</v>
      </c>
      <c r="G3522" s="6" t="s">
        <v>14627</v>
      </c>
      <c r="H3522" s="10">
        <v>45755</v>
      </c>
      <c r="I3522" s="6" t="s">
        <v>14628</v>
      </c>
      <c r="J3522" s="6" t="s">
        <v>13808</v>
      </c>
      <c r="K3522" s="6" t="s">
        <v>55</v>
      </c>
      <c r="L3522" s="6" t="s">
        <v>906</v>
      </c>
      <c r="M3522" s="6" t="s">
        <v>14629</v>
      </c>
    </row>
    <row r="3523" spans="1:13" ht="13" x14ac:dyDescent="0.15">
      <c r="A3523" s="5" t="str">
        <f>HYPERLINK("https://onemount.atlassian.net/browse/DBA-1133","DBA-1133")</f>
        <v>DBA-1133</v>
      </c>
      <c r="B3523" s="6" t="s">
        <v>21</v>
      </c>
      <c r="C3523" s="6" t="s">
        <v>14630</v>
      </c>
      <c r="D3523" s="8" t="s">
        <v>17</v>
      </c>
      <c r="E3523" s="6" t="s">
        <v>23</v>
      </c>
      <c r="F3523" s="6" t="s">
        <v>24</v>
      </c>
      <c r="G3523" s="6" t="s">
        <v>14631</v>
      </c>
      <c r="H3523" s="10">
        <v>45754</v>
      </c>
      <c r="I3523" s="6" t="s">
        <v>14632</v>
      </c>
      <c r="J3523" s="6" t="s">
        <v>49</v>
      </c>
      <c r="K3523" s="6" t="s">
        <v>35</v>
      </c>
      <c r="L3523" s="6" t="s">
        <v>49</v>
      </c>
      <c r="M3523" s="6" t="s">
        <v>14633</v>
      </c>
    </row>
    <row r="3524" spans="1:13" ht="13" x14ac:dyDescent="0.15">
      <c r="A3524" s="5" t="str">
        <f>HYPERLINK("https://onemount.atlassian.net/browse/DBA-1132","DBA-1132")</f>
        <v>DBA-1132</v>
      </c>
      <c r="B3524" s="6" t="s">
        <v>21</v>
      </c>
      <c r="C3524" s="6" t="s">
        <v>14317</v>
      </c>
      <c r="D3524" s="8" t="s">
        <v>17</v>
      </c>
      <c r="E3524" s="6" t="s">
        <v>23</v>
      </c>
      <c r="F3524" s="6" t="s">
        <v>24</v>
      </c>
      <c r="G3524" s="6" t="s">
        <v>14634</v>
      </c>
      <c r="H3524" s="10">
        <v>45752</v>
      </c>
      <c r="I3524" s="6" t="s">
        <v>14635</v>
      </c>
      <c r="J3524" s="6" t="s">
        <v>55</v>
      </c>
      <c r="K3524" s="6" t="s">
        <v>55</v>
      </c>
      <c r="L3524" s="6" t="s">
        <v>56</v>
      </c>
      <c r="M3524" s="6" t="s">
        <v>14636</v>
      </c>
    </row>
    <row r="3525" spans="1:13" ht="13" x14ac:dyDescent="0.15">
      <c r="A3525" s="5" t="str">
        <f>HYPERLINK("https://onemount.atlassian.net/browse/DBA-1131","DBA-1131")</f>
        <v>DBA-1131</v>
      </c>
      <c r="B3525" s="6" t="s">
        <v>21</v>
      </c>
      <c r="C3525" s="6" t="s">
        <v>14637</v>
      </c>
      <c r="D3525" s="8" t="s">
        <v>17</v>
      </c>
      <c r="E3525" s="6" t="s">
        <v>23</v>
      </c>
      <c r="F3525" s="6" t="s">
        <v>24</v>
      </c>
      <c r="G3525" s="6" t="s">
        <v>14638</v>
      </c>
      <c r="H3525" s="10">
        <v>45753</v>
      </c>
      <c r="I3525" s="6" t="s">
        <v>14639</v>
      </c>
      <c r="J3525" s="6" t="s">
        <v>56</v>
      </c>
      <c r="K3525" s="6" t="s">
        <v>55</v>
      </c>
      <c r="L3525" s="6" t="s">
        <v>56</v>
      </c>
      <c r="M3525" s="6" t="s">
        <v>14640</v>
      </c>
    </row>
    <row r="3526" spans="1:13" ht="13" x14ac:dyDescent="0.15">
      <c r="A3526" s="5" t="str">
        <f>HYPERLINK("https://onemount.atlassian.net/browse/DBA-1130","DBA-1130")</f>
        <v>DBA-1130</v>
      </c>
      <c r="B3526" s="6" t="s">
        <v>21</v>
      </c>
      <c r="C3526" s="6" t="s">
        <v>14641</v>
      </c>
      <c r="D3526" s="8" t="s">
        <v>17</v>
      </c>
      <c r="E3526" s="6" t="s">
        <v>23</v>
      </c>
      <c r="F3526" s="6" t="s">
        <v>24</v>
      </c>
      <c r="G3526" s="6" t="s">
        <v>14642</v>
      </c>
      <c r="H3526" s="10">
        <v>45751</v>
      </c>
      <c r="I3526" s="6" t="s">
        <v>14643</v>
      </c>
      <c r="J3526" s="6" t="s">
        <v>707</v>
      </c>
      <c r="K3526" s="6" t="s">
        <v>35</v>
      </c>
      <c r="L3526" s="6" t="s">
        <v>707</v>
      </c>
      <c r="M3526" s="6" t="s">
        <v>14644</v>
      </c>
    </row>
    <row r="3527" spans="1:13" ht="13" x14ac:dyDescent="0.15">
      <c r="A3527" s="5" t="str">
        <f>HYPERLINK("https://onemount.atlassian.net/browse/DBA-1129","DBA-1129")</f>
        <v>DBA-1129</v>
      </c>
      <c r="B3527" s="6" t="s">
        <v>21</v>
      </c>
      <c r="C3527" s="6" t="s">
        <v>14645</v>
      </c>
      <c r="D3527" s="8" t="s">
        <v>17</v>
      </c>
      <c r="E3527" s="6" t="s">
        <v>23</v>
      </c>
      <c r="F3527" s="6" t="s">
        <v>96</v>
      </c>
      <c r="G3527" s="6" t="s">
        <v>14646</v>
      </c>
      <c r="H3527" s="10">
        <v>45756</v>
      </c>
      <c r="I3527" s="6" t="s">
        <v>14647</v>
      </c>
      <c r="J3527" s="6" t="s">
        <v>165</v>
      </c>
      <c r="K3527" s="6" t="s">
        <v>165</v>
      </c>
      <c r="L3527" s="6" t="s">
        <v>1091</v>
      </c>
      <c r="M3527" s="6" t="s">
        <v>14648</v>
      </c>
    </row>
    <row r="3528" spans="1:13" ht="13" x14ac:dyDescent="0.15">
      <c r="A3528" s="5" t="str">
        <f>HYPERLINK("https://onemount.atlassian.net/browse/DBA-1128","DBA-1128")</f>
        <v>DBA-1128</v>
      </c>
      <c r="B3528" s="6" t="s">
        <v>21</v>
      </c>
      <c r="C3528" s="6" t="s">
        <v>14649</v>
      </c>
      <c r="D3528" s="8" t="s">
        <v>17</v>
      </c>
      <c r="E3528" s="6" t="s">
        <v>23</v>
      </c>
      <c r="F3528" s="6" t="s">
        <v>96</v>
      </c>
      <c r="G3528" s="6" t="s">
        <v>14650</v>
      </c>
      <c r="H3528" s="10">
        <v>45752</v>
      </c>
      <c r="I3528" s="6" t="s">
        <v>14651</v>
      </c>
      <c r="J3528" s="6" t="s">
        <v>628</v>
      </c>
      <c r="K3528" s="6" t="s">
        <v>165</v>
      </c>
      <c r="L3528" s="6" t="s">
        <v>119</v>
      </c>
      <c r="M3528" s="6" t="s">
        <v>14652</v>
      </c>
    </row>
    <row r="3529" spans="1:13" ht="13" x14ac:dyDescent="0.15">
      <c r="A3529" s="5" t="str">
        <f>HYPERLINK("https://onemount.atlassian.net/browse/DBA-1127","DBA-1127")</f>
        <v>DBA-1127</v>
      </c>
      <c r="B3529" s="6" t="s">
        <v>21</v>
      </c>
      <c r="C3529" s="6" t="s">
        <v>14653</v>
      </c>
      <c r="D3529" s="8" t="s">
        <v>17</v>
      </c>
      <c r="E3529" s="6" t="s">
        <v>23</v>
      </c>
      <c r="F3529" s="6" t="s">
        <v>31</v>
      </c>
      <c r="G3529" s="6" t="s">
        <v>14654</v>
      </c>
      <c r="H3529" s="10">
        <v>45750</v>
      </c>
      <c r="I3529" s="6" t="s">
        <v>14655</v>
      </c>
      <c r="J3529" s="6" t="s">
        <v>14656</v>
      </c>
      <c r="K3529" s="6" t="s">
        <v>55</v>
      </c>
      <c r="L3529" s="6" t="s">
        <v>254</v>
      </c>
      <c r="M3529" s="6" t="s">
        <v>14657</v>
      </c>
    </row>
    <row r="3530" spans="1:13" ht="13" x14ac:dyDescent="0.15">
      <c r="A3530" s="5" t="str">
        <f>HYPERLINK("https://onemount.atlassian.net/browse/DBA-1126","DBA-1126")</f>
        <v>DBA-1126</v>
      </c>
      <c r="B3530" s="6" t="s">
        <v>21</v>
      </c>
      <c r="C3530" s="6" t="s">
        <v>14408</v>
      </c>
      <c r="D3530" s="8" t="s">
        <v>17</v>
      </c>
      <c r="E3530" s="6" t="s">
        <v>23</v>
      </c>
      <c r="F3530" s="6" t="s">
        <v>24</v>
      </c>
      <c r="G3530" s="6" t="s">
        <v>14658</v>
      </c>
      <c r="H3530" s="10">
        <v>45750</v>
      </c>
      <c r="I3530" s="6" t="s">
        <v>14659</v>
      </c>
      <c r="J3530" s="6" t="s">
        <v>55</v>
      </c>
      <c r="K3530" s="6" t="s">
        <v>55</v>
      </c>
      <c r="L3530" s="6" t="s">
        <v>906</v>
      </c>
      <c r="M3530" s="6" t="s">
        <v>14660</v>
      </c>
    </row>
    <row r="3531" spans="1:13" ht="13" x14ac:dyDescent="0.15">
      <c r="A3531" s="5" t="str">
        <f>HYPERLINK("https://onemount.atlassian.net/browse/DBA-1125","DBA-1125")</f>
        <v>DBA-1125</v>
      </c>
      <c r="B3531" s="6" t="s">
        <v>21</v>
      </c>
      <c r="C3531" s="6" t="s">
        <v>14661</v>
      </c>
      <c r="D3531" s="8" t="s">
        <v>17</v>
      </c>
      <c r="E3531" s="6" t="s">
        <v>23</v>
      </c>
      <c r="F3531" s="6" t="s">
        <v>31</v>
      </c>
      <c r="G3531" s="6" t="s">
        <v>14662</v>
      </c>
      <c r="H3531" s="10">
        <v>45750</v>
      </c>
      <c r="I3531" s="6" t="s">
        <v>14663</v>
      </c>
      <c r="J3531" s="6" t="s">
        <v>353</v>
      </c>
      <c r="K3531" s="6" t="s">
        <v>28</v>
      </c>
      <c r="L3531" s="6" t="s">
        <v>1000</v>
      </c>
      <c r="M3531" s="6" t="s">
        <v>14664</v>
      </c>
    </row>
    <row r="3532" spans="1:13" ht="13" x14ac:dyDescent="0.15">
      <c r="A3532" s="5" t="str">
        <f>HYPERLINK("https://onemount.atlassian.net/browse/DBA-1124","DBA-1124")</f>
        <v>DBA-1124</v>
      </c>
      <c r="B3532" s="6" t="s">
        <v>21</v>
      </c>
      <c r="C3532" s="6" t="s">
        <v>14665</v>
      </c>
      <c r="D3532" s="8" t="s">
        <v>17</v>
      </c>
      <c r="E3532" s="6" t="s">
        <v>23</v>
      </c>
      <c r="F3532" s="6" t="s">
        <v>31</v>
      </c>
      <c r="G3532" s="6" t="s">
        <v>14666</v>
      </c>
      <c r="H3532" s="10">
        <v>45750</v>
      </c>
      <c r="I3532" s="6" t="s">
        <v>14667</v>
      </c>
      <c r="J3532" s="6" t="s">
        <v>254</v>
      </c>
      <c r="K3532" s="6" t="s">
        <v>55</v>
      </c>
      <c r="L3532" s="6" t="s">
        <v>254</v>
      </c>
      <c r="M3532" s="6" t="s">
        <v>14668</v>
      </c>
    </row>
    <row r="3533" spans="1:13" ht="13" x14ac:dyDescent="0.15">
      <c r="A3533" s="5" t="str">
        <f>HYPERLINK("https://onemount.atlassian.net/browse/DBA-1123","DBA-1123")</f>
        <v>DBA-1123</v>
      </c>
      <c r="B3533" s="6" t="s">
        <v>21</v>
      </c>
      <c r="C3533" s="6" t="s">
        <v>14669</v>
      </c>
      <c r="D3533" s="8" t="s">
        <v>17</v>
      </c>
      <c r="E3533" s="6" t="s">
        <v>23</v>
      </c>
      <c r="F3533" s="6" t="s">
        <v>31</v>
      </c>
      <c r="G3533" s="6" t="s">
        <v>14670</v>
      </c>
      <c r="H3533" s="10">
        <v>45750</v>
      </c>
      <c r="I3533" s="6" t="s">
        <v>14671</v>
      </c>
      <c r="J3533" s="6" t="s">
        <v>14672</v>
      </c>
      <c r="K3533" s="6" t="s">
        <v>55</v>
      </c>
      <c r="L3533" s="6" t="s">
        <v>254</v>
      </c>
      <c r="M3533" s="6" t="s">
        <v>14673</v>
      </c>
    </row>
    <row r="3534" spans="1:13" ht="13" x14ac:dyDescent="0.15">
      <c r="A3534" s="5" t="str">
        <f>HYPERLINK("https://onemount.atlassian.net/browse/DBA-1122","DBA-1122")</f>
        <v>DBA-1122</v>
      </c>
      <c r="B3534" s="6" t="s">
        <v>21</v>
      </c>
      <c r="C3534" s="6" t="s">
        <v>14674</v>
      </c>
      <c r="D3534" s="8" t="s">
        <v>17</v>
      </c>
      <c r="E3534" s="6" t="s">
        <v>23</v>
      </c>
      <c r="F3534" s="6" t="s">
        <v>31</v>
      </c>
      <c r="G3534" s="6" t="s">
        <v>14675</v>
      </c>
      <c r="H3534" s="10">
        <v>45750</v>
      </c>
      <c r="I3534" s="6" t="s">
        <v>14676</v>
      </c>
      <c r="J3534" s="6" t="s">
        <v>2119</v>
      </c>
      <c r="K3534" s="6" t="s">
        <v>35</v>
      </c>
      <c r="L3534" s="6" t="s">
        <v>638</v>
      </c>
      <c r="M3534" s="6" t="s">
        <v>14677</v>
      </c>
    </row>
    <row r="3535" spans="1:13" ht="13" x14ac:dyDescent="0.15">
      <c r="A3535" s="5" t="str">
        <f>HYPERLINK("https://onemount.atlassian.net/browse/DBA-1121","DBA-1121")</f>
        <v>DBA-1121</v>
      </c>
      <c r="B3535" s="6" t="s">
        <v>21</v>
      </c>
      <c r="C3535" s="6" t="s">
        <v>14678</v>
      </c>
      <c r="D3535" s="8" t="s">
        <v>17</v>
      </c>
      <c r="E3535" s="6" t="s">
        <v>23</v>
      </c>
      <c r="F3535" s="6" t="s">
        <v>31</v>
      </c>
      <c r="G3535" s="6" t="s">
        <v>14679</v>
      </c>
      <c r="H3535" s="10">
        <v>45750</v>
      </c>
      <c r="I3535" s="6" t="s">
        <v>14680</v>
      </c>
      <c r="J3535" s="6" t="s">
        <v>34</v>
      </c>
      <c r="K3535" s="6" t="s">
        <v>35</v>
      </c>
      <c r="L3535" s="6" t="s">
        <v>36</v>
      </c>
      <c r="M3535" s="6" t="s">
        <v>14681</v>
      </c>
    </row>
    <row r="3536" spans="1:13" ht="13" x14ac:dyDescent="0.15">
      <c r="A3536" s="5" t="str">
        <f>HYPERLINK("https://onemount.atlassian.net/browse/DBA-1120","DBA-1120")</f>
        <v>DBA-1120</v>
      </c>
      <c r="B3536" s="6" t="s">
        <v>21</v>
      </c>
      <c r="C3536" s="6" t="s">
        <v>14412</v>
      </c>
      <c r="D3536" s="8" t="s">
        <v>17</v>
      </c>
      <c r="E3536" s="6" t="s">
        <v>23</v>
      </c>
      <c r="F3536" s="6" t="s">
        <v>24</v>
      </c>
      <c r="G3536" s="6" t="s">
        <v>14682</v>
      </c>
      <c r="H3536" s="10">
        <v>45750</v>
      </c>
      <c r="I3536" s="6" t="s">
        <v>14683</v>
      </c>
      <c r="J3536" s="6" t="s">
        <v>55</v>
      </c>
      <c r="K3536" s="6" t="s">
        <v>55</v>
      </c>
      <c r="L3536" s="6" t="s">
        <v>906</v>
      </c>
      <c r="M3536" s="6" t="s">
        <v>14684</v>
      </c>
    </row>
    <row r="3537" spans="1:13" ht="13" x14ac:dyDescent="0.15">
      <c r="A3537" s="5" t="str">
        <f>HYPERLINK("https://onemount.atlassian.net/browse/DBA-1119","DBA-1119")</f>
        <v>DBA-1119</v>
      </c>
      <c r="B3537" s="6" t="s">
        <v>21</v>
      </c>
      <c r="C3537" s="6" t="s">
        <v>14685</v>
      </c>
      <c r="D3537" s="8" t="s">
        <v>17</v>
      </c>
      <c r="E3537" s="6" t="s">
        <v>23</v>
      </c>
      <c r="F3537" s="6" t="s">
        <v>24</v>
      </c>
      <c r="G3537" s="6" t="s">
        <v>14686</v>
      </c>
      <c r="H3537" s="10">
        <v>45751</v>
      </c>
      <c r="I3537" s="6" t="s">
        <v>14687</v>
      </c>
      <c r="J3537" s="6" t="s">
        <v>5675</v>
      </c>
      <c r="K3537" s="6" t="s">
        <v>55</v>
      </c>
      <c r="L3537" s="6" t="s">
        <v>960</v>
      </c>
      <c r="M3537" s="6" t="s">
        <v>14688</v>
      </c>
    </row>
    <row r="3538" spans="1:13" ht="13" x14ac:dyDescent="0.15">
      <c r="A3538" s="5" t="str">
        <f>HYPERLINK("https://onemount.atlassian.net/browse/DBA-1118","DBA-1118")</f>
        <v>DBA-1118</v>
      </c>
      <c r="B3538" s="6" t="s">
        <v>21</v>
      </c>
      <c r="C3538" s="6" t="s">
        <v>14689</v>
      </c>
      <c r="D3538" s="8" t="s">
        <v>17</v>
      </c>
      <c r="E3538" s="6" t="s">
        <v>23</v>
      </c>
      <c r="F3538" s="6" t="s">
        <v>96</v>
      </c>
      <c r="G3538" s="6" t="s">
        <v>14690</v>
      </c>
      <c r="H3538" s="10">
        <v>45752</v>
      </c>
      <c r="I3538" s="6" t="s">
        <v>14691</v>
      </c>
      <c r="J3538" s="6" t="s">
        <v>628</v>
      </c>
      <c r="K3538" s="6" t="s">
        <v>165</v>
      </c>
      <c r="L3538" s="6" t="s">
        <v>645</v>
      </c>
      <c r="M3538" s="6" t="s">
        <v>14692</v>
      </c>
    </row>
    <row r="3539" spans="1:13" ht="13" x14ac:dyDescent="0.15">
      <c r="A3539" s="5" t="str">
        <f>HYPERLINK("https://onemount.atlassian.net/browse/DBA-1117","DBA-1117")</f>
        <v>DBA-1117</v>
      </c>
      <c r="B3539" s="6" t="s">
        <v>21</v>
      </c>
      <c r="C3539" s="6" t="s">
        <v>14693</v>
      </c>
      <c r="D3539" s="8" t="s">
        <v>17</v>
      </c>
      <c r="E3539" s="6" t="s">
        <v>23</v>
      </c>
      <c r="F3539" s="6" t="s">
        <v>24</v>
      </c>
      <c r="G3539" s="6" t="s">
        <v>14694</v>
      </c>
      <c r="H3539" s="10">
        <v>45749</v>
      </c>
      <c r="I3539" s="6" t="s">
        <v>14695</v>
      </c>
      <c r="J3539" s="6" t="s">
        <v>1000</v>
      </c>
      <c r="K3539" s="6" t="s">
        <v>28</v>
      </c>
      <c r="L3539" s="6" t="s">
        <v>28</v>
      </c>
      <c r="M3539" s="6" t="s">
        <v>14696</v>
      </c>
    </row>
    <row r="3540" spans="1:13" ht="13" x14ac:dyDescent="0.15">
      <c r="A3540" s="5" t="str">
        <f>HYPERLINK("https://onemount.atlassian.net/browse/DBA-1116","DBA-1116")</f>
        <v>DBA-1116</v>
      </c>
      <c r="B3540" s="6" t="s">
        <v>21</v>
      </c>
      <c r="C3540" s="6" t="s">
        <v>14697</v>
      </c>
      <c r="D3540" s="8" t="s">
        <v>17</v>
      </c>
      <c r="E3540" s="6" t="s">
        <v>23</v>
      </c>
      <c r="F3540" s="6" t="s">
        <v>31</v>
      </c>
      <c r="G3540" s="6" t="s">
        <v>14698</v>
      </c>
      <c r="H3540" s="10">
        <v>45750</v>
      </c>
      <c r="I3540" s="6" t="s">
        <v>14699</v>
      </c>
      <c r="J3540" s="6" t="s">
        <v>12023</v>
      </c>
      <c r="K3540" s="6" t="s">
        <v>35</v>
      </c>
      <c r="L3540" s="6" t="s">
        <v>276</v>
      </c>
      <c r="M3540" s="6" t="s">
        <v>14700</v>
      </c>
    </row>
    <row r="3541" spans="1:13" ht="13" x14ac:dyDescent="0.15">
      <c r="A3541" s="5" t="str">
        <f>HYPERLINK("https://onemount.atlassian.net/browse/DBA-1115","DBA-1115")</f>
        <v>DBA-1115</v>
      </c>
      <c r="B3541" s="6" t="s">
        <v>21</v>
      </c>
      <c r="C3541" s="6" t="s">
        <v>14701</v>
      </c>
      <c r="D3541" s="8" t="s">
        <v>17</v>
      </c>
      <c r="E3541" s="6" t="s">
        <v>23</v>
      </c>
      <c r="F3541" s="6" t="s">
        <v>24</v>
      </c>
      <c r="G3541" s="6" t="s">
        <v>14702</v>
      </c>
      <c r="H3541" s="10">
        <v>45751</v>
      </c>
      <c r="I3541" s="6" t="s">
        <v>14703</v>
      </c>
      <c r="J3541" s="6" t="s">
        <v>28</v>
      </c>
      <c r="K3541" s="6" t="s">
        <v>28</v>
      </c>
      <c r="L3541" s="6" t="s">
        <v>1127</v>
      </c>
      <c r="M3541" s="6" t="s">
        <v>14704</v>
      </c>
    </row>
    <row r="3542" spans="1:13" ht="13" x14ac:dyDescent="0.15">
      <c r="A3542" s="5" t="str">
        <f>HYPERLINK("https://onemount.atlassian.net/browse/DBA-1114","DBA-1114")</f>
        <v>DBA-1114</v>
      </c>
      <c r="B3542" s="6" t="s">
        <v>21</v>
      </c>
      <c r="C3542" s="6" t="s">
        <v>14705</v>
      </c>
      <c r="D3542" s="8" t="s">
        <v>17</v>
      </c>
      <c r="E3542" s="6" t="s">
        <v>23</v>
      </c>
      <c r="F3542" s="6" t="s">
        <v>96</v>
      </c>
      <c r="G3542" s="6" t="s">
        <v>14706</v>
      </c>
      <c r="H3542" s="10">
        <v>45750</v>
      </c>
      <c r="I3542" s="6" t="s">
        <v>14707</v>
      </c>
      <c r="J3542" s="6" t="s">
        <v>2059</v>
      </c>
      <c r="K3542" s="6" t="s">
        <v>165</v>
      </c>
      <c r="L3542" s="6" t="s">
        <v>1052</v>
      </c>
      <c r="M3542" s="6" t="s">
        <v>14708</v>
      </c>
    </row>
    <row r="3543" spans="1:13" ht="13" x14ac:dyDescent="0.15">
      <c r="A3543" s="5" t="str">
        <f>HYPERLINK("https://onemount.atlassian.net/browse/DBA-1113","DBA-1113")</f>
        <v>DBA-1113</v>
      </c>
      <c r="B3543" s="6" t="s">
        <v>21</v>
      </c>
      <c r="C3543" s="6" t="s">
        <v>14709</v>
      </c>
      <c r="D3543" s="8" t="s">
        <v>17</v>
      </c>
      <c r="E3543" s="6" t="s">
        <v>23</v>
      </c>
      <c r="F3543" s="6" t="s">
        <v>96</v>
      </c>
      <c r="G3543" s="6" t="s">
        <v>14710</v>
      </c>
      <c r="H3543" s="10">
        <v>45749</v>
      </c>
      <c r="I3543" s="6" t="s">
        <v>14711</v>
      </c>
      <c r="J3543" s="6" t="s">
        <v>13770</v>
      </c>
      <c r="K3543" s="6" t="s">
        <v>165</v>
      </c>
      <c r="L3543" s="6" t="s">
        <v>1006</v>
      </c>
      <c r="M3543" s="6" t="s">
        <v>14712</v>
      </c>
    </row>
    <row r="3544" spans="1:13" ht="13" x14ac:dyDescent="0.15">
      <c r="A3544" s="5" t="str">
        <f>HYPERLINK("https://onemount.atlassian.net/browse/DBA-1112","DBA-1112")</f>
        <v>DBA-1112</v>
      </c>
      <c r="B3544" s="6" t="s">
        <v>21</v>
      </c>
      <c r="C3544" s="6" t="s">
        <v>14713</v>
      </c>
      <c r="D3544" s="8" t="s">
        <v>17</v>
      </c>
      <c r="E3544" s="6" t="s">
        <v>23</v>
      </c>
      <c r="F3544" s="6" t="s">
        <v>96</v>
      </c>
      <c r="G3544" s="6" t="s">
        <v>14714</v>
      </c>
      <c r="H3544" s="10">
        <v>45749</v>
      </c>
      <c r="I3544" s="6" t="s">
        <v>14715</v>
      </c>
      <c r="J3544" s="6" t="s">
        <v>3075</v>
      </c>
      <c r="K3544" s="6" t="s">
        <v>165</v>
      </c>
      <c r="L3544" s="6" t="s">
        <v>1084</v>
      </c>
      <c r="M3544" s="6" t="s">
        <v>14716</v>
      </c>
    </row>
    <row r="3545" spans="1:13" ht="13" x14ac:dyDescent="0.15">
      <c r="A3545" s="5" t="str">
        <f>HYPERLINK("https://onemount.atlassian.net/browse/DBA-1111","DBA-1111")</f>
        <v>DBA-1111</v>
      </c>
      <c r="B3545" s="6" t="s">
        <v>21</v>
      </c>
      <c r="C3545" s="6" t="s">
        <v>3328</v>
      </c>
      <c r="D3545" s="8" t="s">
        <v>17</v>
      </c>
      <c r="E3545" s="6" t="s">
        <v>23</v>
      </c>
      <c r="F3545" s="6" t="s">
        <v>96</v>
      </c>
      <c r="G3545" s="6" t="s">
        <v>14717</v>
      </c>
      <c r="H3545" s="10">
        <v>45749</v>
      </c>
      <c r="I3545" s="6" t="s">
        <v>14718</v>
      </c>
      <c r="J3545" s="6" t="s">
        <v>214</v>
      </c>
      <c r="K3545" s="6" t="s">
        <v>165</v>
      </c>
      <c r="L3545" s="6" t="s">
        <v>288</v>
      </c>
      <c r="M3545" s="6" t="s">
        <v>14719</v>
      </c>
    </row>
    <row r="3546" spans="1:13" ht="13" x14ac:dyDescent="0.15">
      <c r="A3546" s="5" t="str">
        <f>HYPERLINK("https://onemount.atlassian.net/browse/DBA-1110","DBA-1110")</f>
        <v>DBA-1110</v>
      </c>
      <c r="B3546" s="6" t="s">
        <v>21</v>
      </c>
      <c r="C3546" s="6" t="s">
        <v>14720</v>
      </c>
      <c r="D3546" s="8" t="s">
        <v>17</v>
      </c>
      <c r="E3546" s="6" t="s">
        <v>23</v>
      </c>
      <c r="F3546" s="6" t="s">
        <v>96</v>
      </c>
      <c r="G3546" s="6" t="s">
        <v>14721</v>
      </c>
      <c r="H3546" s="10">
        <v>45749</v>
      </c>
      <c r="I3546" s="6" t="s">
        <v>14722</v>
      </c>
      <c r="J3546" s="6" t="s">
        <v>6856</v>
      </c>
      <c r="K3546" s="6" t="s">
        <v>165</v>
      </c>
      <c r="L3546" s="6" t="s">
        <v>715</v>
      </c>
      <c r="M3546" s="6" t="s">
        <v>14723</v>
      </c>
    </row>
    <row r="3547" spans="1:13" ht="13" x14ac:dyDescent="0.15">
      <c r="A3547" s="5" t="str">
        <f>HYPERLINK("https://onemount.atlassian.net/browse/DBA-1109","DBA-1109")</f>
        <v>DBA-1109</v>
      </c>
      <c r="B3547" s="6" t="s">
        <v>21</v>
      </c>
      <c r="C3547" s="6" t="s">
        <v>14724</v>
      </c>
      <c r="D3547" s="8" t="s">
        <v>17</v>
      </c>
      <c r="E3547" s="6" t="s">
        <v>23</v>
      </c>
      <c r="F3547" s="6" t="s">
        <v>96</v>
      </c>
      <c r="G3547" s="6" t="s">
        <v>14725</v>
      </c>
      <c r="H3547" s="10">
        <v>45749</v>
      </c>
      <c r="I3547" s="6" t="s">
        <v>14726</v>
      </c>
      <c r="J3547" s="6" t="s">
        <v>1091</v>
      </c>
      <c r="K3547" s="6" t="s">
        <v>165</v>
      </c>
      <c r="L3547" s="6" t="s">
        <v>1091</v>
      </c>
      <c r="M3547" s="6" t="s">
        <v>14727</v>
      </c>
    </row>
    <row r="3548" spans="1:13" ht="13" x14ac:dyDescent="0.15">
      <c r="A3548" s="5" t="str">
        <f>HYPERLINK("https://onemount.atlassian.net/browse/DBA-1108","DBA-1108")</f>
        <v>DBA-1108</v>
      </c>
      <c r="B3548" s="6" t="s">
        <v>21</v>
      </c>
      <c r="C3548" s="6" t="s">
        <v>14728</v>
      </c>
      <c r="D3548" s="8" t="s">
        <v>17</v>
      </c>
      <c r="E3548" s="6" t="s">
        <v>23</v>
      </c>
      <c r="F3548" s="6" t="s">
        <v>96</v>
      </c>
      <c r="G3548" s="6" t="s">
        <v>14729</v>
      </c>
      <c r="H3548" s="10">
        <v>45749</v>
      </c>
      <c r="I3548" s="6" t="s">
        <v>14730</v>
      </c>
      <c r="J3548" s="6" t="s">
        <v>517</v>
      </c>
      <c r="K3548" s="6" t="s">
        <v>165</v>
      </c>
      <c r="L3548" s="6" t="s">
        <v>288</v>
      </c>
      <c r="M3548" s="6" t="s">
        <v>14731</v>
      </c>
    </row>
    <row r="3549" spans="1:13" ht="13" x14ac:dyDescent="0.15">
      <c r="A3549" s="21" t="str">
        <f>HYPERLINK("https://onemount.atlassian.net/browse/DBA-1107","DBA-1107")</f>
        <v>DBA-1107</v>
      </c>
      <c r="B3549" s="6" t="s">
        <v>21</v>
      </c>
      <c r="C3549" s="6" t="s">
        <v>3328</v>
      </c>
      <c r="D3549" s="8" t="s">
        <v>17</v>
      </c>
      <c r="E3549" s="6" t="s">
        <v>23</v>
      </c>
      <c r="F3549" s="6" t="s">
        <v>96</v>
      </c>
      <c r="G3549" s="6" t="s">
        <v>14732</v>
      </c>
      <c r="H3549" s="10">
        <v>45749</v>
      </c>
      <c r="I3549" s="6" t="s">
        <v>14733</v>
      </c>
      <c r="J3549" s="6" t="s">
        <v>214</v>
      </c>
      <c r="K3549" s="6" t="s">
        <v>165</v>
      </c>
      <c r="L3549" s="6" t="s">
        <v>288</v>
      </c>
      <c r="M3549" s="6" t="s">
        <v>14734</v>
      </c>
    </row>
    <row r="3550" spans="1:13" ht="13" x14ac:dyDescent="0.15">
      <c r="A3550" s="5" t="str">
        <f>HYPERLINK("https://onemount.atlassian.net/browse/DBA-1106","DBA-1106")</f>
        <v>DBA-1106</v>
      </c>
      <c r="B3550" s="6" t="s">
        <v>21</v>
      </c>
      <c r="C3550" s="6" t="s">
        <v>14735</v>
      </c>
      <c r="D3550" s="8" t="s">
        <v>17</v>
      </c>
      <c r="E3550" s="6" t="s">
        <v>23</v>
      </c>
      <c r="F3550" s="6" t="s">
        <v>31</v>
      </c>
      <c r="G3550" s="6" t="s">
        <v>14736</v>
      </c>
      <c r="H3550" s="10">
        <v>45749</v>
      </c>
      <c r="I3550" s="6" t="s">
        <v>14737</v>
      </c>
      <c r="J3550" s="6" t="s">
        <v>14672</v>
      </c>
      <c r="K3550" s="6" t="s">
        <v>55</v>
      </c>
      <c r="L3550" s="6" t="s">
        <v>254</v>
      </c>
      <c r="M3550" s="6" t="s">
        <v>14738</v>
      </c>
    </row>
    <row r="3551" spans="1:13" ht="13" x14ac:dyDescent="0.15">
      <c r="A3551" s="5" t="str">
        <f>HYPERLINK("https://onemount.atlassian.net/browse/DBA-1105","DBA-1105")</f>
        <v>DBA-1105</v>
      </c>
      <c r="B3551" s="6" t="s">
        <v>21</v>
      </c>
      <c r="C3551" s="6" t="s">
        <v>14739</v>
      </c>
      <c r="D3551" s="8" t="s">
        <v>17</v>
      </c>
      <c r="E3551" s="6" t="s">
        <v>23</v>
      </c>
      <c r="F3551" s="6" t="s">
        <v>24</v>
      </c>
      <c r="G3551" s="6" t="s">
        <v>14740</v>
      </c>
      <c r="H3551" s="10">
        <v>45751</v>
      </c>
      <c r="I3551" s="6" t="s">
        <v>14741</v>
      </c>
      <c r="J3551" s="6" t="s">
        <v>303</v>
      </c>
      <c r="K3551" s="6" t="s">
        <v>46</v>
      </c>
      <c r="L3551" s="6" t="s">
        <v>303</v>
      </c>
      <c r="M3551" s="6" t="s">
        <v>14742</v>
      </c>
    </row>
    <row r="3552" spans="1:13" ht="13" x14ac:dyDescent="0.15">
      <c r="A3552" s="5" t="str">
        <f>HYPERLINK("https://onemount.atlassian.net/browse/DBA-1104","DBA-1104")</f>
        <v>DBA-1104</v>
      </c>
      <c r="B3552" s="6" t="s">
        <v>21</v>
      </c>
      <c r="C3552" s="6" t="s">
        <v>14743</v>
      </c>
      <c r="D3552" s="8" t="s">
        <v>17</v>
      </c>
      <c r="E3552" s="6" t="s">
        <v>23</v>
      </c>
      <c r="F3552" s="6" t="s">
        <v>24</v>
      </c>
      <c r="G3552" s="6" t="s">
        <v>14744</v>
      </c>
      <c r="H3552" s="10">
        <v>45750</v>
      </c>
      <c r="I3552" s="6" t="s">
        <v>14745</v>
      </c>
      <c r="J3552" s="6" t="s">
        <v>56</v>
      </c>
      <c r="K3552" s="6" t="s">
        <v>55</v>
      </c>
      <c r="L3552" s="6" t="s">
        <v>56</v>
      </c>
      <c r="M3552" s="6" t="s">
        <v>14746</v>
      </c>
    </row>
    <row r="3553" spans="1:13" ht="13" x14ac:dyDescent="0.15">
      <c r="A3553" s="5" t="str">
        <f>HYPERLINK("https://onemount.atlassian.net/browse/DBA-1103","DBA-1103")</f>
        <v>DBA-1103</v>
      </c>
      <c r="B3553" s="6" t="s">
        <v>21</v>
      </c>
      <c r="C3553" s="6" t="s">
        <v>14747</v>
      </c>
      <c r="D3553" s="8" t="s">
        <v>17</v>
      </c>
      <c r="E3553" s="6" t="s">
        <v>23</v>
      </c>
      <c r="F3553" s="6" t="s">
        <v>24</v>
      </c>
      <c r="G3553" s="6" t="s">
        <v>14748</v>
      </c>
      <c r="H3553" s="10">
        <v>45750</v>
      </c>
      <c r="I3553" s="6" t="s">
        <v>14749</v>
      </c>
      <c r="J3553" s="6" t="s">
        <v>28</v>
      </c>
      <c r="K3553" s="6" t="s">
        <v>28</v>
      </c>
      <c r="L3553" s="6" t="s">
        <v>1127</v>
      </c>
      <c r="M3553" s="6" t="s">
        <v>14750</v>
      </c>
    </row>
    <row r="3554" spans="1:13" ht="13" x14ac:dyDescent="0.15">
      <c r="A3554" s="5" t="str">
        <f>HYPERLINK("https://onemount.atlassian.net/browse/DBA-1102","DBA-1102")</f>
        <v>DBA-1102</v>
      </c>
      <c r="B3554" s="6" t="s">
        <v>21</v>
      </c>
      <c r="C3554" s="6" t="s">
        <v>14751</v>
      </c>
      <c r="D3554" s="8" t="s">
        <v>17</v>
      </c>
      <c r="E3554" s="6" t="s">
        <v>23</v>
      </c>
      <c r="F3554" s="6" t="s">
        <v>24</v>
      </c>
      <c r="G3554" s="6" t="s">
        <v>14752</v>
      </c>
      <c r="H3554" s="10">
        <v>45750</v>
      </c>
      <c r="I3554" s="6" t="s">
        <v>14753</v>
      </c>
      <c r="J3554" s="6" t="s">
        <v>28</v>
      </c>
      <c r="K3554" s="6" t="s">
        <v>46</v>
      </c>
      <c r="L3554" s="6" t="s">
        <v>160</v>
      </c>
      <c r="M3554" s="6" t="s">
        <v>14754</v>
      </c>
    </row>
    <row r="3555" spans="1:13" ht="13" x14ac:dyDescent="0.15">
      <c r="A3555" s="5" t="str">
        <f>HYPERLINK("https://onemount.atlassian.net/browse/DBA-1101","DBA-1101")</f>
        <v>DBA-1101</v>
      </c>
      <c r="B3555" s="6" t="s">
        <v>21</v>
      </c>
      <c r="C3555" s="6" t="s">
        <v>14201</v>
      </c>
      <c r="D3555" s="8" t="s">
        <v>17</v>
      </c>
      <c r="E3555" s="6" t="s">
        <v>23</v>
      </c>
      <c r="F3555" s="6" t="s">
        <v>24</v>
      </c>
      <c r="G3555" s="6" t="s">
        <v>14755</v>
      </c>
      <c r="H3555" s="10">
        <v>45750</v>
      </c>
      <c r="I3555" s="6" t="s">
        <v>14756</v>
      </c>
      <c r="J3555" s="6" t="s">
        <v>39</v>
      </c>
      <c r="K3555" s="6" t="s">
        <v>46</v>
      </c>
      <c r="L3555" s="6" t="s">
        <v>39</v>
      </c>
      <c r="M3555" s="6" t="s">
        <v>14757</v>
      </c>
    </row>
    <row r="3556" spans="1:13" ht="13" x14ac:dyDescent="0.15">
      <c r="A3556" s="5" t="str">
        <f>HYPERLINK("https://onemount.atlassian.net/browse/DBA-1100","DBA-1100")</f>
        <v>DBA-1100</v>
      </c>
      <c r="B3556" s="6" t="s">
        <v>21</v>
      </c>
      <c r="C3556" s="6" t="s">
        <v>14758</v>
      </c>
      <c r="D3556" s="8" t="s">
        <v>17</v>
      </c>
      <c r="E3556" s="6" t="s">
        <v>23</v>
      </c>
      <c r="F3556" s="6" t="s">
        <v>31</v>
      </c>
      <c r="G3556" s="6" t="s">
        <v>14759</v>
      </c>
      <c r="H3556" s="10">
        <v>45749</v>
      </c>
      <c r="I3556" s="6" t="s">
        <v>14760</v>
      </c>
      <c r="J3556" s="6" t="s">
        <v>3369</v>
      </c>
      <c r="K3556" s="6" t="s">
        <v>28</v>
      </c>
      <c r="L3556" s="6" t="s">
        <v>1129</v>
      </c>
      <c r="M3556" s="6" t="s">
        <v>14761</v>
      </c>
    </row>
    <row r="3557" spans="1:13" ht="13" x14ac:dyDescent="0.15">
      <c r="A3557" s="5" t="str">
        <f>HYPERLINK("https://onemount.atlassian.net/browse/DBA-1099","DBA-1099")</f>
        <v>DBA-1099</v>
      </c>
      <c r="B3557" s="6" t="s">
        <v>21</v>
      </c>
      <c r="C3557" s="6" t="s">
        <v>14762</v>
      </c>
      <c r="D3557" s="8" t="s">
        <v>17</v>
      </c>
      <c r="E3557" s="6" t="s">
        <v>23</v>
      </c>
      <c r="F3557" s="6" t="s">
        <v>31</v>
      </c>
      <c r="G3557" s="6" t="s">
        <v>14763</v>
      </c>
      <c r="H3557" s="10">
        <v>45749</v>
      </c>
      <c r="I3557" s="6" t="s">
        <v>14764</v>
      </c>
      <c r="J3557" s="6" t="s">
        <v>5042</v>
      </c>
      <c r="K3557" s="6" t="s">
        <v>35</v>
      </c>
      <c r="L3557" s="6" t="s">
        <v>1200</v>
      </c>
      <c r="M3557" s="6" t="s">
        <v>14765</v>
      </c>
    </row>
    <row r="3558" spans="1:13" ht="13" x14ac:dyDescent="0.15">
      <c r="A3558" s="5" t="str">
        <f>HYPERLINK("https://onemount.atlassian.net/browse/DBA-1098","DBA-1098")</f>
        <v>DBA-1098</v>
      </c>
      <c r="B3558" s="6" t="s">
        <v>21</v>
      </c>
      <c r="C3558" s="6" t="s">
        <v>14766</v>
      </c>
      <c r="D3558" s="8" t="s">
        <v>17</v>
      </c>
      <c r="E3558" s="6" t="s">
        <v>23</v>
      </c>
      <c r="F3558" s="6" t="s">
        <v>96</v>
      </c>
      <c r="G3558" s="6" t="s">
        <v>14767</v>
      </c>
      <c r="H3558" s="10">
        <v>45749</v>
      </c>
      <c r="I3558" s="6" t="s">
        <v>14768</v>
      </c>
      <c r="J3558" s="6" t="s">
        <v>39</v>
      </c>
      <c r="K3558" s="6" t="s">
        <v>165</v>
      </c>
      <c r="L3558" s="6" t="s">
        <v>1054</v>
      </c>
      <c r="M3558" s="6" t="s">
        <v>14769</v>
      </c>
    </row>
    <row r="3559" spans="1:13" ht="13" x14ac:dyDescent="0.15">
      <c r="A3559" s="5" t="str">
        <f>HYPERLINK("https://onemount.atlassian.net/browse/DBA-1097","DBA-1097")</f>
        <v>DBA-1097</v>
      </c>
      <c r="B3559" s="6" t="s">
        <v>21</v>
      </c>
      <c r="C3559" s="6" t="s">
        <v>14770</v>
      </c>
      <c r="D3559" s="8" t="s">
        <v>17</v>
      </c>
      <c r="E3559" s="6" t="s">
        <v>23</v>
      </c>
      <c r="F3559" s="6" t="s">
        <v>24</v>
      </c>
      <c r="G3559" s="6" t="s">
        <v>14771</v>
      </c>
      <c r="H3559" s="10">
        <v>45748</v>
      </c>
      <c r="I3559" s="6" t="s">
        <v>14772</v>
      </c>
      <c r="J3559" s="6" t="s">
        <v>28</v>
      </c>
      <c r="K3559" s="6" t="s">
        <v>28</v>
      </c>
      <c r="L3559" s="6" t="s">
        <v>1129</v>
      </c>
      <c r="M3559" s="6" t="s">
        <v>14773</v>
      </c>
    </row>
    <row r="3560" spans="1:13" ht="13" x14ac:dyDescent="0.15">
      <c r="A3560" s="5" t="str">
        <f>HYPERLINK("https://onemount.atlassian.net/browse/DBA-1096","DBA-1096")</f>
        <v>DBA-1096</v>
      </c>
      <c r="B3560" s="6" t="s">
        <v>21</v>
      </c>
      <c r="C3560" s="6" t="s">
        <v>14774</v>
      </c>
      <c r="D3560" s="8" t="s">
        <v>17</v>
      </c>
      <c r="E3560" s="6" t="s">
        <v>23</v>
      </c>
      <c r="F3560" s="6" t="s">
        <v>24</v>
      </c>
      <c r="G3560" s="6" t="s">
        <v>14775</v>
      </c>
      <c r="H3560" s="10">
        <v>45748</v>
      </c>
      <c r="I3560" s="6" t="s">
        <v>14776</v>
      </c>
      <c r="J3560" s="6" t="s">
        <v>28</v>
      </c>
      <c r="K3560" s="6" t="s">
        <v>28</v>
      </c>
      <c r="L3560" s="6" t="s">
        <v>1129</v>
      </c>
      <c r="M3560" s="6" t="s">
        <v>14777</v>
      </c>
    </row>
    <row r="3561" spans="1:13" ht="13" x14ac:dyDescent="0.15">
      <c r="A3561" s="21" t="str">
        <f>HYPERLINK("https://onemount.atlassian.net/browse/DBA-1095","DBA-1095")</f>
        <v>DBA-1095</v>
      </c>
      <c r="B3561" s="6" t="s">
        <v>21</v>
      </c>
      <c r="C3561" s="6" t="s">
        <v>14778</v>
      </c>
      <c r="D3561" s="8" t="s">
        <v>17</v>
      </c>
      <c r="E3561" s="6" t="s">
        <v>23</v>
      </c>
      <c r="F3561" s="6" t="s">
        <v>31</v>
      </c>
      <c r="G3561" s="6" t="s">
        <v>14779</v>
      </c>
      <c r="H3561" s="10">
        <v>45748</v>
      </c>
      <c r="I3561" s="6" t="s">
        <v>14780</v>
      </c>
      <c r="J3561" s="6" t="s">
        <v>28</v>
      </c>
      <c r="K3561" s="6" t="s">
        <v>28</v>
      </c>
      <c r="L3561" s="6" t="s">
        <v>1129</v>
      </c>
      <c r="M3561" s="6" t="s">
        <v>14781</v>
      </c>
    </row>
    <row r="3562" spans="1:13" ht="13" x14ac:dyDescent="0.15">
      <c r="A3562" s="5" t="str">
        <f>HYPERLINK("https://onemount.atlassian.net/browse/DBA-1094","DBA-1094")</f>
        <v>DBA-1094</v>
      </c>
      <c r="B3562" s="6" t="s">
        <v>21</v>
      </c>
      <c r="C3562" s="6" t="s">
        <v>14782</v>
      </c>
      <c r="D3562" s="8" t="s">
        <v>17</v>
      </c>
      <c r="E3562" s="6" t="s">
        <v>23</v>
      </c>
      <c r="F3562" s="6" t="s">
        <v>31</v>
      </c>
      <c r="G3562" s="6" t="s">
        <v>14783</v>
      </c>
      <c r="H3562" s="10">
        <v>45749</v>
      </c>
      <c r="I3562" s="6" t="s">
        <v>14784</v>
      </c>
      <c r="J3562" s="6" t="s">
        <v>12023</v>
      </c>
      <c r="K3562" s="6" t="s">
        <v>35</v>
      </c>
      <c r="L3562" s="6" t="s">
        <v>276</v>
      </c>
      <c r="M3562" s="6" t="s">
        <v>14785</v>
      </c>
    </row>
    <row r="3563" spans="1:13" ht="13" x14ac:dyDescent="0.15">
      <c r="A3563" s="21" t="str">
        <f>HYPERLINK("https://onemount.atlassian.net/browse/DBA-1093","DBA-1093")</f>
        <v>DBA-1093</v>
      </c>
      <c r="B3563" s="6" t="s">
        <v>21</v>
      </c>
      <c r="C3563" s="6" t="s">
        <v>14778</v>
      </c>
      <c r="D3563" s="8" t="s">
        <v>17</v>
      </c>
      <c r="E3563" s="6" t="s">
        <v>23</v>
      </c>
      <c r="F3563" s="6" t="s">
        <v>31</v>
      </c>
      <c r="G3563" s="6" t="s">
        <v>14786</v>
      </c>
      <c r="H3563" s="10">
        <v>45748</v>
      </c>
      <c r="I3563" s="6" t="s">
        <v>14787</v>
      </c>
      <c r="J3563" s="6" t="s">
        <v>28</v>
      </c>
      <c r="K3563" s="6" t="s">
        <v>28</v>
      </c>
      <c r="L3563" s="6" t="s">
        <v>1129</v>
      </c>
      <c r="M3563" s="6" t="s">
        <v>14781</v>
      </c>
    </row>
    <row r="3564" spans="1:13" ht="13" x14ac:dyDescent="0.15">
      <c r="A3564" s="5" t="str">
        <f>HYPERLINK("https://onemount.atlassian.net/browse/DBA-1092","DBA-1092")</f>
        <v>DBA-1092</v>
      </c>
      <c r="B3564" s="6" t="s">
        <v>21</v>
      </c>
      <c r="C3564" s="6" t="s">
        <v>14788</v>
      </c>
      <c r="D3564" s="8" t="s">
        <v>17</v>
      </c>
      <c r="E3564" s="6" t="s">
        <v>23</v>
      </c>
      <c r="F3564" s="6" t="s">
        <v>24</v>
      </c>
      <c r="G3564" s="6" t="s">
        <v>14789</v>
      </c>
      <c r="H3564" s="10">
        <v>45748</v>
      </c>
      <c r="I3564" s="6" t="s">
        <v>14790</v>
      </c>
      <c r="J3564" s="6" t="s">
        <v>1204</v>
      </c>
      <c r="K3564" s="6" t="s">
        <v>35</v>
      </c>
      <c r="L3564" s="6" t="s">
        <v>1204</v>
      </c>
      <c r="M3564" s="6" t="s">
        <v>14791</v>
      </c>
    </row>
    <row r="3565" spans="1:13" ht="13" x14ac:dyDescent="0.15">
      <c r="A3565" s="5" t="str">
        <f>HYPERLINK("https://onemount.atlassian.net/browse/DBA-1091","DBA-1091")</f>
        <v>DBA-1091</v>
      </c>
      <c r="B3565" s="6" t="s">
        <v>21</v>
      </c>
      <c r="C3565" s="6" t="s">
        <v>14792</v>
      </c>
      <c r="D3565" s="8" t="s">
        <v>17</v>
      </c>
      <c r="E3565" s="6" t="s">
        <v>23</v>
      </c>
      <c r="F3565" s="6" t="s">
        <v>24</v>
      </c>
      <c r="G3565" s="6" t="s">
        <v>14793</v>
      </c>
      <c r="H3565" s="10">
        <v>45748</v>
      </c>
      <c r="I3565" s="6" t="s">
        <v>14794</v>
      </c>
      <c r="J3565" s="6" t="s">
        <v>55</v>
      </c>
      <c r="K3565" s="6" t="s">
        <v>55</v>
      </c>
      <c r="L3565" s="6" t="s">
        <v>56</v>
      </c>
      <c r="M3565" s="6" t="s">
        <v>14795</v>
      </c>
    </row>
    <row r="3566" spans="1:13" ht="13" x14ac:dyDescent="0.15">
      <c r="A3566" s="5" t="str">
        <f>HYPERLINK("https://onemount.atlassian.net/browse/DBA-1090","DBA-1090")</f>
        <v>DBA-1090</v>
      </c>
      <c r="B3566" s="6" t="s">
        <v>21</v>
      </c>
      <c r="C3566" s="6" t="s">
        <v>14796</v>
      </c>
      <c r="D3566" s="8" t="s">
        <v>17</v>
      </c>
      <c r="E3566" s="6" t="s">
        <v>23</v>
      </c>
      <c r="F3566" s="6" t="s">
        <v>31</v>
      </c>
      <c r="G3566" s="6" t="s">
        <v>14797</v>
      </c>
      <c r="H3566" s="10">
        <v>45748</v>
      </c>
      <c r="I3566" s="6" t="s">
        <v>14798</v>
      </c>
      <c r="J3566" s="6" t="s">
        <v>34</v>
      </c>
      <c r="K3566" s="6" t="s">
        <v>35</v>
      </c>
      <c r="L3566" s="6" t="s">
        <v>628</v>
      </c>
      <c r="M3566" s="6" t="s">
        <v>14799</v>
      </c>
    </row>
    <row r="3567" spans="1:13" ht="13" x14ac:dyDescent="0.15">
      <c r="A3567" s="5" t="str">
        <f>HYPERLINK("https://onemount.atlassian.net/browse/DBA-1089","DBA-1089")</f>
        <v>DBA-1089</v>
      </c>
      <c r="B3567" s="6" t="s">
        <v>21</v>
      </c>
      <c r="C3567" s="6" t="s">
        <v>14800</v>
      </c>
      <c r="D3567" s="8" t="s">
        <v>17</v>
      </c>
      <c r="E3567" s="6" t="s">
        <v>23</v>
      </c>
      <c r="F3567" s="6" t="s">
        <v>31</v>
      </c>
      <c r="G3567" s="6" t="s">
        <v>14801</v>
      </c>
      <c r="H3567" s="10">
        <v>45749</v>
      </c>
      <c r="I3567" s="6" t="s">
        <v>14802</v>
      </c>
      <c r="J3567" s="6" t="s">
        <v>358</v>
      </c>
      <c r="K3567" s="6" t="s">
        <v>46</v>
      </c>
      <c r="L3567" s="6" t="s">
        <v>358</v>
      </c>
      <c r="M3567" s="6" t="s">
        <v>14803</v>
      </c>
    </row>
    <row r="3568" spans="1:13" ht="13" x14ac:dyDescent="0.15">
      <c r="A3568" s="5" t="str">
        <f>HYPERLINK("https://onemount.atlassian.net/browse/DBA-1088","DBA-1088")</f>
        <v>DBA-1088</v>
      </c>
      <c r="B3568" s="6" t="s">
        <v>21</v>
      </c>
      <c r="C3568" s="6" t="s">
        <v>14804</v>
      </c>
      <c r="D3568" s="8" t="s">
        <v>17</v>
      </c>
      <c r="E3568" s="6" t="s">
        <v>23</v>
      </c>
      <c r="F3568" s="6" t="s">
        <v>24</v>
      </c>
      <c r="G3568" s="6" t="s">
        <v>14805</v>
      </c>
      <c r="H3568" s="10">
        <v>45749</v>
      </c>
      <c r="I3568" s="6" t="s">
        <v>14806</v>
      </c>
      <c r="J3568" s="6" t="s">
        <v>55</v>
      </c>
      <c r="K3568" s="6" t="s">
        <v>55</v>
      </c>
      <c r="L3568" s="6" t="s">
        <v>56</v>
      </c>
      <c r="M3568" s="6" t="s">
        <v>14807</v>
      </c>
    </row>
    <row r="3569" spans="1:13" ht="13" x14ac:dyDescent="0.15">
      <c r="A3569" s="5" t="str">
        <f>HYPERLINK("https://onemount.atlassian.net/browse/DBA-1087","DBA-1087")</f>
        <v>DBA-1087</v>
      </c>
      <c r="B3569" s="6" t="s">
        <v>21</v>
      </c>
      <c r="C3569" s="6" t="s">
        <v>14808</v>
      </c>
      <c r="D3569" s="8" t="s">
        <v>17</v>
      </c>
      <c r="E3569" s="6" t="s">
        <v>23</v>
      </c>
      <c r="F3569" s="6" t="s">
        <v>31</v>
      </c>
      <c r="G3569" s="6" t="s">
        <v>14809</v>
      </c>
      <c r="H3569" s="10">
        <v>45748</v>
      </c>
      <c r="I3569" s="6" t="s">
        <v>14810</v>
      </c>
      <c r="J3569" s="6" t="s">
        <v>293</v>
      </c>
      <c r="K3569" s="6" t="s">
        <v>35</v>
      </c>
      <c r="L3569" s="6" t="s">
        <v>293</v>
      </c>
      <c r="M3569" s="6" t="s">
        <v>14811</v>
      </c>
    </row>
    <row r="3570" spans="1:13" ht="13" x14ac:dyDescent="0.15">
      <c r="A3570" s="21" t="str">
        <f>HYPERLINK("https://onemount.atlassian.net/browse/DBA-1086","DBA-1086")</f>
        <v>DBA-1086</v>
      </c>
      <c r="B3570" s="6" t="s">
        <v>21</v>
      </c>
      <c r="C3570" s="6" t="s">
        <v>14770</v>
      </c>
      <c r="D3570" s="8" t="s">
        <v>17</v>
      </c>
      <c r="E3570" s="6" t="s">
        <v>23</v>
      </c>
      <c r="F3570" s="6" t="s">
        <v>24</v>
      </c>
      <c r="G3570" s="6" t="s">
        <v>14812</v>
      </c>
      <c r="H3570" s="10">
        <v>45747</v>
      </c>
      <c r="I3570" s="6" t="s">
        <v>14813</v>
      </c>
      <c r="J3570" s="6" t="s">
        <v>28</v>
      </c>
      <c r="K3570" s="6" t="s">
        <v>28</v>
      </c>
      <c r="L3570" s="6" t="s">
        <v>1129</v>
      </c>
      <c r="M3570" s="6" t="s">
        <v>14814</v>
      </c>
    </row>
    <row r="3571" spans="1:13" ht="13" x14ac:dyDescent="0.15">
      <c r="A3571" s="5" t="str">
        <f>HYPERLINK("https://onemount.atlassian.net/browse/DBA-1085","DBA-1085")</f>
        <v>DBA-1085</v>
      </c>
      <c r="B3571" s="6" t="s">
        <v>21</v>
      </c>
      <c r="C3571" s="6" t="s">
        <v>14815</v>
      </c>
      <c r="D3571" s="8" t="s">
        <v>17</v>
      </c>
      <c r="E3571" s="6" t="s">
        <v>23</v>
      </c>
      <c r="F3571" s="6" t="s">
        <v>31</v>
      </c>
      <c r="G3571" s="6" t="s">
        <v>14816</v>
      </c>
      <c r="H3571" s="10">
        <v>45748</v>
      </c>
      <c r="I3571" s="6" t="s">
        <v>14817</v>
      </c>
      <c r="J3571" s="6" t="s">
        <v>1204</v>
      </c>
      <c r="K3571" s="6" t="s">
        <v>35</v>
      </c>
      <c r="L3571" s="6" t="s">
        <v>1204</v>
      </c>
      <c r="M3571" s="6" t="s">
        <v>14818</v>
      </c>
    </row>
    <row r="3572" spans="1:13" ht="13" x14ac:dyDescent="0.15">
      <c r="A3572" s="21" t="str">
        <f>HYPERLINK("https://onemount.atlassian.net/browse/DBA-1084","DBA-1084")</f>
        <v>DBA-1084</v>
      </c>
      <c r="B3572" s="6" t="s">
        <v>21</v>
      </c>
      <c r="C3572" s="6" t="s">
        <v>14778</v>
      </c>
      <c r="D3572" s="8" t="s">
        <v>17</v>
      </c>
      <c r="E3572" s="6" t="s">
        <v>23</v>
      </c>
      <c r="F3572" s="6" t="s">
        <v>31</v>
      </c>
      <c r="G3572" s="6" t="s">
        <v>14819</v>
      </c>
      <c r="H3572" s="10">
        <v>45748</v>
      </c>
      <c r="I3572" s="6" t="s">
        <v>14820</v>
      </c>
      <c r="J3572" s="6" t="s">
        <v>28</v>
      </c>
      <c r="K3572" s="6" t="s">
        <v>28</v>
      </c>
      <c r="L3572" s="6" t="s">
        <v>1129</v>
      </c>
      <c r="M3572" s="6" t="s">
        <v>14821</v>
      </c>
    </row>
    <row r="3573" spans="1:13" ht="13" x14ac:dyDescent="0.15">
      <c r="A3573" s="5" t="str">
        <f>HYPERLINK("https://onemount.atlassian.net/browse/DBA-1083","DBA-1083")</f>
        <v>DBA-1083</v>
      </c>
      <c r="B3573" s="6" t="s">
        <v>21</v>
      </c>
      <c r="C3573" s="6" t="s">
        <v>14495</v>
      </c>
      <c r="D3573" s="8" t="s">
        <v>17</v>
      </c>
      <c r="E3573" s="6" t="s">
        <v>23</v>
      </c>
      <c r="F3573" s="6" t="s">
        <v>24</v>
      </c>
      <c r="G3573" s="6" t="s">
        <v>14822</v>
      </c>
      <c r="H3573" s="10">
        <v>45747</v>
      </c>
      <c r="I3573" s="6" t="s">
        <v>14823</v>
      </c>
      <c r="J3573" s="6" t="s">
        <v>5675</v>
      </c>
      <c r="K3573" s="6" t="s">
        <v>55</v>
      </c>
      <c r="L3573" s="6" t="s">
        <v>425</v>
      </c>
      <c r="M3573" s="6" t="s">
        <v>14824</v>
      </c>
    </row>
    <row r="3574" spans="1:13" ht="13" x14ac:dyDescent="0.15">
      <c r="A3574" s="5" t="str">
        <f>HYPERLINK("https://onemount.atlassian.net/browse/DBA-1082","DBA-1082")</f>
        <v>DBA-1082</v>
      </c>
      <c r="B3574" s="6" t="s">
        <v>21</v>
      </c>
      <c r="C3574" s="6" t="s">
        <v>14825</v>
      </c>
      <c r="D3574" s="8" t="s">
        <v>17</v>
      </c>
      <c r="E3574" s="6" t="s">
        <v>23</v>
      </c>
      <c r="F3574" s="6" t="s">
        <v>31</v>
      </c>
      <c r="G3574" s="6" t="s">
        <v>14826</v>
      </c>
      <c r="H3574" s="10">
        <v>45746</v>
      </c>
      <c r="I3574" s="6" t="s">
        <v>14827</v>
      </c>
      <c r="J3574" s="6" t="s">
        <v>7042</v>
      </c>
      <c r="K3574" s="6" t="s">
        <v>35</v>
      </c>
      <c r="L3574" s="6" t="s">
        <v>1238</v>
      </c>
      <c r="M3574" s="6" t="s">
        <v>14828</v>
      </c>
    </row>
    <row r="3575" spans="1:13" ht="13" x14ac:dyDescent="0.15">
      <c r="A3575" s="5" t="str">
        <f>HYPERLINK("https://onemount.atlassian.net/browse/DBA-1081","DBA-1081")</f>
        <v>DBA-1081</v>
      </c>
      <c r="B3575" s="6" t="s">
        <v>21</v>
      </c>
      <c r="C3575" s="6" t="s">
        <v>10854</v>
      </c>
      <c r="D3575" s="8" t="s">
        <v>17</v>
      </c>
      <c r="E3575" s="6" t="s">
        <v>23</v>
      </c>
      <c r="F3575" s="6" t="s">
        <v>24</v>
      </c>
      <c r="G3575" s="6" t="s">
        <v>14829</v>
      </c>
      <c r="H3575" s="10">
        <v>45745</v>
      </c>
      <c r="I3575" s="6" t="s">
        <v>14830</v>
      </c>
      <c r="J3575" s="6" t="s">
        <v>6269</v>
      </c>
      <c r="K3575" s="6" t="s">
        <v>28</v>
      </c>
      <c r="L3575" s="6" t="s">
        <v>1000</v>
      </c>
      <c r="M3575" s="6" t="s">
        <v>14831</v>
      </c>
    </row>
    <row r="3576" spans="1:13" ht="13" x14ac:dyDescent="0.15">
      <c r="A3576" s="5" t="str">
        <f>HYPERLINK("https://onemount.atlassian.net/browse/DBA-1080","DBA-1080")</f>
        <v>DBA-1080</v>
      </c>
      <c r="B3576" s="6" t="s">
        <v>21</v>
      </c>
      <c r="C3576" s="6" t="s">
        <v>14832</v>
      </c>
      <c r="D3576" s="8" t="s">
        <v>17</v>
      </c>
      <c r="E3576" s="6" t="s">
        <v>23</v>
      </c>
      <c r="F3576" s="6" t="s">
        <v>96</v>
      </c>
      <c r="G3576" s="6" t="s">
        <v>14833</v>
      </c>
      <c r="H3576" s="10">
        <v>45745</v>
      </c>
      <c r="I3576" s="6" t="s">
        <v>14834</v>
      </c>
      <c r="J3576" s="6" t="s">
        <v>6856</v>
      </c>
      <c r="K3576" s="6" t="s">
        <v>165</v>
      </c>
      <c r="L3576" s="6" t="s">
        <v>715</v>
      </c>
      <c r="M3576" s="6" t="s">
        <v>14835</v>
      </c>
    </row>
    <row r="3577" spans="1:13" ht="13" x14ac:dyDescent="0.15">
      <c r="A3577" s="5" t="str">
        <f>HYPERLINK("https://onemount.atlassian.net/browse/DBA-1079","DBA-1079")</f>
        <v>DBA-1079</v>
      </c>
      <c r="B3577" s="23" t="str">
        <f t="shared" ref="B3577:B3580" si="60">HYPERLINK("https://onemount.atlassian.net/browse/DBA-2023","DBA-2023")</f>
        <v>DBA-2023</v>
      </c>
      <c r="C3577" s="6" t="s">
        <v>14836</v>
      </c>
      <c r="D3577" s="8" t="s">
        <v>17</v>
      </c>
      <c r="E3577" s="6" t="s">
        <v>428</v>
      </c>
      <c r="F3577" s="6" t="s">
        <v>24</v>
      </c>
      <c r="G3577" s="6" t="s">
        <v>14837</v>
      </c>
      <c r="H3577" s="10">
        <v>45748</v>
      </c>
      <c r="I3577" s="6" t="s">
        <v>14838</v>
      </c>
      <c r="J3577" s="6" t="s">
        <v>2924</v>
      </c>
      <c r="K3577" s="6" t="s">
        <v>55</v>
      </c>
      <c r="L3577" s="6" t="s">
        <v>600</v>
      </c>
      <c r="M3577" s="6" t="s">
        <v>14839</v>
      </c>
    </row>
    <row r="3578" spans="1:13" ht="13" x14ac:dyDescent="0.15">
      <c r="A3578" s="5" t="str">
        <f>HYPERLINK("https://onemount.atlassian.net/browse/DBA-1078","DBA-1078")</f>
        <v>DBA-1078</v>
      </c>
      <c r="B3578" s="23" t="str">
        <f t="shared" si="60"/>
        <v>DBA-2023</v>
      </c>
      <c r="C3578" s="6" t="s">
        <v>14840</v>
      </c>
      <c r="D3578" s="8" t="s">
        <v>17</v>
      </c>
      <c r="E3578" s="6" t="s">
        <v>428</v>
      </c>
      <c r="F3578" s="6" t="s">
        <v>24</v>
      </c>
      <c r="G3578" s="6" t="s">
        <v>14841</v>
      </c>
      <c r="H3578" s="10">
        <v>45748</v>
      </c>
      <c r="I3578" s="6" t="s">
        <v>14842</v>
      </c>
      <c r="J3578" s="6" t="s">
        <v>2924</v>
      </c>
      <c r="K3578" s="6" t="s">
        <v>55</v>
      </c>
      <c r="L3578" s="6" t="s">
        <v>600</v>
      </c>
      <c r="M3578" s="6" t="s">
        <v>14843</v>
      </c>
    </row>
    <row r="3579" spans="1:13" ht="13" x14ac:dyDescent="0.15">
      <c r="A3579" s="5" t="str">
        <f>HYPERLINK("https://onemount.atlassian.net/browse/DBA-1077","DBA-1077")</f>
        <v>DBA-1077</v>
      </c>
      <c r="B3579" s="23" t="str">
        <f t="shared" si="60"/>
        <v>DBA-2023</v>
      </c>
      <c r="C3579" s="6" t="s">
        <v>14844</v>
      </c>
      <c r="D3579" s="8" t="s">
        <v>17</v>
      </c>
      <c r="E3579" s="6" t="s">
        <v>428</v>
      </c>
      <c r="F3579" s="6" t="s">
        <v>24</v>
      </c>
      <c r="G3579" s="6" t="s">
        <v>14845</v>
      </c>
      <c r="H3579" s="10">
        <v>45748</v>
      </c>
      <c r="I3579" s="6" t="s">
        <v>14846</v>
      </c>
      <c r="J3579" s="6" t="s">
        <v>2924</v>
      </c>
      <c r="K3579" s="6" t="s">
        <v>35</v>
      </c>
      <c r="L3579" s="6" t="s">
        <v>600</v>
      </c>
      <c r="M3579" s="6" t="s">
        <v>14847</v>
      </c>
    </row>
    <row r="3580" spans="1:13" ht="13" x14ac:dyDescent="0.15">
      <c r="A3580" s="5" t="str">
        <f>HYPERLINK("https://onemount.atlassian.net/browse/DBA-1076","DBA-1076")</f>
        <v>DBA-1076</v>
      </c>
      <c r="B3580" s="23" t="str">
        <f t="shared" si="60"/>
        <v>DBA-2023</v>
      </c>
      <c r="C3580" s="6" t="s">
        <v>14848</v>
      </c>
      <c r="D3580" s="8" t="s">
        <v>17</v>
      </c>
      <c r="E3580" s="6" t="s">
        <v>428</v>
      </c>
      <c r="F3580" s="6" t="s">
        <v>24</v>
      </c>
      <c r="G3580" s="6" t="s">
        <v>14849</v>
      </c>
      <c r="H3580" s="10">
        <v>45748</v>
      </c>
      <c r="I3580" s="6" t="s">
        <v>14850</v>
      </c>
      <c r="J3580" s="6" t="s">
        <v>2924</v>
      </c>
      <c r="K3580" s="6" t="s">
        <v>46</v>
      </c>
      <c r="L3580" s="6" t="s">
        <v>600</v>
      </c>
      <c r="M3580" s="6" t="s">
        <v>14851</v>
      </c>
    </row>
    <row r="3581" spans="1:13" ht="13" x14ac:dyDescent="0.15">
      <c r="A3581" s="5" t="str">
        <f>HYPERLINK("https://onemount.atlassian.net/browse/DBA-1075","DBA-1075")</f>
        <v>DBA-1075</v>
      </c>
      <c r="B3581" s="6" t="s">
        <v>21</v>
      </c>
      <c r="C3581" s="6" t="s">
        <v>14852</v>
      </c>
      <c r="D3581" s="8" t="s">
        <v>17</v>
      </c>
      <c r="E3581" s="6" t="s">
        <v>23</v>
      </c>
      <c r="F3581" s="6" t="s">
        <v>31</v>
      </c>
      <c r="G3581" s="6" t="s">
        <v>14853</v>
      </c>
      <c r="H3581" s="10">
        <v>45744</v>
      </c>
      <c r="I3581" s="6" t="s">
        <v>14854</v>
      </c>
      <c r="J3581" s="6" t="s">
        <v>1000</v>
      </c>
      <c r="K3581" s="6" t="s">
        <v>28</v>
      </c>
      <c r="L3581" s="6" t="s">
        <v>28</v>
      </c>
      <c r="M3581" s="6" t="s">
        <v>14855</v>
      </c>
    </row>
    <row r="3582" spans="1:13" ht="13" x14ac:dyDescent="0.15">
      <c r="A3582" s="5" t="str">
        <f>HYPERLINK("https://onemount.atlassian.net/browse/DBA-1074","DBA-1074")</f>
        <v>DBA-1074</v>
      </c>
      <c r="B3582" s="6" t="s">
        <v>21</v>
      </c>
      <c r="C3582" s="6" t="s">
        <v>14163</v>
      </c>
      <c r="D3582" s="8" t="s">
        <v>17</v>
      </c>
      <c r="E3582" s="6" t="s">
        <v>23</v>
      </c>
      <c r="F3582" s="6" t="s">
        <v>24</v>
      </c>
      <c r="G3582" s="6" t="s">
        <v>14856</v>
      </c>
      <c r="H3582" s="10">
        <v>45744</v>
      </c>
      <c r="I3582" s="6" t="s">
        <v>14857</v>
      </c>
      <c r="J3582" s="6" t="s">
        <v>14858</v>
      </c>
      <c r="K3582" s="6" t="s">
        <v>55</v>
      </c>
      <c r="L3582" s="6" t="s">
        <v>56</v>
      </c>
      <c r="M3582" s="6" t="s">
        <v>14859</v>
      </c>
    </row>
    <row r="3583" spans="1:13" ht="13" x14ac:dyDescent="0.15">
      <c r="A3583" s="5" t="str">
        <f>HYPERLINK("https://onemount.atlassian.net/browse/DBA-1073","DBA-1073")</f>
        <v>DBA-1073</v>
      </c>
      <c r="B3583" s="6" t="s">
        <v>21</v>
      </c>
      <c r="C3583" s="6" t="s">
        <v>14860</v>
      </c>
      <c r="D3583" s="8" t="s">
        <v>17</v>
      </c>
      <c r="E3583" s="6" t="s">
        <v>23</v>
      </c>
      <c r="F3583" s="6" t="s">
        <v>31</v>
      </c>
      <c r="G3583" s="6" t="s">
        <v>14861</v>
      </c>
      <c r="H3583" s="10">
        <v>45745</v>
      </c>
      <c r="I3583" s="6" t="s">
        <v>14862</v>
      </c>
      <c r="J3583" s="6" t="s">
        <v>56</v>
      </c>
      <c r="K3583" s="6" t="s">
        <v>55</v>
      </c>
      <c r="L3583" s="6" t="s">
        <v>56</v>
      </c>
      <c r="M3583" s="6" t="s">
        <v>14863</v>
      </c>
    </row>
    <row r="3584" spans="1:13" ht="13" x14ac:dyDescent="0.15">
      <c r="A3584" s="5" t="str">
        <f>HYPERLINK("https://onemount.atlassian.net/browse/DBA-1072","DBA-1072")</f>
        <v>DBA-1072</v>
      </c>
      <c r="B3584" s="6" t="s">
        <v>21</v>
      </c>
      <c r="C3584" s="6" t="s">
        <v>14864</v>
      </c>
      <c r="D3584" s="8" t="s">
        <v>17</v>
      </c>
      <c r="E3584" s="6" t="s">
        <v>23</v>
      </c>
      <c r="F3584" s="6" t="s">
        <v>31</v>
      </c>
      <c r="G3584" s="6" t="s">
        <v>14865</v>
      </c>
      <c r="H3584" s="10">
        <v>45745</v>
      </c>
      <c r="I3584" s="6" t="s">
        <v>14866</v>
      </c>
      <c r="J3584" s="6" t="s">
        <v>638</v>
      </c>
      <c r="K3584" s="6" t="s">
        <v>35</v>
      </c>
      <c r="L3584" s="6" t="s">
        <v>638</v>
      </c>
      <c r="M3584" s="6" t="s">
        <v>14867</v>
      </c>
    </row>
    <row r="3585" spans="1:13" ht="13" x14ac:dyDescent="0.15">
      <c r="A3585" s="5" t="str">
        <f>HYPERLINK("https://onemount.atlassian.net/browse/DBA-1071","DBA-1071")</f>
        <v>DBA-1071</v>
      </c>
      <c r="B3585" s="6" t="s">
        <v>21</v>
      </c>
      <c r="C3585" s="6" t="s">
        <v>14868</v>
      </c>
      <c r="D3585" s="8" t="s">
        <v>17</v>
      </c>
      <c r="E3585" s="6" t="s">
        <v>23</v>
      </c>
      <c r="F3585" s="6" t="s">
        <v>96</v>
      </c>
      <c r="G3585" s="6" t="s">
        <v>14869</v>
      </c>
      <c r="H3585" s="10">
        <v>45529</v>
      </c>
      <c r="I3585" s="6" t="s">
        <v>14870</v>
      </c>
      <c r="J3585" s="6" t="s">
        <v>353</v>
      </c>
      <c r="K3585" s="6" t="s">
        <v>165</v>
      </c>
      <c r="L3585" s="6" t="s">
        <v>1097</v>
      </c>
      <c r="M3585" s="6" t="s">
        <v>14871</v>
      </c>
    </row>
    <row r="3586" spans="1:13" ht="13" x14ac:dyDescent="0.15">
      <c r="A3586" s="5" t="str">
        <f>HYPERLINK("https://onemount.atlassian.net/browse/DBA-1070","DBA-1070")</f>
        <v>DBA-1070</v>
      </c>
      <c r="B3586" s="6" t="s">
        <v>21</v>
      </c>
      <c r="C3586" s="6" t="s">
        <v>14872</v>
      </c>
      <c r="D3586" s="8" t="s">
        <v>17</v>
      </c>
      <c r="E3586" s="6" t="s">
        <v>23</v>
      </c>
      <c r="F3586" s="6" t="s">
        <v>31</v>
      </c>
      <c r="G3586" s="6" t="s">
        <v>14873</v>
      </c>
      <c r="H3586" s="10">
        <v>45745</v>
      </c>
      <c r="I3586" s="6" t="s">
        <v>14874</v>
      </c>
      <c r="J3586" s="6" t="s">
        <v>1150</v>
      </c>
      <c r="K3586" s="6" t="s">
        <v>28</v>
      </c>
      <c r="L3586" s="6" t="s">
        <v>1150</v>
      </c>
      <c r="M3586" s="6" t="s">
        <v>14875</v>
      </c>
    </row>
    <row r="3587" spans="1:13" ht="13" x14ac:dyDescent="0.15">
      <c r="A3587" s="5" t="str">
        <f>HYPERLINK("https://onemount.atlassian.net/browse/DBA-1069","DBA-1069")</f>
        <v>DBA-1069</v>
      </c>
      <c r="B3587" s="6" t="s">
        <v>21</v>
      </c>
      <c r="C3587" s="6" t="s">
        <v>14876</v>
      </c>
      <c r="D3587" s="8" t="s">
        <v>17</v>
      </c>
      <c r="E3587" s="6" t="s">
        <v>23</v>
      </c>
      <c r="F3587" s="6" t="s">
        <v>31</v>
      </c>
      <c r="G3587" s="6" t="s">
        <v>14877</v>
      </c>
      <c r="H3587" s="10">
        <v>45743</v>
      </c>
      <c r="I3587" s="6" t="s">
        <v>14878</v>
      </c>
      <c r="J3587" s="6" t="s">
        <v>489</v>
      </c>
      <c r="K3587" s="6" t="s">
        <v>35</v>
      </c>
      <c r="L3587" s="6" t="s">
        <v>489</v>
      </c>
      <c r="M3587" s="6" t="s">
        <v>14879</v>
      </c>
    </row>
    <row r="3588" spans="1:13" ht="13" x14ac:dyDescent="0.15">
      <c r="A3588" s="5" t="str">
        <f>HYPERLINK("https://onemount.atlassian.net/browse/DBA-1068","DBA-1068")</f>
        <v>DBA-1068</v>
      </c>
      <c r="B3588" s="6" t="s">
        <v>21</v>
      </c>
      <c r="C3588" s="6" t="s">
        <v>14880</v>
      </c>
      <c r="D3588" s="8" t="s">
        <v>17</v>
      </c>
      <c r="E3588" s="6" t="s">
        <v>23</v>
      </c>
      <c r="F3588" s="6" t="s">
        <v>96</v>
      </c>
      <c r="G3588" s="6" t="s">
        <v>14881</v>
      </c>
      <c r="H3588" s="10">
        <v>45744</v>
      </c>
      <c r="I3588" s="6" t="s">
        <v>14882</v>
      </c>
      <c r="J3588" s="6" t="s">
        <v>2453</v>
      </c>
      <c r="K3588" s="6" t="s">
        <v>165</v>
      </c>
      <c r="L3588" s="6" t="s">
        <v>119</v>
      </c>
      <c r="M3588" s="6" t="s">
        <v>14883</v>
      </c>
    </row>
    <row r="3589" spans="1:13" ht="13" x14ac:dyDescent="0.15">
      <c r="A3589" s="5" t="str">
        <f>HYPERLINK("https://onemount.atlassian.net/browse/DBA-1067","DBA-1067")</f>
        <v>DBA-1067</v>
      </c>
      <c r="B3589" s="6" t="s">
        <v>21</v>
      </c>
      <c r="C3589" s="6" t="s">
        <v>14884</v>
      </c>
      <c r="D3589" s="8" t="s">
        <v>17</v>
      </c>
      <c r="E3589" s="6" t="s">
        <v>23</v>
      </c>
      <c r="F3589" s="6" t="s">
        <v>24</v>
      </c>
      <c r="G3589" s="6" t="s">
        <v>14885</v>
      </c>
      <c r="H3589" s="10">
        <v>45745</v>
      </c>
      <c r="I3589" s="6" t="s">
        <v>14886</v>
      </c>
      <c r="J3589" s="6" t="s">
        <v>39</v>
      </c>
      <c r="K3589" s="6" t="s">
        <v>55</v>
      </c>
      <c r="L3589" s="6" t="s">
        <v>39</v>
      </c>
      <c r="M3589" s="6" t="s">
        <v>14887</v>
      </c>
    </row>
    <row r="3590" spans="1:13" ht="13" x14ac:dyDescent="0.15">
      <c r="A3590" s="5" t="str">
        <f>HYPERLINK("https://onemount.atlassian.net/browse/DBA-1066","DBA-1066")</f>
        <v>DBA-1066</v>
      </c>
      <c r="B3590" s="6" t="s">
        <v>21</v>
      </c>
      <c r="C3590" s="6" t="s">
        <v>14888</v>
      </c>
      <c r="D3590" s="8" t="s">
        <v>17</v>
      </c>
      <c r="E3590" s="6" t="s">
        <v>23</v>
      </c>
      <c r="F3590" s="6" t="s">
        <v>24</v>
      </c>
      <c r="G3590" s="6" t="s">
        <v>14889</v>
      </c>
      <c r="H3590" s="10">
        <v>45745</v>
      </c>
      <c r="I3590" s="6" t="s">
        <v>14890</v>
      </c>
      <c r="J3590" s="6" t="s">
        <v>39</v>
      </c>
      <c r="K3590" s="6" t="s">
        <v>55</v>
      </c>
      <c r="L3590" s="6" t="s">
        <v>39</v>
      </c>
      <c r="M3590" s="6" t="s">
        <v>14891</v>
      </c>
    </row>
    <row r="3591" spans="1:13" ht="13" x14ac:dyDescent="0.15">
      <c r="A3591" s="21" t="str">
        <f>HYPERLINK("https://onemount.atlassian.net/browse/DBA-1065","DBA-1065")</f>
        <v>DBA-1065</v>
      </c>
      <c r="B3591" s="6" t="s">
        <v>21</v>
      </c>
      <c r="C3591" s="6" t="s">
        <v>14770</v>
      </c>
      <c r="D3591" s="8" t="s">
        <v>17</v>
      </c>
      <c r="E3591" s="6" t="s">
        <v>23</v>
      </c>
      <c r="F3591" s="6" t="s">
        <v>24</v>
      </c>
      <c r="G3591" s="6" t="s">
        <v>14892</v>
      </c>
      <c r="H3591" s="10">
        <v>45746</v>
      </c>
      <c r="I3591" s="6" t="s">
        <v>14893</v>
      </c>
      <c r="J3591" s="6" t="s">
        <v>28</v>
      </c>
      <c r="K3591" s="6" t="s">
        <v>28</v>
      </c>
      <c r="L3591" s="6" t="s">
        <v>1129</v>
      </c>
      <c r="M3591" s="6" t="s">
        <v>14814</v>
      </c>
    </row>
    <row r="3592" spans="1:13" ht="13" x14ac:dyDescent="0.15">
      <c r="A3592" s="5" t="str">
        <f>HYPERLINK("https://onemount.atlassian.net/browse/DBA-1064","DBA-1064")</f>
        <v>DBA-1064</v>
      </c>
      <c r="B3592" s="6" t="s">
        <v>21</v>
      </c>
      <c r="C3592" s="6" t="s">
        <v>14894</v>
      </c>
      <c r="D3592" s="8" t="s">
        <v>17</v>
      </c>
      <c r="E3592" s="6" t="s">
        <v>23</v>
      </c>
      <c r="F3592" s="6" t="s">
        <v>24</v>
      </c>
      <c r="G3592" s="6" t="s">
        <v>14895</v>
      </c>
      <c r="H3592" s="10">
        <v>45745</v>
      </c>
      <c r="I3592" s="6" t="s">
        <v>14896</v>
      </c>
      <c r="J3592" s="6" t="s">
        <v>55</v>
      </c>
      <c r="K3592" s="6" t="s">
        <v>55</v>
      </c>
      <c r="L3592" s="6" t="s">
        <v>56</v>
      </c>
      <c r="M3592" s="6" t="s">
        <v>14897</v>
      </c>
    </row>
    <row r="3593" spans="1:13" ht="13" x14ac:dyDescent="0.15">
      <c r="A3593" s="5" t="str">
        <f>HYPERLINK("https://onemount.atlassian.net/browse/DBA-1063","DBA-1063")</f>
        <v>DBA-1063</v>
      </c>
      <c r="B3593" s="6" t="s">
        <v>21</v>
      </c>
      <c r="C3593" s="6" t="s">
        <v>14898</v>
      </c>
      <c r="D3593" s="8" t="s">
        <v>17</v>
      </c>
      <c r="E3593" s="6" t="s">
        <v>23</v>
      </c>
      <c r="F3593" s="6" t="s">
        <v>24</v>
      </c>
      <c r="G3593" s="6" t="s">
        <v>14899</v>
      </c>
      <c r="H3593" s="10">
        <v>45744</v>
      </c>
      <c r="I3593" s="6" t="s">
        <v>14900</v>
      </c>
      <c r="J3593" s="6" t="s">
        <v>881</v>
      </c>
      <c r="K3593" s="6" t="s">
        <v>55</v>
      </c>
      <c r="L3593" s="6" t="s">
        <v>881</v>
      </c>
      <c r="M3593" s="6" t="s">
        <v>14901</v>
      </c>
    </row>
    <row r="3594" spans="1:13" ht="13" x14ac:dyDescent="0.15">
      <c r="A3594" s="5" t="str">
        <f>HYPERLINK("https://onemount.atlassian.net/browse/DBA-1062","DBA-1062")</f>
        <v>DBA-1062</v>
      </c>
      <c r="B3594" s="6" t="s">
        <v>21</v>
      </c>
      <c r="C3594" s="6" t="s">
        <v>14902</v>
      </c>
      <c r="D3594" s="8" t="s">
        <v>17</v>
      </c>
      <c r="E3594" s="6" t="s">
        <v>23</v>
      </c>
      <c r="F3594" s="6" t="s">
        <v>96</v>
      </c>
      <c r="G3594" s="6" t="s">
        <v>14903</v>
      </c>
      <c r="H3594" s="10">
        <v>45742</v>
      </c>
      <c r="I3594" s="6" t="s">
        <v>14904</v>
      </c>
      <c r="J3594" s="6" t="s">
        <v>2919</v>
      </c>
      <c r="K3594" s="6" t="s">
        <v>165</v>
      </c>
      <c r="L3594" s="6" t="s">
        <v>1073</v>
      </c>
      <c r="M3594" s="6" t="s">
        <v>14905</v>
      </c>
    </row>
    <row r="3595" spans="1:13" ht="13" x14ac:dyDescent="0.15">
      <c r="A3595" s="5" t="str">
        <f>HYPERLINK("https://onemount.atlassian.net/browse/DBA-1061","DBA-1061")</f>
        <v>DBA-1061</v>
      </c>
      <c r="B3595" s="6" t="s">
        <v>21</v>
      </c>
      <c r="C3595" s="6" t="s">
        <v>14163</v>
      </c>
      <c r="D3595" s="8" t="s">
        <v>17</v>
      </c>
      <c r="E3595" s="6" t="s">
        <v>23</v>
      </c>
      <c r="F3595" s="6" t="s">
        <v>24</v>
      </c>
      <c r="G3595" s="6" t="s">
        <v>14906</v>
      </c>
      <c r="H3595" s="10">
        <v>45741</v>
      </c>
      <c r="I3595" s="6" t="s">
        <v>14907</v>
      </c>
      <c r="J3595" s="6" t="s">
        <v>55</v>
      </c>
      <c r="K3595" s="6" t="s">
        <v>55</v>
      </c>
      <c r="L3595" s="6" t="s">
        <v>56</v>
      </c>
      <c r="M3595" s="6" t="s">
        <v>14908</v>
      </c>
    </row>
    <row r="3596" spans="1:13" ht="13" x14ac:dyDescent="0.15">
      <c r="A3596" s="21" t="str">
        <f>HYPERLINK("https://onemount.atlassian.net/browse/DBA-1060","DBA-1060")</f>
        <v>DBA-1060</v>
      </c>
      <c r="B3596" s="6" t="s">
        <v>21</v>
      </c>
      <c r="C3596" s="6" t="s">
        <v>14317</v>
      </c>
      <c r="D3596" s="8" t="s">
        <v>17</v>
      </c>
      <c r="E3596" s="6" t="s">
        <v>23</v>
      </c>
      <c r="F3596" s="6" t="s">
        <v>24</v>
      </c>
      <c r="G3596" s="6" t="s">
        <v>14909</v>
      </c>
      <c r="H3596" s="10">
        <v>45743</v>
      </c>
      <c r="I3596" s="6" t="s">
        <v>14910</v>
      </c>
      <c r="J3596" s="6" t="s">
        <v>55</v>
      </c>
      <c r="K3596" s="6" t="s">
        <v>55</v>
      </c>
      <c r="L3596" s="6" t="s">
        <v>56</v>
      </c>
      <c r="M3596" s="6" t="s">
        <v>14911</v>
      </c>
    </row>
    <row r="3597" spans="1:13" ht="13" x14ac:dyDescent="0.15">
      <c r="A3597" s="5" t="str">
        <f>HYPERLINK("https://onemount.atlassian.net/browse/DBA-1059","DBA-1059")</f>
        <v>DBA-1059</v>
      </c>
      <c r="B3597" s="6" t="s">
        <v>21</v>
      </c>
      <c r="C3597" s="6" t="s">
        <v>14912</v>
      </c>
      <c r="D3597" s="8" t="s">
        <v>17</v>
      </c>
      <c r="E3597" s="6" t="s">
        <v>23</v>
      </c>
      <c r="F3597" s="6" t="s">
        <v>31</v>
      </c>
      <c r="G3597" s="6" t="s">
        <v>14913</v>
      </c>
      <c r="H3597" s="10">
        <v>45743</v>
      </c>
      <c r="I3597" s="6" t="s">
        <v>14914</v>
      </c>
      <c r="J3597" s="6" t="s">
        <v>254</v>
      </c>
      <c r="K3597" s="6" t="s">
        <v>55</v>
      </c>
      <c r="L3597" s="6" t="s">
        <v>254</v>
      </c>
      <c r="M3597" s="6" t="s">
        <v>14915</v>
      </c>
    </row>
    <row r="3598" spans="1:13" ht="13" x14ac:dyDescent="0.15">
      <c r="A3598" s="5" t="str">
        <f>HYPERLINK("https://onemount.atlassian.net/browse/DBA-1058","DBA-1058")</f>
        <v>DBA-1058</v>
      </c>
      <c r="B3598" s="6" t="s">
        <v>21</v>
      </c>
      <c r="C3598" s="6" t="s">
        <v>14916</v>
      </c>
      <c r="D3598" s="8" t="s">
        <v>17</v>
      </c>
      <c r="E3598" s="6" t="s">
        <v>23</v>
      </c>
      <c r="F3598" s="6" t="s">
        <v>31</v>
      </c>
      <c r="G3598" s="6" t="s">
        <v>14917</v>
      </c>
      <c r="H3598" s="10">
        <v>45742</v>
      </c>
      <c r="I3598" s="6" t="s">
        <v>14918</v>
      </c>
      <c r="J3598" s="6" t="s">
        <v>1204</v>
      </c>
      <c r="K3598" s="6" t="s">
        <v>35</v>
      </c>
      <c r="L3598" s="6" t="s">
        <v>1204</v>
      </c>
      <c r="M3598" s="6" t="s">
        <v>14919</v>
      </c>
    </row>
    <row r="3599" spans="1:13" ht="13" x14ac:dyDescent="0.15">
      <c r="A3599" s="5" t="str">
        <f>HYPERLINK("https://onemount.atlassian.net/browse/DBA-1057","DBA-1057")</f>
        <v>DBA-1057</v>
      </c>
      <c r="B3599" s="6" t="s">
        <v>21</v>
      </c>
      <c r="C3599" s="6" t="s">
        <v>14920</v>
      </c>
      <c r="D3599" s="8" t="s">
        <v>17</v>
      </c>
      <c r="E3599" s="6" t="s">
        <v>23</v>
      </c>
      <c r="F3599" s="6" t="s">
        <v>24</v>
      </c>
      <c r="G3599" s="6" t="s">
        <v>14921</v>
      </c>
      <c r="H3599" s="10">
        <v>45742</v>
      </c>
      <c r="I3599" s="6" t="s">
        <v>14922</v>
      </c>
      <c r="J3599" s="6" t="s">
        <v>14923</v>
      </c>
      <c r="K3599" s="6" t="s">
        <v>46</v>
      </c>
      <c r="L3599" s="6" t="s">
        <v>425</v>
      </c>
      <c r="M3599" s="6" t="s">
        <v>14924</v>
      </c>
    </row>
    <row r="3600" spans="1:13" ht="13" x14ac:dyDescent="0.15">
      <c r="A3600" s="5" t="str">
        <f>HYPERLINK("https://onemount.atlassian.net/browse/DBA-1056","DBA-1056")</f>
        <v>DBA-1056</v>
      </c>
      <c r="B3600" s="6" t="s">
        <v>21</v>
      </c>
      <c r="C3600" s="6" t="s">
        <v>14925</v>
      </c>
      <c r="D3600" s="8" t="s">
        <v>17</v>
      </c>
      <c r="E3600" s="6" t="s">
        <v>23</v>
      </c>
      <c r="F3600" s="6" t="s">
        <v>96</v>
      </c>
      <c r="G3600" s="6" t="s">
        <v>14926</v>
      </c>
      <c r="H3600" s="10">
        <v>45742</v>
      </c>
      <c r="I3600" s="6" t="s">
        <v>14927</v>
      </c>
      <c r="J3600" s="6" t="s">
        <v>214</v>
      </c>
      <c r="K3600" s="6" t="s">
        <v>165</v>
      </c>
      <c r="L3600" s="6" t="s">
        <v>288</v>
      </c>
      <c r="M3600" s="6" t="s">
        <v>14928</v>
      </c>
    </row>
    <row r="3601" spans="1:13" ht="13" x14ac:dyDescent="0.15">
      <c r="A3601" s="5" t="str">
        <f>HYPERLINK("https://onemount.atlassian.net/browse/DBA-1055","DBA-1055")</f>
        <v>DBA-1055</v>
      </c>
      <c r="B3601" s="6" t="s">
        <v>21</v>
      </c>
      <c r="C3601" s="6" t="s">
        <v>14929</v>
      </c>
      <c r="D3601" s="8" t="s">
        <v>17</v>
      </c>
      <c r="E3601" s="6" t="s">
        <v>23</v>
      </c>
      <c r="F3601" s="6" t="s">
        <v>31</v>
      </c>
      <c r="G3601" s="6" t="s">
        <v>14930</v>
      </c>
      <c r="H3601" s="10">
        <v>45742</v>
      </c>
      <c r="I3601" s="6" t="s">
        <v>14931</v>
      </c>
      <c r="J3601" s="6" t="s">
        <v>56</v>
      </c>
      <c r="K3601" s="6" t="s">
        <v>55</v>
      </c>
      <c r="L3601" s="6" t="s">
        <v>56</v>
      </c>
      <c r="M3601" s="6" t="s">
        <v>14932</v>
      </c>
    </row>
    <row r="3602" spans="1:13" ht="13" x14ac:dyDescent="0.15">
      <c r="A3602" s="5" t="str">
        <f>HYPERLINK("https://onemount.atlassian.net/browse/DBA-1054","DBA-1054")</f>
        <v>DBA-1054</v>
      </c>
      <c r="B3602" s="6" t="s">
        <v>21</v>
      </c>
      <c r="C3602" s="6" t="s">
        <v>10496</v>
      </c>
      <c r="D3602" s="8" t="s">
        <v>17</v>
      </c>
      <c r="E3602" s="6" t="s">
        <v>23</v>
      </c>
      <c r="F3602" s="6" t="s">
        <v>31</v>
      </c>
      <c r="G3602" s="6" t="s">
        <v>14933</v>
      </c>
      <c r="H3602" s="10">
        <v>45741</v>
      </c>
      <c r="I3602" s="6" t="s">
        <v>14934</v>
      </c>
      <c r="J3602" s="6" t="s">
        <v>56</v>
      </c>
      <c r="K3602" s="6" t="s">
        <v>55</v>
      </c>
      <c r="L3602" s="6" t="s">
        <v>56</v>
      </c>
      <c r="M3602" s="6" t="s">
        <v>14935</v>
      </c>
    </row>
    <row r="3603" spans="1:13" ht="13" x14ac:dyDescent="0.15">
      <c r="A3603" s="5" t="str">
        <f>HYPERLINK("https://onemount.atlassian.net/browse/DBA-1053","DBA-1053")</f>
        <v>DBA-1053</v>
      </c>
      <c r="B3603" s="6" t="s">
        <v>21</v>
      </c>
      <c r="C3603" s="6" t="s">
        <v>14936</v>
      </c>
      <c r="D3603" s="8" t="s">
        <v>17</v>
      </c>
      <c r="E3603" s="6" t="s">
        <v>23</v>
      </c>
      <c r="F3603" s="6" t="s">
        <v>24</v>
      </c>
      <c r="G3603" s="6" t="s">
        <v>14937</v>
      </c>
      <c r="H3603" s="10">
        <v>45741</v>
      </c>
      <c r="I3603" s="6" t="s">
        <v>14938</v>
      </c>
      <c r="J3603" s="6" t="s">
        <v>55</v>
      </c>
      <c r="K3603" s="6" t="s">
        <v>55</v>
      </c>
      <c r="L3603" s="6" t="s">
        <v>968</v>
      </c>
      <c r="M3603" s="6" t="s">
        <v>14939</v>
      </c>
    </row>
    <row r="3604" spans="1:13" ht="13" x14ac:dyDescent="0.15">
      <c r="A3604" s="5" t="str">
        <f>HYPERLINK("https://onemount.atlassian.net/browse/DBA-1052","DBA-1052")</f>
        <v>DBA-1052</v>
      </c>
      <c r="B3604" s="6" t="s">
        <v>21</v>
      </c>
      <c r="C3604" s="6" t="s">
        <v>14940</v>
      </c>
      <c r="D3604" s="8" t="s">
        <v>17</v>
      </c>
      <c r="E3604" s="6" t="s">
        <v>23</v>
      </c>
      <c r="F3604" s="6" t="s">
        <v>96</v>
      </c>
      <c r="G3604" s="6" t="s">
        <v>14941</v>
      </c>
      <c r="H3604" s="10">
        <v>45744</v>
      </c>
      <c r="I3604" s="6" t="s">
        <v>14942</v>
      </c>
      <c r="J3604" s="6" t="s">
        <v>55</v>
      </c>
      <c r="K3604" s="6" t="s">
        <v>55</v>
      </c>
      <c r="L3604" s="6" t="s">
        <v>270</v>
      </c>
      <c r="M3604" s="6" t="s">
        <v>14943</v>
      </c>
    </row>
    <row r="3605" spans="1:13" ht="13" x14ac:dyDescent="0.15">
      <c r="A3605" s="5" t="str">
        <f>HYPERLINK("https://onemount.atlassian.net/browse/DBA-1051","DBA-1051")</f>
        <v>DBA-1051</v>
      </c>
      <c r="B3605" s="6" t="s">
        <v>21</v>
      </c>
      <c r="C3605" s="6" t="s">
        <v>14944</v>
      </c>
      <c r="D3605" s="8" t="s">
        <v>17</v>
      </c>
      <c r="E3605" s="6" t="s">
        <v>23</v>
      </c>
      <c r="F3605" s="6" t="s">
        <v>24</v>
      </c>
      <c r="G3605" s="6" t="s">
        <v>14945</v>
      </c>
      <c r="H3605" s="10">
        <v>45741</v>
      </c>
      <c r="I3605" s="6" t="s">
        <v>14946</v>
      </c>
      <c r="J3605" s="6" t="s">
        <v>55</v>
      </c>
      <c r="K3605" s="6" t="s">
        <v>46</v>
      </c>
      <c r="L3605" s="6" t="s">
        <v>56</v>
      </c>
      <c r="M3605" s="6" t="s">
        <v>14947</v>
      </c>
    </row>
    <row r="3606" spans="1:13" ht="13" x14ac:dyDescent="0.15">
      <c r="A3606" s="5" t="str">
        <f>HYPERLINK("https://onemount.atlassian.net/browse/DBA-1050","DBA-1050")</f>
        <v>DBA-1050</v>
      </c>
      <c r="B3606" s="6" t="s">
        <v>21</v>
      </c>
      <c r="C3606" s="6" t="s">
        <v>14948</v>
      </c>
      <c r="D3606" s="8" t="s">
        <v>17</v>
      </c>
      <c r="E3606" s="6" t="s">
        <v>23</v>
      </c>
      <c r="F3606" s="6" t="s">
        <v>24</v>
      </c>
      <c r="G3606" s="6" t="s">
        <v>14949</v>
      </c>
      <c r="H3606" s="10">
        <v>45740</v>
      </c>
      <c r="I3606" s="6" t="s">
        <v>14950</v>
      </c>
      <c r="J3606" s="6" t="s">
        <v>28</v>
      </c>
      <c r="K3606" s="6" t="s">
        <v>46</v>
      </c>
      <c r="L3606" s="6" t="s">
        <v>39</v>
      </c>
      <c r="M3606" s="6" t="s">
        <v>14951</v>
      </c>
    </row>
    <row r="3607" spans="1:13" ht="13" x14ac:dyDescent="0.15">
      <c r="A3607" s="5" t="str">
        <f>HYPERLINK("https://onemount.atlassian.net/browse/DBA-1049","DBA-1049")</f>
        <v>DBA-1049</v>
      </c>
      <c r="B3607" s="6" t="s">
        <v>21</v>
      </c>
      <c r="C3607" s="6" t="s">
        <v>14952</v>
      </c>
      <c r="D3607" s="8" t="s">
        <v>17</v>
      </c>
      <c r="E3607" s="6" t="s">
        <v>23</v>
      </c>
      <c r="F3607" s="6" t="s">
        <v>24</v>
      </c>
      <c r="G3607" s="6" t="s">
        <v>14953</v>
      </c>
      <c r="H3607" s="10">
        <v>45741</v>
      </c>
      <c r="I3607" s="6" t="s">
        <v>14954</v>
      </c>
      <c r="J3607" s="6" t="s">
        <v>55</v>
      </c>
      <c r="K3607" s="6" t="s">
        <v>55</v>
      </c>
      <c r="L3607" s="6" t="s">
        <v>270</v>
      </c>
      <c r="M3607" s="6" t="s">
        <v>14955</v>
      </c>
    </row>
    <row r="3608" spans="1:13" ht="13" x14ac:dyDescent="0.15">
      <c r="A3608" s="5" t="str">
        <f>HYPERLINK("https://onemount.atlassian.net/browse/DBA-1048","DBA-1048")</f>
        <v>DBA-1048</v>
      </c>
      <c r="B3608" s="6" t="s">
        <v>21</v>
      </c>
      <c r="C3608" s="6" t="s">
        <v>14258</v>
      </c>
      <c r="D3608" s="8" t="s">
        <v>17</v>
      </c>
      <c r="E3608" s="6" t="s">
        <v>23</v>
      </c>
      <c r="F3608" s="6" t="s">
        <v>24</v>
      </c>
      <c r="G3608" s="6" t="s">
        <v>14956</v>
      </c>
      <c r="H3608" s="10">
        <v>45741</v>
      </c>
      <c r="I3608" s="6" t="s">
        <v>14957</v>
      </c>
      <c r="J3608" s="6" t="s">
        <v>49</v>
      </c>
      <c r="K3608" s="6" t="s">
        <v>35</v>
      </c>
      <c r="L3608" s="6" t="s">
        <v>981</v>
      </c>
      <c r="M3608" s="6" t="s">
        <v>14958</v>
      </c>
    </row>
    <row r="3609" spans="1:13" ht="13" x14ac:dyDescent="0.15">
      <c r="A3609" s="5" t="str">
        <f>HYPERLINK("https://onemount.atlassian.net/browse/DBA-1047","DBA-1047")</f>
        <v>DBA-1047</v>
      </c>
      <c r="B3609" s="6" t="s">
        <v>21</v>
      </c>
      <c r="C3609" s="6" t="s">
        <v>14959</v>
      </c>
      <c r="D3609" s="8" t="s">
        <v>17</v>
      </c>
      <c r="E3609" s="6" t="s">
        <v>23</v>
      </c>
      <c r="F3609" s="6" t="s">
        <v>96</v>
      </c>
      <c r="G3609" s="6" t="s">
        <v>14960</v>
      </c>
      <c r="H3609" s="10">
        <v>45741</v>
      </c>
      <c r="I3609" s="6" t="s">
        <v>14961</v>
      </c>
      <c r="J3609" s="6" t="s">
        <v>214</v>
      </c>
      <c r="K3609" s="6" t="s">
        <v>165</v>
      </c>
      <c r="L3609" s="6" t="s">
        <v>288</v>
      </c>
      <c r="M3609" s="6" t="s">
        <v>14962</v>
      </c>
    </row>
    <row r="3610" spans="1:13" ht="13" x14ac:dyDescent="0.15">
      <c r="A3610" s="5" t="str">
        <f>HYPERLINK("https://onemount.atlassian.net/browse/DBA-1046","DBA-1046")</f>
        <v>DBA-1046</v>
      </c>
      <c r="B3610" s="23" t="str">
        <f t="shared" ref="B3610:B3611" si="61">HYPERLINK("https://onemount.atlassian.net/browse/DBA-493","DBA-493")</f>
        <v>DBA-493</v>
      </c>
      <c r="C3610" s="6" t="s">
        <v>14963</v>
      </c>
      <c r="D3610" s="8" t="s">
        <v>17</v>
      </c>
      <c r="E3610" s="6" t="s">
        <v>428</v>
      </c>
      <c r="F3610" s="6" t="s">
        <v>31</v>
      </c>
      <c r="G3610" s="6" t="s">
        <v>14964</v>
      </c>
      <c r="H3610" s="10">
        <v>45741</v>
      </c>
      <c r="I3610" s="6" t="s">
        <v>14965</v>
      </c>
      <c r="J3610" s="6" t="s">
        <v>288</v>
      </c>
      <c r="K3610" s="6" t="s">
        <v>165</v>
      </c>
      <c r="L3610" s="6" t="s">
        <v>288</v>
      </c>
      <c r="M3610" s="6" t="s">
        <v>14966</v>
      </c>
    </row>
    <row r="3611" spans="1:13" ht="13" x14ac:dyDescent="0.15">
      <c r="A3611" s="5" t="str">
        <f>HYPERLINK("https://onemount.atlassian.net/browse/DBA-1045","DBA-1045")</f>
        <v>DBA-1045</v>
      </c>
      <c r="B3611" s="23" t="str">
        <f t="shared" si="61"/>
        <v>DBA-493</v>
      </c>
      <c r="C3611" s="6" t="s">
        <v>14967</v>
      </c>
      <c r="D3611" s="8" t="s">
        <v>17</v>
      </c>
      <c r="E3611" s="6" t="s">
        <v>428</v>
      </c>
      <c r="F3611" s="6" t="s">
        <v>31</v>
      </c>
      <c r="G3611" s="6" t="s">
        <v>14968</v>
      </c>
      <c r="H3611" s="10">
        <v>45741</v>
      </c>
      <c r="I3611" s="6" t="s">
        <v>14969</v>
      </c>
      <c r="J3611" s="6" t="s">
        <v>28</v>
      </c>
      <c r="K3611" s="6" t="s">
        <v>28</v>
      </c>
      <c r="L3611" s="6" t="s">
        <v>28</v>
      </c>
      <c r="M3611" s="6" t="s">
        <v>14970</v>
      </c>
    </row>
    <row r="3612" spans="1:13" ht="13" x14ac:dyDescent="0.15">
      <c r="A3612" s="5" t="str">
        <f>HYPERLINK("https://onemount.atlassian.net/browse/DBA-1044","DBA-1044")</f>
        <v>DBA-1044</v>
      </c>
      <c r="B3612" s="6" t="s">
        <v>21</v>
      </c>
      <c r="C3612" s="6" t="s">
        <v>14971</v>
      </c>
      <c r="D3612" s="8" t="s">
        <v>17</v>
      </c>
      <c r="E3612" s="6" t="s">
        <v>23</v>
      </c>
      <c r="F3612" s="6" t="s">
        <v>24</v>
      </c>
      <c r="G3612" s="6" t="s">
        <v>14972</v>
      </c>
      <c r="H3612" s="10">
        <v>45741</v>
      </c>
      <c r="I3612" s="6" t="s">
        <v>14973</v>
      </c>
      <c r="J3612" s="6" t="s">
        <v>28</v>
      </c>
      <c r="K3612" s="6" t="s">
        <v>28</v>
      </c>
      <c r="L3612" s="6" t="s">
        <v>28</v>
      </c>
      <c r="M3612" s="6" t="s">
        <v>14974</v>
      </c>
    </row>
    <row r="3613" spans="1:13" ht="13" x14ac:dyDescent="0.15">
      <c r="A3613" s="5" t="str">
        <f>HYPERLINK("https://onemount.atlassian.net/browse/DBA-1043","DBA-1043")</f>
        <v>DBA-1043</v>
      </c>
      <c r="B3613" s="23" t="str">
        <f t="shared" ref="B3613:B3618" si="62">HYPERLINK("https://onemount.atlassian.net/browse/DBA-493","DBA-493")</f>
        <v>DBA-493</v>
      </c>
      <c r="C3613" s="6" t="s">
        <v>14975</v>
      </c>
      <c r="D3613" s="8" t="s">
        <v>17</v>
      </c>
      <c r="E3613" s="6" t="s">
        <v>428</v>
      </c>
      <c r="F3613" s="6" t="s">
        <v>31</v>
      </c>
      <c r="G3613" s="6" t="s">
        <v>14976</v>
      </c>
      <c r="H3613" s="10">
        <v>45750</v>
      </c>
      <c r="I3613" s="6" t="s">
        <v>14977</v>
      </c>
      <c r="J3613" s="6" t="s">
        <v>1091</v>
      </c>
      <c r="K3613" s="6" t="s">
        <v>165</v>
      </c>
      <c r="L3613" s="6" t="s">
        <v>1091</v>
      </c>
      <c r="M3613" s="6" t="s">
        <v>14978</v>
      </c>
    </row>
    <row r="3614" spans="1:13" ht="13" x14ac:dyDescent="0.15">
      <c r="A3614" s="5" t="str">
        <f>HYPERLINK("https://onemount.atlassian.net/browse/DBA-1042","DBA-1042")</f>
        <v>DBA-1042</v>
      </c>
      <c r="B3614" s="23" t="str">
        <f t="shared" si="62"/>
        <v>DBA-493</v>
      </c>
      <c r="C3614" s="6" t="s">
        <v>14979</v>
      </c>
      <c r="D3614" s="8" t="s">
        <v>17</v>
      </c>
      <c r="E3614" s="6" t="s">
        <v>428</v>
      </c>
      <c r="F3614" s="6" t="s">
        <v>31</v>
      </c>
      <c r="G3614" s="6" t="s">
        <v>14980</v>
      </c>
      <c r="H3614" s="10">
        <v>45806</v>
      </c>
      <c r="I3614" s="6" t="s">
        <v>14981</v>
      </c>
      <c r="J3614" s="6" t="s">
        <v>707</v>
      </c>
      <c r="K3614" s="6" t="s">
        <v>55</v>
      </c>
      <c r="L3614" s="6" t="s">
        <v>707</v>
      </c>
      <c r="M3614" s="6" t="s">
        <v>14982</v>
      </c>
    </row>
    <row r="3615" spans="1:13" ht="13" x14ac:dyDescent="0.15">
      <c r="A3615" s="5" t="str">
        <f>HYPERLINK("https://onemount.atlassian.net/browse/DBA-1041","DBA-1041")</f>
        <v>DBA-1041</v>
      </c>
      <c r="B3615" s="23" t="str">
        <f t="shared" si="62"/>
        <v>DBA-493</v>
      </c>
      <c r="C3615" s="6" t="s">
        <v>14979</v>
      </c>
      <c r="D3615" s="8" t="s">
        <v>17</v>
      </c>
      <c r="E3615" s="6" t="s">
        <v>428</v>
      </c>
      <c r="F3615" s="6" t="s">
        <v>31</v>
      </c>
      <c r="G3615" s="6" t="s">
        <v>14983</v>
      </c>
      <c r="H3615" s="10">
        <v>45806</v>
      </c>
      <c r="I3615" s="6" t="s">
        <v>14984</v>
      </c>
      <c r="J3615" s="6" t="s">
        <v>328</v>
      </c>
      <c r="K3615" s="6" t="s">
        <v>55</v>
      </c>
      <c r="L3615" s="6" t="s">
        <v>328</v>
      </c>
      <c r="M3615" s="6" t="s">
        <v>14985</v>
      </c>
    </row>
    <row r="3616" spans="1:13" ht="13" x14ac:dyDescent="0.15">
      <c r="A3616" s="21" t="str">
        <f>HYPERLINK("https://onemount.atlassian.net/browse/DBA-1040","DBA-1040")</f>
        <v>DBA-1040</v>
      </c>
      <c r="B3616" s="23" t="str">
        <f t="shared" si="62"/>
        <v>DBA-493</v>
      </c>
      <c r="C3616" s="6" t="s">
        <v>14986</v>
      </c>
      <c r="D3616" s="8" t="s">
        <v>17</v>
      </c>
      <c r="E3616" s="6" t="s">
        <v>428</v>
      </c>
      <c r="F3616" s="6" t="s">
        <v>31</v>
      </c>
      <c r="G3616" s="6" t="s">
        <v>14987</v>
      </c>
      <c r="H3616" s="10">
        <v>45757</v>
      </c>
      <c r="I3616" s="6" t="s">
        <v>14988</v>
      </c>
      <c r="J3616" s="6" t="s">
        <v>328</v>
      </c>
      <c r="K3616" s="6" t="s">
        <v>55</v>
      </c>
      <c r="L3616" s="6" t="s">
        <v>328</v>
      </c>
      <c r="M3616" s="6" t="s">
        <v>14989</v>
      </c>
    </row>
    <row r="3617" spans="1:13" ht="13" x14ac:dyDescent="0.15">
      <c r="A3617" s="21" t="str">
        <f>HYPERLINK("https://onemount.atlassian.net/browse/DBA-1039","DBA-1039")</f>
        <v>DBA-1039</v>
      </c>
      <c r="B3617" s="23" t="str">
        <f t="shared" si="62"/>
        <v>DBA-493</v>
      </c>
      <c r="C3617" s="6" t="s">
        <v>14986</v>
      </c>
      <c r="D3617" s="8" t="s">
        <v>17</v>
      </c>
      <c r="E3617" s="6" t="s">
        <v>428</v>
      </c>
      <c r="F3617" s="6" t="s">
        <v>31</v>
      </c>
      <c r="G3617" s="6" t="s">
        <v>14990</v>
      </c>
      <c r="H3617" s="10">
        <v>45776</v>
      </c>
      <c r="I3617" s="6" t="s">
        <v>14991</v>
      </c>
      <c r="J3617" s="6" t="s">
        <v>328</v>
      </c>
      <c r="K3617" s="6" t="s">
        <v>55</v>
      </c>
      <c r="L3617" s="6" t="s">
        <v>328</v>
      </c>
      <c r="M3617" s="6" t="s">
        <v>14989</v>
      </c>
    </row>
    <row r="3618" spans="1:13" ht="13" x14ac:dyDescent="0.15">
      <c r="A3618" s="5" t="str">
        <f>HYPERLINK("https://onemount.atlassian.net/browse/DBA-1038","DBA-1038")</f>
        <v>DBA-1038</v>
      </c>
      <c r="B3618" s="23" t="str">
        <f t="shared" si="62"/>
        <v>DBA-493</v>
      </c>
      <c r="C3618" s="6" t="s">
        <v>14992</v>
      </c>
      <c r="D3618" s="8" t="s">
        <v>17</v>
      </c>
      <c r="E3618" s="6" t="s">
        <v>428</v>
      </c>
      <c r="F3618" s="6" t="s">
        <v>31</v>
      </c>
      <c r="G3618" s="6" t="s">
        <v>14993</v>
      </c>
      <c r="H3618" s="10">
        <v>45762</v>
      </c>
      <c r="I3618" s="6" t="s">
        <v>14994</v>
      </c>
      <c r="J3618" s="6" t="s">
        <v>254</v>
      </c>
      <c r="K3618" s="6" t="s">
        <v>55</v>
      </c>
      <c r="L3618" s="6" t="s">
        <v>254</v>
      </c>
      <c r="M3618" s="6" t="s">
        <v>14995</v>
      </c>
    </row>
    <row r="3619" spans="1:13" ht="13" x14ac:dyDescent="0.15">
      <c r="A3619" s="5" t="str">
        <f>HYPERLINK("https://onemount.atlassian.net/browse/DBA-1037","DBA-1037")</f>
        <v>DBA-1037</v>
      </c>
      <c r="B3619" s="6" t="s">
        <v>21</v>
      </c>
      <c r="C3619" s="6" t="s">
        <v>14996</v>
      </c>
      <c r="D3619" s="8" t="s">
        <v>17</v>
      </c>
      <c r="E3619" s="6" t="s">
        <v>23</v>
      </c>
      <c r="F3619" s="6" t="s">
        <v>31</v>
      </c>
      <c r="G3619" s="6" t="s">
        <v>14997</v>
      </c>
      <c r="H3619" s="10">
        <v>45741</v>
      </c>
      <c r="I3619" s="6" t="s">
        <v>14998</v>
      </c>
      <c r="J3619" s="6" t="s">
        <v>2261</v>
      </c>
      <c r="K3619" s="6" t="s">
        <v>35</v>
      </c>
      <c r="L3619" s="6" t="s">
        <v>36</v>
      </c>
      <c r="M3619" s="6" t="s">
        <v>14999</v>
      </c>
    </row>
    <row r="3620" spans="1:13" ht="13" x14ac:dyDescent="0.15">
      <c r="A3620" s="5" t="str">
        <f>HYPERLINK("https://onemount.atlassian.net/browse/DBA-1036","DBA-1036")</f>
        <v>DBA-1036</v>
      </c>
      <c r="B3620" s="6" t="s">
        <v>21</v>
      </c>
      <c r="C3620" s="6" t="s">
        <v>15000</v>
      </c>
      <c r="D3620" s="8" t="s">
        <v>17</v>
      </c>
      <c r="E3620" s="6" t="s">
        <v>23</v>
      </c>
      <c r="F3620" s="6" t="s">
        <v>31</v>
      </c>
      <c r="G3620" s="6" t="s">
        <v>15001</v>
      </c>
      <c r="H3620" s="10">
        <v>45741</v>
      </c>
      <c r="I3620" s="6" t="s">
        <v>15002</v>
      </c>
      <c r="J3620" s="6" t="s">
        <v>692</v>
      </c>
      <c r="K3620" s="6" t="s">
        <v>35</v>
      </c>
      <c r="L3620" s="6" t="s">
        <v>692</v>
      </c>
      <c r="M3620" s="6" t="s">
        <v>15003</v>
      </c>
    </row>
    <row r="3621" spans="1:13" ht="13" x14ac:dyDescent="0.15">
      <c r="A3621" s="5" t="str">
        <f>HYPERLINK("https://onemount.atlassian.net/browse/DBA-1035","DBA-1035")</f>
        <v>DBA-1035</v>
      </c>
      <c r="B3621" s="23" t="str">
        <f t="shared" ref="B3621:B3626" si="63">HYPERLINK("https://onemount.atlassian.net/browse/DBA-493","DBA-493")</f>
        <v>DBA-493</v>
      </c>
      <c r="C3621" s="6" t="s">
        <v>15004</v>
      </c>
      <c r="D3621" s="8" t="s">
        <v>17</v>
      </c>
      <c r="E3621" s="6" t="s">
        <v>428</v>
      </c>
      <c r="F3621" s="6" t="s">
        <v>31</v>
      </c>
      <c r="G3621" s="6" t="s">
        <v>15005</v>
      </c>
      <c r="H3621" s="10">
        <v>45756</v>
      </c>
      <c r="I3621" s="6" t="s">
        <v>15006</v>
      </c>
      <c r="J3621" s="6" t="s">
        <v>288</v>
      </c>
      <c r="K3621" s="6" t="s">
        <v>165</v>
      </c>
      <c r="L3621" s="6" t="s">
        <v>288</v>
      </c>
      <c r="M3621" s="6" t="s">
        <v>15007</v>
      </c>
    </row>
    <row r="3622" spans="1:13" ht="13" x14ac:dyDescent="0.15">
      <c r="A3622" s="5" t="str">
        <f>HYPERLINK("https://onemount.atlassian.net/browse/DBA-1034","DBA-1034")</f>
        <v>DBA-1034</v>
      </c>
      <c r="B3622" s="23" t="str">
        <f t="shared" si="63"/>
        <v>DBA-493</v>
      </c>
      <c r="C3622" s="6" t="s">
        <v>15008</v>
      </c>
      <c r="D3622" s="8" t="s">
        <v>17</v>
      </c>
      <c r="E3622" s="6" t="s">
        <v>428</v>
      </c>
      <c r="F3622" s="6" t="s">
        <v>31</v>
      </c>
      <c r="G3622" s="6" t="s">
        <v>15009</v>
      </c>
      <c r="H3622" s="10">
        <v>45787</v>
      </c>
      <c r="I3622" s="6" t="s">
        <v>15010</v>
      </c>
      <c r="J3622" s="6" t="s">
        <v>13808</v>
      </c>
      <c r="K3622" s="6" t="s">
        <v>55</v>
      </c>
      <c r="L3622" s="6" t="s">
        <v>992</v>
      </c>
      <c r="M3622" s="6" t="s">
        <v>15011</v>
      </c>
    </row>
    <row r="3623" spans="1:13" ht="13" x14ac:dyDescent="0.15">
      <c r="A3623" s="5" t="str">
        <f>HYPERLINK("https://onemount.atlassian.net/browse/DBA-1033","DBA-1033")</f>
        <v>DBA-1033</v>
      </c>
      <c r="B3623" s="23" t="str">
        <f t="shared" si="63"/>
        <v>DBA-493</v>
      </c>
      <c r="C3623" s="6" t="s">
        <v>15012</v>
      </c>
      <c r="D3623" s="8" t="s">
        <v>17</v>
      </c>
      <c r="E3623" s="6" t="s">
        <v>428</v>
      </c>
      <c r="F3623" s="6" t="s">
        <v>31</v>
      </c>
      <c r="G3623" s="6" t="s">
        <v>15013</v>
      </c>
      <c r="H3623" s="10">
        <v>45748</v>
      </c>
      <c r="I3623" s="6" t="s">
        <v>15014</v>
      </c>
      <c r="J3623" s="6" t="s">
        <v>906</v>
      </c>
      <c r="K3623" s="6" t="s">
        <v>55</v>
      </c>
      <c r="L3623" s="6" t="s">
        <v>906</v>
      </c>
      <c r="M3623" s="6" t="s">
        <v>15015</v>
      </c>
    </row>
    <row r="3624" spans="1:13" ht="13" x14ac:dyDescent="0.15">
      <c r="A3624" s="5" t="str">
        <f>HYPERLINK("https://onemount.atlassian.net/browse/DBA-1032","DBA-1032")</f>
        <v>DBA-1032</v>
      </c>
      <c r="B3624" s="23" t="str">
        <f t="shared" si="63"/>
        <v>DBA-493</v>
      </c>
      <c r="C3624" s="6" t="s">
        <v>15016</v>
      </c>
      <c r="D3624" s="8" t="s">
        <v>17</v>
      </c>
      <c r="E3624" s="6" t="s">
        <v>428</v>
      </c>
      <c r="F3624" s="6" t="s">
        <v>31</v>
      </c>
      <c r="G3624" s="6" t="s">
        <v>15017</v>
      </c>
      <c r="H3624" s="10">
        <v>45778</v>
      </c>
      <c r="I3624" s="6" t="s">
        <v>15018</v>
      </c>
      <c r="J3624" s="6" t="s">
        <v>56</v>
      </c>
      <c r="K3624" s="6" t="s">
        <v>55</v>
      </c>
      <c r="L3624" s="6" t="s">
        <v>56</v>
      </c>
      <c r="M3624" s="6" t="s">
        <v>15019</v>
      </c>
    </row>
    <row r="3625" spans="1:13" ht="13" x14ac:dyDescent="0.15">
      <c r="A3625" s="5" t="str">
        <f>HYPERLINK("https://onemount.atlassian.net/browse/DBA-1031","DBA-1031")</f>
        <v>DBA-1031</v>
      </c>
      <c r="B3625" s="23" t="str">
        <f t="shared" si="63"/>
        <v>DBA-493</v>
      </c>
      <c r="C3625" s="6" t="s">
        <v>15020</v>
      </c>
      <c r="D3625" s="8" t="s">
        <v>17</v>
      </c>
      <c r="E3625" s="6" t="s">
        <v>428</v>
      </c>
      <c r="F3625" s="6" t="s">
        <v>31</v>
      </c>
      <c r="G3625" s="6" t="s">
        <v>15021</v>
      </c>
      <c r="H3625" s="10">
        <v>45748</v>
      </c>
      <c r="I3625" s="6" t="s">
        <v>15022</v>
      </c>
      <c r="J3625" s="6" t="s">
        <v>619</v>
      </c>
      <c r="K3625" s="6" t="s">
        <v>46</v>
      </c>
      <c r="L3625" s="6" t="s">
        <v>619</v>
      </c>
      <c r="M3625" s="6" t="s">
        <v>15023</v>
      </c>
    </row>
    <row r="3626" spans="1:13" ht="13" x14ac:dyDescent="0.15">
      <c r="A3626" s="5" t="str">
        <f>HYPERLINK("https://onemount.atlassian.net/browse/DBA-1030","DBA-1030")</f>
        <v>DBA-1030</v>
      </c>
      <c r="B3626" s="23" t="str">
        <f t="shared" si="63"/>
        <v>DBA-493</v>
      </c>
      <c r="C3626" s="6" t="s">
        <v>15024</v>
      </c>
      <c r="D3626" s="8" t="s">
        <v>17</v>
      </c>
      <c r="E3626" s="6" t="s">
        <v>428</v>
      </c>
      <c r="F3626" s="6" t="s">
        <v>31</v>
      </c>
      <c r="G3626" s="6" t="s">
        <v>15025</v>
      </c>
      <c r="H3626" s="10">
        <v>45748</v>
      </c>
      <c r="I3626" s="6" t="s">
        <v>15026</v>
      </c>
      <c r="J3626" s="6" t="s">
        <v>39</v>
      </c>
      <c r="K3626" s="6" t="s">
        <v>46</v>
      </c>
      <c r="L3626" s="6" t="s">
        <v>39</v>
      </c>
      <c r="M3626" s="6" t="s">
        <v>15027</v>
      </c>
    </row>
    <row r="3627" spans="1:13" ht="13" x14ac:dyDescent="0.15">
      <c r="A3627" s="5" t="str">
        <f>HYPERLINK("https://onemount.atlassian.net/browse/DBA-1029","DBA-1029")</f>
        <v>DBA-1029</v>
      </c>
      <c r="B3627" s="6" t="s">
        <v>21</v>
      </c>
      <c r="C3627" s="6" t="s">
        <v>15028</v>
      </c>
      <c r="D3627" s="8" t="s">
        <v>17</v>
      </c>
      <c r="E3627" s="6" t="s">
        <v>23</v>
      </c>
      <c r="F3627" s="6" t="s">
        <v>31</v>
      </c>
      <c r="G3627" s="6" t="s">
        <v>15029</v>
      </c>
      <c r="H3627" s="10">
        <v>45741</v>
      </c>
      <c r="I3627" s="6" t="s">
        <v>15030</v>
      </c>
      <c r="J3627" s="6" t="s">
        <v>12023</v>
      </c>
      <c r="K3627" s="6" t="s">
        <v>35</v>
      </c>
      <c r="L3627" s="6" t="s">
        <v>276</v>
      </c>
      <c r="M3627" s="6" t="s">
        <v>15031</v>
      </c>
    </row>
    <row r="3628" spans="1:13" ht="13" x14ac:dyDescent="0.15">
      <c r="A3628" s="5" t="str">
        <f>HYPERLINK("https://onemount.atlassian.net/browse/DBA-1028","DBA-1028")</f>
        <v>DBA-1028</v>
      </c>
      <c r="B3628" s="6" t="s">
        <v>21</v>
      </c>
      <c r="C3628" s="6" t="s">
        <v>15032</v>
      </c>
      <c r="D3628" s="8" t="s">
        <v>17</v>
      </c>
      <c r="E3628" s="6" t="s">
        <v>23</v>
      </c>
      <c r="F3628" s="6" t="s">
        <v>31</v>
      </c>
      <c r="G3628" s="6" t="s">
        <v>15033</v>
      </c>
      <c r="H3628" s="10">
        <v>45738</v>
      </c>
      <c r="I3628" s="6" t="s">
        <v>15034</v>
      </c>
      <c r="J3628" s="6" t="s">
        <v>638</v>
      </c>
      <c r="K3628" s="6" t="s">
        <v>35</v>
      </c>
      <c r="L3628" s="6" t="s">
        <v>638</v>
      </c>
      <c r="M3628" s="6" t="s">
        <v>15035</v>
      </c>
    </row>
    <row r="3629" spans="1:13" ht="13" x14ac:dyDescent="0.15">
      <c r="A3629" s="5" t="str">
        <f>HYPERLINK("https://onemount.atlassian.net/browse/DBA-1027","DBA-1027")</f>
        <v>DBA-1027</v>
      </c>
      <c r="B3629" s="6" t="s">
        <v>21</v>
      </c>
      <c r="C3629" s="6" t="s">
        <v>15036</v>
      </c>
      <c r="D3629" s="8" t="s">
        <v>17</v>
      </c>
      <c r="E3629" s="6" t="s">
        <v>23</v>
      </c>
      <c r="F3629" s="6" t="s">
        <v>31</v>
      </c>
      <c r="G3629" s="6" t="s">
        <v>15037</v>
      </c>
      <c r="H3629" s="10">
        <v>45739</v>
      </c>
      <c r="I3629" s="6" t="s">
        <v>15038</v>
      </c>
      <c r="J3629" s="6" t="s">
        <v>56</v>
      </c>
      <c r="K3629" s="6" t="s">
        <v>55</v>
      </c>
      <c r="L3629" s="6" t="s">
        <v>56</v>
      </c>
      <c r="M3629" s="6" t="s">
        <v>15039</v>
      </c>
    </row>
    <row r="3630" spans="1:13" ht="13" x14ac:dyDescent="0.15">
      <c r="A3630" s="5" t="str">
        <f>HYPERLINK("https://onemount.atlassian.net/browse/DBA-1026","DBA-1026")</f>
        <v>DBA-1026</v>
      </c>
      <c r="B3630" s="6" t="s">
        <v>21</v>
      </c>
      <c r="C3630" s="6" t="s">
        <v>15040</v>
      </c>
      <c r="D3630" s="8" t="s">
        <v>17</v>
      </c>
      <c r="E3630" s="6" t="s">
        <v>23</v>
      </c>
      <c r="F3630" s="6" t="s">
        <v>96</v>
      </c>
      <c r="G3630" s="6" t="s">
        <v>15041</v>
      </c>
      <c r="H3630" s="10">
        <v>45738</v>
      </c>
      <c r="I3630" s="6" t="s">
        <v>15042</v>
      </c>
      <c r="J3630" s="6" t="s">
        <v>2453</v>
      </c>
      <c r="K3630" s="6" t="s">
        <v>46</v>
      </c>
      <c r="L3630" s="6" t="s">
        <v>119</v>
      </c>
      <c r="M3630" s="6" t="s">
        <v>15043</v>
      </c>
    </row>
    <row r="3631" spans="1:13" ht="13" x14ac:dyDescent="0.15">
      <c r="A3631" s="5" t="str">
        <f>HYPERLINK("https://onemount.atlassian.net/browse/DBA-1025","DBA-1025")</f>
        <v>DBA-1025</v>
      </c>
      <c r="B3631" s="6" t="s">
        <v>21</v>
      </c>
      <c r="C3631" s="6" t="s">
        <v>15044</v>
      </c>
      <c r="D3631" s="8" t="s">
        <v>17</v>
      </c>
      <c r="E3631" s="6" t="s">
        <v>23</v>
      </c>
      <c r="F3631" s="6" t="s">
        <v>24</v>
      </c>
      <c r="G3631" s="6" t="s">
        <v>15045</v>
      </c>
      <c r="H3631" s="10">
        <v>45738</v>
      </c>
      <c r="I3631" s="6" t="s">
        <v>15046</v>
      </c>
      <c r="J3631" s="6" t="s">
        <v>55</v>
      </c>
      <c r="K3631" s="6" t="s">
        <v>55</v>
      </c>
      <c r="L3631" s="6" t="s">
        <v>906</v>
      </c>
      <c r="M3631" s="6" t="s">
        <v>15047</v>
      </c>
    </row>
    <row r="3632" spans="1:13" ht="13" x14ac:dyDescent="0.15">
      <c r="A3632" s="5" t="str">
        <f>HYPERLINK("https://onemount.atlassian.net/browse/DBA-1024","DBA-1024")</f>
        <v>DBA-1024</v>
      </c>
      <c r="B3632" s="6" t="s">
        <v>21</v>
      </c>
      <c r="C3632" s="6" t="s">
        <v>15048</v>
      </c>
      <c r="D3632" s="8" t="s">
        <v>17</v>
      </c>
      <c r="E3632" s="6" t="s">
        <v>23</v>
      </c>
      <c r="F3632" s="6" t="s">
        <v>24</v>
      </c>
      <c r="G3632" s="6" t="s">
        <v>15049</v>
      </c>
      <c r="H3632" s="10">
        <v>45737</v>
      </c>
      <c r="I3632" s="6" t="s">
        <v>15050</v>
      </c>
      <c r="J3632" s="6" t="s">
        <v>10187</v>
      </c>
      <c r="K3632" s="6" t="s">
        <v>55</v>
      </c>
      <c r="L3632" s="6" t="s">
        <v>425</v>
      </c>
      <c r="M3632" s="6" t="s">
        <v>15051</v>
      </c>
    </row>
    <row r="3633" spans="1:13" ht="13" x14ac:dyDescent="0.15">
      <c r="A3633" s="21" t="str">
        <f>HYPERLINK("https://onemount.atlassian.net/browse/DBA-1023","DBA-1023")</f>
        <v>DBA-1023</v>
      </c>
      <c r="B3633" s="6" t="s">
        <v>21</v>
      </c>
      <c r="C3633" s="6" t="s">
        <v>14317</v>
      </c>
      <c r="D3633" s="8" t="s">
        <v>17</v>
      </c>
      <c r="E3633" s="6" t="s">
        <v>23</v>
      </c>
      <c r="F3633" s="6" t="s">
        <v>24</v>
      </c>
      <c r="G3633" s="6" t="s">
        <v>15052</v>
      </c>
      <c r="H3633" s="10">
        <v>45737</v>
      </c>
      <c r="I3633" s="6" t="s">
        <v>15053</v>
      </c>
      <c r="J3633" s="6" t="s">
        <v>55</v>
      </c>
      <c r="K3633" s="6" t="s">
        <v>55</v>
      </c>
      <c r="L3633" s="6" t="s">
        <v>56</v>
      </c>
      <c r="M3633" s="6" t="s">
        <v>14911</v>
      </c>
    </row>
    <row r="3634" spans="1:13" ht="13" x14ac:dyDescent="0.15">
      <c r="A3634" s="5" t="str">
        <f>HYPERLINK("https://onemount.atlassian.net/browse/DBA-1022","DBA-1022")</f>
        <v>DBA-1022</v>
      </c>
      <c r="B3634" s="6" t="s">
        <v>21</v>
      </c>
      <c r="C3634" s="6" t="s">
        <v>15054</v>
      </c>
      <c r="D3634" s="8" t="s">
        <v>17</v>
      </c>
      <c r="E3634" s="6" t="s">
        <v>23</v>
      </c>
      <c r="F3634" s="6" t="s">
        <v>24</v>
      </c>
      <c r="G3634" s="6" t="s">
        <v>15055</v>
      </c>
      <c r="H3634" s="10">
        <v>45738</v>
      </c>
      <c r="I3634" s="6" t="s">
        <v>15056</v>
      </c>
      <c r="J3634" s="6" t="s">
        <v>276</v>
      </c>
      <c r="K3634" s="6" t="s">
        <v>46</v>
      </c>
      <c r="L3634" s="6" t="s">
        <v>36</v>
      </c>
      <c r="M3634" s="6" t="s">
        <v>15057</v>
      </c>
    </row>
    <row r="3635" spans="1:13" ht="13" x14ac:dyDescent="0.15">
      <c r="A3635" s="5" t="str">
        <f>HYPERLINK("https://onemount.atlassian.net/browse/DBA-1021","DBA-1021")</f>
        <v>DBA-1021</v>
      </c>
      <c r="B3635" s="6" t="s">
        <v>21</v>
      </c>
      <c r="C3635" s="6" t="s">
        <v>15058</v>
      </c>
      <c r="D3635" s="8" t="s">
        <v>17</v>
      </c>
      <c r="E3635" s="6" t="s">
        <v>23</v>
      </c>
      <c r="F3635" s="6" t="s">
        <v>96</v>
      </c>
      <c r="G3635" s="6" t="s">
        <v>15059</v>
      </c>
      <c r="H3635" s="10">
        <v>45737</v>
      </c>
      <c r="I3635" s="6" t="s">
        <v>15060</v>
      </c>
      <c r="J3635" s="6" t="s">
        <v>165</v>
      </c>
      <c r="K3635" s="6" t="s">
        <v>165</v>
      </c>
      <c r="L3635" s="6" t="s">
        <v>715</v>
      </c>
      <c r="M3635" s="6" t="s">
        <v>15061</v>
      </c>
    </row>
    <row r="3636" spans="1:13" ht="13" x14ac:dyDescent="0.15">
      <c r="A3636" s="21" t="str">
        <f>HYPERLINK("https://onemount.atlassian.net/browse/DBA-1020","DBA-1020")</f>
        <v>DBA-1020</v>
      </c>
      <c r="B3636" s="6" t="s">
        <v>21</v>
      </c>
      <c r="C3636" s="6" t="s">
        <v>14317</v>
      </c>
      <c r="D3636" s="8" t="s">
        <v>17</v>
      </c>
      <c r="E3636" s="6" t="s">
        <v>23</v>
      </c>
      <c r="F3636" s="6" t="s">
        <v>24</v>
      </c>
      <c r="G3636" s="6" t="s">
        <v>15062</v>
      </c>
      <c r="H3636" s="10">
        <v>45737</v>
      </c>
      <c r="I3636" s="6" t="s">
        <v>15063</v>
      </c>
      <c r="J3636" s="6" t="s">
        <v>55</v>
      </c>
      <c r="K3636" s="6" t="s">
        <v>55</v>
      </c>
      <c r="L3636" s="6" t="s">
        <v>56</v>
      </c>
      <c r="M3636" s="6" t="s">
        <v>14911</v>
      </c>
    </row>
    <row r="3637" spans="1:13" ht="13" x14ac:dyDescent="0.15">
      <c r="A3637" s="5" t="str">
        <f>HYPERLINK("https://onemount.atlassian.net/browse/DBA-1019","DBA-1019")</f>
        <v>DBA-1019</v>
      </c>
      <c r="B3637" s="6" t="s">
        <v>21</v>
      </c>
      <c r="C3637" s="6" t="s">
        <v>15064</v>
      </c>
      <c r="D3637" s="8" t="s">
        <v>17</v>
      </c>
      <c r="E3637" s="6" t="s">
        <v>23</v>
      </c>
      <c r="F3637" s="6" t="s">
        <v>24</v>
      </c>
      <c r="G3637" s="6" t="s">
        <v>15065</v>
      </c>
      <c r="H3637" s="10">
        <v>45738</v>
      </c>
      <c r="I3637" s="6" t="s">
        <v>15066</v>
      </c>
      <c r="J3637" s="6" t="s">
        <v>39</v>
      </c>
      <c r="K3637" s="6" t="s">
        <v>28</v>
      </c>
      <c r="L3637" s="6" t="s">
        <v>160</v>
      </c>
      <c r="M3637" s="6" t="s">
        <v>15067</v>
      </c>
    </row>
    <row r="3638" spans="1:13" ht="13" x14ac:dyDescent="0.15">
      <c r="A3638" s="5" t="str">
        <f>HYPERLINK("https://onemount.atlassian.net/browse/DBA-1018","DBA-1018")</f>
        <v>DBA-1018</v>
      </c>
      <c r="B3638" s="6" t="s">
        <v>21</v>
      </c>
      <c r="C3638" s="6" t="s">
        <v>15068</v>
      </c>
      <c r="D3638" s="8" t="s">
        <v>17</v>
      </c>
      <c r="E3638" s="6" t="s">
        <v>23</v>
      </c>
      <c r="F3638" s="6" t="s">
        <v>31</v>
      </c>
      <c r="G3638" s="6" t="s">
        <v>15069</v>
      </c>
      <c r="H3638" s="10">
        <v>45741</v>
      </c>
      <c r="I3638" s="6" t="s">
        <v>15070</v>
      </c>
      <c r="J3638" s="6" t="s">
        <v>34</v>
      </c>
      <c r="K3638" s="6" t="s">
        <v>35</v>
      </c>
      <c r="L3638" s="6" t="s">
        <v>36</v>
      </c>
      <c r="M3638" s="6" t="s">
        <v>15071</v>
      </c>
    </row>
    <row r="3639" spans="1:13" ht="13" x14ac:dyDescent="0.15">
      <c r="A3639" s="5" t="str">
        <f>HYPERLINK("https://onemount.atlassian.net/browse/DBA-1017","DBA-1017")</f>
        <v>DBA-1017</v>
      </c>
      <c r="B3639" s="6" t="s">
        <v>21</v>
      </c>
      <c r="C3639" s="6" t="s">
        <v>15072</v>
      </c>
      <c r="D3639" s="8" t="s">
        <v>17</v>
      </c>
      <c r="E3639" s="6" t="s">
        <v>23</v>
      </c>
      <c r="F3639" s="6" t="s">
        <v>31</v>
      </c>
      <c r="G3639" s="6" t="s">
        <v>15073</v>
      </c>
      <c r="H3639" s="10">
        <v>45736</v>
      </c>
      <c r="I3639" s="6" t="s">
        <v>15074</v>
      </c>
      <c r="J3639" s="6" t="s">
        <v>12383</v>
      </c>
      <c r="K3639" s="6" t="s">
        <v>28</v>
      </c>
      <c r="L3639" s="6" t="s">
        <v>738</v>
      </c>
      <c r="M3639" s="6" t="s">
        <v>15075</v>
      </c>
    </row>
    <row r="3640" spans="1:13" ht="13" x14ac:dyDescent="0.15">
      <c r="A3640" s="5" t="str">
        <f>HYPERLINK("https://onemount.atlassian.net/browse/DBA-1016","DBA-1016")</f>
        <v>DBA-1016</v>
      </c>
      <c r="B3640" s="6" t="s">
        <v>21</v>
      </c>
      <c r="C3640" s="6" t="s">
        <v>13587</v>
      </c>
      <c r="D3640" s="8" t="s">
        <v>17</v>
      </c>
      <c r="E3640" s="6" t="s">
        <v>23</v>
      </c>
      <c r="F3640" s="6" t="s">
        <v>31</v>
      </c>
      <c r="G3640" s="6" t="s">
        <v>15076</v>
      </c>
      <c r="H3640" s="10">
        <v>45736</v>
      </c>
      <c r="I3640" s="6" t="s">
        <v>15077</v>
      </c>
      <c r="J3640" s="6" t="s">
        <v>15078</v>
      </c>
      <c r="K3640" s="6" t="s">
        <v>28</v>
      </c>
      <c r="L3640" s="6" t="s">
        <v>28</v>
      </c>
      <c r="M3640" s="6" t="s">
        <v>15079</v>
      </c>
    </row>
    <row r="3641" spans="1:13" ht="13" x14ac:dyDescent="0.15">
      <c r="A3641" s="5" t="str">
        <f>HYPERLINK("https://onemount.atlassian.net/browse/DBA-1015","DBA-1015")</f>
        <v>DBA-1015</v>
      </c>
      <c r="B3641" s="6" t="s">
        <v>21</v>
      </c>
      <c r="C3641" s="6" t="s">
        <v>15080</v>
      </c>
      <c r="D3641" s="8" t="s">
        <v>17</v>
      </c>
      <c r="E3641" s="6" t="s">
        <v>23</v>
      </c>
      <c r="F3641" s="6" t="s">
        <v>31</v>
      </c>
      <c r="G3641" s="6" t="s">
        <v>15081</v>
      </c>
      <c r="H3641" s="10">
        <v>45737</v>
      </c>
      <c r="I3641" s="6" t="s">
        <v>15082</v>
      </c>
      <c r="J3641" s="6" t="s">
        <v>254</v>
      </c>
      <c r="K3641" s="6" t="s">
        <v>55</v>
      </c>
      <c r="L3641" s="6" t="s">
        <v>254</v>
      </c>
      <c r="M3641" s="6" t="s">
        <v>15083</v>
      </c>
    </row>
    <row r="3642" spans="1:13" ht="13" x14ac:dyDescent="0.15">
      <c r="A3642" s="5" t="str">
        <f>HYPERLINK("https://onemount.atlassian.net/browse/DBA-1014","DBA-1014")</f>
        <v>DBA-1014</v>
      </c>
      <c r="B3642" s="6" t="s">
        <v>21</v>
      </c>
      <c r="C3642" s="6" t="s">
        <v>15084</v>
      </c>
      <c r="D3642" s="8" t="s">
        <v>17</v>
      </c>
      <c r="E3642" s="6" t="s">
        <v>23</v>
      </c>
      <c r="F3642" s="6" t="s">
        <v>31</v>
      </c>
      <c r="G3642" s="6" t="s">
        <v>15085</v>
      </c>
      <c r="H3642" s="10">
        <v>45737</v>
      </c>
      <c r="I3642" s="6" t="s">
        <v>15086</v>
      </c>
      <c r="J3642" s="6" t="s">
        <v>254</v>
      </c>
      <c r="K3642" s="6" t="s">
        <v>55</v>
      </c>
      <c r="L3642" s="6" t="s">
        <v>254</v>
      </c>
      <c r="M3642" s="6" t="s">
        <v>15087</v>
      </c>
    </row>
    <row r="3643" spans="1:13" ht="13" x14ac:dyDescent="0.15">
      <c r="A3643" s="5" t="str">
        <f>HYPERLINK("https://onemount.atlassian.net/browse/DBA-1013","DBA-1013")</f>
        <v>DBA-1013</v>
      </c>
      <c r="B3643" s="6" t="s">
        <v>21</v>
      </c>
      <c r="C3643" s="6" t="s">
        <v>15088</v>
      </c>
      <c r="D3643" s="8" t="s">
        <v>17</v>
      </c>
      <c r="E3643" s="6" t="s">
        <v>23</v>
      </c>
      <c r="F3643" s="6" t="s">
        <v>24</v>
      </c>
      <c r="G3643" s="6" t="s">
        <v>15089</v>
      </c>
      <c r="H3643" s="10">
        <v>45736</v>
      </c>
      <c r="I3643" s="6" t="s">
        <v>15090</v>
      </c>
      <c r="J3643" s="6" t="s">
        <v>958</v>
      </c>
      <c r="K3643" s="6" t="s">
        <v>55</v>
      </c>
      <c r="L3643" s="6" t="s">
        <v>960</v>
      </c>
      <c r="M3643" s="6" t="s">
        <v>15091</v>
      </c>
    </row>
    <row r="3644" spans="1:13" ht="13" x14ac:dyDescent="0.15">
      <c r="A3644" s="5" t="str">
        <f>HYPERLINK("https://onemount.atlassian.net/browse/DBA-1012","DBA-1012")</f>
        <v>DBA-1012</v>
      </c>
      <c r="B3644" s="6" t="s">
        <v>21</v>
      </c>
      <c r="C3644" s="6" t="s">
        <v>15092</v>
      </c>
      <c r="D3644" s="8" t="s">
        <v>17</v>
      </c>
      <c r="E3644" s="6" t="s">
        <v>23</v>
      </c>
      <c r="F3644" s="6" t="s">
        <v>24</v>
      </c>
      <c r="G3644" s="6" t="s">
        <v>15093</v>
      </c>
      <c r="H3644" s="10">
        <v>45736</v>
      </c>
      <c r="I3644" s="6" t="s">
        <v>15094</v>
      </c>
      <c r="J3644" s="6" t="s">
        <v>958</v>
      </c>
      <c r="K3644" s="6" t="s">
        <v>55</v>
      </c>
      <c r="L3644" s="6" t="s">
        <v>960</v>
      </c>
      <c r="M3644" s="6" t="s">
        <v>15095</v>
      </c>
    </row>
    <row r="3645" spans="1:13" ht="13" x14ac:dyDescent="0.15">
      <c r="A3645" s="5" t="str">
        <f>HYPERLINK("https://onemount.atlassian.net/browse/DBA-1011","DBA-1011")</f>
        <v>DBA-1011</v>
      </c>
      <c r="B3645" s="6" t="s">
        <v>21</v>
      </c>
      <c r="C3645" s="6" t="s">
        <v>14804</v>
      </c>
      <c r="D3645" s="8" t="s">
        <v>17</v>
      </c>
      <c r="E3645" s="6" t="s">
        <v>23</v>
      </c>
      <c r="F3645" s="6" t="s">
        <v>24</v>
      </c>
      <c r="G3645" s="6" t="s">
        <v>15096</v>
      </c>
      <c r="H3645" s="10">
        <v>45737</v>
      </c>
      <c r="I3645" s="6" t="s">
        <v>15097</v>
      </c>
      <c r="J3645" s="6" t="s">
        <v>55</v>
      </c>
      <c r="K3645" s="6" t="s">
        <v>55</v>
      </c>
      <c r="L3645" s="6" t="s">
        <v>56</v>
      </c>
      <c r="M3645" s="6" t="s">
        <v>15098</v>
      </c>
    </row>
    <row r="3646" spans="1:13" ht="13" x14ac:dyDescent="0.15">
      <c r="A3646" s="5" t="str">
        <f>HYPERLINK("https://onemount.atlassian.net/browse/DBA-1010","DBA-1010")</f>
        <v>DBA-1010</v>
      </c>
      <c r="B3646" s="6" t="s">
        <v>21</v>
      </c>
      <c r="C3646" s="6" t="s">
        <v>15099</v>
      </c>
      <c r="D3646" s="8" t="s">
        <v>17</v>
      </c>
      <c r="E3646" s="6" t="s">
        <v>23</v>
      </c>
      <c r="F3646" s="6" t="s">
        <v>24</v>
      </c>
      <c r="G3646" s="6" t="s">
        <v>15100</v>
      </c>
      <c r="H3646" s="10">
        <v>45736</v>
      </c>
      <c r="I3646" s="6" t="s">
        <v>15101</v>
      </c>
      <c r="J3646" s="6" t="s">
        <v>55</v>
      </c>
      <c r="K3646" s="6" t="s">
        <v>55</v>
      </c>
      <c r="L3646" s="6" t="s">
        <v>906</v>
      </c>
      <c r="M3646" s="6" t="s">
        <v>15102</v>
      </c>
    </row>
    <row r="3647" spans="1:13" ht="13" x14ac:dyDescent="0.15">
      <c r="A3647" s="5" t="str">
        <f>HYPERLINK("https://onemount.atlassian.net/browse/DBA-1009","DBA-1009")</f>
        <v>DBA-1009</v>
      </c>
      <c r="B3647" s="6" t="s">
        <v>21</v>
      </c>
      <c r="C3647" s="6" t="s">
        <v>14948</v>
      </c>
      <c r="D3647" s="8" t="s">
        <v>17</v>
      </c>
      <c r="E3647" s="6" t="s">
        <v>23</v>
      </c>
      <c r="F3647" s="6" t="s">
        <v>24</v>
      </c>
      <c r="G3647" s="6" t="s">
        <v>15103</v>
      </c>
      <c r="H3647" s="10">
        <v>45736</v>
      </c>
      <c r="I3647" s="6" t="s">
        <v>15104</v>
      </c>
      <c r="J3647" s="6" t="s">
        <v>28</v>
      </c>
      <c r="K3647" s="6" t="s">
        <v>46</v>
      </c>
      <c r="L3647" s="6" t="s">
        <v>39</v>
      </c>
      <c r="M3647" s="6" t="s">
        <v>15105</v>
      </c>
    </row>
    <row r="3648" spans="1:13" ht="13" x14ac:dyDescent="0.15">
      <c r="A3648" s="5" t="str">
        <f>HYPERLINK("https://onemount.atlassian.net/browse/DBA-1008","DBA-1008")</f>
        <v>DBA-1008</v>
      </c>
      <c r="B3648" s="6" t="s">
        <v>21</v>
      </c>
      <c r="C3648" s="6" t="s">
        <v>15106</v>
      </c>
      <c r="D3648" s="8" t="s">
        <v>17</v>
      </c>
      <c r="E3648" s="6" t="s">
        <v>23</v>
      </c>
      <c r="F3648" s="6" t="s">
        <v>96</v>
      </c>
      <c r="G3648" s="6" t="s">
        <v>15107</v>
      </c>
      <c r="H3648" s="10">
        <v>45736</v>
      </c>
      <c r="I3648" s="6" t="s">
        <v>15108</v>
      </c>
      <c r="J3648" s="6" t="s">
        <v>165</v>
      </c>
      <c r="K3648" s="6" t="s">
        <v>165</v>
      </c>
      <c r="L3648" s="6" t="s">
        <v>715</v>
      </c>
      <c r="M3648" s="6" t="s">
        <v>15109</v>
      </c>
    </row>
    <row r="3649" spans="1:13" ht="13" x14ac:dyDescent="0.15">
      <c r="A3649" s="5" t="str">
        <f>HYPERLINK("https://onemount.atlassian.net/browse/DBA-1007","DBA-1007")</f>
        <v>DBA-1007</v>
      </c>
      <c r="B3649" s="6" t="s">
        <v>21</v>
      </c>
      <c r="C3649" s="6" t="s">
        <v>12758</v>
      </c>
      <c r="D3649" s="8" t="s">
        <v>17</v>
      </c>
      <c r="E3649" s="6" t="s">
        <v>23</v>
      </c>
      <c r="F3649" s="6" t="s">
        <v>96</v>
      </c>
      <c r="G3649" s="6" t="s">
        <v>15110</v>
      </c>
      <c r="H3649" s="10">
        <v>45735</v>
      </c>
      <c r="I3649" s="6" t="s">
        <v>15111</v>
      </c>
      <c r="J3649" s="6" t="s">
        <v>165</v>
      </c>
      <c r="K3649" s="6" t="s">
        <v>165</v>
      </c>
      <c r="L3649" s="6" t="s">
        <v>1006</v>
      </c>
      <c r="M3649" s="6" t="s">
        <v>15112</v>
      </c>
    </row>
    <row r="3650" spans="1:13" ht="13" x14ac:dyDescent="0.15">
      <c r="A3650" s="5" t="str">
        <f>HYPERLINK("https://onemount.atlassian.net/browse/DBA-1006","DBA-1006")</f>
        <v>DBA-1006</v>
      </c>
      <c r="B3650" s="6" t="s">
        <v>21</v>
      </c>
      <c r="C3650" s="6" t="s">
        <v>15113</v>
      </c>
      <c r="D3650" s="8" t="s">
        <v>17</v>
      </c>
      <c r="E3650" s="6" t="s">
        <v>23</v>
      </c>
      <c r="F3650" s="6" t="s">
        <v>96</v>
      </c>
      <c r="G3650" s="6" t="s">
        <v>15114</v>
      </c>
      <c r="H3650" s="10">
        <v>45735</v>
      </c>
      <c r="I3650" s="6" t="s">
        <v>15115</v>
      </c>
      <c r="J3650" s="6" t="s">
        <v>165</v>
      </c>
      <c r="K3650" s="6" t="s">
        <v>165</v>
      </c>
      <c r="L3650" s="6" t="s">
        <v>1091</v>
      </c>
      <c r="M3650" s="6" t="s">
        <v>15116</v>
      </c>
    </row>
    <row r="3651" spans="1:13" ht="13" x14ac:dyDescent="0.15">
      <c r="A3651" s="5" t="str">
        <f>HYPERLINK("https://onemount.atlassian.net/browse/DBA-1005","DBA-1005")</f>
        <v>DBA-1005</v>
      </c>
      <c r="B3651" s="6" t="s">
        <v>21</v>
      </c>
      <c r="C3651" s="6" t="s">
        <v>15117</v>
      </c>
      <c r="D3651" s="8" t="s">
        <v>17</v>
      </c>
      <c r="E3651" s="6" t="s">
        <v>23</v>
      </c>
      <c r="F3651" s="6" t="s">
        <v>96</v>
      </c>
      <c r="G3651" s="6" t="s">
        <v>15118</v>
      </c>
      <c r="H3651" s="10">
        <v>45735</v>
      </c>
      <c r="I3651" s="6" t="s">
        <v>15119</v>
      </c>
      <c r="J3651" s="6" t="s">
        <v>165</v>
      </c>
      <c r="K3651" s="6" t="s">
        <v>165</v>
      </c>
      <c r="L3651" s="6" t="s">
        <v>715</v>
      </c>
      <c r="M3651" s="6" t="s">
        <v>15120</v>
      </c>
    </row>
    <row r="3652" spans="1:13" ht="13" x14ac:dyDescent="0.15">
      <c r="A3652" s="21" t="str">
        <f>HYPERLINK("https://onemount.atlassian.net/browse/DBA-1004","DBA-1004")</f>
        <v>DBA-1004</v>
      </c>
      <c r="B3652" s="6" t="s">
        <v>21</v>
      </c>
      <c r="C3652" s="6" t="s">
        <v>3328</v>
      </c>
      <c r="D3652" s="8" t="s">
        <v>17</v>
      </c>
      <c r="E3652" s="6" t="s">
        <v>23</v>
      </c>
      <c r="F3652" s="6" t="s">
        <v>96</v>
      </c>
      <c r="G3652" s="6" t="s">
        <v>15121</v>
      </c>
      <c r="H3652" s="10">
        <v>45735</v>
      </c>
      <c r="I3652" s="6" t="s">
        <v>15122</v>
      </c>
      <c r="J3652" s="6" t="s">
        <v>214</v>
      </c>
      <c r="K3652" s="6" t="s">
        <v>165</v>
      </c>
      <c r="L3652" s="6" t="s">
        <v>288</v>
      </c>
      <c r="M3652" s="6" t="s">
        <v>14734</v>
      </c>
    </row>
    <row r="3653" spans="1:13" ht="13" x14ac:dyDescent="0.15">
      <c r="A3653" s="5" t="str">
        <f>HYPERLINK("https://onemount.atlassian.net/browse/DBA-1003","DBA-1003")</f>
        <v>DBA-1003</v>
      </c>
      <c r="B3653" s="6" t="s">
        <v>21</v>
      </c>
      <c r="C3653" s="6" t="s">
        <v>15123</v>
      </c>
      <c r="D3653" s="8" t="s">
        <v>17</v>
      </c>
      <c r="E3653" s="6" t="s">
        <v>23</v>
      </c>
      <c r="F3653" s="6" t="s">
        <v>24</v>
      </c>
      <c r="G3653" s="6" t="s">
        <v>15124</v>
      </c>
      <c r="H3653" s="10">
        <v>45737</v>
      </c>
      <c r="I3653" s="6" t="s">
        <v>15125</v>
      </c>
      <c r="J3653" s="6" t="s">
        <v>56</v>
      </c>
      <c r="K3653" s="6" t="s">
        <v>55</v>
      </c>
      <c r="L3653" s="6" t="s">
        <v>56</v>
      </c>
      <c r="M3653" s="6" t="s">
        <v>15126</v>
      </c>
    </row>
    <row r="3654" spans="1:13" ht="13" x14ac:dyDescent="0.15">
      <c r="A3654" s="5" t="str">
        <f>HYPERLINK("https://onemount.atlassian.net/browse/DBA-1002","DBA-1002")</f>
        <v>DBA-1002</v>
      </c>
      <c r="B3654" s="6" t="s">
        <v>21</v>
      </c>
      <c r="C3654" s="6" t="s">
        <v>15127</v>
      </c>
      <c r="D3654" s="8" t="s">
        <v>17</v>
      </c>
      <c r="E3654" s="6" t="s">
        <v>23</v>
      </c>
      <c r="F3654" s="6" t="s">
        <v>24</v>
      </c>
      <c r="G3654" s="6" t="s">
        <v>15128</v>
      </c>
      <c r="H3654" s="10">
        <v>45736</v>
      </c>
      <c r="I3654" s="6" t="s">
        <v>15129</v>
      </c>
      <c r="J3654" s="6" t="s">
        <v>55</v>
      </c>
      <c r="K3654" s="6" t="s">
        <v>55</v>
      </c>
      <c r="L3654" s="6" t="s">
        <v>906</v>
      </c>
      <c r="M3654" s="6" t="s">
        <v>15130</v>
      </c>
    </row>
    <row r="3655" spans="1:13" ht="13" x14ac:dyDescent="0.15">
      <c r="A3655" s="5" t="str">
        <f>HYPERLINK("https://onemount.atlassian.net/browse/DBA-1001","DBA-1001")</f>
        <v>DBA-1001</v>
      </c>
      <c r="B3655" s="6" t="s">
        <v>21</v>
      </c>
      <c r="C3655" s="6" t="s">
        <v>15131</v>
      </c>
      <c r="D3655" s="8" t="s">
        <v>17</v>
      </c>
      <c r="E3655" s="6" t="s">
        <v>23</v>
      </c>
      <c r="F3655" s="6" t="s">
        <v>24</v>
      </c>
      <c r="G3655" s="6" t="s">
        <v>15132</v>
      </c>
      <c r="H3655" s="10">
        <v>45735</v>
      </c>
      <c r="I3655" s="6" t="s">
        <v>15133</v>
      </c>
      <c r="J3655" s="6" t="s">
        <v>3096</v>
      </c>
      <c r="K3655" s="6" t="s">
        <v>55</v>
      </c>
      <c r="L3655" s="6" t="s">
        <v>906</v>
      </c>
      <c r="M3655" s="6" t="s">
        <v>15134</v>
      </c>
    </row>
    <row r="3656" spans="1:13" ht="13" x14ac:dyDescent="0.15">
      <c r="A3656" s="5" t="str">
        <f>HYPERLINK("https://onemount.atlassian.net/browse/DBA-1000","DBA-1000")</f>
        <v>DBA-1000</v>
      </c>
      <c r="B3656" s="6" t="s">
        <v>21</v>
      </c>
      <c r="C3656" s="6" t="s">
        <v>15135</v>
      </c>
      <c r="D3656" s="8" t="s">
        <v>17</v>
      </c>
      <c r="E3656" s="6" t="s">
        <v>23</v>
      </c>
      <c r="F3656" s="6" t="s">
        <v>31</v>
      </c>
      <c r="G3656" s="6" t="s">
        <v>15136</v>
      </c>
      <c r="H3656" s="10">
        <v>45736</v>
      </c>
      <c r="I3656" s="6" t="s">
        <v>15137</v>
      </c>
      <c r="J3656" s="6" t="s">
        <v>881</v>
      </c>
      <c r="K3656" s="6" t="s">
        <v>55</v>
      </c>
      <c r="L3656" s="6" t="s">
        <v>881</v>
      </c>
      <c r="M3656" s="6" t="s">
        <v>15138</v>
      </c>
    </row>
    <row r="3657" spans="1:13" ht="13" x14ac:dyDescent="0.15">
      <c r="A3657" s="5" t="str">
        <f>HYPERLINK("https://onemount.atlassian.net/browse/DBA-999","DBA-999")</f>
        <v>DBA-999</v>
      </c>
      <c r="B3657" s="6" t="s">
        <v>21</v>
      </c>
      <c r="C3657" s="6" t="s">
        <v>15139</v>
      </c>
      <c r="D3657" s="8" t="s">
        <v>17</v>
      </c>
      <c r="E3657" s="6" t="s">
        <v>23</v>
      </c>
      <c r="F3657" s="6" t="s">
        <v>96</v>
      </c>
      <c r="G3657" s="6" t="s">
        <v>15140</v>
      </c>
      <c r="H3657" s="10">
        <v>45665</v>
      </c>
      <c r="I3657" s="6" t="s">
        <v>15141</v>
      </c>
      <c r="J3657" s="6" t="s">
        <v>165</v>
      </c>
      <c r="K3657" s="6" t="s">
        <v>165</v>
      </c>
      <c r="L3657" s="6" t="s">
        <v>715</v>
      </c>
      <c r="M3657" s="6" t="s">
        <v>15142</v>
      </c>
    </row>
    <row r="3658" spans="1:13" ht="13" x14ac:dyDescent="0.15">
      <c r="A3658" s="5" t="str">
        <f>HYPERLINK("https://onemount.atlassian.net/browse/DBA-998","DBA-998")</f>
        <v>DBA-998</v>
      </c>
      <c r="B3658" s="6" t="s">
        <v>21</v>
      </c>
      <c r="C3658" s="6" t="s">
        <v>15143</v>
      </c>
      <c r="D3658" s="8" t="s">
        <v>17</v>
      </c>
      <c r="E3658" s="6" t="s">
        <v>23</v>
      </c>
      <c r="F3658" s="6" t="s">
        <v>96</v>
      </c>
      <c r="G3658" s="6" t="s">
        <v>15144</v>
      </c>
      <c r="H3658" s="10">
        <v>45736</v>
      </c>
      <c r="I3658" s="6" t="s">
        <v>15145</v>
      </c>
      <c r="J3658" s="6" t="s">
        <v>8773</v>
      </c>
      <c r="K3658" s="6" t="s">
        <v>165</v>
      </c>
      <c r="L3658" s="6" t="s">
        <v>1076</v>
      </c>
      <c r="M3658" s="6" t="s">
        <v>15146</v>
      </c>
    </row>
    <row r="3659" spans="1:13" ht="13" x14ac:dyDescent="0.15">
      <c r="A3659" s="5" t="str">
        <f>HYPERLINK("https://onemount.atlassian.net/browse/DBA-997","DBA-997")</f>
        <v>DBA-997</v>
      </c>
      <c r="B3659" s="6" t="s">
        <v>21</v>
      </c>
      <c r="C3659" s="6" t="s">
        <v>15147</v>
      </c>
      <c r="D3659" s="8" t="s">
        <v>17</v>
      </c>
      <c r="E3659" s="6" t="s">
        <v>23</v>
      </c>
      <c r="F3659" s="6" t="s">
        <v>31</v>
      </c>
      <c r="G3659" s="6" t="s">
        <v>15148</v>
      </c>
      <c r="H3659" s="10">
        <v>45736</v>
      </c>
      <c r="I3659" s="6" t="s">
        <v>15149</v>
      </c>
      <c r="J3659" s="6" t="s">
        <v>891</v>
      </c>
      <c r="K3659" s="6" t="s">
        <v>55</v>
      </c>
      <c r="L3659" s="6" t="s">
        <v>891</v>
      </c>
      <c r="M3659" s="6" t="s">
        <v>15150</v>
      </c>
    </row>
    <row r="3660" spans="1:13" ht="13" x14ac:dyDescent="0.15">
      <c r="A3660" s="21" t="str">
        <f>HYPERLINK("https://onemount.atlassian.net/browse/DBA-996","DBA-996")</f>
        <v>DBA-996</v>
      </c>
      <c r="B3660" s="6" t="s">
        <v>21</v>
      </c>
      <c r="C3660" s="6" t="s">
        <v>14317</v>
      </c>
      <c r="D3660" s="8" t="s">
        <v>17</v>
      </c>
      <c r="E3660" s="6" t="s">
        <v>23</v>
      </c>
      <c r="F3660" s="6" t="s">
        <v>24</v>
      </c>
      <c r="G3660" s="6" t="s">
        <v>15151</v>
      </c>
      <c r="H3660" s="10">
        <v>45735</v>
      </c>
      <c r="I3660" s="6" t="s">
        <v>15152</v>
      </c>
      <c r="J3660" s="6" t="s">
        <v>55</v>
      </c>
      <c r="K3660" s="6" t="s">
        <v>55</v>
      </c>
      <c r="L3660" s="6" t="s">
        <v>56</v>
      </c>
      <c r="M3660" s="6" t="s">
        <v>14911</v>
      </c>
    </row>
    <row r="3661" spans="1:13" ht="13" x14ac:dyDescent="0.15">
      <c r="A3661" s="5" t="str">
        <f>HYPERLINK("https://onemount.atlassian.net/browse/DBA-995","DBA-995")</f>
        <v>DBA-995</v>
      </c>
      <c r="B3661" s="6" t="s">
        <v>21</v>
      </c>
      <c r="C3661" s="6" t="s">
        <v>15153</v>
      </c>
      <c r="D3661" s="8" t="s">
        <v>17</v>
      </c>
      <c r="E3661" s="6" t="s">
        <v>23</v>
      </c>
      <c r="F3661" s="6" t="s">
        <v>24</v>
      </c>
      <c r="G3661" s="6" t="s">
        <v>15154</v>
      </c>
      <c r="H3661" s="10">
        <v>45736</v>
      </c>
      <c r="I3661" s="6" t="s">
        <v>15155</v>
      </c>
      <c r="J3661" s="6" t="s">
        <v>55</v>
      </c>
      <c r="K3661" s="6" t="s">
        <v>55</v>
      </c>
      <c r="L3661" s="6" t="s">
        <v>56</v>
      </c>
      <c r="M3661" s="6" t="s">
        <v>15156</v>
      </c>
    </row>
    <row r="3662" spans="1:13" ht="13" x14ac:dyDescent="0.15">
      <c r="A3662" s="5" t="str">
        <f>HYPERLINK("https://onemount.atlassian.net/browse/DBA-994","DBA-994")</f>
        <v>DBA-994</v>
      </c>
      <c r="B3662" s="6" t="s">
        <v>21</v>
      </c>
      <c r="C3662" s="6" t="s">
        <v>15157</v>
      </c>
      <c r="D3662" s="8" t="s">
        <v>17</v>
      </c>
      <c r="E3662" s="6" t="s">
        <v>23</v>
      </c>
      <c r="F3662" s="6" t="s">
        <v>24</v>
      </c>
      <c r="G3662" s="6" t="s">
        <v>15158</v>
      </c>
      <c r="H3662" s="10">
        <v>45735</v>
      </c>
      <c r="I3662" s="6" t="s">
        <v>15159</v>
      </c>
      <c r="J3662" s="6" t="s">
        <v>15160</v>
      </c>
      <c r="K3662" s="6" t="s">
        <v>55</v>
      </c>
      <c r="L3662" s="6" t="s">
        <v>283</v>
      </c>
      <c r="M3662" s="6" t="s">
        <v>15161</v>
      </c>
    </row>
    <row r="3663" spans="1:13" ht="13" x14ac:dyDescent="0.15">
      <c r="A3663" s="5" t="str">
        <f>HYPERLINK("https://onemount.atlassian.net/browse/DBA-993","DBA-993")</f>
        <v>DBA-993</v>
      </c>
      <c r="B3663" s="6" t="s">
        <v>21</v>
      </c>
      <c r="C3663" s="6" t="s">
        <v>15162</v>
      </c>
      <c r="D3663" s="8" t="s">
        <v>17</v>
      </c>
      <c r="E3663" s="6" t="s">
        <v>23</v>
      </c>
      <c r="F3663" s="6" t="s">
        <v>24</v>
      </c>
      <c r="G3663" s="6" t="s">
        <v>15163</v>
      </c>
      <c r="H3663" s="10">
        <v>45735</v>
      </c>
      <c r="I3663" s="6" t="s">
        <v>15164</v>
      </c>
      <c r="J3663" s="6" t="s">
        <v>15165</v>
      </c>
      <c r="K3663" s="6" t="s">
        <v>55</v>
      </c>
      <c r="L3663" s="6" t="s">
        <v>738</v>
      </c>
      <c r="M3663" s="6" t="s">
        <v>15166</v>
      </c>
    </row>
    <row r="3664" spans="1:13" ht="13" x14ac:dyDescent="0.15">
      <c r="A3664" s="5" t="str">
        <f>HYPERLINK("https://onemount.atlassian.net/browse/DBA-992","DBA-992")</f>
        <v>DBA-992</v>
      </c>
      <c r="B3664" s="6" t="s">
        <v>21</v>
      </c>
      <c r="C3664" s="6" t="s">
        <v>15162</v>
      </c>
      <c r="D3664" s="8" t="s">
        <v>17</v>
      </c>
      <c r="E3664" s="6" t="s">
        <v>23</v>
      </c>
      <c r="F3664" s="6" t="s">
        <v>24</v>
      </c>
      <c r="G3664" s="6" t="s">
        <v>15167</v>
      </c>
      <c r="H3664" s="10">
        <v>45735</v>
      </c>
      <c r="I3664" s="6" t="s">
        <v>15168</v>
      </c>
      <c r="J3664" s="6" t="s">
        <v>15169</v>
      </c>
      <c r="K3664" s="6" t="s">
        <v>55</v>
      </c>
      <c r="L3664" s="6" t="s">
        <v>738</v>
      </c>
      <c r="M3664" s="6" t="s">
        <v>15170</v>
      </c>
    </row>
    <row r="3665" spans="1:13" ht="13" x14ac:dyDescent="0.15">
      <c r="A3665" s="5" t="str">
        <f>HYPERLINK("https://onemount.atlassian.net/browse/DBA-991","DBA-991")</f>
        <v>DBA-991</v>
      </c>
      <c r="B3665" s="6" t="s">
        <v>21</v>
      </c>
      <c r="C3665" s="6" t="s">
        <v>15171</v>
      </c>
      <c r="D3665" s="8" t="s">
        <v>17</v>
      </c>
      <c r="E3665" s="6" t="s">
        <v>23</v>
      </c>
      <c r="F3665" s="6" t="s">
        <v>24</v>
      </c>
      <c r="G3665" s="6" t="s">
        <v>15172</v>
      </c>
      <c r="H3665" s="10">
        <v>45735</v>
      </c>
      <c r="I3665" s="6" t="s">
        <v>15173</v>
      </c>
      <c r="J3665" s="6" t="s">
        <v>15160</v>
      </c>
      <c r="K3665" s="6" t="s">
        <v>55</v>
      </c>
      <c r="L3665" s="6" t="s">
        <v>56</v>
      </c>
      <c r="M3665" s="6" t="s">
        <v>15174</v>
      </c>
    </row>
    <row r="3666" spans="1:13" ht="13" x14ac:dyDescent="0.15">
      <c r="A3666" s="5" t="str">
        <f>HYPERLINK("https://onemount.atlassian.net/browse/DBA-990","DBA-990")</f>
        <v>DBA-990</v>
      </c>
      <c r="B3666" s="6" t="s">
        <v>21</v>
      </c>
      <c r="C3666" s="6" t="s">
        <v>13732</v>
      </c>
      <c r="D3666" s="8" t="s">
        <v>17</v>
      </c>
      <c r="E3666" s="6" t="s">
        <v>23</v>
      </c>
      <c r="F3666" s="6" t="s">
        <v>24</v>
      </c>
      <c r="G3666" s="6" t="s">
        <v>15175</v>
      </c>
      <c r="H3666" s="10">
        <v>45735</v>
      </c>
      <c r="I3666" s="6" t="s">
        <v>15176</v>
      </c>
      <c r="J3666" s="6" t="s">
        <v>10503</v>
      </c>
      <c r="K3666" s="6" t="s">
        <v>55</v>
      </c>
      <c r="L3666" s="6" t="s">
        <v>966</v>
      </c>
      <c r="M3666" s="6" t="s">
        <v>15177</v>
      </c>
    </row>
    <row r="3667" spans="1:13" ht="13" x14ac:dyDescent="0.15">
      <c r="A3667" s="5" t="str">
        <f>HYPERLINK("https://onemount.atlassian.net/browse/DBA-989","DBA-989")</f>
        <v>DBA-989</v>
      </c>
      <c r="B3667" s="6" t="s">
        <v>21</v>
      </c>
      <c r="C3667" s="6" t="s">
        <v>15178</v>
      </c>
      <c r="D3667" s="8" t="s">
        <v>17</v>
      </c>
      <c r="E3667" s="6" t="s">
        <v>23</v>
      </c>
      <c r="F3667" s="6" t="s">
        <v>31</v>
      </c>
      <c r="G3667" s="6" t="s">
        <v>15179</v>
      </c>
      <c r="H3667" s="10">
        <v>45735</v>
      </c>
      <c r="I3667" s="6" t="s">
        <v>15180</v>
      </c>
      <c r="J3667" s="6" t="s">
        <v>71</v>
      </c>
      <c r="K3667" s="6" t="s">
        <v>35</v>
      </c>
      <c r="L3667" s="6" t="s">
        <v>71</v>
      </c>
      <c r="M3667" s="6" t="s">
        <v>15181</v>
      </c>
    </row>
    <row r="3668" spans="1:13" ht="13" x14ac:dyDescent="0.15">
      <c r="A3668" s="21" t="str">
        <f>HYPERLINK("https://onemount.atlassian.net/browse/DBA-988","DBA-988")</f>
        <v>DBA-988</v>
      </c>
      <c r="B3668" s="6" t="s">
        <v>21</v>
      </c>
      <c r="C3668" s="6" t="s">
        <v>15127</v>
      </c>
      <c r="D3668" s="8" t="s">
        <v>17</v>
      </c>
      <c r="E3668" s="6" t="s">
        <v>23</v>
      </c>
      <c r="F3668" s="6" t="s">
        <v>24</v>
      </c>
      <c r="G3668" s="6" t="s">
        <v>15182</v>
      </c>
      <c r="H3668" s="10">
        <v>45734</v>
      </c>
      <c r="I3668" s="6" t="s">
        <v>15183</v>
      </c>
      <c r="J3668" s="6" t="s">
        <v>55</v>
      </c>
      <c r="K3668" s="6" t="s">
        <v>55</v>
      </c>
      <c r="L3668" s="6" t="s">
        <v>906</v>
      </c>
      <c r="M3668" s="6" t="s">
        <v>15184</v>
      </c>
    </row>
    <row r="3669" spans="1:13" ht="13" x14ac:dyDescent="0.15">
      <c r="A3669" s="5" t="str">
        <f>HYPERLINK("https://onemount.atlassian.net/browse/DBA-987","DBA-987")</f>
        <v>DBA-987</v>
      </c>
      <c r="B3669" s="6" t="s">
        <v>21</v>
      </c>
      <c r="C3669" s="6" t="s">
        <v>15185</v>
      </c>
      <c r="D3669" s="8" t="s">
        <v>17</v>
      </c>
      <c r="E3669" s="6" t="s">
        <v>23</v>
      </c>
      <c r="F3669" s="6" t="s">
        <v>31</v>
      </c>
      <c r="G3669" s="6" t="s">
        <v>15186</v>
      </c>
      <c r="H3669" s="10">
        <v>45735</v>
      </c>
      <c r="I3669" s="6" t="s">
        <v>15187</v>
      </c>
      <c r="J3669" s="6" t="s">
        <v>12066</v>
      </c>
      <c r="K3669" s="6" t="s">
        <v>35</v>
      </c>
      <c r="L3669" s="6" t="s">
        <v>36</v>
      </c>
      <c r="M3669" s="6" t="s">
        <v>15188</v>
      </c>
    </row>
    <row r="3670" spans="1:13" ht="13" x14ac:dyDescent="0.15">
      <c r="A3670" s="5" t="str">
        <f>HYPERLINK("https://onemount.atlassian.net/browse/DBA-986","DBA-986")</f>
        <v>DBA-986</v>
      </c>
      <c r="B3670" s="6" t="s">
        <v>21</v>
      </c>
      <c r="C3670" s="6" t="s">
        <v>15189</v>
      </c>
      <c r="D3670" s="8" t="s">
        <v>17</v>
      </c>
      <c r="E3670" s="6" t="s">
        <v>23</v>
      </c>
      <c r="F3670" s="6" t="s">
        <v>24</v>
      </c>
      <c r="G3670" s="6" t="s">
        <v>15190</v>
      </c>
      <c r="H3670" s="10">
        <v>45736</v>
      </c>
      <c r="I3670" s="6" t="s">
        <v>15191</v>
      </c>
      <c r="J3670" s="6" t="s">
        <v>28</v>
      </c>
      <c r="K3670" s="6" t="s">
        <v>28</v>
      </c>
      <c r="L3670" s="6" t="s">
        <v>1127</v>
      </c>
      <c r="M3670" s="6" t="s">
        <v>15192</v>
      </c>
    </row>
    <row r="3671" spans="1:13" ht="13" x14ac:dyDescent="0.15">
      <c r="A3671" s="5" t="str">
        <f>HYPERLINK("https://onemount.atlassian.net/browse/DBA-985","DBA-985")</f>
        <v>DBA-985</v>
      </c>
      <c r="B3671" s="6" t="s">
        <v>21</v>
      </c>
      <c r="C3671" s="6" t="s">
        <v>15193</v>
      </c>
      <c r="D3671" s="8" t="s">
        <v>17</v>
      </c>
      <c r="E3671" s="6" t="s">
        <v>23</v>
      </c>
      <c r="F3671" s="6" t="s">
        <v>24</v>
      </c>
      <c r="G3671" s="6" t="s">
        <v>15194</v>
      </c>
      <c r="H3671" s="10">
        <v>45735</v>
      </c>
      <c r="I3671" s="6" t="s">
        <v>15195</v>
      </c>
      <c r="J3671" s="6" t="s">
        <v>55</v>
      </c>
      <c r="K3671" s="6" t="s">
        <v>55</v>
      </c>
      <c r="L3671" s="6" t="s">
        <v>56</v>
      </c>
      <c r="M3671" s="6" t="s">
        <v>15196</v>
      </c>
    </row>
    <row r="3672" spans="1:13" ht="13" x14ac:dyDescent="0.15">
      <c r="A3672" s="5" t="str">
        <f>HYPERLINK("https://onemount.atlassian.net/browse/DBA-984","DBA-984")</f>
        <v>DBA-984</v>
      </c>
      <c r="B3672" s="6" t="s">
        <v>21</v>
      </c>
      <c r="C3672" s="6" t="s">
        <v>15197</v>
      </c>
      <c r="D3672" s="8" t="s">
        <v>17</v>
      </c>
      <c r="E3672" s="6" t="s">
        <v>23</v>
      </c>
      <c r="F3672" s="6" t="s">
        <v>24</v>
      </c>
      <c r="G3672" s="6" t="s">
        <v>15198</v>
      </c>
      <c r="H3672" s="10">
        <v>45735</v>
      </c>
      <c r="I3672" s="6" t="s">
        <v>15199</v>
      </c>
      <c r="J3672" s="6" t="s">
        <v>55</v>
      </c>
      <c r="K3672" s="6" t="s">
        <v>55</v>
      </c>
      <c r="L3672" s="6" t="s">
        <v>56</v>
      </c>
      <c r="M3672" s="6" t="s">
        <v>15200</v>
      </c>
    </row>
    <row r="3673" spans="1:13" ht="13" x14ac:dyDescent="0.15">
      <c r="A3673" s="5" t="str">
        <f>HYPERLINK("https://onemount.atlassian.net/browse/DBA-983","DBA-983")</f>
        <v>DBA-983</v>
      </c>
      <c r="B3673" s="6" t="s">
        <v>21</v>
      </c>
      <c r="C3673" s="6" t="s">
        <v>15201</v>
      </c>
      <c r="D3673" s="8" t="s">
        <v>17</v>
      </c>
      <c r="E3673" s="6" t="s">
        <v>23</v>
      </c>
      <c r="F3673" s="6" t="s">
        <v>24</v>
      </c>
      <c r="G3673" s="6" t="s">
        <v>15202</v>
      </c>
      <c r="H3673" s="10">
        <v>45735</v>
      </c>
      <c r="I3673" s="6" t="s">
        <v>15203</v>
      </c>
      <c r="J3673" s="6" t="s">
        <v>15204</v>
      </c>
      <c r="K3673" s="6" t="s">
        <v>55</v>
      </c>
      <c r="L3673" s="6" t="s">
        <v>56</v>
      </c>
      <c r="M3673" s="6" t="s">
        <v>15205</v>
      </c>
    </row>
    <row r="3674" spans="1:13" ht="13" x14ac:dyDescent="0.15">
      <c r="A3674" s="5" t="str">
        <f>HYPERLINK("https://onemount.atlassian.net/browse/DBA-982","DBA-982")</f>
        <v>DBA-982</v>
      </c>
      <c r="B3674" s="6" t="s">
        <v>21</v>
      </c>
      <c r="C3674" s="6" t="s">
        <v>15206</v>
      </c>
      <c r="D3674" s="8" t="s">
        <v>17</v>
      </c>
      <c r="E3674" s="6" t="s">
        <v>23</v>
      </c>
      <c r="F3674" s="6" t="s">
        <v>24</v>
      </c>
      <c r="G3674" s="6" t="s">
        <v>15207</v>
      </c>
      <c r="H3674" s="10">
        <v>45735</v>
      </c>
      <c r="I3674" s="6" t="s">
        <v>15208</v>
      </c>
      <c r="J3674" s="6" t="s">
        <v>55</v>
      </c>
      <c r="K3674" s="6" t="s">
        <v>55</v>
      </c>
      <c r="L3674" s="6" t="s">
        <v>56</v>
      </c>
      <c r="M3674" s="6" t="s">
        <v>15209</v>
      </c>
    </row>
    <row r="3675" spans="1:13" ht="13" x14ac:dyDescent="0.15">
      <c r="A3675" s="5" t="str">
        <f>HYPERLINK("https://onemount.atlassian.net/browse/DBA-981","DBA-981")</f>
        <v>DBA-981</v>
      </c>
      <c r="B3675" s="6" t="s">
        <v>21</v>
      </c>
      <c r="C3675" s="6" t="s">
        <v>15210</v>
      </c>
      <c r="D3675" s="8" t="s">
        <v>17</v>
      </c>
      <c r="E3675" s="6" t="s">
        <v>23</v>
      </c>
      <c r="F3675" s="6" t="s">
        <v>31</v>
      </c>
      <c r="G3675" s="6" t="s">
        <v>15211</v>
      </c>
      <c r="H3675" s="10">
        <v>45734</v>
      </c>
      <c r="I3675" s="6" t="s">
        <v>15212</v>
      </c>
      <c r="J3675" s="6" t="s">
        <v>39</v>
      </c>
      <c r="K3675" s="6" t="s">
        <v>165</v>
      </c>
      <c r="L3675" s="6" t="s">
        <v>39</v>
      </c>
      <c r="M3675" s="6" t="s">
        <v>15213</v>
      </c>
    </row>
    <row r="3676" spans="1:13" ht="13" x14ac:dyDescent="0.15">
      <c r="A3676" s="5" t="str">
        <f>HYPERLINK("https://onemount.atlassian.net/browse/DBA-980","DBA-980")</f>
        <v>DBA-980</v>
      </c>
      <c r="B3676" s="6" t="s">
        <v>21</v>
      </c>
      <c r="C3676" s="6" t="s">
        <v>15214</v>
      </c>
      <c r="D3676" s="8" t="s">
        <v>17</v>
      </c>
      <c r="E3676" s="6" t="s">
        <v>23</v>
      </c>
      <c r="F3676" s="6" t="s">
        <v>96</v>
      </c>
      <c r="G3676" s="6" t="s">
        <v>15215</v>
      </c>
      <c r="H3676" s="10">
        <v>45734</v>
      </c>
      <c r="I3676" s="6" t="s">
        <v>15216</v>
      </c>
      <c r="J3676" s="6" t="s">
        <v>39</v>
      </c>
      <c r="K3676" s="6" t="s">
        <v>165</v>
      </c>
      <c r="L3676" s="6" t="s">
        <v>1054</v>
      </c>
      <c r="M3676" s="6" t="s">
        <v>15217</v>
      </c>
    </row>
    <row r="3677" spans="1:13" ht="13" x14ac:dyDescent="0.15">
      <c r="A3677" s="5" t="str">
        <f>HYPERLINK("https://onemount.atlassian.net/browse/DBA-979","DBA-979")</f>
        <v>DBA-979</v>
      </c>
      <c r="B3677" s="6" t="s">
        <v>21</v>
      </c>
      <c r="C3677" s="6" t="s">
        <v>10235</v>
      </c>
      <c r="D3677" s="8" t="s">
        <v>17</v>
      </c>
      <c r="E3677" s="6" t="s">
        <v>23</v>
      </c>
      <c r="F3677" s="6" t="s">
        <v>24</v>
      </c>
      <c r="G3677" s="6" t="s">
        <v>15218</v>
      </c>
      <c r="H3677" s="10">
        <v>45734</v>
      </c>
      <c r="I3677" s="6" t="s">
        <v>15219</v>
      </c>
      <c r="J3677" s="6" t="s">
        <v>254</v>
      </c>
      <c r="K3677" s="6" t="s">
        <v>55</v>
      </c>
      <c r="L3677" s="6" t="s">
        <v>254</v>
      </c>
      <c r="M3677" s="6" t="s">
        <v>15220</v>
      </c>
    </row>
    <row r="3678" spans="1:13" ht="13" x14ac:dyDescent="0.15">
      <c r="A3678" s="5" t="str">
        <f>HYPERLINK("https://onemount.atlassian.net/browse/DBA-978","DBA-978")</f>
        <v>DBA-978</v>
      </c>
      <c r="B3678" s="6" t="s">
        <v>21</v>
      </c>
      <c r="C3678" s="6" t="s">
        <v>15221</v>
      </c>
      <c r="D3678" s="8" t="s">
        <v>17</v>
      </c>
      <c r="E3678" s="6" t="s">
        <v>23</v>
      </c>
      <c r="F3678" s="6" t="s">
        <v>96</v>
      </c>
      <c r="G3678" s="6" t="s">
        <v>15222</v>
      </c>
      <c r="H3678" s="10">
        <v>45735</v>
      </c>
      <c r="I3678" s="6" t="s">
        <v>15223</v>
      </c>
      <c r="J3678" s="6" t="s">
        <v>1898</v>
      </c>
      <c r="K3678" s="6" t="s">
        <v>165</v>
      </c>
      <c r="L3678" s="6" t="s">
        <v>1097</v>
      </c>
      <c r="M3678" s="6" t="s">
        <v>15224</v>
      </c>
    </row>
    <row r="3679" spans="1:13" ht="13" x14ac:dyDescent="0.15">
      <c r="A3679" s="5" t="str">
        <f>HYPERLINK("https://onemount.atlassian.net/browse/DBA-977","DBA-977")</f>
        <v>DBA-977</v>
      </c>
      <c r="B3679" s="6" t="s">
        <v>21</v>
      </c>
      <c r="C3679" s="6" t="s">
        <v>15225</v>
      </c>
      <c r="D3679" s="8" t="s">
        <v>17</v>
      </c>
      <c r="E3679" s="6" t="s">
        <v>23</v>
      </c>
      <c r="F3679" s="6" t="s">
        <v>96</v>
      </c>
      <c r="G3679" s="6" t="s">
        <v>15226</v>
      </c>
      <c r="H3679" s="10">
        <v>45733</v>
      </c>
      <c r="I3679" s="6" t="s">
        <v>15227</v>
      </c>
      <c r="J3679" s="6" t="s">
        <v>165</v>
      </c>
      <c r="K3679" s="6" t="s">
        <v>165</v>
      </c>
      <c r="L3679" s="6" t="s">
        <v>1073</v>
      </c>
      <c r="M3679" s="6" t="s">
        <v>15228</v>
      </c>
    </row>
    <row r="3680" spans="1:13" ht="13" x14ac:dyDescent="0.15">
      <c r="A3680" s="5" t="str">
        <f>HYPERLINK("https://onemount.atlassian.net/browse/DBA-976","DBA-976")</f>
        <v>DBA-976</v>
      </c>
      <c r="B3680" s="6" t="s">
        <v>21</v>
      </c>
      <c r="C3680" s="6" t="s">
        <v>15229</v>
      </c>
      <c r="D3680" s="8" t="s">
        <v>17</v>
      </c>
      <c r="E3680" s="6" t="s">
        <v>23</v>
      </c>
      <c r="F3680" s="6" t="s">
        <v>24</v>
      </c>
      <c r="G3680" s="6" t="s">
        <v>15230</v>
      </c>
      <c r="H3680" s="10">
        <v>45733</v>
      </c>
      <c r="I3680" s="6" t="s">
        <v>15231</v>
      </c>
      <c r="J3680" s="6" t="s">
        <v>165</v>
      </c>
      <c r="K3680" s="6" t="s">
        <v>165</v>
      </c>
      <c r="L3680" s="6" t="s">
        <v>1052</v>
      </c>
      <c r="M3680" s="6" t="s">
        <v>15232</v>
      </c>
    </row>
    <row r="3681" spans="1:13" ht="13" x14ac:dyDescent="0.15">
      <c r="A3681" s="5" t="str">
        <f>HYPERLINK("https://onemount.atlassian.net/browse/DBA-975","DBA-975")</f>
        <v>DBA-975</v>
      </c>
      <c r="B3681" s="6" t="s">
        <v>21</v>
      </c>
      <c r="C3681" s="6" t="s">
        <v>15233</v>
      </c>
      <c r="D3681" s="8" t="s">
        <v>17</v>
      </c>
      <c r="E3681" s="6" t="s">
        <v>23</v>
      </c>
      <c r="F3681" s="6" t="s">
        <v>24</v>
      </c>
      <c r="G3681" s="6" t="s">
        <v>15234</v>
      </c>
      <c r="H3681" s="10">
        <v>45734</v>
      </c>
      <c r="I3681" s="6" t="s">
        <v>15235</v>
      </c>
      <c r="J3681" s="6" t="s">
        <v>28</v>
      </c>
      <c r="K3681" s="6" t="s">
        <v>46</v>
      </c>
      <c r="L3681" s="6" t="s">
        <v>367</v>
      </c>
      <c r="M3681" s="6" t="s">
        <v>15236</v>
      </c>
    </row>
    <row r="3682" spans="1:13" ht="13" x14ac:dyDescent="0.15">
      <c r="A3682" s="5" t="str">
        <f>HYPERLINK("https://onemount.atlassian.net/browse/DBA-974","DBA-974")</f>
        <v>DBA-974</v>
      </c>
      <c r="B3682" s="6" t="s">
        <v>21</v>
      </c>
      <c r="C3682" s="6" t="s">
        <v>15237</v>
      </c>
      <c r="D3682" s="8" t="s">
        <v>17</v>
      </c>
      <c r="E3682" s="6" t="s">
        <v>23</v>
      </c>
      <c r="F3682" s="6" t="s">
        <v>24</v>
      </c>
      <c r="G3682" s="6" t="s">
        <v>15238</v>
      </c>
      <c r="H3682" s="10">
        <v>45733</v>
      </c>
      <c r="I3682" s="6" t="s">
        <v>15239</v>
      </c>
      <c r="J3682" s="6" t="s">
        <v>55</v>
      </c>
      <c r="K3682" s="6" t="s">
        <v>55</v>
      </c>
      <c r="L3682" s="6" t="s">
        <v>727</v>
      </c>
      <c r="M3682" s="6" t="s">
        <v>15240</v>
      </c>
    </row>
    <row r="3683" spans="1:13" ht="13" x14ac:dyDescent="0.15">
      <c r="A3683" s="5" t="str">
        <f>HYPERLINK("https://onemount.atlassian.net/browse/DBA-973","DBA-973")</f>
        <v>DBA-973</v>
      </c>
      <c r="B3683" s="6" t="s">
        <v>21</v>
      </c>
      <c r="C3683" s="6" t="s">
        <v>15241</v>
      </c>
      <c r="D3683" s="8" t="s">
        <v>17</v>
      </c>
      <c r="E3683" s="6" t="s">
        <v>23</v>
      </c>
      <c r="F3683" s="6" t="s">
        <v>24</v>
      </c>
      <c r="G3683" s="6" t="s">
        <v>15242</v>
      </c>
      <c r="H3683" s="10">
        <v>45733</v>
      </c>
      <c r="I3683" s="6" t="s">
        <v>15243</v>
      </c>
      <c r="J3683" s="6" t="s">
        <v>2984</v>
      </c>
      <c r="K3683" s="6" t="s">
        <v>35</v>
      </c>
      <c r="L3683" s="6" t="s">
        <v>36</v>
      </c>
      <c r="M3683" s="6" t="s">
        <v>15244</v>
      </c>
    </row>
    <row r="3684" spans="1:13" ht="13" x14ac:dyDescent="0.15">
      <c r="A3684" s="5" t="str">
        <f>HYPERLINK("https://onemount.atlassian.net/browse/DBA-972","DBA-972")</f>
        <v>DBA-972</v>
      </c>
      <c r="B3684" s="6" t="s">
        <v>21</v>
      </c>
      <c r="C3684" s="6" t="s">
        <v>15245</v>
      </c>
      <c r="D3684" s="8" t="s">
        <v>17</v>
      </c>
      <c r="E3684" s="6" t="s">
        <v>23</v>
      </c>
      <c r="F3684" s="6" t="s">
        <v>96</v>
      </c>
      <c r="G3684" s="6" t="s">
        <v>15246</v>
      </c>
      <c r="H3684" s="10">
        <v>45733</v>
      </c>
      <c r="I3684" s="6" t="s">
        <v>15247</v>
      </c>
      <c r="J3684" s="6" t="s">
        <v>165</v>
      </c>
      <c r="K3684" s="6" t="s">
        <v>165</v>
      </c>
      <c r="L3684" s="6" t="s">
        <v>1052</v>
      </c>
      <c r="M3684" s="6" t="s">
        <v>15248</v>
      </c>
    </row>
    <row r="3685" spans="1:13" ht="13" x14ac:dyDescent="0.15">
      <c r="A3685" s="5" t="str">
        <f>HYPERLINK("https://onemount.atlassian.net/browse/DBA-971","DBA-971")</f>
        <v>DBA-971</v>
      </c>
      <c r="B3685" s="6" t="s">
        <v>21</v>
      </c>
      <c r="C3685" s="6" t="s">
        <v>14925</v>
      </c>
      <c r="D3685" s="8" t="s">
        <v>17</v>
      </c>
      <c r="E3685" s="6" t="s">
        <v>23</v>
      </c>
      <c r="F3685" s="6" t="s">
        <v>96</v>
      </c>
      <c r="G3685" s="6" t="s">
        <v>15249</v>
      </c>
      <c r="H3685" s="10">
        <v>45734</v>
      </c>
      <c r="I3685" s="6" t="s">
        <v>15250</v>
      </c>
      <c r="J3685" s="6" t="s">
        <v>6856</v>
      </c>
      <c r="K3685" s="6" t="s">
        <v>165</v>
      </c>
      <c r="L3685" s="6" t="s">
        <v>715</v>
      </c>
      <c r="M3685" s="6" t="s">
        <v>15251</v>
      </c>
    </row>
    <row r="3686" spans="1:13" ht="13" x14ac:dyDescent="0.15">
      <c r="A3686" s="5" t="str">
        <f>HYPERLINK("https://onemount.atlassian.net/browse/DBA-970","DBA-970")</f>
        <v>DBA-970</v>
      </c>
      <c r="B3686" s="6" t="s">
        <v>21</v>
      </c>
      <c r="C3686" s="6" t="s">
        <v>14258</v>
      </c>
      <c r="D3686" s="8" t="s">
        <v>17</v>
      </c>
      <c r="E3686" s="6" t="s">
        <v>23</v>
      </c>
      <c r="F3686" s="6" t="s">
        <v>31</v>
      </c>
      <c r="G3686" s="6" t="s">
        <v>15252</v>
      </c>
      <c r="H3686" s="10">
        <v>45732</v>
      </c>
      <c r="I3686" s="6" t="s">
        <v>15253</v>
      </c>
      <c r="J3686" s="6" t="s">
        <v>49</v>
      </c>
      <c r="K3686" s="6" t="s">
        <v>35</v>
      </c>
      <c r="L3686" s="6" t="s">
        <v>981</v>
      </c>
      <c r="M3686" s="6" t="s">
        <v>15254</v>
      </c>
    </row>
    <row r="3687" spans="1:13" ht="13" x14ac:dyDescent="0.15">
      <c r="A3687" s="5" t="str">
        <f>HYPERLINK("https://onemount.atlassian.net/browse/DBA-969","DBA-969")</f>
        <v>DBA-969</v>
      </c>
      <c r="B3687" s="23" t="str">
        <f>HYPERLINK("https://onemount.atlassian.net/browse/DBA-2023","DBA-2023")</f>
        <v>DBA-2023</v>
      </c>
      <c r="C3687" s="6" t="s">
        <v>15255</v>
      </c>
      <c r="D3687" s="8" t="s">
        <v>17</v>
      </c>
      <c r="E3687" s="6" t="s">
        <v>428</v>
      </c>
      <c r="F3687" s="6" t="s">
        <v>31</v>
      </c>
      <c r="G3687" s="6" t="s">
        <v>15256</v>
      </c>
      <c r="H3687" s="10">
        <v>45732</v>
      </c>
      <c r="I3687" s="6" t="s">
        <v>15257</v>
      </c>
      <c r="J3687" s="6" t="s">
        <v>1564</v>
      </c>
      <c r="K3687" s="6" t="s">
        <v>35</v>
      </c>
      <c r="L3687" s="6" t="s">
        <v>1227</v>
      </c>
      <c r="M3687" s="6" t="s">
        <v>15258</v>
      </c>
    </row>
    <row r="3688" spans="1:13" ht="13" x14ac:dyDescent="0.15">
      <c r="A3688" s="5" t="str">
        <f>HYPERLINK("https://onemount.atlassian.net/browse/DBA-968","DBA-968")</f>
        <v>DBA-968</v>
      </c>
      <c r="B3688" s="6" t="s">
        <v>21</v>
      </c>
      <c r="C3688" s="6" t="s">
        <v>15259</v>
      </c>
      <c r="D3688" s="8" t="s">
        <v>17</v>
      </c>
      <c r="E3688" s="6" t="s">
        <v>23</v>
      </c>
      <c r="F3688" s="6" t="s">
        <v>96</v>
      </c>
      <c r="G3688" s="6" t="s">
        <v>15260</v>
      </c>
      <c r="H3688" s="10">
        <v>45735</v>
      </c>
      <c r="I3688" s="6" t="s">
        <v>15261</v>
      </c>
      <c r="J3688" s="6" t="s">
        <v>6856</v>
      </c>
      <c r="K3688" s="6" t="s">
        <v>165</v>
      </c>
      <c r="L3688" s="6" t="s">
        <v>715</v>
      </c>
      <c r="M3688" s="6" t="s">
        <v>15262</v>
      </c>
    </row>
    <row r="3689" spans="1:13" ht="13" x14ac:dyDescent="0.15">
      <c r="A3689" s="5" t="str">
        <f>HYPERLINK("https://onemount.atlassian.net/browse/DBA-967","DBA-967")</f>
        <v>DBA-967</v>
      </c>
      <c r="B3689" s="6" t="s">
        <v>21</v>
      </c>
      <c r="C3689" s="6" t="s">
        <v>15263</v>
      </c>
      <c r="D3689" s="8" t="s">
        <v>17</v>
      </c>
      <c r="E3689" s="6" t="s">
        <v>23</v>
      </c>
      <c r="F3689" s="6" t="s">
        <v>24</v>
      </c>
      <c r="G3689" s="6" t="s">
        <v>15264</v>
      </c>
      <c r="H3689" s="10">
        <v>45730</v>
      </c>
      <c r="I3689" s="6" t="s">
        <v>15265</v>
      </c>
      <c r="J3689" s="6" t="s">
        <v>55</v>
      </c>
      <c r="K3689" s="6" t="s">
        <v>55</v>
      </c>
      <c r="L3689" s="6" t="s">
        <v>906</v>
      </c>
      <c r="M3689" s="6" t="s">
        <v>15266</v>
      </c>
    </row>
    <row r="3690" spans="1:13" ht="13" x14ac:dyDescent="0.15">
      <c r="A3690" s="5" t="str">
        <f>HYPERLINK("https://onemount.atlassian.net/browse/DBA-966","DBA-966")</f>
        <v>DBA-966</v>
      </c>
      <c r="B3690" s="6" t="s">
        <v>21</v>
      </c>
      <c r="C3690" s="6" t="s">
        <v>15267</v>
      </c>
      <c r="D3690" s="8" t="s">
        <v>17</v>
      </c>
      <c r="E3690" s="6" t="s">
        <v>23</v>
      </c>
      <c r="F3690" s="6" t="s">
        <v>96</v>
      </c>
      <c r="G3690" s="6" t="s">
        <v>15268</v>
      </c>
      <c r="H3690" s="10">
        <v>45730</v>
      </c>
      <c r="I3690" s="6" t="s">
        <v>15269</v>
      </c>
      <c r="J3690" s="6" t="s">
        <v>6856</v>
      </c>
      <c r="K3690" s="6" t="s">
        <v>165</v>
      </c>
      <c r="L3690" s="6" t="s">
        <v>715</v>
      </c>
      <c r="M3690" s="6" t="s">
        <v>15270</v>
      </c>
    </row>
    <row r="3691" spans="1:13" ht="13" x14ac:dyDescent="0.15">
      <c r="A3691" s="5" t="str">
        <f>HYPERLINK("https://onemount.atlassian.net/browse/DBA-965","DBA-965")</f>
        <v>DBA-965</v>
      </c>
      <c r="B3691" s="6" t="s">
        <v>21</v>
      </c>
      <c r="C3691" s="6" t="s">
        <v>15271</v>
      </c>
      <c r="D3691" s="8" t="s">
        <v>17</v>
      </c>
      <c r="E3691" s="6" t="s">
        <v>23</v>
      </c>
      <c r="F3691" s="6" t="s">
        <v>24</v>
      </c>
      <c r="G3691" s="6" t="s">
        <v>15272</v>
      </c>
      <c r="H3691" s="10">
        <v>45730</v>
      </c>
      <c r="I3691" s="6" t="s">
        <v>15273</v>
      </c>
      <c r="J3691" s="6" t="s">
        <v>55</v>
      </c>
      <c r="K3691" s="6" t="s">
        <v>55</v>
      </c>
      <c r="L3691" s="6" t="s">
        <v>328</v>
      </c>
      <c r="M3691" s="6" t="s">
        <v>15274</v>
      </c>
    </row>
    <row r="3692" spans="1:13" ht="13" x14ac:dyDescent="0.15">
      <c r="A3692" s="5" t="str">
        <f>HYPERLINK("https://onemount.atlassian.net/browse/DBA-964","DBA-964")</f>
        <v>DBA-964</v>
      </c>
      <c r="B3692" s="6" t="s">
        <v>21</v>
      </c>
      <c r="C3692" s="6" t="s">
        <v>15275</v>
      </c>
      <c r="D3692" s="8" t="s">
        <v>17</v>
      </c>
      <c r="E3692" s="6" t="s">
        <v>23</v>
      </c>
      <c r="F3692" s="6" t="s">
        <v>31</v>
      </c>
      <c r="G3692" s="6" t="s">
        <v>15276</v>
      </c>
      <c r="H3692" s="10">
        <v>45730</v>
      </c>
      <c r="I3692" s="6" t="s">
        <v>15277</v>
      </c>
      <c r="J3692" s="6" t="s">
        <v>707</v>
      </c>
      <c r="K3692" s="6" t="s">
        <v>35</v>
      </c>
      <c r="L3692" s="6" t="s">
        <v>707</v>
      </c>
      <c r="M3692" s="6" t="s">
        <v>15278</v>
      </c>
    </row>
    <row r="3693" spans="1:13" ht="13" x14ac:dyDescent="0.15">
      <c r="A3693" s="5" t="str">
        <f>HYPERLINK("https://onemount.atlassian.net/browse/DBA-963","DBA-963")</f>
        <v>DBA-963</v>
      </c>
      <c r="B3693" s="6" t="s">
        <v>21</v>
      </c>
      <c r="C3693" s="6" t="s">
        <v>15279</v>
      </c>
      <c r="D3693" s="8" t="s">
        <v>17</v>
      </c>
      <c r="E3693" s="6" t="s">
        <v>23</v>
      </c>
      <c r="F3693" s="6" t="s">
        <v>24</v>
      </c>
      <c r="G3693" s="6" t="s">
        <v>15280</v>
      </c>
      <c r="H3693" s="10">
        <v>45729</v>
      </c>
      <c r="I3693" s="6" t="s">
        <v>15281</v>
      </c>
      <c r="J3693" s="6" t="s">
        <v>3096</v>
      </c>
      <c r="K3693" s="6" t="s">
        <v>55</v>
      </c>
      <c r="L3693" s="6" t="s">
        <v>906</v>
      </c>
      <c r="M3693" s="6" t="s">
        <v>15282</v>
      </c>
    </row>
    <row r="3694" spans="1:13" ht="13" x14ac:dyDescent="0.15">
      <c r="A3694" s="5" t="str">
        <f>HYPERLINK("https://onemount.atlassian.net/browse/DBA-962","DBA-962")</f>
        <v>DBA-962</v>
      </c>
      <c r="B3694" s="6" t="s">
        <v>21</v>
      </c>
      <c r="C3694" s="6" t="s">
        <v>15283</v>
      </c>
      <c r="D3694" s="8" t="s">
        <v>17</v>
      </c>
      <c r="E3694" s="6" t="s">
        <v>23</v>
      </c>
      <c r="F3694" s="6" t="s">
        <v>24</v>
      </c>
      <c r="G3694" s="6" t="s">
        <v>15284</v>
      </c>
      <c r="H3694" s="10">
        <v>45731</v>
      </c>
      <c r="I3694" s="6" t="s">
        <v>15285</v>
      </c>
      <c r="J3694" s="6" t="s">
        <v>28</v>
      </c>
      <c r="K3694" s="6" t="s">
        <v>46</v>
      </c>
      <c r="L3694" s="6" t="s">
        <v>160</v>
      </c>
      <c r="M3694" s="6" t="s">
        <v>15286</v>
      </c>
    </row>
    <row r="3695" spans="1:13" ht="13" x14ac:dyDescent="0.15">
      <c r="A3695" s="21" t="str">
        <f>HYPERLINK("https://onemount.atlassian.net/browse/DBA-961","DBA-961")</f>
        <v>DBA-961</v>
      </c>
      <c r="B3695" s="6" t="s">
        <v>21</v>
      </c>
      <c r="C3695" s="6" t="s">
        <v>15287</v>
      </c>
      <c r="D3695" s="8" t="s">
        <v>17</v>
      </c>
      <c r="E3695" s="6" t="s">
        <v>23</v>
      </c>
      <c r="F3695" s="6" t="s">
        <v>96</v>
      </c>
      <c r="G3695" s="6" t="s">
        <v>15288</v>
      </c>
      <c r="H3695" s="10">
        <v>45731</v>
      </c>
      <c r="I3695" s="6" t="s">
        <v>15289</v>
      </c>
      <c r="J3695" s="6" t="s">
        <v>2453</v>
      </c>
      <c r="K3695" s="6" t="s">
        <v>165</v>
      </c>
      <c r="L3695" s="6" t="s">
        <v>119</v>
      </c>
      <c r="M3695" s="6" t="s">
        <v>15290</v>
      </c>
    </row>
    <row r="3696" spans="1:13" ht="13" x14ac:dyDescent="0.15">
      <c r="A3696" s="21" t="str">
        <f>HYPERLINK("https://onemount.atlassian.net/browse/DBA-960","DBA-960")</f>
        <v>DBA-960</v>
      </c>
      <c r="B3696" s="6" t="s">
        <v>21</v>
      </c>
      <c r="C3696" s="6" t="s">
        <v>15287</v>
      </c>
      <c r="D3696" s="8" t="s">
        <v>17</v>
      </c>
      <c r="E3696" s="6" t="s">
        <v>23</v>
      </c>
      <c r="F3696" s="6" t="s">
        <v>96</v>
      </c>
      <c r="G3696" s="6" t="s">
        <v>15291</v>
      </c>
      <c r="H3696" s="10">
        <v>45731</v>
      </c>
      <c r="I3696" s="6" t="s">
        <v>15292</v>
      </c>
      <c r="J3696" s="6" t="s">
        <v>2453</v>
      </c>
      <c r="K3696" s="6" t="s">
        <v>165</v>
      </c>
      <c r="L3696" s="6" t="s">
        <v>119</v>
      </c>
      <c r="M3696" s="6" t="s">
        <v>15290</v>
      </c>
    </row>
    <row r="3697" spans="1:13" ht="13" x14ac:dyDescent="0.15">
      <c r="A3697" s="21" t="str">
        <f>HYPERLINK("https://onemount.atlassian.net/browse/DBA-959","DBA-959")</f>
        <v>DBA-959</v>
      </c>
      <c r="B3697" s="6" t="s">
        <v>21</v>
      </c>
      <c r="C3697" s="6" t="s">
        <v>15293</v>
      </c>
      <c r="D3697" s="8" t="s">
        <v>17</v>
      </c>
      <c r="E3697" s="6" t="s">
        <v>23</v>
      </c>
      <c r="F3697" s="6" t="s">
        <v>96</v>
      </c>
      <c r="G3697" s="6" t="s">
        <v>15294</v>
      </c>
      <c r="H3697" s="10">
        <v>45731</v>
      </c>
      <c r="I3697" s="6" t="s">
        <v>15295</v>
      </c>
      <c r="J3697" s="6" t="s">
        <v>2059</v>
      </c>
      <c r="K3697" s="6" t="s">
        <v>165</v>
      </c>
      <c r="L3697" s="6" t="s">
        <v>1052</v>
      </c>
      <c r="M3697" s="6" t="s">
        <v>15296</v>
      </c>
    </row>
    <row r="3698" spans="1:13" ht="13" x14ac:dyDescent="0.15">
      <c r="A3698" s="21" t="str">
        <f>HYPERLINK("https://onemount.atlassian.net/browse/DBA-958","DBA-958")</f>
        <v>DBA-958</v>
      </c>
      <c r="B3698" s="6" t="s">
        <v>21</v>
      </c>
      <c r="C3698" s="6" t="s">
        <v>15293</v>
      </c>
      <c r="D3698" s="8" t="s">
        <v>17</v>
      </c>
      <c r="E3698" s="6" t="s">
        <v>23</v>
      </c>
      <c r="F3698" s="6" t="s">
        <v>96</v>
      </c>
      <c r="G3698" s="6" t="s">
        <v>15297</v>
      </c>
      <c r="H3698" s="10">
        <v>45731</v>
      </c>
      <c r="I3698" s="6" t="s">
        <v>15298</v>
      </c>
      <c r="J3698" s="6" t="s">
        <v>2059</v>
      </c>
      <c r="K3698" s="6" t="s">
        <v>165</v>
      </c>
      <c r="L3698" s="6" t="s">
        <v>1052</v>
      </c>
      <c r="M3698" s="6" t="s">
        <v>15296</v>
      </c>
    </row>
    <row r="3699" spans="1:13" ht="13" x14ac:dyDescent="0.15">
      <c r="A3699" s="5" t="str">
        <f>HYPERLINK("https://onemount.atlassian.net/browse/DBA-957","DBA-957")</f>
        <v>DBA-957</v>
      </c>
      <c r="B3699" s="6" t="s">
        <v>21</v>
      </c>
      <c r="C3699" s="6" t="s">
        <v>15299</v>
      </c>
      <c r="D3699" s="8" t="s">
        <v>17</v>
      </c>
      <c r="E3699" s="6" t="s">
        <v>23</v>
      </c>
      <c r="F3699" s="6" t="s">
        <v>31</v>
      </c>
      <c r="G3699" s="6" t="s">
        <v>15300</v>
      </c>
      <c r="H3699" s="10">
        <v>45729</v>
      </c>
      <c r="I3699" s="6" t="s">
        <v>15301</v>
      </c>
      <c r="J3699" s="6" t="s">
        <v>628</v>
      </c>
      <c r="K3699" s="6" t="s">
        <v>35</v>
      </c>
      <c r="L3699" s="6" t="s">
        <v>628</v>
      </c>
      <c r="M3699" s="6" t="s">
        <v>15302</v>
      </c>
    </row>
    <row r="3700" spans="1:13" ht="13" x14ac:dyDescent="0.15">
      <c r="A3700" s="5" t="str">
        <f>HYPERLINK("https://onemount.atlassian.net/browse/DBA-956","DBA-956")</f>
        <v>DBA-956</v>
      </c>
      <c r="B3700" s="6" t="s">
        <v>21</v>
      </c>
      <c r="C3700" s="6" t="s">
        <v>15303</v>
      </c>
      <c r="D3700" s="8" t="s">
        <v>17</v>
      </c>
      <c r="E3700" s="6" t="s">
        <v>23</v>
      </c>
      <c r="F3700" s="6" t="s">
        <v>31</v>
      </c>
      <c r="G3700" s="6" t="s">
        <v>15304</v>
      </c>
      <c r="H3700" s="10">
        <v>45731</v>
      </c>
      <c r="I3700" s="6" t="s">
        <v>15305</v>
      </c>
      <c r="J3700" s="6" t="s">
        <v>254</v>
      </c>
      <c r="K3700" s="6" t="s">
        <v>55</v>
      </c>
      <c r="L3700" s="6" t="s">
        <v>254</v>
      </c>
      <c r="M3700" s="6" t="s">
        <v>15306</v>
      </c>
    </row>
    <row r="3701" spans="1:13" ht="13" x14ac:dyDescent="0.15">
      <c r="A3701" s="5" t="str">
        <f>HYPERLINK("https://onemount.atlassian.net/browse/DBA-955","DBA-955")</f>
        <v>DBA-955</v>
      </c>
      <c r="B3701" s="6" t="s">
        <v>21</v>
      </c>
      <c r="C3701" s="6" t="s">
        <v>15307</v>
      </c>
      <c r="D3701" s="8" t="s">
        <v>17</v>
      </c>
      <c r="E3701" s="6" t="s">
        <v>23</v>
      </c>
      <c r="F3701" s="6" t="s">
        <v>31</v>
      </c>
      <c r="G3701" s="6" t="s">
        <v>15308</v>
      </c>
      <c r="H3701" s="10">
        <v>45730</v>
      </c>
      <c r="I3701" s="6" t="s">
        <v>15309</v>
      </c>
      <c r="J3701" s="6" t="s">
        <v>165</v>
      </c>
      <c r="K3701" s="6" t="s">
        <v>165</v>
      </c>
      <c r="L3701" s="6" t="s">
        <v>1060</v>
      </c>
      <c r="M3701" s="6" t="s">
        <v>15310</v>
      </c>
    </row>
    <row r="3702" spans="1:13" ht="13" x14ac:dyDescent="0.15">
      <c r="A3702" s="5" t="str">
        <f>HYPERLINK("https://onemount.atlassian.net/browse/DBA-954","DBA-954")</f>
        <v>DBA-954</v>
      </c>
      <c r="B3702" s="6" t="s">
        <v>21</v>
      </c>
      <c r="C3702" s="6" t="s">
        <v>15311</v>
      </c>
      <c r="D3702" s="8" t="s">
        <v>17</v>
      </c>
      <c r="E3702" s="6" t="s">
        <v>23</v>
      </c>
      <c r="F3702" s="6" t="s">
        <v>24</v>
      </c>
      <c r="G3702" s="6" t="s">
        <v>15312</v>
      </c>
      <c r="H3702" s="10">
        <v>45731</v>
      </c>
      <c r="I3702" s="6" t="s">
        <v>15313</v>
      </c>
      <c r="J3702" s="6" t="s">
        <v>15314</v>
      </c>
      <c r="K3702" s="6" t="s">
        <v>55</v>
      </c>
      <c r="L3702" s="6" t="s">
        <v>328</v>
      </c>
      <c r="M3702" s="6" t="s">
        <v>15315</v>
      </c>
    </row>
    <row r="3703" spans="1:13" ht="13" x14ac:dyDescent="0.15">
      <c r="A3703" s="5" t="str">
        <f>HYPERLINK("https://onemount.atlassian.net/browse/DBA-953","DBA-953")</f>
        <v>DBA-953</v>
      </c>
      <c r="B3703" s="6" t="s">
        <v>21</v>
      </c>
      <c r="C3703" s="6" t="s">
        <v>15316</v>
      </c>
      <c r="D3703" s="8" t="s">
        <v>17</v>
      </c>
      <c r="E3703" s="6" t="s">
        <v>23</v>
      </c>
      <c r="F3703" s="6" t="s">
        <v>24</v>
      </c>
      <c r="G3703" s="6" t="s">
        <v>15317</v>
      </c>
      <c r="H3703" s="10">
        <v>45729</v>
      </c>
      <c r="I3703" s="6" t="s">
        <v>15318</v>
      </c>
      <c r="J3703" s="6" t="s">
        <v>55</v>
      </c>
      <c r="K3703" s="6" t="s">
        <v>55</v>
      </c>
      <c r="L3703" s="6" t="s">
        <v>738</v>
      </c>
      <c r="M3703" s="6" t="s">
        <v>15319</v>
      </c>
    </row>
    <row r="3704" spans="1:13" ht="13" x14ac:dyDescent="0.15">
      <c r="A3704" s="5" t="str">
        <f>HYPERLINK("https://onemount.atlassian.net/browse/DBA-952","DBA-952")</f>
        <v>DBA-952</v>
      </c>
      <c r="B3704" s="6" t="s">
        <v>21</v>
      </c>
      <c r="C3704" s="6" t="s">
        <v>15320</v>
      </c>
      <c r="D3704" s="8" t="s">
        <v>17</v>
      </c>
      <c r="E3704" s="6" t="s">
        <v>23</v>
      </c>
      <c r="F3704" s="6" t="s">
        <v>24</v>
      </c>
      <c r="G3704" s="6" t="s">
        <v>15321</v>
      </c>
      <c r="H3704" s="10">
        <v>45736</v>
      </c>
      <c r="I3704" s="6" t="s">
        <v>15322</v>
      </c>
      <c r="J3704" s="6" t="s">
        <v>46</v>
      </c>
      <c r="K3704" s="6" t="s">
        <v>46</v>
      </c>
      <c r="L3704" s="6" t="s">
        <v>39</v>
      </c>
      <c r="M3704" s="6" t="s">
        <v>15323</v>
      </c>
    </row>
    <row r="3705" spans="1:13" ht="13" x14ac:dyDescent="0.15">
      <c r="A3705" s="5" t="str">
        <f>HYPERLINK("https://onemount.atlassian.net/browse/DBA-951","DBA-951")</f>
        <v>DBA-951</v>
      </c>
      <c r="B3705" s="23" t="str">
        <f>HYPERLINK("https://onemount.atlassian.net/browse/DBA-2023","DBA-2023")</f>
        <v>DBA-2023</v>
      </c>
      <c r="C3705" s="6" t="s">
        <v>15324</v>
      </c>
      <c r="D3705" s="8" t="s">
        <v>17</v>
      </c>
      <c r="E3705" s="6" t="s">
        <v>428</v>
      </c>
      <c r="F3705" s="6" t="s">
        <v>31</v>
      </c>
      <c r="G3705" s="6" t="s">
        <v>15325</v>
      </c>
      <c r="H3705" s="10">
        <v>45732</v>
      </c>
      <c r="I3705" s="6" t="s">
        <v>15326</v>
      </c>
      <c r="J3705" s="6" t="s">
        <v>15327</v>
      </c>
      <c r="K3705" s="6" t="s">
        <v>35</v>
      </c>
      <c r="L3705" s="6" t="s">
        <v>36</v>
      </c>
      <c r="M3705" s="6" t="s">
        <v>15328</v>
      </c>
    </row>
    <row r="3706" spans="1:13" ht="13" x14ac:dyDescent="0.15">
      <c r="A3706" s="5" t="str">
        <f>HYPERLINK("https://onemount.atlassian.net/browse/DBA-950","DBA-950")</f>
        <v>DBA-950</v>
      </c>
      <c r="B3706" s="6" t="s">
        <v>21</v>
      </c>
      <c r="C3706" s="6" t="s">
        <v>15127</v>
      </c>
      <c r="D3706" s="8" t="s">
        <v>17</v>
      </c>
      <c r="E3706" s="6" t="s">
        <v>23</v>
      </c>
      <c r="F3706" s="6" t="s">
        <v>24</v>
      </c>
      <c r="G3706" s="6" t="s">
        <v>15329</v>
      </c>
      <c r="H3706" s="10">
        <v>45729</v>
      </c>
      <c r="I3706" s="6" t="s">
        <v>15330</v>
      </c>
      <c r="J3706" s="6" t="s">
        <v>55</v>
      </c>
      <c r="K3706" s="6" t="s">
        <v>55</v>
      </c>
      <c r="L3706" s="6" t="s">
        <v>906</v>
      </c>
      <c r="M3706" s="6" t="s">
        <v>15331</v>
      </c>
    </row>
    <row r="3707" spans="1:13" ht="13" x14ac:dyDescent="0.15">
      <c r="A3707" s="5" t="str">
        <f>HYPERLINK("https://onemount.atlassian.net/browse/DBA-949","DBA-949")</f>
        <v>DBA-949</v>
      </c>
      <c r="B3707" s="6" t="s">
        <v>21</v>
      </c>
      <c r="C3707" s="6" t="s">
        <v>15332</v>
      </c>
      <c r="D3707" s="8" t="s">
        <v>17</v>
      </c>
      <c r="E3707" s="6" t="s">
        <v>23</v>
      </c>
      <c r="F3707" s="6" t="s">
        <v>96</v>
      </c>
      <c r="G3707" s="6" t="s">
        <v>15333</v>
      </c>
      <c r="H3707" s="10">
        <v>45730</v>
      </c>
      <c r="I3707" s="6" t="s">
        <v>15334</v>
      </c>
      <c r="J3707" s="6" t="s">
        <v>2453</v>
      </c>
      <c r="K3707" s="6" t="s">
        <v>46</v>
      </c>
      <c r="L3707" s="6" t="s">
        <v>119</v>
      </c>
      <c r="M3707" s="6" t="s">
        <v>15335</v>
      </c>
    </row>
    <row r="3708" spans="1:13" ht="13" x14ac:dyDescent="0.15">
      <c r="A3708" s="5" t="str">
        <f>HYPERLINK("https://onemount.atlassian.net/browse/DBA-948","DBA-948")</f>
        <v>DBA-948</v>
      </c>
      <c r="B3708" s="6" t="s">
        <v>21</v>
      </c>
      <c r="C3708" s="6" t="s">
        <v>15336</v>
      </c>
      <c r="D3708" s="8" t="s">
        <v>17</v>
      </c>
      <c r="E3708" s="6" t="s">
        <v>23</v>
      </c>
      <c r="F3708" s="6" t="s">
        <v>96</v>
      </c>
      <c r="G3708" s="6" t="s">
        <v>15337</v>
      </c>
      <c r="H3708" s="10">
        <v>45729</v>
      </c>
      <c r="I3708" s="6" t="s">
        <v>15338</v>
      </c>
      <c r="J3708" s="6" t="s">
        <v>15339</v>
      </c>
      <c r="K3708" s="6" t="s">
        <v>46</v>
      </c>
      <c r="L3708" s="6" t="s">
        <v>39</v>
      </c>
      <c r="M3708" s="6" t="s">
        <v>15340</v>
      </c>
    </row>
    <row r="3709" spans="1:13" ht="13" x14ac:dyDescent="0.15">
      <c r="A3709" s="5" t="str">
        <f>HYPERLINK("https://onemount.atlassian.net/browse/DBA-947","DBA-947")</f>
        <v>DBA-947</v>
      </c>
      <c r="B3709" s="6" t="s">
        <v>21</v>
      </c>
      <c r="C3709" s="6" t="s">
        <v>15341</v>
      </c>
      <c r="D3709" s="8" t="s">
        <v>17</v>
      </c>
      <c r="E3709" s="6" t="s">
        <v>23</v>
      </c>
      <c r="F3709" s="6" t="s">
        <v>31</v>
      </c>
      <c r="G3709" s="6" t="s">
        <v>15342</v>
      </c>
      <c r="H3709" s="10">
        <v>45730</v>
      </c>
      <c r="I3709" s="6" t="s">
        <v>15343</v>
      </c>
      <c r="J3709" s="6" t="s">
        <v>254</v>
      </c>
      <c r="K3709" s="6" t="s">
        <v>55</v>
      </c>
      <c r="L3709" s="6" t="s">
        <v>254</v>
      </c>
      <c r="M3709" s="6" t="s">
        <v>15344</v>
      </c>
    </row>
    <row r="3710" spans="1:13" ht="13" x14ac:dyDescent="0.15">
      <c r="A3710" s="5" t="str">
        <f>HYPERLINK("https://onemount.atlassian.net/browse/DBA-946","DBA-946")</f>
        <v>DBA-946</v>
      </c>
      <c r="B3710" s="6" t="s">
        <v>21</v>
      </c>
      <c r="C3710" s="6" t="s">
        <v>15345</v>
      </c>
      <c r="D3710" s="8" t="s">
        <v>17</v>
      </c>
      <c r="E3710" s="6" t="s">
        <v>23</v>
      </c>
      <c r="F3710" s="6" t="s">
        <v>24</v>
      </c>
      <c r="G3710" s="6" t="s">
        <v>15346</v>
      </c>
      <c r="H3710" s="10">
        <v>45729</v>
      </c>
      <c r="I3710" s="6" t="s">
        <v>15347</v>
      </c>
      <c r="J3710" s="6" t="s">
        <v>55</v>
      </c>
      <c r="K3710" s="6" t="s">
        <v>55</v>
      </c>
      <c r="L3710" s="6" t="s">
        <v>979</v>
      </c>
      <c r="M3710" s="6" t="s">
        <v>15348</v>
      </c>
    </row>
    <row r="3711" spans="1:13" ht="13" x14ac:dyDescent="0.15">
      <c r="A3711" s="5" t="str">
        <f>HYPERLINK("https://onemount.atlassian.net/browse/DBA-945","DBA-945")</f>
        <v>DBA-945</v>
      </c>
      <c r="B3711" s="6" t="s">
        <v>21</v>
      </c>
      <c r="C3711" s="6" t="s">
        <v>15349</v>
      </c>
      <c r="D3711" s="8" t="s">
        <v>17</v>
      </c>
      <c r="E3711" s="6" t="s">
        <v>23</v>
      </c>
      <c r="F3711" s="6" t="s">
        <v>24</v>
      </c>
      <c r="G3711" s="6" t="s">
        <v>15350</v>
      </c>
      <c r="H3711" s="10">
        <v>45728</v>
      </c>
      <c r="I3711" s="6" t="s">
        <v>15351</v>
      </c>
      <c r="J3711" s="6" t="s">
        <v>1000</v>
      </c>
      <c r="K3711" s="6" t="s">
        <v>28</v>
      </c>
      <c r="L3711" s="6" t="s">
        <v>28</v>
      </c>
      <c r="M3711" s="6" t="s">
        <v>15352</v>
      </c>
    </row>
    <row r="3712" spans="1:13" ht="13" x14ac:dyDescent="0.15">
      <c r="A3712" s="5" t="str">
        <f>HYPERLINK("https://onemount.atlassian.net/browse/DBA-944","DBA-944")</f>
        <v>DBA-944</v>
      </c>
      <c r="B3712" s="6" t="s">
        <v>21</v>
      </c>
      <c r="C3712" s="6" t="s">
        <v>15127</v>
      </c>
      <c r="D3712" s="8" t="s">
        <v>17</v>
      </c>
      <c r="E3712" s="6" t="s">
        <v>23</v>
      </c>
      <c r="F3712" s="6" t="s">
        <v>24</v>
      </c>
      <c r="G3712" s="6" t="s">
        <v>15353</v>
      </c>
      <c r="H3712" s="10">
        <v>45728</v>
      </c>
      <c r="I3712" s="6" t="s">
        <v>15354</v>
      </c>
      <c r="J3712" s="6" t="s">
        <v>55</v>
      </c>
      <c r="K3712" s="6" t="s">
        <v>55</v>
      </c>
      <c r="L3712" s="6" t="s">
        <v>906</v>
      </c>
      <c r="M3712" s="6" t="s">
        <v>15355</v>
      </c>
    </row>
    <row r="3713" spans="1:13" ht="13" x14ac:dyDescent="0.15">
      <c r="A3713" s="5" t="str">
        <f>HYPERLINK("https://onemount.atlassian.net/browse/DBA-943","DBA-943")</f>
        <v>DBA-943</v>
      </c>
      <c r="B3713" s="6" t="s">
        <v>21</v>
      </c>
      <c r="C3713" s="6" t="s">
        <v>15332</v>
      </c>
      <c r="D3713" s="8" t="s">
        <v>17</v>
      </c>
      <c r="E3713" s="6" t="s">
        <v>23</v>
      </c>
      <c r="F3713" s="6" t="s">
        <v>96</v>
      </c>
      <c r="G3713" s="6" t="s">
        <v>15356</v>
      </c>
      <c r="H3713" s="10">
        <v>45729</v>
      </c>
      <c r="I3713" s="6" t="s">
        <v>15357</v>
      </c>
      <c r="J3713" s="6" t="s">
        <v>2453</v>
      </c>
      <c r="K3713" s="6" t="s">
        <v>165</v>
      </c>
      <c r="L3713" s="6" t="s">
        <v>119</v>
      </c>
      <c r="M3713" s="6" t="s">
        <v>15358</v>
      </c>
    </row>
    <row r="3714" spans="1:13" ht="13" x14ac:dyDescent="0.15">
      <c r="A3714" s="5" t="str">
        <f>HYPERLINK("https://onemount.atlassian.net/browse/DBA-942","DBA-942")</f>
        <v>DBA-942</v>
      </c>
      <c r="B3714" s="6" t="s">
        <v>21</v>
      </c>
      <c r="C3714" s="6" t="s">
        <v>15359</v>
      </c>
      <c r="D3714" s="8" t="s">
        <v>17</v>
      </c>
      <c r="E3714" s="6" t="s">
        <v>23</v>
      </c>
      <c r="F3714" s="6" t="s">
        <v>31</v>
      </c>
      <c r="G3714" s="6" t="s">
        <v>15360</v>
      </c>
      <c r="H3714" s="10">
        <v>45728</v>
      </c>
      <c r="I3714" s="6" t="s">
        <v>15361</v>
      </c>
      <c r="J3714" s="6" t="s">
        <v>28</v>
      </c>
      <c r="K3714" s="6" t="s">
        <v>28</v>
      </c>
      <c r="L3714" s="6" t="s">
        <v>28</v>
      </c>
      <c r="M3714" s="6" t="s">
        <v>15362</v>
      </c>
    </row>
    <row r="3715" spans="1:13" ht="13" x14ac:dyDescent="0.15">
      <c r="A3715" s="5" t="str">
        <f>HYPERLINK("https://onemount.atlassian.net/browse/DBA-941","DBA-941")</f>
        <v>DBA-941</v>
      </c>
      <c r="B3715" s="6" t="s">
        <v>21</v>
      </c>
      <c r="C3715" s="6" t="s">
        <v>15363</v>
      </c>
      <c r="D3715" s="8" t="s">
        <v>17</v>
      </c>
      <c r="E3715" s="6" t="s">
        <v>23</v>
      </c>
      <c r="F3715" s="6" t="s">
        <v>31</v>
      </c>
      <c r="G3715" s="6" t="s">
        <v>15364</v>
      </c>
      <c r="H3715" s="10">
        <v>45727</v>
      </c>
      <c r="I3715" s="6" t="s">
        <v>15365</v>
      </c>
      <c r="J3715" s="6" t="s">
        <v>254</v>
      </c>
      <c r="K3715" s="6" t="s">
        <v>55</v>
      </c>
      <c r="L3715" s="6" t="s">
        <v>254</v>
      </c>
      <c r="M3715" s="6" t="s">
        <v>15366</v>
      </c>
    </row>
    <row r="3716" spans="1:13" ht="13" x14ac:dyDescent="0.15">
      <c r="A3716" s="5" t="str">
        <f>HYPERLINK("https://onemount.atlassian.net/browse/DBA-940","DBA-940")</f>
        <v>DBA-940</v>
      </c>
      <c r="B3716" s="6" t="s">
        <v>21</v>
      </c>
      <c r="C3716" s="6" t="s">
        <v>15367</v>
      </c>
      <c r="D3716" s="8" t="s">
        <v>17</v>
      </c>
      <c r="E3716" s="6" t="s">
        <v>23</v>
      </c>
      <c r="F3716" s="6" t="s">
        <v>96</v>
      </c>
      <c r="G3716" s="6" t="s">
        <v>15368</v>
      </c>
      <c r="H3716" s="10">
        <v>45729</v>
      </c>
      <c r="I3716" s="6" t="s">
        <v>15369</v>
      </c>
      <c r="J3716" s="6" t="s">
        <v>645</v>
      </c>
      <c r="K3716" s="6" t="s">
        <v>165</v>
      </c>
      <c r="L3716" s="6" t="s">
        <v>645</v>
      </c>
      <c r="M3716" s="6" t="s">
        <v>15370</v>
      </c>
    </row>
    <row r="3717" spans="1:13" ht="13" x14ac:dyDescent="0.15">
      <c r="A3717" s="5" t="str">
        <f>HYPERLINK("https://onemount.atlassian.net/browse/DBA-939","DBA-939")</f>
        <v>DBA-939</v>
      </c>
      <c r="B3717" s="6" t="s">
        <v>21</v>
      </c>
      <c r="C3717" s="6" t="s">
        <v>15371</v>
      </c>
      <c r="D3717" s="8" t="s">
        <v>17</v>
      </c>
      <c r="E3717" s="6" t="s">
        <v>23</v>
      </c>
      <c r="F3717" s="6" t="s">
        <v>24</v>
      </c>
      <c r="G3717" s="6" t="s">
        <v>15372</v>
      </c>
      <c r="H3717" s="10">
        <v>45728</v>
      </c>
      <c r="I3717" s="6" t="s">
        <v>15373</v>
      </c>
      <c r="J3717" s="6" t="s">
        <v>13159</v>
      </c>
      <c r="K3717" s="6" t="s">
        <v>46</v>
      </c>
      <c r="L3717" s="6" t="s">
        <v>39</v>
      </c>
      <c r="M3717" s="6" t="s">
        <v>15374</v>
      </c>
    </row>
    <row r="3718" spans="1:13" ht="13" x14ac:dyDescent="0.15">
      <c r="A3718" s="5" t="str">
        <f>HYPERLINK("https://onemount.atlassian.net/browse/DBA-938","DBA-938")</f>
        <v>DBA-938</v>
      </c>
      <c r="B3718" s="6" t="s">
        <v>21</v>
      </c>
      <c r="C3718" s="6" t="s">
        <v>15375</v>
      </c>
      <c r="D3718" s="8" t="s">
        <v>17</v>
      </c>
      <c r="E3718" s="6" t="s">
        <v>23</v>
      </c>
      <c r="F3718" s="6" t="s">
        <v>96</v>
      </c>
      <c r="G3718" s="6" t="s">
        <v>15376</v>
      </c>
      <c r="H3718" s="10">
        <v>45747</v>
      </c>
      <c r="I3718" s="6" t="s">
        <v>15377</v>
      </c>
      <c r="J3718" s="6" t="s">
        <v>165</v>
      </c>
      <c r="K3718" s="6" t="s">
        <v>165</v>
      </c>
      <c r="L3718" s="6" t="s">
        <v>1091</v>
      </c>
      <c r="M3718" s="6" t="s">
        <v>15378</v>
      </c>
    </row>
    <row r="3719" spans="1:13" ht="13" x14ac:dyDescent="0.15">
      <c r="A3719" s="5" t="str">
        <f>HYPERLINK("https://onemount.atlassian.net/browse/DBA-936","DBA-936")</f>
        <v>DBA-936</v>
      </c>
      <c r="B3719" s="6" t="s">
        <v>21</v>
      </c>
      <c r="C3719" s="6" t="s">
        <v>15379</v>
      </c>
      <c r="D3719" s="8" t="s">
        <v>17</v>
      </c>
      <c r="E3719" s="6" t="s">
        <v>23</v>
      </c>
      <c r="F3719" s="6" t="s">
        <v>31</v>
      </c>
      <c r="G3719" s="6" t="s">
        <v>15380</v>
      </c>
      <c r="H3719" s="10">
        <v>45726</v>
      </c>
      <c r="I3719" s="6" t="s">
        <v>15381</v>
      </c>
      <c r="J3719" s="6" t="s">
        <v>14672</v>
      </c>
      <c r="K3719" s="6" t="s">
        <v>55</v>
      </c>
      <c r="L3719" s="6" t="s">
        <v>254</v>
      </c>
      <c r="M3719" s="6" t="s">
        <v>15382</v>
      </c>
    </row>
    <row r="3720" spans="1:13" ht="13" x14ac:dyDescent="0.15">
      <c r="A3720" s="5" t="str">
        <f>HYPERLINK("https://onemount.atlassian.net/browse/DBA-935","DBA-935")</f>
        <v>DBA-935</v>
      </c>
      <c r="B3720" s="6" t="s">
        <v>21</v>
      </c>
      <c r="C3720" s="6" t="s">
        <v>15383</v>
      </c>
      <c r="D3720" s="8" t="s">
        <v>17</v>
      </c>
      <c r="E3720" s="6" t="s">
        <v>23</v>
      </c>
      <c r="F3720" s="6" t="s">
        <v>96</v>
      </c>
      <c r="G3720" s="6" t="s">
        <v>15384</v>
      </c>
      <c r="H3720" s="10">
        <v>46096</v>
      </c>
      <c r="I3720" s="6" t="s">
        <v>15385</v>
      </c>
      <c r="J3720" s="6" t="s">
        <v>165</v>
      </c>
      <c r="K3720" s="6" t="s">
        <v>165</v>
      </c>
      <c r="L3720" s="6" t="s">
        <v>715</v>
      </c>
      <c r="M3720" s="6" t="s">
        <v>15386</v>
      </c>
    </row>
    <row r="3721" spans="1:13" ht="13" x14ac:dyDescent="0.15">
      <c r="A3721" s="5" t="str">
        <f>HYPERLINK("https://onemount.atlassian.net/browse/DBA-934","DBA-934")</f>
        <v>DBA-934</v>
      </c>
      <c r="B3721" s="6" t="s">
        <v>21</v>
      </c>
      <c r="C3721" s="6" t="s">
        <v>15387</v>
      </c>
      <c r="D3721" s="8" t="s">
        <v>17</v>
      </c>
      <c r="E3721" s="6" t="s">
        <v>23</v>
      </c>
      <c r="F3721" s="6" t="s">
        <v>96</v>
      </c>
      <c r="G3721" s="6" t="s">
        <v>15388</v>
      </c>
      <c r="H3721" s="10">
        <v>45727</v>
      </c>
      <c r="I3721" s="6" t="s">
        <v>15389</v>
      </c>
      <c r="J3721" s="6" t="s">
        <v>55</v>
      </c>
      <c r="K3721" s="6" t="s">
        <v>55</v>
      </c>
      <c r="L3721" s="6" t="s">
        <v>735</v>
      </c>
      <c r="M3721" s="6" t="s">
        <v>15390</v>
      </c>
    </row>
    <row r="3722" spans="1:13" ht="13" x14ac:dyDescent="0.15">
      <c r="A3722" s="21" t="str">
        <f>HYPERLINK("https://onemount.atlassian.net/browse/DBA-933","DBA-933")</f>
        <v>DBA-933</v>
      </c>
      <c r="B3722" s="6" t="s">
        <v>21</v>
      </c>
      <c r="C3722" s="6" t="s">
        <v>15391</v>
      </c>
      <c r="D3722" s="8" t="s">
        <v>17</v>
      </c>
      <c r="E3722" s="6" t="s">
        <v>23</v>
      </c>
      <c r="F3722" s="6" t="s">
        <v>31</v>
      </c>
      <c r="G3722" s="6" t="s">
        <v>15392</v>
      </c>
      <c r="H3722" s="10">
        <v>45727</v>
      </c>
      <c r="I3722" s="6" t="s">
        <v>15393</v>
      </c>
      <c r="J3722" s="6" t="s">
        <v>6269</v>
      </c>
      <c r="K3722" s="6" t="s">
        <v>28</v>
      </c>
      <c r="L3722" s="6" t="s">
        <v>1000</v>
      </c>
      <c r="M3722" s="6" t="s">
        <v>15394</v>
      </c>
    </row>
    <row r="3723" spans="1:13" ht="13" x14ac:dyDescent="0.15">
      <c r="A3723" s="5" t="str">
        <f>HYPERLINK("https://onemount.atlassian.net/browse/DBA-932","DBA-932")</f>
        <v>DBA-932</v>
      </c>
      <c r="B3723" s="6" t="s">
        <v>21</v>
      </c>
      <c r="C3723" s="6" t="s">
        <v>15395</v>
      </c>
      <c r="D3723" s="8" t="s">
        <v>17</v>
      </c>
      <c r="E3723" s="6" t="s">
        <v>23</v>
      </c>
      <c r="F3723" s="6" t="s">
        <v>31</v>
      </c>
      <c r="G3723" s="6" t="s">
        <v>15396</v>
      </c>
      <c r="H3723" s="10">
        <v>45726</v>
      </c>
      <c r="I3723" s="6" t="s">
        <v>15397</v>
      </c>
      <c r="J3723" s="6" t="s">
        <v>6269</v>
      </c>
      <c r="K3723" s="6" t="s">
        <v>28</v>
      </c>
      <c r="L3723" s="6" t="s">
        <v>1000</v>
      </c>
      <c r="M3723" s="6" t="s">
        <v>15398</v>
      </c>
    </row>
    <row r="3724" spans="1:13" ht="13" x14ac:dyDescent="0.15">
      <c r="A3724" s="5" t="str">
        <f>HYPERLINK("https://onemount.atlassian.net/browse/DBA-931","DBA-931")</f>
        <v>DBA-931</v>
      </c>
      <c r="B3724" s="6" t="s">
        <v>21</v>
      </c>
      <c r="C3724" s="6" t="s">
        <v>15399</v>
      </c>
      <c r="D3724" s="8" t="s">
        <v>17</v>
      </c>
      <c r="E3724" s="6" t="s">
        <v>23</v>
      </c>
      <c r="F3724" s="6" t="s">
        <v>96</v>
      </c>
      <c r="G3724" s="6" t="s">
        <v>15400</v>
      </c>
      <c r="H3724" s="10">
        <v>45726</v>
      </c>
      <c r="I3724" s="6" t="s">
        <v>15401</v>
      </c>
      <c r="J3724" s="6" t="s">
        <v>6856</v>
      </c>
      <c r="K3724" s="6" t="s">
        <v>165</v>
      </c>
      <c r="L3724" s="6" t="s">
        <v>715</v>
      </c>
      <c r="M3724" s="6" t="s">
        <v>15402</v>
      </c>
    </row>
    <row r="3725" spans="1:13" ht="13" x14ac:dyDescent="0.15">
      <c r="A3725" s="21" t="str">
        <f>HYPERLINK("https://onemount.atlassian.net/browse/DBA-930","DBA-930")</f>
        <v>DBA-930</v>
      </c>
      <c r="B3725" s="6" t="s">
        <v>21</v>
      </c>
      <c r="C3725" s="6" t="s">
        <v>15391</v>
      </c>
      <c r="D3725" s="8" t="s">
        <v>17</v>
      </c>
      <c r="E3725" s="6" t="s">
        <v>23</v>
      </c>
      <c r="F3725" s="6" t="s">
        <v>31</v>
      </c>
      <c r="G3725" s="6" t="s">
        <v>15403</v>
      </c>
      <c r="H3725" s="10">
        <v>45726</v>
      </c>
      <c r="I3725" s="6" t="s">
        <v>15404</v>
      </c>
      <c r="J3725" s="6" t="s">
        <v>6269</v>
      </c>
      <c r="K3725" s="6" t="s">
        <v>28</v>
      </c>
      <c r="L3725" s="6" t="s">
        <v>1000</v>
      </c>
      <c r="M3725" s="6" t="s">
        <v>15394</v>
      </c>
    </row>
    <row r="3726" spans="1:13" ht="13" x14ac:dyDescent="0.15">
      <c r="A3726" s="5" t="str">
        <f>HYPERLINK("https://onemount.atlassian.net/browse/DBA-929","DBA-929")</f>
        <v>DBA-929</v>
      </c>
      <c r="B3726" s="6" t="s">
        <v>21</v>
      </c>
      <c r="C3726" s="6" t="s">
        <v>15405</v>
      </c>
      <c r="D3726" s="8" t="s">
        <v>17</v>
      </c>
      <c r="E3726" s="6" t="s">
        <v>23</v>
      </c>
      <c r="F3726" s="6" t="s">
        <v>31</v>
      </c>
      <c r="G3726" s="6" t="s">
        <v>15406</v>
      </c>
      <c r="H3726" s="10">
        <v>45727</v>
      </c>
      <c r="I3726" s="6" t="s">
        <v>15407</v>
      </c>
      <c r="J3726" s="6" t="s">
        <v>56</v>
      </c>
      <c r="K3726" s="6" t="s">
        <v>55</v>
      </c>
      <c r="L3726" s="6" t="s">
        <v>56</v>
      </c>
      <c r="M3726" s="6" t="s">
        <v>15408</v>
      </c>
    </row>
    <row r="3727" spans="1:13" ht="13" x14ac:dyDescent="0.15">
      <c r="A3727" s="5" t="str">
        <f>HYPERLINK("https://onemount.atlassian.net/browse/DBA-928","DBA-928")</f>
        <v>DBA-928</v>
      </c>
      <c r="B3727" s="6" t="s">
        <v>21</v>
      </c>
      <c r="C3727" s="6" t="s">
        <v>15409</v>
      </c>
      <c r="D3727" s="8" t="s">
        <v>17</v>
      </c>
      <c r="E3727" s="6" t="s">
        <v>23</v>
      </c>
      <c r="F3727" s="6" t="s">
        <v>24</v>
      </c>
      <c r="G3727" s="6" t="s">
        <v>15410</v>
      </c>
      <c r="H3727" s="10">
        <v>45727</v>
      </c>
      <c r="I3727" s="6" t="s">
        <v>15411</v>
      </c>
      <c r="J3727" s="6" t="s">
        <v>165</v>
      </c>
      <c r="K3727" s="6" t="s">
        <v>165</v>
      </c>
      <c r="L3727" s="6" t="s">
        <v>1052</v>
      </c>
      <c r="M3727" s="6" t="s">
        <v>15412</v>
      </c>
    </row>
    <row r="3728" spans="1:13" ht="13" x14ac:dyDescent="0.15">
      <c r="A3728" s="5" t="str">
        <f>HYPERLINK("https://onemount.atlassian.net/browse/DBA-927","DBA-927")</f>
        <v>DBA-927</v>
      </c>
      <c r="B3728" s="6" t="s">
        <v>21</v>
      </c>
      <c r="C3728" s="6" t="s">
        <v>15413</v>
      </c>
      <c r="D3728" s="8" t="s">
        <v>17</v>
      </c>
      <c r="E3728" s="6" t="s">
        <v>23</v>
      </c>
      <c r="F3728" s="6" t="s">
        <v>31</v>
      </c>
      <c r="G3728" s="6" t="s">
        <v>15414</v>
      </c>
      <c r="H3728" s="10">
        <v>45724</v>
      </c>
      <c r="I3728" s="6" t="s">
        <v>15415</v>
      </c>
      <c r="J3728" s="6" t="s">
        <v>14672</v>
      </c>
      <c r="K3728" s="6" t="s">
        <v>55</v>
      </c>
      <c r="L3728" s="6" t="s">
        <v>254</v>
      </c>
      <c r="M3728" s="6" t="s">
        <v>15416</v>
      </c>
    </row>
    <row r="3729" spans="1:13" ht="13" x14ac:dyDescent="0.15">
      <c r="A3729" s="5" t="str">
        <f>HYPERLINK("https://onemount.atlassian.net/browse/DBA-926","DBA-926")</f>
        <v>DBA-926</v>
      </c>
      <c r="B3729" s="6" t="s">
        <v>21</v>
      </c>
      <c r="C3729" s="6" t="s">
        <v>15417</v>
      </c>
      <c r="D3729" s="8" t="s">
        <v>17</v>
      </c>
      <c r="E3729" s="6" t="s">
        <v>23</v>
      </c>
      <c r="F3729" s="6" t="s">
        <v>31</v>
      </c>
      <c r="G3729" s="6" t="s">
        <v>15418</v>
      </c>
      <c r="H3729" s="10">
        <v>45724</v>
      </c>
      <c r="I3729" s="6" t="s">
        <v>15419</v>
      </c>
      <c r="J3729" s="6" t="s">
        <v>254</v>
      </c>
      <c r="K3729" s="6" t="s">
        <v>55</v>
      </c>
      <c r="L3729" s="6" t="s">
        <v>254</v>
      </c>
      <c r="M3729" s="6" t="s">
        <v>15420</v>
      </c>
    </row>
    <row r="3730" spans="1:13" ht="13" x14ac:dyDescent="0.15">
      <c r="A3730" s="5" t="str">
        <f>HYPERLINK("https://onemount.atlassian.net/browse/DBA-925","DBA-925")</f>
        <v>DBA-925</v>
      </c>
      <c r="B3730" s="6" t="s">
        <v>21</v>
      </c>
      <c r="C3730" s="6" t="s">
        <v>15127</v>
      </c>
      <c r="D3730" s="8" t="s">
        <v>17</v>
      </c>
      <c r="E3730" s="6" t="s">
        <v>23</v>
      </c>
      <c r="F3730" s="6" t="s">
        <v>24</v>
      </c>
      <c r="G3730" s="6" t="s">
        <v>15421</v>
      </c>
      <c r="H3730" s="10">
        <v>45723</v>
      </c>
      <c r="I3730" s="6" t="s">
        <v>15422</v>
      </c>
      <c r="J3730" s="6" t="s">
        <v>55</v>
      </c>
      <c r="K3730" s="6" t="s">
        <v>55</v>
      </c>
      <c r="L3730" s="6" t="s">
        <v>906</v>
      </c>
      <c r="M3730" s="6" t="s">
        <v>15423</v>
      </c>
    </row>
    <row r="3731" spans="1:13" ht="13" x14ac:dyDescent="0.15">
      <c r="A3731" s="5" t="str">
        <f>HYPERLINK("https://onemount.atlassian.net/browse/DBA-924","DBA-924")</f>
        <v>DBA-924</v>
      </c>
      <c r="B3731" s="6" t="s">
        <v>21</v>
      </c>
      <c r="C3731" s="6" t="s">
        <v>15424</v>
      </c>
      <c r="D3731" s="8" t="s">
        <v>17</v>
      </c>
      <c r="E3731" s="6" t="s">
        <v>23</v>
      </c>
      <c r="F3731" s="6" t="s">
        <v>96</v>
      </c>
      <c r="G3731" s="6" t="s">
        <v>15425</v>
      </c>
      <c r="H3731" s="10">
        <v>45723</v>
      </c>
      <c r="I3731" s="6" t="s">
        <v>15426</v>
      </c>
      <c r="J3731" s="6" t="s">
        <v>15427</v>
      </c>
      <c r="K3731" s="6" t="s">
        <v>165</v>
      </c>
      <c r="L3731" s="6" t="s">
        <v>1097</v>
      </c>
      <c r="M3731" s="6" t="s">
        <v>15428</v>
      </c>
    </row>
    <row r="3732" spans="1:13" ht="13" x14ac:dyDescent="0.15">
      <c r="A3732" s="5" t="str">
        <f>HYPERLINK("https://onemount.atlassian.net/browse/DBA-923","DBA-923")</f>
        <v>DBA-923</v>
      </c>
      <c r="B3732" s="6" t="s">
        <v>21</v>
      </c>
      <c r="C3732" s="6" t="s">
        <v>15424</v>
      </c>
      <c r="D3732" s="8" t="s">
        <v>17</v>
      </c>
      <c r="E3732" s="6" t="s">
        <v>23</v>
      </c>
      <c r="F3732" s="6" t="s">
        <v>96</v>
      </c>
      <c r="G3732" s="6" t="s">
        <v>15429</v>
      </c>
      <c r="H3732" s="10">
        <v>45724</v>
      </c>
      <c r="I3732" s="6" t="s">
        <v>15430</v>
      </c>
      <c r="J3732" s="6" t="s">
        <v>15427</v>
      </c>
      <c r="K3732" s="6" t="s">
        <v>165</v>
      </c>
      <c r="L3732" s="6" t="s">
        <v>1097</v>
      </c>
      <c r="M3732" s="6" t="s">
        <v>15431</v>
      </c>
    </row>
    <row r="3733" spans="1:13" ht="13" x14ac:dyDescent="0.15">
      <c r="A3733" s="5" t="str">
        <f>HYPERLINK("https://onemount.atlassian.net/browse/DBA-922","DBA-922")</f>
        <v>DBA-922</v>
      </c>
      <c r="B3733" s="6" t="s">
        <v>21</v>
      </c>
      <c r="C3733" s="6" t="s">
        <v>15432</v>
      </c>
      <c r="D3733" s="8" t="s">
        <v>17</v>
      </c>
      <c r="E3733" s="6" t="s">
        <v>23</v>
      </c>
      <c r="F3733" s="6" t="s">
        <v>96</v>
      </c>
      <c r="G3733" s="6" t="s">
        <v>15433</v>
      </c>
      <c r="H3733" s="10">
        <v>45724</v>
      </c>
      <c r="I3733" s="6" t="s">
        <v>15434</v>
      </c>
      <c r="J3733" s="6" t="s">
        <v>1898</v>
      </c>
      <c r="K3733" s="6" t="s">
        <v>165</v>
      </c>
      <c r="L3733" s="6" t="s">
        <v>1097</v>
      </c>
      <c r="M3733" s="6" t="s">
        <v>15435</v>
      </c>
    </row>
    <row r="3734" spans="1:13" ht="13" x14ac:dyDescent="0.15">
      <c r="A3734" s="5" t="str">
        <f>HYPERLINK("https://onemount.atlassian.net/browse/DBA-921","DBA-921")</f>
        <v>DBA-921</v>
      </c>
      <c r="B3734" s="6" t="s">
        <v>21</v>
      </c>
      <c r="C3734" s="6" t="s">
        <v>15436</v>
      </c>
      <c r="D3734" s="8" t="s">
        <v>17</v>
      </c>
      <c r="E3734" s="6" t="s">
        <v>23</v>
      </c>
      <c r="F3734" s="6" t="s">
        <v>24</v>
      </c>
      <c r="G3734" s="6" t="s">
        <v>15437</v>
      </c>
      <c r="H3734" s="10">
        <v>45724</v>
      </c>
      <c r="I3734" s="6" t="s">
        <v>15438</v>
      </c>
      <c r="J3734" s="6" t="s">
        <v>165</v>
      </c>
      <c r="K3734" s="6" t="s">
        <v>165</v>
      </c>
      <c r="L3734" s="6" t="s">
        <v>1091</v>
      </c>
      <c r="M3734" s="6" t="s">
        <v>15439</v>
      </c>
    </row>
    <row r="3735" spans="1:13" ht="13" x14ac:dyDescent="0.15">
      <c r="A3735" s="5" t="str">
        <f>HYPERLINK("https://onemount.atlassian.net/browse/DBA-920","DBA-920")</f>
        <v>DBA-920</v>
      </c>
      <c r="B3735" s="6" t="s">
        <v>21</v>
      </c>
      <c r="C3735" s="6" t="s">
        <v>15127</v>
      </c>
      <c r="D3735" s="8" t="s">
        <v>17</v>
      </c>
      <c r="E3735" s="6" t="s">
        <v>23</v>
      </c>
      <c r="F3735" s="6" t="s">
        <v>24</v>
      </c>
      <c r="G3735" s="6" t="s">
        <v>15440</v>
      </c>
      <c r="H3735" s="10">
        <v>45723</v>
      </c>
      <c r="I3735" s="6" t="s">
        <v>15441</v>
      </c>
      <c r="J3735" s="6" t="s">
        <v>55</v>
      </c>
      <c r="K3735" s="6" t="s">
        <v>55</v>
      </c>
      <c r="L3735" s="6" t="s">
        <v>906</v>
      </c>
      <c r="M3735" s="6" t="s">
        <v>15442</v>
      </c>
    </row>
    <row r="3736" spans="1:13" ht="13" x14ac:dyDescent="0.15">
      <c r="A3736" s="5" t="str">
        <f>HYPERLINK("https://onemount.atlassian.net/browse/DBA-919","DBA-919")</f>
        <v>DBA-919</v>
      </c>
      <c r="B3736" s="6" t="s">
        <v>21</v>
      </c>
      <c r="C3736" s="6" t="s">
        <v>15443</v>
      </c>
      <c r="D3736" s="8" t="s">
        <v>17</v>
      </c>
      <c r="E3736" s="6" t="s">
        <v>23</v>
      </c>
      <c r="F3736" s="6" t="s">
        <v>31</v>
      </c>
      <c r="G3736" s="6" t="s">
        <v>15444</v>
      </c>
      <c r="H3736" s="10">
        <v>45724</v>
      </c>
      <c r="I3736" s="6" t="s">
        <v>15445</v>
      </c>
      <c r="J3736" s="6" t="s">
        <v>254</v>
      </c>
      <c r="K3736" s="6" t="s">
        <v>55</v>
      </c>
      <c r="L3736" s="6" t="s">
        <v>254</v>
      </c>
      <c r="M3736" s="6" t="s">
        <v>15446</v>
      </c>
    </row>
    <row r="3737" spans="1:13" ht="13" x14ac:dyDescent="0.15">
      <c r="A3737" s="5" t="str">
        <f>HYPERLINK("https://onemount.atlassian.net/browse/DBA-918","DBA-918")</f>
        <v>DBA-918</v>
      </c>
      <c r="B3737" s="6" t="s">
        <v>21</v>
      </c>
      <c r="C3737" s="6" t="s">
        <v>15447</v>
      </c>
      <c r="D3737" s="8" t="s">
        <v>17</v>
      </c>
      <c r="E3737" s="6" t="s">
        <v>23</v>
      </c>
      <c r="F3737" s="6" t="s">
        <v>31</v>
      </c>
      <c r="G3737" s="6" t="s">
        <v>15448</v>
      </c>
      <c r="H3737" s="10">
        <v>45724</v>
      </c>
      <c r="I3737" s="6" t="s">
        <v>15449</v>
      </c>
      <c r="J3737" s="6" t="s">
        <v>254</v>
      </c>
      <c r="K3737" s="6" t="s">
        <v>55</v>
      </c>
      <c r="L3737" s="6" t="s">
        <v>254</v>
      </c>
      <c r="M3737" s="6" t="s">
        <v>15450</v>
      </c>
    </row>
    <row r="3738" spans="1:13" ht="13" x14ac:dyDescent="0.15">
      <c r="A3738" s="5" t="str">
        <f>HYPERLINK("https://onemount.atlassian.net/browse/DBA-917","DBA-917")</f>
        <v>DBA-917</v>
      </c>
      <c r="B3738" s="6" t="s">
        <v>21</v>
      </c>
      <c r="C3738" s="6" t="s">
        <v>15451</v>
      </c>
      <c r="D3738" s="8" t="s">
        <v>17</v>
      </c>
      <c r="E3738" s="6" t="s">
        <v>23</v>
      </c>
      <c r="F3738" s="6" t="s">
        <v>31</v>
      </c>
      <c r="G3738" s="6" t="s">
        <v>15452</v>
      </c>
      <c r="H3738" s="10">
        <v>45724</v>
      </c>
      <c r="I3738" s="6" t="s">
        <v>15453</v>
      </c>
      <c r="J3738" s="6" t="s">
        <v>254</v>
      </c>
      <c r="K3738" s="6" t="s">
        <v>55</v>
      </c>
      <c r="L3738" s="6" t="s">
        <v>254</v>
      </c>
      <c r="M3738" s="6" t="s">
        <v>15454</v>
      </c>
    </row>
    <row r="3739" spans="1:13" ht="13" x14ac:dyDescent="0.15">
      <c r="A3739" s="21" t="str">
        <f>HYPERLINK("https://onemount.atlassian.net/browse/DBA-916","DBA-916")</f>
        <v>DBA-916</v>
      </c>
      <c r="B3739" s="6" t="s">
        <v>21</v>
      </c>
      <c r="C3739" s="6" t="s">
        <v>15455</v>
      </c>
      <c r="D3739" s="8" t="s">
        <v>17</v>
      </c>
      <c r="E3739" s="6" t="s">
        <v>23</v>
      </c>
      <c r="F3739" s="6" t="s">
        <v>96</v>
      </c>
      <c r="G3739" s="6" t="s">
        <v>15456</v>
      </c>
      <c r="H3739" s="10">
        <v>45723</v>
      </c>
      <c r="I3739" s="6" t="s">
        <v>15457</v>
      </c>
      <c r="J3739" s="6" t="s">
        <v>165</v>
      </c>
      <c r="K3739" s="6" t="s">
        <v>165</v>
      </c>
      <c r="L3739" s="6" t="s">
        <v>1052</v>
      </c>
      <c r="M3739" s="6" t="s">
        <v>15458</v>
      </c>
    </row>
    <row r="3740" spans="1:13" ht="13" x14ac:dyDescent="0.15">
      <c r="A3740" s="21" t="str">
        <f>HYPERLINK("https://onemount.atlassian.net/browse/DBA-915","DBA-915")</f>
        <v>DBA-915</v>
      </c>
      <c r="B3740" s="6" t="s">
        <v>21</v>
      </c>
      <c r="C3740" s="6" t="s">
        <v>15455</v>
      </c>
      <c r="D3740" s="8" t="s">
        <v>17</v>
      </c>
      <c r="E3740" s="6" t="s">
        <v>23</v>
      </c>
      <c r="F3740" s="6" t="s">
        <v>96</v>
      </c>
      <c r="G3740" s="6" t="s">
        <v>15459</v>
      </c>
      <c r="H3740" s="10">
        <v>45724</v>
      </c>
      <c r="I3740" s="6" t="s">
        <v>15460</v>
      </c>
      <c r="J3740" s="6" t="s">
        <v>165</v>
      </c>
      <c r="K3740" s="6" t="s">
        <v>165</v>
      </c>
      <c r="L3740" s="6" t="s">
        <v>1052</v>
      </c>
      <c r="M3740" s="6" t="s">
        <v>15458</v>
      </c>
    </row>
    <row r="3741" spans="1:13" ht="13" x14ac:dyDescent="0.15">
      <c r="A3741" s="21" t="str">
        <f>HYPERLINK("https://onemount.atlassian.net/browse/DBA-914","DBA-914")</f>
        <v>DBA-914</v>
      </c>
      <c r="B3741" s="6" t="s">
        <v>21</v>
      </c>
      <c r="C3741" s="6" t="s">
        <v>15461</v>
      </c>
      <c r="D3741" s="8" t="s">
        <v>17</v>
      </c>
      <c r="E3741" s="6" t="s">
        <v>23</v>
      </c>
      <c r="F3741" s="6" t="s">
        <v>96</v>
      </c>
      <c r="G3741" s="6" t="s">
        <v>15462</v>
      </c>
      <c r="H3741" s="10">
        <v>45722</v>
      </c>
      <c r="I3741" s="6" t="s">
        <v>15463</v>
      </c>
      <c r="J3741" s="6" t="s">
        <v>165</v>
      </c>
      <c r="K3741" s="6" t="s">
        <v>165</v>
      </c>
      <c r="L3741" s="6" t="s">
        <v>715</v>
      </c>
      <c r="M3741" s="6" t="s">
        <v>15464</v>
      </c>
    </row>
    <row r="3742" spans="1:13" ht="13" x14ac:dyDescent="0.15">
      <c r="A3742" s="5" t="str">
        <f>HYPERLINK("https://onemount.atlassian.net/browse/DBA-913","DBA-913")</f>
        <v>DBA-913</v>
      </c>
      <c r="B3742" s="6" t="s">
        <v>21</v>
      </c>
      <c r="C3742" s="6" t="s">
        <v>15465</v>
      </c>
      <c r="D3742" s="8" t="s">
        <v>17</v>
      </c>
      <c r="E3742" s="6" t="s">
        <v>23</v>
      </c>
      <c r="F3742" s="6" t="s">
        <v>24</v>
      </c>
      <c r="G3742" s="6" t="s">
        <v>15466</v>
      </c>
      <c r="H3742" s="10">
        <v>45724</v>
      </c>
      <c r="I3742" s="6" t="s">
        <v>15467</v>
      </c>
      <c r="J3742" s="6" t="s">
        <v>3096</v>
      </c>
      <c r="K3742" s="6" t="s">
        <v>55</v>
      </c>
      <c r="L3742" s="6" t="s">
        <v>906</v>
      </c>
      <c r="M3742" s="6" t="s">
        <v>15468</v>
      </c>
    </row>
    <row r="3743" spans="1:13" ht="13" x14ac:dyDescent="0.15">
      <c r="A3743" s="5" t="str">
        <f>HYPERLINK("https://onemount.atlassian.net/browse/DBA-912","DBA-912")</f>
        <v>DBA-912</v>
      </c>
      <c r="B3743" s="6" t="s">
        <v>21</v>
      </c>
      <c r="C3743" s="6" t="s">
        <v>15469</v>
      </c>
      <c r="D3743" s="8" t="s">
        <v>17</v>
      </c>
      <c r="E3743" s="6" t="s">
        <v>23</v>
      </c>
      <c r="F3743" s="6" t="s">
        <v>24</v>
      </c>
      <c r="G3743" s="6" t="s">
        <v>15470</v>
      </c>
      <c r="H3743" s="10">
        <v>45723</v>
      </c>
      <c r="I3743" s="6" t="s">
        <v>15471</v>
      </c>
      <c r="J3743" s="6" t="s">
        <v>15472</v>
      </c>
      <c r="K3743" s="6" t="s">
        <v>46</v>
      </c>
      <c r="L3743" s="6" t="s">
        <v>39</v>
      </c>
      <c r="M3743" s="6" t="s">
        <v>15473</v>
      </c>
    </row>
    <row r="3744" spans="1:13" ht="13" x14ac:dyDescent="0.15">
      <c r="A3744" s="5" t="str">
        <f>HYPERLINK("https://onemount.atlassian.net/browse/DBA-911","DBA-911")</f>
        <v>DBA-911</v>
      </c>
      <c r="B3744" s="6" t="s">
        <v>21</v>
      </c>
      <c r="C3744" s="6" t="s">
        <v>15405</v>
      </c>
      <c r="D3744" s="8" t="s">
        <v>17</v>
      </c>
      <c r="E3744" s="6" t="s">
        <v>23</v>
      </c>
      <c r="F3744" s="6" t="s">
        <v>31</v>
      </c>
      <c r="G3744" s="6" t="s">
        <v>15474</v>
      </c>
      <c r="H3744" s="10">
        <v>45723</v>
      </c>
      <c r="I3744" s="6" t="s">
        <v>15475</v>
      </c>
      <c r="J3744" s="6" t="s">
        <v>56</v>
      </c>
      <c r="K3744" s="6" t="s">
        <v>55</v>
      </c>
      <c r="L3744" s="6" t="s">
        <v>56</v>
      </c>
      <c r="M3744" s="6" t="s">
        <v>15476</v>
      </c>
    </row>
    <row r="3745" spans="1:13" ht="13" x14ac:dyDescent="0.15">
      <c r="A3745" s="5" t="str">
        <f>HYPERLINK("https://onemount.atlassian.net/browse/DBA-910","DBA-910")</f>
        <v>DBA-910</v>
      </c>
      <c r="B3745" s="6" t="s">
        <v>21</v>
      </c>
      <c r="C3745" s="6" t="s">
        <v>15477</v>
      </c>
      <c r="D3745" s="8" t="s">
        <v>17</v>
      </c>
      <c r="E3745" s="6" t="s">
        <v>23</v>
      </c>
      <c r="F3745" s="6" t="s">
        <v>96</v>
      </c>
      <c r="G3745" s="6" t="s">
        <v>15478</v>
      </c>
      <c r="H3745" s="10">
        <v>45723</v>
      </c>
      <c r="I3745" s="6" t="s">
        <v>15479</v>
      </c>
      <c r="J3745" s="6" t="s">
        <v>2453</v>
      </c>
      <c r="K3745" s="6" t="s">
        <v>165</v>
      </c>
      <c r="L3745" s="6" t="s">
        <v>119</v>
      </c>
      <c r="M3745" s="6" t="s">
        <v>15480</v>
      </c>
    </row>
    <row r="3746" spans="1:13" ht="13" x14ac:dyDescent="0.15">
      <c r="A3746" s="5" t="str">
        <f>HYPERLINK("https://onemount.atlassian.net/browse/DBA-909","DBA-909")</f>
        <v>DBA-909</v>
      </c>
      <c r="B3746" s="6" t="s">
        <v>21</v>
      </c>
      <c r="C3746" s="6" t="s">
        <v>15405</v>
      </c>
      <c r="D3746" s="8" t="s">
        <v>17</v>
      </c>
      <c r="E3746" s="6" t="s">
        <v>23</v>
      </c>
      <c r="F3746" s="6" t="s">
        <v>31</v>
      </c>
      <c r="G3746" s="6" t="s">
        <v>15481</v>
      </c>
      <c r="H3746" s="10">
        <v>45723</v>
      </c>
      <c r="I3746" s="6" t="s">
        <v>15482</v>
      </c>
      <c r="J3746" s="6" t="s">
        <v>56</v>
      </c>
      <c r="K3746" s="6" t="s">
        <v>55</v>
      </c>
      <c r="L3746" s="6" t="s">
        <v>56</v>
      </c>
      <c r="M3746" s="6" t="s">
        <v>15483</v>
      </c>
    </row>
    <row r="3747" spans="1:13" ht="13" x14ac:dyDescent="0.15">
      <c r="A3747" s="21" t="str">
        <f>HYPERLINK("https://onemount.atlassian.net/browse/DBA-908","DBA-908")</f>
        <v>DBA-908</v>
      </c>
      <c r="B3747" s="6" t="s">
        <v>21</v>
      </c>
      <c r="C3747" s="6" t="s">
        <v>15484</v>
      </c>
      <c r="D3747" s="8" t="s">
        <v>17</v>
      </c>
      <c r="E3747" s="6" t="s">
        <v>23</v>
      </c>
      <c r="F3747" s="6" t="s">
        <v>96</v>
      </c>
      <c r="G3747" s="6" t="s">
        <v>15485</v>
      </c>
      <c r="H3747" s="10">
        <v>45721</v>
      </c>
      <c r="I3747" s="6" t="s">
        <v>15486</v>
      </c>
      <c r="J3747" s="6" t="s">
        <v>165</v>
      </c>
      <c r="K3747" s="6" t="s">
        <v>165</v>
      </c>
      <c r="L3747" s="6" t="s">
        <v>715</v>
      </c>
      <c r="M3747" s="6" t="s">
        <v>15487</v>
      </c>
    </row>
    <row r="3748" spans="1:13" ht="13" x14ac:dyDescent="0.15">
      <c r="A3748" s="21" t="str">
        <f>HYPERLINK("https://onemount.atlassian.net/browse/DBA-907","DBA-907")</f>
        <v>DBA-907</v>
      </c>
      <c r="B3748" s="6" t="s">
        <v>21</v>
      </c>
      <c r="C3748" s="6" t="s">
        <v>15484</v>
      </c>
      <c r="D3748" s="8" t="s">
        <v>17</v>
      </c>
      <c r="E3748" s="6" t="s">
        <v>23</v>
      </c>
      <c r="F3748" s="6" t="s">
        <v>96</v>
      </c>
      <c r="G3748" s="6" t="s">
        <v>15488</v>
      </c>
      <c r="H3748" s="10">
        <v>45721</v>
      </c>
      <c r="I3748" s="6" t="s">
        <v>15489</v>
      </c>
      <c r="J3748" s="6" t="s">
        <v>165</v>
      </c>
      <c r="K3748" s="6" t="s">
        <v>165</v>
      </c>
      <c r="L3748" s="6" t="s">
        <v>715</v>
      </c>
      <c r="M3748" s="6" t="s">
        <v>15487</v>
      </c>
    </row>
    <row r="3749" spans="1:13" ht="13" x14ac:dyDescent="0.15">
      <c r="A3749" s="5" t="str">
        <f>HYPERLINK("https://onemount.atlassian.net/browse/DBA-906","DBA-906")</f>
        <v>DBA-906</v>
      </c>
      <c r="B3749" s="6" t="s">
        <v>21</v>
      </c>
      <c r="C3749" s="6" t="s">
        <v>15490</v>
      </c>
      <c r="D3749" s="8" t="s">
        <v>17</v>
      </c>
      <c r="E3749" s="6" t="s">
        <v>23</v>
      </c>
      <c r="F3749" s="6" t="s">
        <v>96</v>
      </c>
      <c r="G3749" s="6" t="s">
        <v>15491</v>
      </c>
      <c r="H3749" s="10">
        <v>45721</v>
      </c>
      <c r="I3749" s="6" t="s">
        <v>15492</v>
      </c>
      <c r="J3749" s="6" t="s">
        <v>165</v>
      </c>
      <c r="K3749" s="6" t="s">
        <v>165</v>
      </c>
      <c r="L3749" s="6" t="s">
        <v>1091</v>
      </c>
      <c r="M3749" s="6" t="s">
        <v>15493</v>
      </c>
    </row>
    <row r="3750" spans="1:13" ht="13" x14ac:dyDescent="0.15">
      <c r="A3750" s="5" t="str">
        <f>HYPERLINK("https://onemount.atlassian.net/browse/DBA-905","DBA-905")</f>
        <v>DBA-905</v>
      </c>
      <c r="B3750" s="6" t="s">
        <v>21</v>
      </c>
      <c r="C3750" s="6" t="s">
        <v>15494</v>
      </c>
      <c r="D3750" s="8" t="s">
        <v>17</v>
      </c>
      <c r="E3750" s="6" t="s">
        <v>23</v>
      </c>
      <c r="F3750" s="6" t="s">
        <v>31</v>
      </c>
      <c r="G3750" s="6" t="s">
        <v>15495</v>
      </c>
      <c r="H3750" s="10">
        <v>45723</v>
      </c>
      <c r="I3750" s="6" t="s">
        <v>15496</v>
      </c>
      <c r="J3750" s="6" t="s">
        <v>254</v>
      </c>
      <c r="K3750" s="6" t="s">
        <v>55</v>
      </c>
      <c r="L3750" s="6" t="s">
        <v>254</v>
      </c>
      <c r="M3750" s="6" t="s">
        <v>15497</v>
      </c>
    </row>
    <row r="3751" spans="1:13" ht="13" x14ac:dyDescent="0.15">
      <c r="A3751" s="5" t="str">
        <f>HYPERLINK("https://onemount.atlassian.net/browse/DBA-904","DBA-904")</f>
        <v>DBA-904</v>
      </c>
      <c r="B3751" s="6" t="s">
        <v>21</v>
      </c>
      <c r="C3751" s="6" t="s">
        <v>10388</v>
      </c>
      <c r="D3751" s="8" t="s">
        <v>17</v>
      </c>
      <c r="E3751" s="6" t="s">
        <v>23</v>
      </c>
      <c r="F3751" s="6" t="s">
        <v>96</v>
      </c>
      <c r="G3751" s="6" t="s">
        <v>15498</v>
      </c>
      <c r="H3751" s="10">
        <v>45722</v>
      </c>
      <c r="I3751" s="6" t="s">
        <v>15499</v>
      </c>
      <c r="J3751" s="6" t="s">
        <v>254</v>
      </c>
      <c r="K3751" s="6" t="s">
        <v>55</v>
      </c>
      <c r="L3751" s="6" t="s">
        <v>254</v>
      </c>
      <c r="M3751" s="6" t="s">
        <v>15500</v>
      </c>
    </row>
    <row r="3752" spans="1:13" ht="13" x14ac:dyDescent="0.15">
      <c r="A3752" s="5" t="str">
        <f>HYPERLINK("https://onemount.atlassian.net/browse/DBA-903","DBA-903")</f>
        <v>DBA-903</v>
      </c>
      <c r="B3752" s="6" t="s">
        <v>21</v>
      </c>
      <c r="C3752" s="6" t="s">
        <v>15501</v>
      </c>
      <c r="D3752" s="8" t="s">
        <v>17</v>
      </c>
      <c r="E3752" s="6" t="s">
        <v>23</v>
      </c>
      <c r="F3752" s="6" t="s">
        <v>24</v>
      </c>
      <c r="G3752" s="6" t="s">
        <v>15502</v>
      </c>
      <c r="H3752" s="10">
        <v>45721</v>
      </c>
      <c r="I3752" s="6" t="s">
        <v>15503</v>
      </c>
      <c r="J3752" s="6" t="s">
        <v>15504</v>
      </c>
      <c r="K3752" s="6" t="s">
        <v>55</v>
      </c>
      <c r="L3752" s="6" t="s">
        <v>328</v>
      </c>
      <c r="M3752" s="6" t="s">
        <v>15505</v>
      </c>
    </row>
    <row r="3753" spans="1:13" ht="13" x14ac:dyDescent="0.15">
      <c r="A3753" s="5" t="str">
        <f>HYPERLINK("https://onemount.atlassian.net/browse/DBA-902","DBA-902")</f>
        <v>DBA-902</v>
      </c>
      <c r="B3753" s="6" t="s">
        <v>21</v>
      </c>
      <c r="C3753" s="6" t="s">
        <v>15506</v>
      </c>
      <c r="D3753" s="8" t="s">
        <v>17</v>
      </c>
      <c r="E3753" s="6" t="s">
        <v>23</v>
      </c>
      <c r="F3753" s="6" t="s">
        <v>96</v>
      </c>
      <c r="G3753" s="6" t="s">
        <v>15507</v>
      </c>
      <c r="H3753" s="10">
        <v>45722</v>
      </c>
      <c r="I3753" s="6" t="s">
        <v>15508</v>
      </c>
      <c r="J3753" s="6" t="s">
        <v>1898</v>
      </c>
      <c r="K3753" s="6" t="s">
        <v>165</v>
      </c>
      <c r="L3753" s="6" t="s">
        <v>1097</v>
      </c>
      <c r="M3753" s="6" t="s">
        <v>15509</v>
      </c>
    </row>
    <row r="3754" spans="1:13" ht="13" x14ac:dyDescent="0.15">
      <c r="A3754" s="5" t="str">
        <f>HYPERLINK("https://onemount.atlassian.net/browse/DBA-901","DBA-901")</f>
        <v>DBA-901</v>
      </c>
      <c r="B3754" s="6" t="s">
        <v>21</v>
      </c>
      <c r="C3754" s="6" t="s">
        <v>15510</v>
      </c>
      <c r="D3754" s="8" t="s">
        <v>17</v>
      </c>
      <c r="E3754" s="6" t="s">
        <v>23</v>
      </c>
      <c r="F3754" s="6" t="s">
        <v>96</v>
      </c>
      <c r="G3754" s="6" t="s">
        <v>15511</v>
      </c>
      <c r="H3754" s="10">
        <v>45721</v>
      </c>
      <c r="I3754" s="6" t="s">
        <v>15512</v>
      </c>
      <c r="J3754" s="6" t="s">
        <v>165</v>
      </c>
      <c r="K3754" s="6" t="s">
        <v>165</v>
      </c>
      <c r="L3754" s="6" t="s">
        <v>998</v>
      </c>
      <c r="M3754" s="6" t="s">
        <v>15513</v>
      </c>
    </row>
    <row r="3755" spans="1:13" ht="13" x14ac:dyDescent="0.15">
      <c r="A3755" s="5" t="str">
        <f>HYPERLINK("https://onemount.atlassian.net/browse/DBA-900","DBA-900")</f>
        <v>DBA-900</v>
      </c>
      <c r="B3755" s="6" t="s">
        <v>21</v>
      </c>
      <c r="C3755" s="6" t="s">
        <v>15514</v>
      </c>
      <c r="D3755" s="8" t="s">
        <v>17</v>
      </c>
      <c r="E3755" s="6" t="s">
        <v>23</v>
      </c>
      <c r="F3755" s="6" t="s">
        <v>24</v>
      </c>
      <c r="G3755" s="6" t="s">
        <v>15515</v>
      </c>
      <c r="H3755" s="10">
        <v>45722</v>
      </c>
      <c r="I3755" s="6" t="s">
        <v>15516</v>
      </c>
      <c r="J3755" s="6" t="s">
        <v>55</v>
      </c>
      <c r="K3755" s="6" t="s">
        <v>55</v>
      </c>
      <c r="L3755" s="6" t="s">
        <v>56</v>
      </c>
      <c r="M3755" s="6" t="s">
        <v>15517</v>
      </c>
    </row>
    <row r="3756" spans="1:13" ht="13" x14ac:dyDescent="0.15">
      <c r="A3756" s="5" t="str">
        <f>HYPERLINK("https://onemount.atlassian.net/browse/DBA-899","DBA-899")</f>
        <v>DBA-899</v>
      </c>
      <c r="B3756" s="6" t="s">
        <v>21</v>
      </c>
      <c r="C3756" s="6" t="s">
        <v>15518</v>
      </c>
      <c r="D3756" s="8" t="s">
        <v>17</v>
      </c>
      <c r="E3756" s="6" t="s">
        <v>23</v>
      </c>
      <c r="F3756" s="6" t="s">
        <v>96</v>
      </c>
      <c r="G3756" s="6" t="s">
        <v>15519</v>
      </c>
      <c r="H3756" s="10">
        <v>45721</v>
      </c>
      <c r="I3756" s="6" t="s">
        <v>15520</v>
      </c>
      <c r="J3756" s="6" t="s">
        <v>517</v>
      </c>
      <c r="K3756" s="6" t="s">
        <v>165</v>
      </c>
      <c r="L3756" s="6" t="s">
        <v>288</v>
      </c>
      <c r="M3756" s="6" t="s">
        <v>15521</v>
      </c>
    </row>
    <row r="3757" spans="1:13" ht="13" x14ac:dyDescent="0.15">
      <c r="A3757" s="5" t="str">
        <f>HYPERLINK("https://onemount.atlassian.net/browse/DBA-898","DBA-898")</f>
        <v>DBA-898</v>
      </c>
      <c r="B3757" s="6" t="s">
        <v>21</v>
      </c>
      <c r="C3757" s="6" t="s">
        <v>15522</v>
      </c>
      <c r="D3757" s="8" t="s">
        <v>17</v>
      </c>
      <c r="E3757" s="6" t="s">
        <v>23</v>
      </c>
      <c r="F3757" s="6" t="s">
        <v>96</v>
      </c>
      <c r="G3757" s="6" t="s">
        <v>15523</v>
      </c>
      <c r="H3757" s="10">
        <v>45721</v>
      </c>
      <c r="I3757" s="6" t="s">
        <v>15524</v>
      </c>
      <c r="J3757" s="6" t="s">
        <v>165</v>
      </c>
      <c r="K3757" s="6" t="s">
        <v>46</v>
      </c>
      <c r="L3757" s="6" t="s">
        <v>39</v>
      </c>
      <c r="M3757" s="6" t="s">
        <v>15525</v>
      </c>
    </row>
    <row r="3758" spans="1:13" ht="13" x14ac:dyDescent="0.15">
      <c r="A3758" s="5" t="str">
        <f>HYPERLINK("https://onemount.atlassian.net/browse/DBA-897","DBA-897")</f>
        <v>DBA-897</v>
      </c>
      <c r="B3758" s="6" t="s">
        <v>21</v>
      </c>
      <c r="C3758" s="6" t="s">
        <v>14258</v>
      </c>
      <c r="D3758" s="8" t="s">
        <v>17</v>
      </c>
      <c r="E3758" s="6" t="s">
        <v>23</v>
      </c>
      <c r="F3758" s="6" t="s">
        <v>24</v>
      </c>
      <c r="G3758" s="6" t="s">
        <v>15526</v>
      </c>
      <c r="H3758" s="10">
        <v>45722</v>
      </c>
      <c r="I3758" s="6" t="s">
        <v>15527</v>
      </c>
      <c r="J3758" s="6" t="s">
        <v>15528</v>
      </c>
      <c r="K3758" s="6" t="s">
        <v>35</v>
      </c>
      <c r="L3758" s="6" t="s">
        <v>981</v>
      </c>
      <c r="M3758" s="6" t="s">
        <v>15529</v>
      </c>
    </row>
    <row r="3759" spans="1:13" ht="13" x14ac:dyDescent="0.15">
      <c r="A3759" s="5" t="str">
        <f>HYPERLINK("https://onemount.atlassian.net/browse/DBA-896","DBA-896")</f>
        <v>DBA-896</v>
      </c>
      <c r="B3759" s="6" t="s">
        <v>21</v>
      </c>
      <c r="C3759" s="6" t="s">
        <v>12758</v>
      </c>
      <c r="D3759" s="8" t="s">
        <v>17</v>
      </c>
      <c r="E3759" s="6" t="s">
        <v>23</v>
      </c>
      <c r="F3759" s="6" t="s">
        <v>96</v>
      </c>
      <c r="G3759" s="6" t="s">
        <v>15530</v>
      </c>
      <c r="H3759" s="10">
        <v>45721</v>
      </c>
      <c r="I3759" s="6" t="s">
        <v>15531</v>
      </c>
      <c r="J3759" s="6" t="s">
        <v>165</v>
      </c>
      <c r="K3759" s="6" t="s">
        <v>165</v>
      </c>
      <c r="L3759" s="6" t="s">
        <v>1006</v>
      </c>
      <c r="M3759" s="6" t="s">
        <v>15532</v>
      </c>
    </row>
    <row r="3760" spans="1:13" ht="13" x14ac:dyDescent="0.15">
      <c r="A3760" s="5" t="str">
        <f>HYPERLINK("https://onemount.atlassian.net/browse/DBA-895","DBA-895")</f>
        <v>DBA-895</v>
      </c>
      <c r="B3760" s="6" t="s">
        <v>21</v>
      </c>
      <c r="C3760" s="6" t="s">
        <v>15533</v>
      </c>
      <c r="D3760" s="8" t="s">
        <v>17</v>
      </c>
      <c r="E3760" s="6" t="s">
        <v>23</v>
      </c>
      <c r="F3760" s="6" t="s">
        <v>31</v>
      </c>
      <c r="G3760" s="6" t="s">
        <v>15534</v>
      </c>
      <c r="H3760" s="10">
        <v>45722</v>
      </c>
      <c r="I3760" s="6" t="s">
        <v>15535</v>
      </c>
      <c r="J3760" s="6" t="s">
        <v>34</v>
      </c>
      <c r="K3760" s="6" t="s">
        <v>35</v>
      </c>
      <c r="L3760" s="6" t="s">
        <v>36</v>
      </c>
      <c r="M3760" s="6" t="s">
        <v>15536</v>
      </c>
    </row>
    <row r="3761" spans="1:13" ht="13" x14ac:dyDescent="0.15">
      <c r="A3761" s="5" t="str">
        <f>HYPERLINK("https://onemount.atlassian.net/browse/DBA-894","DBA-894")</f>
        <v>DBA-894</v>
      </c>
      <c r="B3761" s="6" t="s">
        <v>21</v>
      </c>
      <c r="C3761" s="6" t="s">
        <v>15537</v>
      </c>
      <c r="D3761" s="8" t="s">
        <v>17</v>
      </c>
      <c r="E3761" s="6" t="s">
        <v>23</v>
      </c>
      <c r="F3761" s="6" t="s">
        <v>96</v>
      </c>
      <c r="G3761" s="6" t="s">
        <v>15538</v>
      </c>
      <c r="H3761" s="10">
        <v>45721</v>
      </c>
      <c r="I3761" s="6" t="s">
        <v>15539</v>
      </c>
      <c r="J3761" s="6" t="s">
        <v>165</v>
      </c>
      <c r="K3761" s="6" t="s">
        <v>165</v>
      </c>
      <c r="L3761" s="6" t="s">
        <v>288</v>
      </c>
      <c r="M3761" s="6" t="s">
        <v>15540</v>
      </c>
    </row>
    <row r="3762" spans="1:13" ht="13" x14ac:dyDescent="0.15">
      <c r="A3762" s="5" t="str">
        <f>HYPERLINK("https://onemount.atlassian.net/browse/DBA-893","DBA-893")</f>
        <v>DBA-893</v>
      </c>
      <c r="B3762" s="6" t="s">
        <v>21</v>
      </c>
      <c r="C3762" s="6" t="s">
        <v>14027</v>
      </c>
      <c r="D3762" s="8" t="s">
        <v>17</v>
      </c>
      <c r="E3762" s="6" t="s">
        <v>23</v>
      </c>
      <c r="F3762" s="6" t="s">
        <v>31</v>
      </c>
      <c r="G3762" s="6" t="s">
        <v>15541</v>
      </c>
      <c r="H3762" s="10">
        <v>45721</v>
      </c>
      <c r="I3762" s="6" t="s">
        <v>15542</v>
      </c>
      <c r="J3762" s="6" t="s">
        <v>28</v>
      </c>
      <c r="K3762" s="6" t="s">
        <v>28</v>
      </c>
      <c r="L3762" s="6" t="s">
        <v>1127</v>
      </c>
      <c r="M3762" s="6" t="s">
        <v>15543</v>
      </c>
    </row>
    <row r="3763" spans="1:13" ht="13" x14ac:dyDescent="0.15">
      <c r="A3763" s="5" t="str">
        <f>HYPERLINK("https://onemount.atlassian.net/browse/DBA-892","DBA-892")</f>
        <v>DBA-892</v>
      </c>
      <c r="B3763" s="6" t="s">
        <v>21</v>
      </c>
      <c r="C3763" s="6" t="s">
        <v>15544</v>
      </c>
      <c r="D3763" s="8" t="s">
        <v>17</v>
      </c>
      <c r="E3763" s="6" t="s">
        <v>23</v>
      </c>
      <c r="F3763" s="6" t="s">
        <v>24</v>
      </c>
      <c r="G3763" s="6" t="s">
        <v>15545</v>
      </c>
      <c r="H3763" s="10">
        <v>45720</v>
      </c>
      <c r="I3763" s="6" t="s">
        <v>15546</v>
      </c>
      <c r="J3763" s="6" t="s">
        <v>15547</v>
      </c>
      <c r="K3763" s="6" t="s">
        <v>55</v>
      </c>
      <c r="L3763" s="6" t="s">
        <v>906</v>
      </c>
      <c r="M3763" s="6" t="s">
        <v>15548</v>
      </c>
    </row>
    <row r="3764" spans="1:13" ht="13" x14ac:dyDescent="0.15">
      <c r="A3764" s="5" t="str">
        <f>HYPERLINK("https://onemount.atlassian.net/browse/DBA-891","DBA-891")</f>
        <v>DBA-891</v>
      </c>
      <c r="B3764" s="6" t="s">
        <v>21</v>
      </c>
      <c r="C3764" s="6" t="s">
        <v>15549</v>
      </c>
      <c r="D3764" s="8" t="s">
        <v>17</v>
      </c>
      <c r="E3764" s="6" t="s">
        <v>23</v>
      </c>
      <c r="F3764" s="6" t="s">
        <v>96</v>
      </c>
      <c r="G3764" s="6" t="s">
        <v>15550</v>
      </c>
      <c r="H3764" s="10">
        <v>45721</v>
      </c>
      <c r="I3764" s="6" t="s">
        <v>15551</v>
      </c>
      <c r="J3764" s="6" t="s">
        <v>39</v>
      </c>
      <c r="K3764" s="6" t="s">
        <v>165</v>
      </c>
      <c r="L3764" s="6" t="s">
        <v>1054</v>
      </c>
      <c r="M3764" s="6" t="s">
        <v>15552</v>
      </c>
    </row>
    <row r="3765" spans="1:13" ht="13" x14ac:dyDescent="0.15">
      <c r="A3765" s="5" t="str">
        <f>HYPERLINK("https://onemount.atlassian.net/browse/DBA-890","DBA-890")</f>
        <v>DBA-890</v>
      </c>
      <c r="B3765" s="6" t="s">
        <v>21</v>
      </c>
      <c r="C3765" s="6" t="s">
        <v>15413</v>
      </c>
      <c r="D3765" s="8" t="s">
        <v>17</v>
      </c>
      <c r="E3765" s="6" t="s">
        <v>23</v>
      </c>
      <c r="F3765" s="6" t="s">
        <v>31</v>
      </c>
      <c r="G3765" s="6" t="s">
        <v>15553</v>
      </c>
      <c r="H3765" s="10">
        <v>45721</v>
      </c>
      <c r="I3765" s="6" t="s">
        <v>15554</v>
      </c>
      <c r="J3765" s="6" t="s">
        <v>14672</v>
      </c>
      <c r="K3765" s="6" t="s">
        <v>55</v>
      </c>
      <c r="L3765" s="6" t="s">
        <v>254</v>
      </c>
      <c r="M3765" s="6" t="s">
        <v>15555</v>
      </c>
    </row>
    <row r="3766" spans="1:13" ht="13" x14ac:dyDescent="0.15">
      <c r="A3766" s="5" t="str">
        <f>HYPERLINK("https://onemount.atlassian.net/browse/DBA-889","DBA-889")</f>
        <v>DBA-889</v>
      </c>
      <c r="B3766" s="6" t="s">
        <v>21</v>
      </c>
      <c r="C3766" s="6" t="s">
        <v>10709</v>
      </c>
      <c r="D3766" s="8" t="s">
        <v>17</v>
      </c>
      <c r="E3766" s="6" t="s">
        <v>23</v>
      </c>
      <c r="F3766" s="6" t="s">
        <v>31</v>
      </c>
      <c r="G3766" s="6" t="s">
        <v>15556</v>
      </c>
      <c r="H3766" s="10">
        <v>45721</v>
      </c>
      <c r="I3766" s="6" t="s">
        <v>15557</v>
      </c>
      <c r="J3766" s="6" t="s">
        <v>49</v>
      </c>
      <c r="K3766" s="6" t="s">
        <v>35</v>
      </c>
      <c r="L3766" s="6" t="s">
        <v>981</v>
      </c>
      <c r="M3766" s="6" t="s">
        <v>15558</v>
      </c>
    </row>
    <row r="3767" spans="1:13" ht="13" x14ac:dyDescent="0.15">
      <c r="A3767" s="5" t="str">
        <f>HYPERLINK("https://onemount.atlassian.net/browse/DBA-888","DBA-888")</f>
        <v>DBA-888</v>
      </c>
      <c r="B3767" s="6" t="s">
        <v>21</v>
      </c>
      <c r="C3767" s="6" t="s">
        <v>15559</v>
      </c>
      <c r="D3767" s="8" t="s">
        <v>17</v>
      </c>
      <c r="E3767" s="6" t="s">
        <v>23</v>
      </c>
      <c r="F3767" s="6" t="s">
        <v>24</v>
      </c>
      <c r="G3767" s="6" t="s">
        <v>15560</v>
      </c>
      <c r="H3767" s="10">
        <v>45721</v>
      </c>
      <c r="I3767" s="6" t="s">
        <v>15561</v>
      </c>
      <c r="J3767" s="6" t="s">
        <v>55</v>
      </c>
      <c r="K3767" s="6" t="s">
        <v>55</v>
      </c>
      <c r="L3767" s="6" t="s">
        <v>756</v>
      </c>
      <c r="M3767" s="6" t="s">
        <v>15562</v>
      </c>
    </row>
    <row r="3768" spans="1:13" ht="13" x14ac:dyDescent="0.15">
      <c r="A3768" s="5" t="str">
        <f>HYPERLINK("https://onemount.atlassian.net/browse/DBA-887","DBA-887")</f>
        <v>DBA-887</v>
      </c>
      <c r="B3768" s="6" t="s">
        <v>21</v>
      </c>
      <c r="C3768" s="6" t="s">
        <v>15563</v>
      </c>
      <c r="D3768" s="8" t="s">
        <v>17</v>
      </c>
      <c r="E3768" s="6" t="s">
        <v>23</v>
      </c>
      <c r="F3768" s="6" t="s">
        <v>24</v>
      </c>
      <c r="G3768" s="6" t="s">
        <v>15564</v>
      </c>
      <c r="H3768" s="10">
        <v>45721</v>
      </c>
      <c r="I3768" s="6" t="s">
        <v>15565</v>
      </c>
      <c r="J3768" s="6" t="s">
        <v>55</v>
      </c>
      <c r="K3768" s="6" t="s">
        <v>55</v>
      </c>
      <c r="L3768" s="6" t="s">
        <v>56</v>
      </c>
      <c r="M3768" s="6" t="s">
        <v>15566</v>
      </c>
    </row>
    <row r="3769" spans="1:13" ht="13" x14ac:dyDescent="0.15">
      <c r="A3769" s="21" t="str">
        <f>HYPERLINK("https://onemount.atlassian.net/browse/DBA-886","DBA-886")</f>
        <v>DBA-886</v>
      </c>
      <c r="B3769" s="6" t="s">
        <v>21</v>
      </c>
      <c r="C3769" s="6" t="s">
        <v>15461</v>
      </c>
      <c r="D3769" s="8" t="s">
        <v>17</v>
      </c>
      <c r="E3769" s="6" t="s">
        <v>23</v>
      </c>
      <c r="F3769" s="6" t="s">
        <v>96</v>
      </c>
      <c r="G3769" s="6" t="s">
        <v>15567</v>
      </c>
      <c r="H3769" s="10">
        <v>45731</v>
      </c>
      <c r="I3769" s="6" t="s">
        <v>15568</v>
      </c>
      <c r="J3769" s="6" t="s">
        <v>1054</v>
      </c>
      <c r="K3769" s="6" t="s">
        <v>165</v>
      </c>
      <c r="L3769" s="6" t="s">
        <v>715</v>
      </c>
      <c r="M3769" s="6" t="s">
        <v>15464</v>
      </c>
    </row>
    <row r="3770" spans="1:13" ht="13" x14ac:dyDescent="0.15">
      <c r="A3770" s="5" t="str">
        <f>HYPERLINK("https://onemount.atlassian.net/browse/DBA-885","DBA-885")</f>
        <v>DBA-885</v>
      </c>
      <c r="B3770" s="6" t="s">
        <v>21</v>
      </c>
      <c r="C3770" s="6" t="s">
        <v>15569</v>
      </c>
      <c r="D3770" s="8" t="s">
        <v>17</v>
      </c>
      <c r="E3770" s="6" t="s">
        <v>23</v>
      </c>
      <c r="F3770" s="6" t="s">
        <v>96</v>
      </c>
      <c r="G3770" s="6" t="s">
        <v>15570</v>
      </c>
      <c r="H3770" s="10">
        <v>45745</v>
      </c>
      <c r="I3770" s="6" t="s">
        <v>15571</v>
      </c>
      <c r="J3770" s="6" t="s">
        <v>39</v>
      </c>
      <c r="K3770" s="6" t="s">
        <v>46</v>
      </c>
      <c r="L3770" s="6" t="s">
        <v>39</v>
      </c>
      <c r="M3770" s="6" t="s">
        <v>15572</v>
      </c>
    </row>
    <row r="3771" spans="1:13" ht="13" x14ac:dyDescent="0.15">
      <c r="A3771" s="5" t="str">
        <f>HYPERLINK("https://onemount.atlassian.net/browse/DBA-884","DBA-884")</f>
        <v>DBA-884</v>
      </c>
      <c r="B3771" s="6" t="s">
        <v>21</v>
      </c>
      <c r="C3771" s="6" t="s">
        <v>14201</v>
      </c>
      <c r="D3771" s="8" t="s">
        <v>17</v>
      </c>
      <c r="E3771" s="6" t="s">
        <v>23</v>
      </c>
      <c r="F3771" s="6" t="s">
        <v>24</v>
      </c>
      <c r="G3771" s="6" t="s">
        <v>15573</v>
      </c>
      <c r="H3771" s="10">
        <v>45721</v>
      </c>
      <c r="I3771" s="6" t="s">
        <v>15574</v>
      </c>
      <c r="J3771" s="6" t="s">
        <v>15575</v>
      </c>
      <c r="K3771" s="6" t="s">
        <v>46</v>
      </c>
      <c r="L3771" s="6" t="s">
        <v>350</v>
      </c>
      <c r="M3771" s="6" t="s">
        <v>15576</v>
      </c>
    </row>
    <row r="3772" spans="1:13" ht="13" x14ac:dyDescent="0.15">
      <c r="A3772" s="5" t="str">
        <f>HYPERLINK("https://onemount.atlassian.net/browse/DBA-883","DBA-883")</f>
        <v>DBA-883</v>
      </c>
      <c r="B3772" s="6" t="s">
        <v>21</v>
      </c>
      <c r="C3772" s="6" t="s">
        <v>15577</v>
      </c>
      <c r="D3772" s="8" t="s">
        <v>17</v>
      </c>
      <c r="E3772" s="6" t="s">
        <v>23</v>
      </c>
      <c r="F3772" s="6" t="s">
        <v>96</v>
      </c>
      <c r="G3772" s="6" t="s">
        <v>15578</v>
      </c>
      <c r="H3772" s="10">
        <v>45721</v>
      </c>
      <c r="I3772" s="6" t="s">
        <v>15579</v>
      </c>
      <c r="J3772" s="6" t="s">
        <v>165</v>
      </c>
      <c r="K3772" s="6" t="s">
        <v>165</v>
      </c>
      <c r="L3772" s="6" t="s">
        <v>1052</v>
      </c>
      <c r="M3772" s="6" t="s">
        <v>15580</v>
      </c>
    </row>
    <row r="3773" spans="1:13" ht="13" x14ac:dyDescent="0.15">
      <c r="A3773" s="5" t="str">
        <f>HYPERLINK("https://onemount.atlassian.net/browse/DBA-882","DBA-882")</f>
        <v>DBA-882</v>
      </c>
      <c r="B3773" s="6" t="s">
        <v>21</v>
      </c>
      <c r="C3773" s="6" t="s">
        <v>15432</v>
      </c>
      <c r="D3773" s="8" t="s">
        <v>17</v>
      </c>
      <c r="E3773" s="6" t="s">
        <v>23</v>
      </c>
      <c r="F3773" s="6" t="s">
        <v>96</v>
      </c>
      <c r="G3773" s="6" t="s">
        <v>15581</v>
      </c>
      <c r="H3773" s="10">
        <v>45720</v>
      </c>
      <c r="I3773" s="6" t="s">
        <v>15582</v>
      </c>
      <c r="J3773" s="6" t="s">
        <v>1097</v>
      </c>
      <c r="K3773" s="6" t="s">
        <v>165</v>
      </c>
      <c r="L3773" s="6" t="s">
        <v>1097</v>
      </c>
      <c r="M3773" s="6" t="s">
        <v>15583</v>
      </c>
    </row>
    <row r="3774" spans="1:13" ht="13" x14ac:dyDescent="0.15">
      <c r="A3774" s="5" t="str">
        <f>HYPERLINK("https://onemount.atlassian.net/browse/DBA-881","DBA-881")</f>
        <v>DBA-881</v>
      </c>
      <c r="B3774" s="6" t="s">
        <v>21</v>
      </c>
      <c r="C3774" s="6" t="s">
        <v>15584</v>
      </c>
      <c r="D3774" s="8" t="s">
        <v>17</v>
      </c>
      <c r="E3774" s="6" t="s">
        <v>23</v>
      </c>
      <c r="F3774" s="6" t="s">
        <v>31</v>
      </c>
      <c r="G3774" s="6" t="s">
        <v>15585</v>
      </c>
      <c r="H3774" s="10">
        <v>45719</v>
      </c>
      <c r="I3774" s="6" t="s">
        <v>15586</v>
      </c>
      <c r="J3774" s="6" t="s">
        <v>1000</v>
      </c>
      <c r="K3774" s="6" t="s">
        <v>28</v>
      </c>
      <c r="L3774" s="6" t="s">
        <v>1000</v>
      </c>
      <c r="M3774" s="6" t="s">
        <v>15587</v>
      </c>
    </row>
    <row r="3775" spans="1:13" ht="13" x14ac:dyDescent="0.15">
      <c r="A3775" s="5" t="str">
        <f>HYPERLINK("https://onemount.atlassian.net/browse/DBA-880","DBA-880")</f>
        <v>DBA-880</v>
      </c>
      <c r="B3775" s="23" t="str">
        <f>HYPERLINK("https://onemount.atlassian.net/browse/DBA-875","DBA-875")</f>
        <v>DBA-875</v>
      </c>
      <c r="C3775" s="6" t="s">
        <v>15588</v>
      </c>
      <c r="D3775" s="8" t="s">
        <v>17</v>
      </c>
      <c r="E3775" s="6" t="s">
        <v>428</v>
      </c>
      <c r="F3775" s="6" t="s">
        <v>24</v>
      </c>
      <c r="G3775" s="6" t="s">
        <v>15589</v>
      </c>
      <c r="H3775" s="10">
        <v>45728</v>
      </c>
      <c r="I3775" s="6" t="s">
        <v>15590</v>
      </c>
      <c r="J3775" s="6" t="s">
        <v>15204</v>
      </c>
      <c r="K3775" s="6" t="s">
        <v>55</v>
      </c>
      <c r="L3775" s="6" t="s">
        <v>56</v>
      </c>
      <c r="M3775" s="6" t="s">
        <v>15591</v>
      </c>
    </row>
    <row r="3776" spans="1:13" ht="13" x14ac:dyDescent="0.15">
      <c r="A3776" s="5" t="str">
        <f>HYPERLINK("https://onemount.atlassian.net/browse/DBA-879","DBA-879")</f>
        <v>DBA-879</v>
      </c>
      <c r="B3776" s="6" t="s">
        <v>21</v>
      </c>
      <c r="C3776" s="6" t="s">
        <v>15592</v>
      </c>
      <c r="D3776" s="8" t="s">
        <v>17</v>
      </c>
      <c r="E3776" s="6" t="s">
        <v>23</v>
      </c>
      <c r="F3776" s="6" t="s">
        <v>31</v>
      </c>
      <c r="G3776" s="6" t="s">
        <v>15593</v>
      </c>
      <c r="H3776" s="10">
        <v>45719</v>
      </c>
      <c r="I3776" s="6" t="s">
        <v>15594</v>
      </c>
      <c r="J3776" s="6" t="s">
        <v>14672</v>
      </c>
      <c r="K3776" s="6" t="s">
        <v>55</v>
      </c>
      <c r="L3776" s="6" t="s">
        <v>254</v>
      </c>
      <c r="M3776" s="6" t="s">
        <v>15595</v>
      </c>
    </row>
    <row r="3777" spans="1:13" ht="13" x14ac:dyDescent="0.15">
      <c r="A3777" s="5" t="str">
        <f>HYPERLINK("https://onemount.atlassian.net/browse/DBA-878","DBA-878")</f>
        <v>DBA-878</v>
      </c>
      <c r="B3777" s="23" t="str">
        <f t="shared" ref="B3777:B3778" si="64">HYPERLINK("https://onemount.atlassian.net/browse/DBA-875","DBA-875")</f>
        <v>DBA-875</v>
      </c>
      <c r="C3777" s="6" t="s">
        <v>15596</v>
      </c>
      <c r="D3777" s="8" t="s">
        <v>17</v>
      </c>
      <c r="E3777" s="6" t="s">
        <v>428</v>
      </c>
      <c r="F3777" s="6" t="s">
        <v>24</v>
      </c>
      <c r="G3777" s="6" t="s">
        <v>15597</v>
      </c>
      <c r="H3777" s="10">
        <v>45727</v>
      </c>
      <c r="I3777" s="6" t="s">
        <v>15598</v>
      </c>
      <c r="J3777" s="6" t="s">
        <v>15204</v>
      </c>
      <c r="K3777" s="6" t="s">
        <v>55</v>
      </c>
      <c r="L3777" s="6" t="s">
        <v>56</v>
      </c>
      <c r="M3777" s="6" t="s">
        <v>15599</v>
      </c>
    </row>
    <row r="3778" spans="1:13" ht="13" x14ac:dyDescent="0.15">
      <c r="A3778" s="5" t="str">
        <f>HYPERLINK("https://onemount.atlassian.net/browse/DBA-877","DBA-877")</f>
        <v>DBA-877</v>
      </c>
      <c r="B3778" s="23" t="str">
        <f t="shared" si="64"/>
        <v>DBA-875</v>
      </c>
      <c r="C3778" s="6" t="s">
        <v>15600</v>
      </c>
      <c r="D3778" s="8" t="s">
        <v>17</v>
      </c>
      <c r="E3778" s="6" t="s">
        <v>428</v>
      </c>
      <c r="F3778" s="6" t="s">
        <v>24</v>
      </c>
      <c r="G3778" s="6" t="s">
        <v>15601</v>
      </c>
      <c r="H3778" s="10">
        <v>45720</v>
      </c>
      <c r="I3778" s="6" t="s">
        <v>15602</v>
      </c>
      <c r="J3778" s="6" t="s">
        <v>15204</v>
      </c>
      <c r="K3778" s="6" t="s">
        <v>55</v>
      </c>
      <c r="L3778" s="6" t="s">
        <v>56</v>
      </c>
      <c r="M3778" s="6" t="s">
        <v>15603</v>
      </c>
    </row>
    <row r="3779" spans="1:13" ht="13" x14ac:dyDescent="0.15">
      <c r="A3779" s="5" t="str">
        <f>HYPERLINK("https://onemount.atlassian.net/browse/DBA-876","DBA-876")</f>
        <v>DBA-876</v>
      </c>
      <c r="B3779" s="6" t="s">
        <v>21</v>
      </c>
      <c r="C3779" s="6" t="s">
        <v>15604</v>
      </c>
      <c r="D3779" s="8" t="s">
        <v>17</v>
      </c>
      <c r="E3779" s="6" t="s">
        <v>23</v>
      </c>
      <c r="F3779" s="6" t="s">
        <v>24</v>
      </c>
      <c r="G3779" s="6" t="s">
        <v>15605</v>
      </c>
      <c r="H3779" s="10">
        <v>45719</v>
      </c>
      <c r="I3779" s="6" t="s">
        <v>15606</v>
      </c>
      <c r="J3779" s="6" t="s">
        <v>13942</v>
      </c>
      <c r="K3779" s="6" t="s">
        <v>35</v>
      </c>
      <c r="L3779" s="6" t="s">
        <v>638</v>
      </c>
      <c r="M3779" s="6" t="s">
        <v>15607</v>
      </c>
    </row>
    <row r="3780" spans="1:13" ht="13" x14ac:dyDescent="0.15">
      <c r="A3780" s="5" t="str">
        <f>HYPERLINK("https://onemount.atlassian.net/browse/DBA-875","DBA-875")</f>
        <v>DBA-875</v>
      </c>
      <c r="B3780" s="23" t="str">
        <f>HYPERLINK("https://onemount.atlassian.net/browse/DBA-3006","DBA-3006")</f>
        <v>DBA-3006</v>
      </c>
      <c r="C3780" s="6" t="s">
        <v>15608</v>
      </c>
      <c r="D3780" s="8" t="s">
        <v>17</v>
      </c>
      <c r="E3780" s="6" t="s">
        <v>23</v>
      </c>
      <c r="F3780" s="6" t="s">
        <v>24</v>
      </c>
      <c r="G3780" s="6" t="s">
        <v>15609</v>
      </c>
      <c r="H3780" s="10">
        <v>45740</v>
      </c>
      <c r="I3780" s="6" t="s">
        <v>15610</v>
      </c>
      <c r="J3780" s="6" t="s">
        <v>55</v>
      </c>
      <c r="K3780" s="6" t="s">
        <v>55</v>
      </c>
      <c r="L3780" s="6" t="s">
        <v>56</v>
      </c>
      <c r="M3780" s="6" t="s">
        <v>15611</v>
      </c>
    </row>
    <row r="3781" spans="1:13" ht="13" x14ac:dyDescent="0.15">
      <c r="A3781" s="5" t="str">
        <f>HYPERLINK("https://onemount.atlassian.net/browse/DBA-874","DBA-874")</f>
        <v>DBA-874</v>
      </c>
      <c r="B3781" s="6" t="s">
        <v>21</v>
      </c>
      <c r="C3781" s="6" t="s">
        <v>15612</v>
      </c>
      <c r="D3781" s="8" t="s">
        <v>17</v>
      </c>
      <c r="E3781" s="6" t="s">
        <v>23</v>
      </c>
      <c r="F3781" s="6" t="s">
        <v>31</v>
      </c>
      <c r="G3781" s="6" t="s">
        <v>15613</v>
      </c>
      <c r="H3781" s="10">
        <v>45720</v>
      </c>
      <c r="I3781" s="6" t="s">
        <v>15614</v>
      </c>
      <c r="J3781" s="6" t="s">
        <v>887</v>
      </c>
      <c r="K3781" s="6" t="s">
        <v>55</v>
      </c>
      <c r="L3781" s="6" t="s">
        <v>887</v>
      </c>
      <c r="M3781" s="6" t="s">
        <v>15615</v>
      </c>
    </row>
    <row r="3782" spans="1:13" ht="13" x14ac:dyDescent="0.15">
      <c r="A3782" s="5" t="str">
        <f>HYPERLINK("https://onemount.atlassian.net/browse/DBA-873","DBA-873")</f>
        <v>DBA-873</v>
      </c>
      <c r="B3782" s="6" t="s">
        <v>21</v>
      </c>
      <c r="C3782" s="6" t="s">
        <v>15616</v>
      </c>
      <c r="D3782" s="8" t="s">
        <v>17</v>
      </c>
      <c r="E3782" s="6" t="s">
        <v>23</v>
      </c>
      <c r="F3782" s="6" t="s">
        <v>24</v>
      </c>
      <c r="G3782" s="6" t="s">
        <v>15617</v>
      </c>
      <c r="H3782" s="10">
        <v>45719</v>
      </c>
      <c r="I3782" s="6" t="s">
        <v>15618</v>
      </c>
      <c r="J3782" s="6" t="s">
        <v>15619</v>
      </c>
      <c r="K3782" s="6" t="s">
        <v>28</v>
      </c>
      <c r="L3782" s="6" t="s">
        <v>1000</v>
      </c>
      <c r="M3782" s="6" t="s">
        <v>15620</v>
      </c>
    </row>
    <row r="3783" spans="1:13" ht="13" x14ac:dyDescent="0.15">
      <c r="A3783" s="5" t="str">
        <f>HYPERLINK("https://onemount.atlassian.net/browse/DBA-872","DBA-872")</f>
        <v>DBA-872</v>
      </c>
      <c r="B3783" s="6" t="s">
        <v>21</v>
      </c>
      <c r="C3783" s="6" t="s">
        <v>15621</v>
      </c>
      <c r="D3783" s="8" t="s">
        <v>17</v>
      </c>
      <c r="E3783" s="6" t="s">
        <v>23</v>
      </c>
      <c r="F3783" s="6" t="s">
        <v>96</v>
      </c>
      <c r="G3783" s="6" t="s">
        <v>15622</v>
      </c>
      <c r="H3783" s="10">
        <v>45720</v>
      </c>
      <c r="I3783" s="6" t="s">
        <v>15623</v>
      </c>
      <c r="J3783" s="6" t="s">
        <v>628</v>
      </c>
      <c r="K3783" s="6" t="s">
        <v>46</v>
      </c>
      <c r="L3783" s="6" t="s">
        <v>632</v>
      </c>
      <c r="M3783" s="6" t="s">
        <v>15624</v>
      </c>
    </row>
    <row r="3784" spans="1:13" ht="13" x14ac:dyDescent="0.15">
      <c r="A3784" s="5" t="str">
        <f>HYPERLINK("https://onemount.atlassian.net/browse/DBA-871","DBA-871")</f>
        <v>DBA-871</v>
      </c>
      <c r="B3784" s="6" t="s">
        <v>21</v>
      </c>
      <c r="C3784" s="6" t="s">
        <v>14133</v>
      </c>
      <c r="D3784" s="8" t="s">
        <v>17</v>
      </c>
      <c r="E3784" s="6" t="s">
        <v>23</v>
      </c>
      <c r="F3784" s="6" t="s">
        <v>24</v>
      </c>
      <c r="G3784" s="6" t="s">
        <v>15625</v>
      </c>
      <c r="H3784" s="10">
        <v>45720</v>
      </c>
      <c r="I3784" s="6" t="s">
        <v>15626</v>
      </c>
      <c r="J3784" s="6" t="s">
        <v>46</v>
      </c>
      <c r="K3784" s="6" t="s">
        <v>46</v>
      </c>
      <c r="L3784" s="6" t="s">
        <v>586</v>
      </c>
      <c r="M3784" s="6" t="s">
        <v>15627</v>
      </c>
    </row>
    <row r="3785" spans="1:13" ht="13" x14ac:dyDescent="0.15">
      <c r="A3785" s="5" t="str">
        <f>HYPERLINK("https://onemount.atlassian.net/browse/DBA-870","DBA-870")</f>
        <v>DBA-870</v>
      </c>
      <c r="B3785" s="6" t="s">
        <v>21</v>
      </c>
      <c r="C3785" s="6" t="s">
        <v>15628</v>
      </c>
      <c r="D3785" s="8" t="s">
        <v>17</v>
      </c>
      <c r="E3785" s="6" t="s">
        <v>23</v>
      </c>
      <c r="F3785" s="6" t="s">
        <v>31</v>
      </c>
      <c r="G3785" s="6" t="s">
        <v>15629</v>
      </c>
      <c r="H3785" s="10">
        <v>45730</v>
      </c>
      <c r="I3785" s="6" t="s">
        <v>15630</v>
      </c>
      <c r="J3785" s="6" t="s">
        <v>328</v>
      </c>
      <c r="K3785" s="6" t="s">
        <v>55</v>
      </c>
      <c r="L3785" s="6" t="s">
        <v>328</v>
      </c>
      <c r="M3785" s="6" t="s">
        <v>15631</v>
      </c>
    </row>
    <row r="3786" spans="1:13" ht="13" x14ac:dyDescent="0.15">
      <c r="A3786" s="5" t="str">
        <f>HYPERLINK("https://onemount.atlassian.net/browse/DBA-869","DBA-869")</f>
        <v>DBA-869</v>
      </c>
      <c r="B3786" s="6" t="s">
        <v>21</v>
      </c>
      <c r="C3786" s="6" t="s">
        <v>15178</v>
      </c>
      <c r="D3786" s="8" t="s">
        <v>17</v>
      </c>
      <c r="E3786" s="6" t="s">
        <v>23</v>
      </c>
      <c r="F3786" s="6" t="s">
        <v>31</v>
      </c>
      <c r="G3786" s="6" t="s">
        <v>15632</v>
      </c>
      <c r="H3786" s="10">
        <v>45719</v>
      </c>
      <c r="I3786" s="6" t="s">
        <v>15633</v>
      </c>
      <c r="J3786" s="6" t="s">
        <v>71</v>
      </c>
      <c r="K3786" s="6" t="s">
        <v>35</v>
      </c>
      <c r="L3786" s="6" t="s">
        <v>71</v>
      </c>
      <c r="M3786" s="6" t="s">
        <v>15634</v>
      </c>
    </row>
    <row r="3787" spans="1:13" ht="13" x14ac:dyDescent="0.15">
      <c r="A3787" s="5" t="str">
        <f>HYPERLINK("https://onemount.atlassian.net/browse/DBA-868","DBA-868")</f>
        <v>DBA-868</v>
      </c>
      <c r="B3787" s="6" t="s">
        <v>21</v>
      </c>
      <c r="C3787" s="6" t="s">
        <v>15635</v>
      </c>
      <c r="D3787" s="8" t="s">
        <v>17</v>
      </c>
      <c r="E3787" s="6" t="s">
        <v>23</v>
      </c>
      <c r="F3787" s="6" t="s">
        <v>96</v>
      </c>
      <c r="G3787" s="6" t="s">
        <v>15636</v>
      </c>
      <c r="H3787" s="10">
        <v>45719</v>
      </c>
      <c r="I3787" s="6" t="s">
        <v>15637</v>
      </c>
      <c r="J3787" s="6" t="s">
        <v>628</v>
      </c>
      <c r="K3787" s="6" t="s">
        <v>165</v>
      </c>
      <c r="L3787" s="6" t="s">
        <v>632</v>
      </c>
      <c r="M3787" s="6" t="s">
        <v>15638</v>
      </c>
    </row>
    <row r="3788" spans="1:13" ht="13" x14ac:dyDescent="0.15">
      <c r="A3788" s="5" t="str">
        <f>HYPERLINK("https://onemount.atlassian.net/browse/DBA-867","DBA-867")</f>
        <v>DBA-867</v>
      </c>
      <c r="B3788" s="6" t="s">
        <v>21</v>
      </c>
      <c r="C3788" s="6" t="s">
        <v>14523</v>
      </c>
      <c r="D3788" s="8" t="s">
        <v>17</v>
      </c>
      <c r="E3788" s="6" t="s">
        <v>23</v>
      </c>
      <c r="F3788" s="6" t="s">
        <v>96</v>
      </c>
      <c r="G3788" s="6" t="s">
        <v>15639</v>
      </c>
      <c r="H3788" s="10">
        <v>45719</v>
      </c>
      <c r="I3788" s="6" t="s">
        <v>15640</v>
      </c>
      <c r="J3788" s="6" t="s">
        <v>517</v>
      </c>
      <c r="K3788" s="6" t="s">
        <v>165</v>
      </c>
      <c r="L3788" s="6" t="s">
        <v>288</v>
      </c>
      <c r="M3788" s="6" t="s">
        <v>15641</v>
      </c>
    </row>
    <row r="3789" spans="1:13" ht="13" x14ac:dyDescent="0.15">
      <c r="A3789" s="5" t="str">
        <f>HYPERLINK("https://onemount.atlassian.net/browse/DBA-866","DBA-866")</f>
        <v>DBA-866</v>
      </c>
      <c r="B3789" s="23" t="str">
        <f>HYPERLINK("https://onemount.atlassian.net/browse/DBA-501","DBA-501")</f>
        <v>DBA-501</v>
      </c>
      <c r="C3789" s="6" t="s">
        <v>15642</v>
      </c>
      <c r="D3789" s="8" t="s">
        <v>17</v>
      </c>
      <c r="E3789" s="6" t="s">
        <v>428</v>
      </c>
      <c r="F3789" s="6" t="s">
        <v>31</v>
      </c>
      <c r="G3789" s="6" t="s">
        <v>15643</v>
      </c>
      <c r="H3789" s="10">
        <v>45781</v>
      </c>
      <c r="I3789" s="6" t="s">
        <v>15644</v>
      </c>
      <c r="J3789" s="6" t="s">
        <v>28</v>
      </c>
      <c r="K3789" s="6" t="s">
        <v>28</v>
      </c>
      <c r="L3789" s="6" t="s">
        <v>28</v>
      </c>
      <c r="M3789" s="6" t="s">
        <v>15645</v>
      </c>
    </row>
    <row r="3790" spans="1:13" ht="13" x14ac:dyDescent="0.15">
      <c r="A3790" s="5" t="str">
        <f>HYPERLINK("https://onemount.atlassian.net/browse/DBA-865","DBA-865")</f>
        <v>DBA-865</v>
      </c>
      <c r="B3790" s="6" t="s">
        <v>21</v>
      </c>
      <c r="C3790" s="6" t="s">
        <v>15646</v>
      </c>
      <c r="D3790" s="8" t="s">
        <v>17</v>
      </c>
      <c r="E3790" s="6" t="s">
        <v>23</v>
      </c>
      <c r="F3790" s="6" t="s">
        <v>24</v>
      </c>
      <c r="G3790" s="6" t="s">
        <v>15647</v>
      </c>
      <c r="H3790" s="10">
        <v>45718</v>
      </c>
      <c r="I3790" s="6" t="s">
        <v>15648</v>
      </c>
      <c r="J3790" s="6" t="s">
        <v>254</v>
      </c>
      <c r="K3790" s="6" t="s">
        <v>55</v>
      </c>
      <c r="L3790" s="6" t="s">
        <v>254</v>
      </c>
      <c r="M3790" s="6" t="s">
        <v>15649</v>
      </c>
    </row>
    <row r="3791" spans="1:13" ht="13" x14ac:dyDescent="0.15">
      <c r="A3791" s="5" t="str">
        <f>HYPERLINK("https://onemount.atlassian.net/browse/DBA-864","DBA-864")</f>
        <v>DBA-864</v>
      </c>
      <c r="B3791" s="6" t="s">
        <v>21</v>
      </c>
      <c r="C3791" s="6" t="s">
        <v>15650</v>
      </c>
      <c r="D3791" s="8" t="s">
        <v>17</v>
      </c>
      <c r="E3791" s="6" t="s">
        <v>23</v>
      </c>
      <c r="F3791" s="6" t="s">
        <v>24</v>
      </c>
      <c r="G3791" s="6" t="s">
        <v>15651</v>
      </c>
      <c r="H3791" s="10">
        <v>45717</v>
      </c>
      <c r="I3791" s="6" t="s">
        <v>15652</v>
      </c>
      <c r="J3791" s="6" t="s">
        <v>254</v>
      </c>
      <c r="K3791" s="6" t="s">
        <v>55</v>
      </c>
      <c r="L3791" s="6" t="s">
        <v>254</v>
      </c>
      <c r="M3791" s="6" t="s">
        <v>15653</v>
      </c>
    </row>
    <row r="3792" spans="1:13" ht="13" x14ac:dyDescent="0.15">
      <c r="A3792" s="5" t="str">
        <f>HYPERLINK("https://onemount.atlassian.net/browse/DBA-863","DBA-863")</f>
        <v>DBA-863</v>
      </c>
      <c r="B3792" s="6" t="s">
        <v>21</v>
      </c>
      <c r="C3792" s="6" t="s">
        <v>15654</v>
      </c>
      <c r="D3792" s="8" t="s">
        <v>17</v>
      </c>
      <c r="E3792" s="6" t="s">
        <v>23</v>
      </c>
      <c r="F3792" s="6" t="s">
        <v>31</v>
      </c>
      <c r="G3792" s="6" t="s">
        <v>15655</v>
      </c>
      <c r="H3792" s="10">
        <v>45717</v>
      </c>
      <c r="I3792" s="6" t="s">
        <v>15656</v>
      </c>
      <c r="J3792" s="6" t="s">
        <v>489</v>
      </c>
      <c r="K3792" s="6" t="s">
        <v>35</v>
      </c>
      <c r="L3792" s="6" t="s">
        <v>489</v>
      </c>
      <c r="M3792" s="6" t="s">
        <v>15657</v>
      </c>
    </row>
    <row r="3793" spans="1:13" ht="13" x14ac:dyDescent="0.15">
      <c r="A3793" s="5" t="str">
        <f>HYPERLINK("https://onemount.atlassian.net/browse/DBA-862","DBA-862")</f>
        <v>DBA-862</v>
      </c>
      <c r="B3793" s="6" t="s">
        <v>21</v>
      </c>
      <c r="C3793" s="6" t="s">
        <v>15658</v>
      </c>
      <c r="D3793" s="8" t="s">
        <v>17</v>
      </c>
      <c r="E3793" s="6" t="s">
        <v>23</v>
      </c>
      <c r="F3793" s="6" t="s">
        <v>31</v>
      </c>
      <c r="G3793" s="6" t="s">
        <v>15659</v>
      </c>
      <c r="H3793" s="10">
        <v>45718</v>
      </c>
      <c r="I3793" s="6" t="s">
        <v>15660</v>
      </c>
      <c r="J3793" s="6" t="s">
        <v>14390</v>
      </c>
      <c r="K3793" s="6" t="s">
        <v>35</v>
      </c>
      <c r="L3793" s="6" t="s">
        <v>49</v>
      </c>
      <c r="M3793" s="6" t="s">
        <v>15661</v>
      </c>
    </row>
    <row r="3794" spans="1:13" ht="13" x14ac:dyDescent="0.15">
      <c r="A3794" s="5" t="str">
        <f>HYPERLINK("https://onemount.atlassian.net/browse/DBA-861","DBA-861")</f>
        <v>DBA-861</v>
      </c>
      <c r="B3794" s="6" t="s">
        <v>21</v>
      </c>
      <c r="C3794" s="6" t="s">
        <v>15662</v>
      </c>
      <c r="D3794" s="8" t="s">
        <v>17</v>
      </c>
      <c r="E3794" s="6" t="s">
        <v>23</v>
      </c>
      <c r="F3794" s="6" t="s">
        <v>31</v>
      </c>
      <c r="G3794" s="6" t="s">
        <v>15663</v>
      </c>
      <c r="H3794" s="10">
        <v>45717</v>
      </c>
      <c r="I3794" s="6" t="s">
        <v>15664</v>
      </c>
      <c r="J3794" s="6" t="s">
        <v>15665</v>
      </c>
      <c r="K3794" s="6" t="s">
        <v>55</v>
      </c>
      <c r="L3794" s="6" t="s">
        <v>254</v>
      </c>
      <c r="M3794" s="6" t="s">
        <v>15666</v>
      </c>
    </row>
    <row r="3795" spans="1:13" ht="13" x14ac:dyDescent="0.15">
      <c r="A3795" s="5" t="str">
        <f>HYPERLINK("https://onemount.atlassian.net/browse/DBA-860","DBA-860")</f>
        <v>DBA-860</v>
      </c>
      <c r="B3795" s="6" t="s">
        <v>21</v>
      </c>
      <c r="C3795" s="6" t="s">
        <v>15477</v>
      </c>
      <c r="D3795" s="8" t="s">
        <v>17</v>
      </c>
      <c r="E3795" s="6" t="s">
        <v>23</v>
      </c>
      <c r="F3795" s="6" t="s">
        <v>96</v>
      </c>
      <c r="G3795" s="6" t="s">
        <v>15667</v>
      </c>
      <c r="H3795" s="10">
        <v>45716</v>
      </c>
      <c r="I3795" s="6" t="s">
        <v>15668</v>
      </c>
      <c r="J3795" s="6" t="s">
        <v>2453</v>
      </c>
      <c r="K3795" s="6" t="s">
        <v>46</v>
      </c>
      <c r="L3795" s="6" t="s">
        <v>119</v>
      </c>
      <c r="M3795" s="6" t="s">
        <v>15669</v>
      </c>
    </row>
    <row r="3796" spans="1:13" ht="13" x14ac:dyDescent="0.15">
      <c r="A3796" s="5" t="str">
        <f>HYPERLINK("https://onemount.atlassian.net/browse/DBA-859","DBA-859")</f>
        <v>DBA-859</v>
      </c>
      <c r="B3796" s="6" t="s">
        <v>21</v>
      </c>
      <c r="C3796" s="6" t="s">
        <v>15670</v>
      </c>
      <c r="D3796" s="8" t="s">
        <v>17</v>
      </c>
      <c r="E3796" s="6" t="s">
        <v>23</v>
      </c>
      <c r="F3796" s="6" t="s">
        <v>31</v>
      </c>
      <c r="G3796" s="6" t="s">
        <v>15671</v>
      </c>
      <c r="H3796" s="10">
        <v>45716</v>
      </c>
      <c r="I3796" s="6" t="s">
        <v>15672</v>
      </c>
      <c r="J3796" s="6" t="s">
        <v>13942</v>
      </c>
      <c r="K3796" s="6" t="s">
        <v>35</v>
      </c>
      <c r="L3796" s="6" t="s">
        <v>638</v>
      </c>
      <c r="M3796" s="6" t="s">
        <v>15673</v>
      </c>
    </row>
    <row r="3797" spans="1:13" ht="13" x14ac:dyDescent="0.15">
      <c r="A3797" s="5" t="str">
        <f>HYPERLINK("https://onemount.atlassian.net/browse/DBA-858","DBA-858")</f>
        <v>DBA-858</v>
      </c>
      <c r="B3797" s="6" t="s">
        <v>21</v>
      </c>
      <c r="C3797" s="6" t="s">
        <v>10096</v>
      </c>
      <c r="D3797" s="8" t="s">
        <v>17</v>
      </c>
      <c r="E3797" s="6" t="s">
        <v>23</v>
      </c>
      <c r="F3797" s="6" t="s">
        <v>96</v>
      </c>
      <c r="G3797" s="6" t="s">
        <v>15674</v>
      </c>
      <c r="H3797" s="10">
        <v>45718</v>
      </c>
      <c r="I3797" s="6" t="s">
        <v>15675</v>
      </c>
      <c r="J3797" s="6" t="s">
        <v>2453</v>
      </c>
      <c r="K3797" s="6" t="s">
        <v>165</v>
      </c>
      <c r="L3797" s="6" t="s">
        <v>119</v>
      </c>
      <c r="M3797" s="6" t="s">
        <v>15676</v>
      </c>
    </row>
    <row r="3798" spans="1:13" ht="13" x14ac:dyDescent="0.15">
      <c r="A3798" s="21" t="str">
        <f>HYPERLINK("https://onemount.atlassian.net/browse/DBA-857","DBA-857")</f>
        <v>DBA-857</v>
      </c>
      <c r="B3798" s="6" t="s">
        <v>21</v>
      </c>
      <c r="C3798" s="6" t="s">
        <v>15677</v>
      </c>
      <c r="D3798" s="8" t="s">
        <v>17</v>
      </c>
      <c r="E3798" s="6" t="s">
        <v>23</v>
      </c>
      <c r="F3798" s="6" t="s">
        <v>96</v>
      </c>
      <c r="G3798" s="6" t="s">
        <v>15678</v>
      </c>
      <c r="H3798" s="10">
        <v>45716</v>
      </c>
      <c r="I3798" s="6" t="s">
        <v>15679</v>
      </c>
      <c r="J3798" s="6" t="s">
        <v>1008</v>
      </c>
      <c r="K3798" s="6" t="s">
        <v>165</v>
      </c>
      <c r="L3798" s="6" t="s">
        <v>1008</v>
      </c>
      <c r="M3798" s="6" t="s">
        <v>15680</v>
      </c>
    </row>
    <row r="3799" spans="1:13" ht="13" x14ac:dyDescent="0.15">
      <c r="A3799" s="21" t="str">
        <f>HYPERLINK("https://onemount.atlassian.net/browse/DBA-856","DBA-856")</f>
        <v>DBA-856</v>
      </c>
      <c r="B3799" s="6" t="s">
        <v>21</v>
      </c>
      <c r="C3799" s="6" t="s">
        <v>15681</v>
      </c>
      <c r="D3799" s="8" t="s">
        <v>17</v>
      </c>
      <c r="E3799" s="6" t="s">
        <v>23</v>
      </c>
      <c r="F3799" s="6" t="s">
        <v>96</v>
      </c>
      <c r="G3799" s="6" t="s">
        <v>15682</v>
      </c>
      <c r="H3799" s="10">
        <v>45716</v>
      </c>
      <c r="I3799" s="6" t="s">
        <v>15683</v>
      </c>
      <c r="J3799" s="6" t="s">
        <v>1008</v>
      </c>
      <c r="K3799" s="6" t="s">
        <v>165</v>
      </c>
      <c r="L3799" s="6" t="s">
        <v>1008</v>
      </c>
      <c r="M3799" s="6" t="s">
        <v>15680</v>
      </c>
    </row>
    <row r="3800" spans="1:13" ht="13" x14ac:dyDescent="0.15">
      <c r="A3800" s="5" t="str">
        <f>HYPERLINK("https://onemount.atlassian.net/browse/DBA-855","DBA-855")</f>
        <v>DBA-855</v>
      </c>
      <c r="B3800" s="6" t="s">
        <v>21</v>
      </c>
      <c r="C3800" s="6" t="s">
        <v>15684</v>
      </c>
      <c r="D3800" s="8" t="s">
        <v>17</v>
      </c>
      <c r="E3800" s="6" t="s">
        <v>23</v>
      </c>
      <c r="F3800" s="6" t="s">
        <v>96</v>
      </c>
      <c r="G3800" s="6" t="s">
        <v>15685</v>
      </c>
      <c r="H3800" s="10">
        <v>45716</v>
      </c>
      <c r="I3800" s="6" t="s">
        <v>15686</v>
      </c>
      <c r="J3800" s="6" t="s">
        <v>8773</v>
      </c>
      <c r="K3800" s="6" t="s">
        <v>165</v>
      </c>
      <c r="L3800" s="6" t="s">
        <v>1076</v>
      </c>
      <c r="M3800" s="6" t="s">
        <v>15687</v>
      </c>
    </row>
    <row r="3801" spans="1:13" ht="13" x14ac:dyDescent="0.15">
      <c r="A3801" s="5" t="str">
        <f>HYPERLINK("https://onemount.atlassian.net/browse/DBA-854","DBA-854")</f>
        <v>DBA-854</v>
      </c>
      <c r="B3801" s="6" t="s">
        <v>21</v>
      </c>
      <c r="C3801" s="6" t="s">
        <v>15688</v>
      </c>
      <c r="D3801" s="8" t="s">
        <v>17</v>
      </c>
      <c r="E3801" s="6" t="s">
        <v>23</v>
      </c>
      <c r="F3801" s="6" t="s">
        <v>96</v>
      </c>
      <c r="G3801" s="6" t="s">
        <v>15689</v>
      </c>
      <c r="H3801" s="10">
        <v>45716</v>
      </c>
      <c r="I3801" s="6" t="s">
        <v>15690</v>
      </c>
      <c r="J3801" s="6" t="s">
        <v>46</v>
      </c>
      <c r="K3801" s="6" t="s">
        <v>46</v>
      </c>
      <c r="L3801" s="6" t="s">
        <v>39</v>
      </c>
      <c r="M3801" s="6" t="s">
        <v>15691</v>
      </c>
    </row>
    <row r="3802" spans="1:13" ht="13" x14ac:dyDescent="0.15">
      <c r="A3802" s="5" t="str">
        <f>HYPERLINK("https://onemount.atlassian.net/browse/DBA-853","DBA-853")</f>
        <v>DBA-853</v>
      </c>
      <c r="B3802" s="6" t="s">
        <v>21</v>
      </c>
      <c r="C3802" s="6" t="s">
        <v>14317</v>
      </c>
      <c r="D3802" s="8" t="s">
        <v>17</v>
      </c>
      <c r="E3802" s="6" t="s">
        <v>23</v>
      </c>
      <c r="F3802" s="6" t="s">
        <v>24</v>
      </c>
      <c r="G3802" s="6" t="s">
        <v>15692</v>
      </c>
      <c r="H3802" s="10">
        <v>45716</v>
      </c>
      <c r="I3802" s="6" t="s">
        <v>15693</v>
      </c>
      <c r="J3802" s="6" t="s">
        <v>55</v>
      </c>
      <c r="K3802" s="6" t="s">
        <v>55</v>
      </c>
      <c r="L3802" s="6" t="s">
        <v>56</v>
      </c>
      <c r="M3802" s="6" t="s">
        <v>15694</v>
      </c>
    </row>
    <row r="3803" spans="1:13" ht="13" x14ac:dyDescent="0.15">
      <c r="A3803" s="5" t="str">
        <f>HYPERLINK("https://onemount.atlassian.net/browse/DBA-852","DBA-852")</f>
        <v>DBA-852</v>
      </c>
      <c r="B3803" s="6" t="s">
        <v>21</v>
      </c>
      <c r="C3803" s="6" t="s">
        <v>15695</v>
      </c>
      <c r="D3803" s="8" t="s">
        <v>17</v>
      </c>
      <c r="E3803" s="6" t="s">
        <v>23</v>
      </c>
      <c r="F3803" s="6" t="s">
        <v>24</v>
      </c>
      <c r="G3803" s="6" t="s">
        <v>15696</v>
      </c>
      <c r="H3803" s="10">
        <v>45717</v>
      </c>
      <c r="I3803" s="6" t="s">
        <v>15697</v>
      </c>
      <c r="J3803" s="6" t="s">
        <v>15698</v>
      </c>
      <c r="K3803" s="6" t="s">
        <v>55</v>
      </c>
      <c r="L3803" s="6" t="s">
        <v>906</v>
      </c>
      <c r="M3803" s="6" t="s">
        <v>15699</v>
      </c>
    </row>
    <row r="3804" spans="1:13" ht="13" x14ac:dyDescent="0.15">
      <c r="A3804" s="21" t="str">
        <f>HYPERLINK("https://onemount.atlassian.net/browse/DBA-851","DBA-851")</f>
        <v>DBA-851</v>
      </c>
      <c r="B3804" s="6" t="s">
        <v>21</v>
      </c>
      <c r="C3804" s="6" t="s">
        <v>3512</v>
      </c>
      <c r="D3804" s="8" t="s">
        <v>17</v>
      </c>
      <c r="E3804" s="6" t="s">
        <v>23</v>
      </c>
      <c r="F3804" s="6" t="s">
        <v>96</v>
      </c>
      <c r="G3804" s="6" t="s">
        <v>15700</v>
      </c>
      <c r="H3804" s="10">
        <v>45716</v>
      </c>
      <c r="I3804" s="6" t="s">
        <v>15701</v>
      </c>
      <c r="J3804" s="6" t="s">
        <v>15702</v>
      </c>
      <c r="K3804" s="6" t="s">
        <v>46</v>
      </c>
      <c r="L3804" s="6" t="s">
        <v>164</v>
      </c>
      <c r="M3804" s="6" t="s">
        <v>3515</v>
      </c>
    </row>
    <row r="3805" spans="1:13" ht="13" x14ac:dyDescent="0.15">
      <c r="A3805" s="5" t="str">
        <f>HYPERLINK("https://onemount.atlassian.net/browse/DBA-850","DBA-850")</f>
        <v>DBA-850</v>
      </c>
      <c r="B3805" s="6" t="s">
        <v>21</v>
      </c>
      <c r="C3805" s="6" t="s">
        <v>15703</v>
      </c>
      <c r="D3805" s="8" t="s">
        <v>17</v>
      </c>
      <c r="E3805" s="6" t="s">
        <v>23</v>
      </c>
      <c r="F3805" s="6" t="s">
        <v>24</v>
      </c>
      <c r="G3805" s="6" t="s">
        <v>15704</v>
      </c>
      <c r="H3805" s="10">
        <v>45716</v>
      </c>
      <c r="I3805" s="6" t="s">
        <v>15705</v>
      </c>
      <c r="J3805" s="6" t="s">
        <v>1136</v>
      </c>
      <c r="K3805" s="6" t="s">
        <v>28</v>
      </c>
      <c r="L3805" s="6" t="s">
        <v>1136</v>
      </c>
      <c r="M3805" s="6" t="s">
        <v>15706</v>
      </c>
    </row>
    <row r="3806" spans="1:13" ht="13" x14ac:dyDescent="0.15">
      <c r="A3806" s="5" t="str">
        <f>HYPERLINK("https://onemount.atlassian.net/browse/DBA-849","DBA-849")</f>
        <v>DBA-849</v>
      </c>
      <c r="B3806" s="6" t="s">
        <v>21</v>
      </c>
      <c r="C3806" s="6" t="s">
        <v>15707</v>
      </c>
      <c r="D3806" s="8" t="s">
        <v>17</v>
      </c>
      <c r="E3806" s="6" t="s">
        <v>23</v>
      </c>
      <c r="F3806" s="6" t="s">
        <v>24</v>
      </c>
      <c r="G3806" s="6" t="s">
        <v>15708</v>
      </c>
      <c r="H3806" s="10">
        <v>45716</v>
      </c>
      <c r="I3806" s="6" t="s">
        <v>15709</v>
      </c>
      <c r="J3806" s="6" t="s">
        <v>15710</v>
      </c>
      <c r="K3806" s="6" t="s">
        <v>55</v>
      </c>
      <c r="L3806" s="6" t="s">
        <v>328</v>
      </c>
      <c r="M3806" s="6" t="s">
        <v>15711</v>
      </c>
    </row>
    <row r="3807" spans="1:13" ht="13" x14ac:dyDescent="0.15">
      <c r="A3807" s="5" t="str">
        <f>HYPERLINK("https://onemount.atlassian.net/browse/DBA-848","DBA-848")</f>
        <v>DBA-848</v>
      </c>
      <c r="B3807" s="6" t="s">
        <v>21</v>
      </c>
      <c r="C3807" s="6" t="s">
        <v>15712</v>
      </c>
      <c r="D3807" s="8" t="s">
        <v>17</v>
      </c>
      <c r="E3807" s="6" t="s">
        <v>23</v>
      </c>
      <c r="F3807" s="6" t="s">
        <v>31</v>
      </c>
      <c r="G3807" s="6" t="s">
        <v>15713</v>
      </c>
      <c r="H3807" s="10">
        <v>45716</v>
      </c>
      <c r="I3807" s="6" t="s">
        <v>15714</v>
      </c>
      <c r="J3807" s="6" t="s">
        <v>8773</v>
      </c>
      <c r="K3807" s="6" t="s">
        <v>165</v>
      </c>
      <c r="L3807" s="6" t="s">
        <v>1076</v>
      </c>
      <c r="M3807" s="6" t="s">
        <v>15715</v>
      </c>
    </row>
    <row r="3808" spans="1:13" ht="13" x14ac:dyDescent="0.15">
      <c r="A3808" s="5" t="str">
        <f>HYPERLINK("https://onemount.atlassian.net/browse/DBA-847","DBA-847")</f>
        <v>DBA-847</v>
      </c>
      <c r="B3808" s="6" t="s">
        <v>21</v>
      </c>
      <c r="C3808" s="6" t="s">
        <v>15716</v>
      </c>
      <c r="D3808" s="8" t="s">
        <v>17</v>
      </c>
      <c r="E3808" s="6" t="s">
        <v>23</v>
      </c>
      <c r="F3808" s="6" t="s">
        <v>31</v>
      </c>
      <c r="G3808" s="6" t="s">
        <v>15717</v>
      </c>
      <c r="H3808" s="10">
        <v>45716</v>
      </c>
      <c r="I3808" s="6" t="s">
        <v>15718</v>
      </c>
      <c r="J3808" s="6" t="s">
        <v>28</v>
      </c>
      <c r="K3808" s="6" t="s">
        <v>28</v>
      </c>
      <c r="L3808" s="6" t="s">
        <v>1000</v>
      </c>
      <c r="M3808" s="6" t="s">
        <v>15719</v>
      </c>
    </row>
    <row r="3809" spans="1:13" ht="13" x14ac:dyDescent="0.15">
      <c r="A3809" s="5" t="str">
        <f>HYPERLINK("https://onemount.atlassian.net/browse/DBA-846","DBA-846")</f>
        <v>DBA-846</v>
      </c>
      <c r="B3809" s="6" t="s">
        <v>21</v>
      </c>
      <c r="C3809" s="6" t="s">
        <v>15720</v>
      </c>
      <c r="D3809" s="8" t="s">
        <v>17</v>
      </c>
      <c r="E3809" s="6" t="s">
        <v>23</v>
      </c>
      <c r="F3809" s="6" t="s">
        <v>96</v>
      </c>
      <c r="G3809" s="6" t="s">
        <v>15721</v>
      </c>
      <c r="H3809" s="10">
        <v>45717</v>
      </c>
      <c r="I3809" s="6" t="s">
        <v>15722</v>
      </c>
      <c r="J3809" s="6" t="s">
        <v>15702</v>
      </c>
      <c r="K3809" s="6" t="s">
        <v>46</v>
      </c>
      <c r="L3809" s="6" t="s">
        <v>164</v>
      </c>
      <c r="M3809" s="6" t="s">
        <v>15723</v>
      </c>
    </row>
    <row r="3810" spans="1:13" ht="13" x14ac:dyDescent="0.15">
      <c r="A3810" s="5" t="str">
        <f>HYPERLINK("https://onemount.atlassian.net/browse/DBA-845","DBA-845")</f>
        <v>DBA-845</v>
      </c>
      <c r="B3810" s="6" t="s">
        <v>21</v>
      </c>
      <c r="C3810" s="6" t="s">
        <v>15724</v>
      </c>
      <c r="D3810" s="8" t="s">
        <v>17</v>
      </c>
      <c r="E3810" s="6" t="s">
        <v>23</v>
      </c>
      <c r="F3810" s="6" t="s">
        <v>24</v>
      </c>
      <c r="G3810" s="6" t="s">
        <v>15725</v>
      </c>
      <c r="H3810" s="10">
        <v>45716</v>
      </c>
      <c r="I3810" s="6" t="s">
        <v>15726</v>
      </c>
      <c r="J3810" s="6" t="s">
        <v>15710</v>
      </c>
      <c r="K3810" s="6" t="s">
        <v>55</v>
      </c>
      <c r="L3810" s="6" t="s">
        <v>328</v>
      </c>
      <c r="M3810" s="6" t="s">
        <v>15727</v>
      </c>
    </row>
    <row r="3811" spans="1:13" ht="13" x14ac:dyDescent="0.15">
      <c r="A3811" s="5" t="str">
        <f>HYPERLINK("https://onemount.atlassian.net/browse/DBA-844","DBA-844")</f>
        <v>DBA-844</v>
      </c>
      <c r="B3811" s="6" t="s">
        <v>21</v>
      </c>
      <c r="C3811" s="6" t="s">
        <v>15728</v>
      </c>
      <c r="D3811" s="8" t="s">
        <v>17</v>
      </c>
      <c r="E3811" s="6" t="s">
        <v>23</v>
      </c>
      <c r="F3811" s="6" t="s">
        <v>31</v>
      </c>
      <c r="G3811" s="6" t="s">
        <v>15729</v>
      </c>
      <c r="H3811" s="10">
        <v>45715</v>
      </c>
      <c r="I3811" s="6" t="s">
        <v>15730</v>
      </c>
      <c r="J3811" s="6" t="s">
        <v>13942</v>
      </c>
      <c r="K3811" s="6" t="s">
        <v>35</v>
      </c>
      <c r="L3811" s="6" t="s">
        <v>638</v>
      </c>
      <c r="M3811" s="6" t="s">
        <v>15731</v>
      </c>
    </row>
    <row r="3812" spans="1:13" ht="13" x14ac:dyDescent="0.15">
      <c r="A3812" s="5" t="str">
        <f>HYPERLINK("https://onemount.atlassian.net/browse/DBA-843","DBA-843")</f>
        <v>DBA-843</v>
      </c>
      <c r="B3812" s="6" t="s">
        <v>21</v>
      </c>
      <c r="C3812" s="6" t="s">
        <v>15732</v>
      </c>
      <c r="D3812" s="8" t="s">
        <v>17</v>
      </c>
      <c r="E3812" s="6" t="s">
        <v>23</v>
      </c>
      <c r="F3812" s="6" t="s">
        <v>96</v>
      </c>
      <c r="G3812" s="6" t="s">
        <v>15733</v>
      </c>
      <c r="H3812" s="10">
        <v>45716</v>
      </c>
      <c r="I3812" s="6" t="s">
        <v>15734</v>
      </c>
      <c r="J3812" s="6" t="s">
        <v>55</v>
      </c>
      <c r="K3812" s="6" t="s">
        <v>35</v>
      </c>
      <c r="L3812" s="6" t="s">
        <v>270</v>
      </c>
      <c r="M3812" s="6" t="s">
        <v>15735</v>
      </c>
    </row>
    <row r="3813" spans="1:13" ht="13" x14ac:dyDescent="0.15">
      <c r="A3813" s="5" t="str">
        <f>HYPERLINK("https://onemount.atlassian.net/browse/DBA-842","DBA-842")</f>
        <v>DBA-842</v>
      </c>
      <c r="B3813" s="6" t="s">
        <v>21</v>
      </c>
      <c r="C3813" s="6" t="s">
        <v>15736</v>
      </c>
      <c r="D3813" s="8" t="s">
        <v>17</v>
      </c>
      <c r="E3813" s="6" t="s">
        <v>23</v>
      </c>
      <c r="F3813" s="6" t="s">
        <v>31</v>
      </c>
      <c r="G3813" s="6" t="s">
        <v>15737</v>
      </c>
      <c r="H3813" s="10">
        <v>45714</v>
      </c>
      <c r="I3813" s="6" t="s">
        <v>15738</v>
      </c>
      <c r="J3813" s="6" t="s">
        <v>13304</v>
      </c>
      <c r="K3813" s="6" t="s">
        <v>28</v>
      </c>
      <c r="L3813" s="6" t="s">
        <v>1000</v>
      </c>
      <c r="M3813" s="6" t="s">
        <v>15739</v>
      </c>
    </row>
    <row r="3814" spans="1:13" ht="13" x14ac:dyDescent="0.15">
      <c r="A3814" s="5" t="str">
        <f>HYPERLINK("https://onemount.atlassian.net/browse/DBA-841","DBA-841")</f>
        <v>DBA-841</v>
      </c>
      <c r="B3814" s="6" t="s">
        <v>21</v>
      </c>
      <c r="C3814" s="6" t="s">
        <v>15740</v>
      </c>
      <c r="D3814" s="8" t="s">
        <v>17</v>
      </c>
      <c r="E3814" s="6" t="s">
        <v>23</v>
      </c>
      <c r="F3814" s="6" t="s">
        <v>31</v>
      </c>
      <c r="G3814" s="6" t="s">
        <v>15741</v>
      </c>
      <c r="H3814" s="10">
        <v>45720</v>
      </c>
      <c r="I3814" s="6" t="s">
        <v>15742</v>
      </c>
      <c r="J3814" s="6" t="s">
        <v>10503</v>
      </c>
      <c r="K3814" s="6" t="s">
        <v>55</v>
      </c>
      <c r="L3814" s="6" t="s">
        <v>56</v>
      </c>
      <c r="M3814" s="6" t="s">
        <v>15743</v>
      </c>
    </row>
    <row r="3815" spans="1:13" ht="13" x14ac:dyDescent="0.15">
      <c r="A3815" s="5" t="str">
        <f>HYPERLINK("https://onemount.atlassian.net/browse/DBA-840","DBA-840")</f>
        <v>DBA-840</v>
      </c>
      <c r="B3815" s="23" t="str">
        <f>HYPERLINK("https://onemount.atlassian.net/browse/DBA-484","DBA-484")</f>
        <v>DBA-484</v>
      </c>
      <c r="C3815" s="6" t="s">
        <v>15744</v>
      </c>
      <c r="D3815" s="8" t="s">
        <v>17</v>
      </c>
      <c r="E3815" s="6" t="s">
        <v>428</v>
      </c>
      <c r="F3815" s="6" t="s">
        <v>96</v>
      </c>
      <c r="G3815" s="6" t="s">
        <v>15745</v>
      </c>
      <c r="H3815" s="10">
        <v>45718</v>
      </c>
      <c r="I3815" s="6" t="s">
        <v>15746</v>
      </c>
      <c r="J3815" s="6" t="s">
        <v>165</v>
      </c>
      <c r="K3815" s="6" t="s">
        <v>165</v>
      </c>
      <c r="L3815" s="6" t="s">
        <v>1069</v>
      </c>
      <c r="M3815" s="6" t="s">
        <v>15747</v>
      </c>
    </row>
    <row r="3816" spans="1:13" ht="13" x14ac:dyDescent="0.15">
      <c r="A3816" s="21" t="str">
        <f>HYPERLINK("https://onemount.atlassian.net/browse/DBA-839","DBA-839")</f>
        <v>DBA-839</v>
      </c>
      <c r="B3816" s="6" t="s">
        <v>21</v>
      </c>
      <c r="C3816" s="6" t="s">
        <v>15424</v>
      </c>
      <c r="D3816" s="8" t="s">
        <v>17</v>
      </c>
      <c r="E3816" s="6" t="s">
        <v>23</v>
      </c>
      <c r="F3816" s="6" t="s">
        <v>96</v>
      </c>
      <c r="G3816" s="6" t="s">
        <v>15748</v>
      </c>
      <c r="H3816" s="10">
        <v>45715</v>
      </c>
      <c r="I3816" s="6" t="s">
        <v>15749</v>
      </c>
      <c r="J3816" s="6" t="s">
        <v>165</v>
      </c>
      <c r="K3816" s="6" t="s">
        <v>165</v>
      </c>
      <c r="L3816" s="6" t="s">
        <v>1097</v>
      </c>
      <c r="M3816" s="6" t="s">
        <v>15750</v>
      </c>
    </row>
    <row r="3817" spans="1:13" ht="13" x14ac:dyDescent="0.15">
      <c r="A3817" s="21" t="str">
        <f>HYPERLINK("https://onemount.atlassian.net/browse/DBA-838","DBA-838")</f>
        <v>DBA-838</v>
      </c>
      <c r="B3817" s="6" t="s">
        <v>21</v>
      </c>
      <c r="C3817" s="6" t="s">
        <v>15424</v>
      </c>
      <c r="D3817" s="8" t="s">
        <v>17</v>
      </c>
      <c r="E3817" s="6" t="s">
        <v>23</v>
      </c>
      <c r="F3817" s="6" t="s">
        <v>96</v>
      </c>
      <c r="G3817" s="6" t="s">
        <v>15751</v>
      </c>
      <c r="H3817" s="10">
        <v>45715</v>
      </c>
      <c r="I3817" s="6" t="s">
        <v>15752</v>
      </c>
      <c r="J3817" s="6" t="s">
        <v>165</v>
      </c>
      <c r="K3817" s="6" t="s">
        <v>165</v>
      </c>
      <c r="L3817" s="6" t="s">
        <v>1097</v>
      </c>
      <c r="M3817" s="6" t="s">
        <v>15753</v>
      </c>
    </row>
    <row r="3818" spans="1:13" ht="13" x14ac:dyDescent="0.15">
      <c r="A3818" s="5" t="str">
        <f>HYPERLINK("https://onemount.atlassian.net/browse/DBA-837","DBA-837")</f>
        <v>DBA-837</v>
      </c>
      <c r="B3818" s="6" t="s">
        <v>21</v>
      </c>
      <c r="C3818" s="6" t="s">
        <v>14350</v>
      </c>
      <c r="D3818" s="8" t="s">
        <v>17</v>
      </c>
      <c r="E3818" s="6" t="s">
        <v>23</v>
      </c>
      <c r="F3818" s="6" t="s">
        <v>31</v>
      </c>
      <c r="G3818" s="6" t="s">
        <v>15754</v>
      </c>
      <c r="H3818" s="10">
        <v>45714</v>
      </c>
      <c r="I3818" s="6" t="s">
        <v>15755</v>
      </c>
      <c r="J3818" s="6" t="s">
        <v>55</v>
      </c>
      <c r="K3818" s="6" t="s">
        <v>55</v>
      </c>
      <c r="L3818" s="6" t="s">
        <v>906</v>
      </c>
      <c r="M3818" s="6" t="s">
        <v>15756</v>
      </c>
    </row>
    <row r="3819" spans="1:13" ht="13" x14ac:dyDescent="0.15">
      <c r="A3819" s="5" t="str">
        <f>HYPERLINK("https://onemount.atlassian.net/browse/DBA-836","DBA-836")</f>
        <v>DBA-836</v>
      </c>
      <c r="B3819" s="6" t="s">
        <v>21</v>
      </c>
      <c r="C3819" s="6" t="s">
        <v>15757</v>
      </c>
      <c r="D3819" s="8" t="s">
        <v>17</v>
      </c>
      <c r="E3819" s="6" t="s">
        <v>23</v>
      </c>
      <c r="F3819" s="6" t="s">
        <v>24</v>
      </c>
      <c r="G3819" s="6" t="s">
        <v>15758</v>
      </c>
      <c r="H3819" s="10">
        <v>45713</v>
      </c>
      <c r="I3819" s="6" t="s">
        <v>15759</v>
      </c>
      <c r="J3819" s="6" t="s">
        <v>55</v>
      </c>
      <c r="K3819" s="6" t="s">
        <v>55</v>
      </c>
      <c r="L3819" s="6" t="s">
        <v>906</v>
      </c>
      <c r="M3819" s="6" t="s">
        <v>15760</v>
      </c>
    </row>
    <row r="3820" spans="1:13" ht="13" x14ac:dyDescent="0.15">
      <c r="A3820" s="5" t="str">
        <f>HYPERLINK("https://onemount.atlassian.net/browse/DBA-835","DBA-835")</f>
        <v>DBA-835</v>
      </c>
      <c r="B3820" s="6" t="s">
        <v>21</v>
      </c>
      <c r="C3820" s="6" t="s">
        <v>15761</v>
      </c>
      <c r="D3820" s="8" t="s">
        <v>17</v>
      </c>
      <c r="E3820" s="6" t="s">
        <v>23</v>
      </c>
      <c r="F3820" s="6" t="s">
        <v>31</v>
      </c>
      <c r="G3820" s="6" t="s">
        <v>15762</v>
      </c>
      <c r="H3820" s="10">
        <v>45714</v>
      </c>
      <c r="I3820" s="6" t="s">
        <v>15763</v>
      </c>
      <c r="J3820" s="6" t="s">
        <v>55</v>
      </c>
      <c r="K3820" s="6" t="s">
        <v>55</v>
      </c>
      <c r="L3820" s="6" t="s">
        <v>906</v>
      </c>
      <c r="M3820" s="6" t="s">
        <v>15764</v>
      </c>
    </row>
    <row r="3821" spans="1:13" ht="13" x14ac:dyDescent="0.15">
      <c r="A3821" s="5" t="str">
        <f>HYPERLINK("https://onemount.atlassian.net/browse/DBA-834","DBA-834")</f>
        <v>DBA-834</v>
      </c>
      <c r="B3821" s="6" t="s">
        <v>21</v>
      </c>
      <c r="C3821" s="6" t="s">
        <v>15765</v>
      </c>
      <c r="D3821" s="8" t="s">
        <v>17</v>
      </c>
      <c r="E3821" s="6" t="s">
        <v>23</v>
      </c>
      <c r="F3821" s="6" t="s">
        <v>31</v>
      </c>
      <c r="G3821" s="6" t="s">
        <v>15766</v>
      </c>
      <c r="H3821" s="10">
        <v>45713</v>
      </c>
      <c r="I3821" s="6" t="s">
        <v>15767</v>
      </c>
      <c r="J3821" s="6" t="s">
        <v>14672</v>
      </c>
      <c r="K3821" s="6" t="s">
        <v>55</v>
      </c>
      <c r="L3821" s="6" t="s">
        <v>254</v>
      </c>
      <c r="M3821" s="6" t="s">
        <v>15768</v>
      </c>
    </row>
    <row r="3822" spans="1:13" ht="13" x14ac:dyDescent="0.15">
      <c r="A3822" s="5" t="str">
        <f>HYPERLINK("https://onemount.atlassian.net/browse/DBA-833","DBA-833")</f>
        <v>DBA-833</v>
      </c>
      <c r="B3822" s="6" t="s">
        <v>21</v>
      </c>
      <c r="C3822" s="6" t="s">
        <v>15563</v>
      </c>
      <c r="D3822" s="8" t="s">
        <v>17</v>
      </c>
      <c r="E3822" s="6" t="s">
        <v>23</v>
      </c>
      <c r="F3822" s="6" t="s">
        <v>24</v>
      </c>
      <c r="G3822" s="6" t="s">
        <v>15769</v>
      </c>
      <c r="H3822" s="10">
        <v>45714</v>
      </c>
      <c r="I3822" s="6" t="s">
        <v>15770</v>
      </c>
      <c r="J3822" s="6" t="s">
        <v>55</v>
      </c>
      <c r="K3822" s="6" t="s">
        <v>55</v>
      </c>
      <c r="L3822" s="6" t="s">
        <v>56</v>
      </c>
      <c r="M3822" s="6" t="s">
        <v>15771</v>
      </c>
    </row>
    <row r="3823" spans="1:13" ht="13" x14ac:dyDescent="0.15">
      <c r="A3823" s="5" t="str">
        <f>HYPERLINK("https://onemount.atlassian.net/browse/DBA-832","DBA-832")</f>
        <v>DBA-832</v>
      </c>
      <c r="B3823" s="6" t="s">
        <v>21</v>
      </c>
      <c r="C3823" s="6" t="s">
        <v>15772</v>
      </c>
      <c r="D3823" s="8" t="s">
        <v>17</v>
      </c>
      <c r="E3823" s="6" t="s">
        <v>23</v>
      </c>
      <c r="F3823" s="6" t="s">
        <v>24</v>
      </c>
      <c r="G3823" s="6" t="s">
        <v>15773</v>
      </c>
      <c r="H3823" s="10">
        <v>45714</v>
      </c>
      <c r="I3823" s="6" t="s">
        <v>15774</v>
      </c>
      <c r="J3823" s="6" t="s">
        <v>46</v>
      </c>
      <c r="K3823" s="6" t="s">
        <v>46</v>
      </c>
      <c r="L3823" s="6" t="s">
        <v>39</v>
      </c>
      <c r="M3823" s="6" t="s">
        <v>15775</v>
      </c>
    </row>
    <row r="3824" spans="1:13" ht="13" x14ac:dyDescent="0.15">
      <c r="A3824" s="5" t="str">
        <f>HYPERLINK("https://onemount.atlassian.net/browse/DBA-831","DBA-831")</f>
        <v>DBA-831</v>
      </c>
      <c r="B3824" s="6" t="s">
        <v>21</v>
      </c>
      <c r="C3824" s="6" t="s">
        <v>15776</v>
      </c>
      <c r="D3824" s="8" t="s">
        <v>17</v>
      </c>
      <c r="E3824" s="6" t="s">
        <v>23</v>
      </c>
      <c r="F3824" s="6" t="s">
        <v>31</v>
      </c>
      <c r="G3824" s="6" t="s">
        <v>15777</v>
      </c>
      <c r="H3824" s="10">
        <v>45714</v>
      </c>
      <c r="I3824" s="6" t="s">
        <v>15778</v>
      </c>
      <c r="J3824" s="6" t="s">
        <v>10998</v>
      </c>
      <c r="K3824" s="6" t="s">
        <v>165</v>
      </c>
      <c r="L3824" s="6" t="s">
        <v>1073</v>
      </c>
      <c r="M3824" s="6" t="s">
        <v>15779</v>
      </c>
    </row>
    <row r="3825" spans="1:13" ht="13" x14ac:dyDescent="0.15">
      <c r="A3825" s="5" t="str">
        <f>HYPERLINK("https://onemount.atlassian.net/browse/DBA-830","DBA-830")</f>
        <v>DBA-830</v>
      </c>
      <c r="B3825" s="6" t="s">
        <v>21</v>
      </c>
      <c r="C3825" s="6" t="s">
        <v>15780</v>
      </c>
      <c r="D3825" s="8" t="s">
        <v>17</v>
      </c>
      <c r="E3825" s="6" t="s">
        <v>23</v>
      </c>
      <c r="F3825" s="6" t="s">
        <v>96</v>
      </c>
      <c r="G3825" s="6" t="s">
        <v>15781</v>
      </c>
      <c r="H3825" s="10">
        <v>45713</v>
      </c>
      <c r="I3825" s="6" t="s">
        <v>15782</v>
      </c>
      <c r="J3825" s="6" t="s">
        <v>15702</v>
      </c>
      <c r="K3825" s="6" t="s">
        <v>46</v>
      </c>
      <c r="L3825" s="6" t="s">
        <v>571</v>
      </c>
      <c r="M3825" s="6" t="s">
        <v>15783</v>
      </c>
    </row>
    <row r="3826" spans="1:13" ht="13" x14ac:dyDescent="0.15">
      <c r="A3826" s="5" t="str">
        <f>HYPERLINK("https://onemount.atlassian.net/browse/DBA-829","DBA-829")</f>
        <v>DBA-829</v>
      </c>
      <c r="B3826" s="6" t="s">
        <v>21</v>
      </c>
      <c r="C3826" s="6" t="s">
        <v>15784</v>
      </c>
      <c r="D3826" s="8" t="s">
        <v>17</v>
      </c>
      <c r="E3826" s="6" t="s">
        <v>23</v>
      </c>
      <c r="F3826" s="6" t="s">
        <v>96</v>
      </c>
      <c r="G3826" s="6" t="s">
        <v>15785</v>
      </c>
      <c r="H3826" s="10">
        <v>45714</v>
      </c>
      <c r="I3826" s="6" t="s">
        <v>15786</v>
      </c>
      <c r="J3826" s="6" t="s">
        <v>165</v>
      </c>
      <c r="K3826" s="6" t="s">
        <v>165</v>
      </c>
      <c r="L3826" s="6" t="s">
        <v>1064</v>
      </c>
      <c r="M3826" s="6" t="s">
        <v>15787</v>
      </c>
    </row>
    <row r="3827" spans="1:13" ht="13" x14ac:dyDescent="0.15">
      <c r="A3827" s="5" t="str">
        <f>HYPERLINK("https://onemount.atlassian.net/browse/DBA-828","DBA-828")</f>
        <v>DBA-828</v>
      </c>
      <c r="B3827" s="6" t="s">
        <v>21</v>
      </c>
      <c r="C3827" s="6" t="s">
        <v>15788</v>
      </c>
      <c r="D3827" s="8" t="s">
        <v>17</v>
      </c>
      <c r="E3827" s="6" t="s">
        <v>23</v>
      </c>
      <c r="F3827" s="6" t="s">
        <v>96</v>
      </c>
      <c r="G3827" s="6" t="s">
        <v>15789</v>
      </c>
      <c r="H3827" s="10">
        <v>45723</v>
      </c>
      <c r="I3827" s="6" t="s">
        <v>15790</v>
      </c>
      <c r="J3827" s="6" t="s">
        <v>165</v>
      </c>
      <c r="K3827" s="6" t="s">
        <v>165</v>
      </c>
      <c r="L3827" s="6" t="s">
        <v>715</v>
      </c>
      <c r="M3827" s="6" t="s">
        <v>15791</v>
      </c>
    </row>
    <row r="3828" spans="1:13" ht="13" x14ac:dyDescent="0.15">
      <c r="A3828" s="5" t="str">
        <f>HYPERLINK("https://onemount.atlassian.net/browse/DBA-827","DBA-827")</f>
        <v>DBA-827</v>
      </c>
      <c r="B3828" s="6" t="s">
        <v>21</v>
      </c>
      <c r="C3828" s="6" t="s">
        <v>15792</v>
      </c>
      <c r="D3828" s="8" t="s">
        <v>17</v>
      </c>
      <c r="E3828" s="6" t="s">
        <v>23</v>
      </c>
      <c r="F3828" s="6" t="s">
        <v>96</v>
      </c>
      <c r="G3828" s="6" t="s">
        <v>15793</v>
      </c>
      <c r="H3828" s="10">
        <v>45665</v>
      </c>
      <c r="I3828" s="6" t="s">
        <v>15794</v>
      </c>
      <c r="J3828" s="6" t="s">
        <v>1054</v>
      </c>
      <c r="K3828" s="6" t="s">
        <v>165</v>
      </c>
      <c r="L3828" s="6" t="s">
        <v>1054</v>
      </c>
      <c r="M3828" s="6" t="s">
        <v>15795</v>
      </c>
    </row>
    <row r="3829" spans="1:13" ht="13" x14ac:dyDescent="0.15">
      <c r="A3829" s="5" t="str">
        <f>HYPERLINK("https://onemount.atlassian.net/browse/DBA-826","DBA-826")</f>
        <v>DBA-826</v>
      </c>
      <c r="B3829" s="6" t="s">
        <v>21</v>
      </c>
      <c r="C3829" s="6" t="s">
        <v>15796</v>
      </c>
      <c r="D3829" s="8" t="s">
        <v>17</v>
      </c>
      <c r="E3829" s="6" t="s">
        <v>23</v>
      </c>
      <c r="F3829" s="6" t="s">
        <v>96</v>
      </c>
      <c r="G3829" s="6" t="s">
        <v>15797</v>
      </c>
      <c r="H3829" s="10">
        <v>45678</v>
      </c>
      <c r="I3829" s="6" t="s">
        <v>15798</v>
      </c>
      <c r="J3829" s="6" t="s">
        <v>165</v>
      </c>
      <c r="K3829" s="6" t="s">
        <v>165</v>
      </c>
      <c r="L3829" s="6" t="s">
        <v>1050</v>
      </c>
      <c r="M3829" s="6" t="s">
        <v>15799</v>
      </c>
    </row>
    <row r="3830" spans="1:13" ht="13" x14ac:dyDescent="0.15">
      <c r="A3830" s="5" t="str">
        <f>HYPERLINK("https://onemount.atlassian.net/browse/DBA-825","DBA-825")</f>
        <v>DBA-825</v>
      </c>
      <c r="B3830" s="6" t="s">
        <v>21</v>
      </c>
      <c r="C3830" s="6" t="s">
        <v>15800</v>
      </c>
      <c r="D3830" s="8" t="s">
        <v>17</v>
      </c>
      <c r="E3830" s="6" t="s">
        <v>23</v>
      </c>
      <c r="F3830" s="6" t="s">
        <v>31</v>
      </c>
      <c r="G3830" s="6" t="s">
        <v>15801</v>
      </c>
      <c r="H3830" s="10">
        <v>45712</v>
      </c>
      <c r="I3830" s="6" t="s">
        <v>15802</v>
      </c>
      <c r="J3830" s="6" t="s">
        <v>34</v>
      </c>
      <c r="K3830" s="6" t="s">
        <v>35</v>
      </c>
      <c r="L3830" s="6" t="s">
        <v>36</v>
      </c>
      <c r="M3830" s="6" t="s">
        <v>15803</v>
      </c>
    </row>
    <row r="3831" spans="1:13" ht="13" x14ac:dyDescent="0.15">
      <c r="A3831" s="5" t="str">
        <f>HYPERLINK("https://onemount.atlassian.net/browse/DBA-824","DBA-824")</f>
        <v>DBA-824</v>
      </c>
      <c r="B3831" s="6" t="s">
        <v>21</v>
      </c>
      <c r="C3831" s="6" t="s">
        <v>15804</v>
      </c>
      <c r="D3831" s="8" t="s">
        <v>17</v>
      </c>
      <c r="E3831" s="6" t="s">
        <v>23</v>
      </c>
      <c r="F3831" s="6" t="s">
        <v>96</v>
      </c>
      <c r="G3831" s="6" t="s">
        <v>15805</v>
      </c>
      <c r="H3831" s="10">
        <v>45665</v>
      </c>
      <c r="I3831" s="6" t="s">
        <v>15806</v>
      </c>
      <c r="J3831" s="6" t="s">
        <v>1054</v>
      </c>
      <c r="K3831" s="6" t="s">
        <v>165</v>
      </c>
      <c r="L3831" s="6" t="s">
        <v>1054</v>
      </c>
      <c r="M3831" s="6" t="s">
        <v>15807</v>
      </c>
    </row>
    <row r="3832" spans="1:13" ht="13" x14ac:dyDescent="0.15">
      <c r="A3832" s="5" t="str">
        <f>HYPERLINK("https://onemount.atlassian.net/browse/DBA-823","DBA-823")</f>
        <v>DBA-823</v>
      </c>
      <c r="B3832" s="6" t="s">
        <v>21</v>
      </c>
      <c r="C3832" s="6" t="s">
        <v>15808</v>
      </c>
      <c r="D3832" s="8" t="s">
        <v>17</v>
      </c>
      <c r="E3832" s="6" t="s">
        <v>23</v>
      </c>
      <c r="F3832" s="6" t="s">
        <v>96</v>
      </c>
      <c r="G3832" s="6" t="s">
        <v>15809</v>
      </c>
      <c r="H3832" s="10">
        <v>45670</v>
      </c>
      <c r="I3832" s="6" t="s">
        <v>15810</v>
      </c>
      <c r="J3832" s="6" t="s">
        <v>165</v>
      </c>
      <c r="K3832" s="6" t="s">
        <v>165</v>
      </c>
      <c r="L3832" s="6" t="s">
        <v>1064</v>
      </c>
      <c r="M3832" s="6" t="s">
        <v>15811</v>
      </c>
    </row>
    <row r="3833" spans="1:13" ht="13" x14ac:dyDescent="0.15">
      <c r="A3833" s="5" t="str">
        <f>HYPERLINK("https://onemount.atlassian.net/browse/DBA-822","DBA-822")</f>
        <v>DBA-822</v>
      </c>
      <c r="B3833" s="6" t="s">
        <v>21</v>
      </c>
      <c r="C3833" s="6" t="s">
        <v>15812</v>
      </c>
      <c r="D3833" s="8" t="s">
        <v>17</v>
      </c>
      <c r="E3833" s="6" t="s">
        <v>23</v>
      </c>
      <c r="F3833" s="6" t="s">
        <v>96</v>
      </c>
      <c r="G3833" s="6" t="s">
        <v>15813</v>
      </c>
      <c r="H3833" s="10">
        <v>45661</v>
      </c>
      <c r="I3833" s="6" t="s">
        <v>15814</v>
      </c>
      <c r="J3833" s="6" t="s">
        <v>165</v>
      </c>
      <c r="K3833" s="6" t="s">
        <v>165</v>
      </c>
      <c r="L3833" s="6" t="s">
        <v>632</v>
      </c>
      <c r="M3833" s="6" t="s">
        <v>15815</v>
      </c>
    </row>
    <row r="3834" spans="1:13" ht="13" x14ac:dyDescent="0.15">
      <c r="A3834" s="5" t="str">
        <f>HYPERLINK("https://onemount.atlassian.net/browse/DBA-821","DBA-821")</f>
        <v>DBA-821</v>
      </c>
      <c r="B3834" s="6" t="s">
        <v>21</v>
      </c>
      <c r="C3834" s="6" t="s">
        <v>15816</v>
      </c>
      <c r="D3834" s="8" t="s">
        <v>17</v>
      </c>
      <c r="E3834" s="6" t="s">
        <v>23</v>
      </c>
      <c r="F3834" s="6" t="s">
        <v>96</v>
      </c>
      <c r="G3834" s="6" t="s">
        <v>15817</v>
      </c>
      <c r="H3834" s="10">
        <v>45661</v>
      </c>
      <c r="I3834" s="6" t="s">
        <v>15818</v>
      </c>
      <c r="J3834" s="6" t="s">
        <v>165</v>
      </c>
      <c r="K3834" s="6" t="s">
        <v>165</v>
      </c>
      <c r="L3834" s="6" t="s">
        <v>39</v>
      </c>
      <c r="M3834" s="6" t="s">
        <v>15819</v>
      </c>
    </row>
    <row r="3835" spans="1:13" ht="13" x14ac:dyDescent="0.15">
      <c r="A3835" s="5" t="str">
        <f>HYPERLINK("https://onemount.atlassian.net/browse/DBA-820","DBA-820")</f>
        <v>DBA-820</v>
      </c>
      <c r="B3835" s="6" t="s">
        <v>21</v>
      </c>
      <c r="C3835" s="6" t="s">
        <v>15820</v>
      </c>
      <c r="D3835" s="8" t="s">
        <v>17</v>
      </c>
      <c r="E3835" s="6" t="s">
        <v>23</v>
      </c>
      <c r="F3835" s="6" t="s">
        <v>96</v>
      </c>
      <c r="G3835" s="6" t="s">
        <v>15821</v>
      </c>
      <c r="H3835" s="10">
        <v>45659</v>
      </c>
      <c r="I3835" s="6" t="s">
        <v>15822</v>
      </c>
      <c r="J3835" s="6" t="s">
        <v>165</v>
      </c>
      <c r="K3835" s="6" t="s">
        <v>165</v>
      </c>
      <c r="L3835" s="6" t="s">
        <v>1052</v>
      </c>
      <c r="M3835" s="6" t="s">
        <v>15823</v>
      </c>
    </row>
    <row r="3836" spans="1:13" ht="13" x14ac:dyDescent="0.15">
      <c r="A3836" s="5" t="str">
        <f>HYPERLINK("https://onemount.atlassian.net/browse/DBA-819","DBA-819")</f>
        <v>DBA-819</v>
      </c>
      <c r="B3836" s="6" t="s">
        <v>21</v>
      </c>
      <c r="C3836" s="6" t="s">
        <v>15824</v>
      </c>
      <c r="D3836" s="8" t="s">
        <v>17</v>
      </c>
      <c r="E3836" s="6" t="s">
        <v>23</v>
      </c>
      <c r="F3836" s="6" t="s">
        <v>96</v>
      </c>
      <c r="G3836" s="6" t="s">
        <v>15825</v>
      </c>
      <c r="H3836" s="10">
        <v>45659</v>
      </c>
      <c r="I3836" s="6" t="s">
        <v>15826</v>
      </c>
      <c r="J3836" s="6" t="s">
        <v>165</v>
      </c>
      <c r="K3836" s="6" t="s">
        <v>165</v>
      </c>
      <c r="L3836" s="6" t="s">
        <v>1064</v>
      </c>
      <c r="M3836" s="6" t="s">
        <v>15827</v>
      </c>
    </row>
    <row r="3837" spans="1:13" ht="13" x14ac:dyDescent="0.15">
      <c r="A3837" s="5" t="str">
        <f>HYPERLINK("https://onemount.atlassian.net/browse/DBA-818","DBA-818")</f>
        <v>DBA-818</v>
      </c>
      <c r="B3837" s="6" t="s">
        <v>21</v>
      </c>
      <c r="C3837" s="6" t="s">
        <v>15828</v>
      </c>
      <c r="D3837" s="8" t="s">
        <v>17</v>
      </c>
      <c r="E3837" s="6" t="s">
        <v>23</v>
      </c>
      <c r="F3837" s="6" t="s">
        <v>96</v>
      </c>
      <c r="G3837" s="6" t="s">
        <v>15829</v>
      </c>
      <c r="H3837" s="10">
        <v>45659</v>
      </c>
      <c r="I3837" s="6" t="s">
        <v>15830</v>
      </c>
      <c r="J3837" s="6" t="s">
        <v>165</v>
      </c>
      <c r="K3837" s="6" t="s">
        <v>165</v>
      </c>
      <c r="L3837" s="6" t="s">
        <v>1054</v>
      </c>
      <c r="M3837" s="6" t="s">
        <v>15831</v>
      </c>
    </row>
    <row r="3838" spans="1:13" ht="13" x14ac:dyDescent="0.15">
      <c r="A3838" s="21" t="str">
        <f>HYPERLINK("https://onemount.atlassian.net/browse/DBA-817","DBA-817")</f>
        <v>DBA-817</v>
      </c>
      <c r="B3838" s="6" t="s">
        <v>21</v>
      </c>
      <c r="C3838" s="6" t="s">
        <v>15127</v>
      </c>
      <c r="D3838" s="8" t="s">
        <v>17</v>
      </c>
      <c r="E3838" s="6" t="s">
        <v>23</v>
      </c>
      <c r="F3838" s="6" t="s">
        <v>24</v>
      </c>
      <c r="G3838" s="6" t="s">
        <v>15832</v>
      </c>
      <c r="H3838" s="10">
        <v>45706</v>
      </c>
      <c r="I3838" s="6" t="s">
        <v>15833</v>
      </c>
      <c r="J3838" s="6" t="s">
        <v>55</v>
      </c>
      <c r="K3838" s="6" t="s">
        <v>55</v>
      </c>
      <c r="L3838" s="6" t="s">
        <v>906</v>
      </c>
      <c r="M3838" s="6" t="s">
        <v>15184</v>
      </c>
    </row>
    <row r="3839" spans="1:13" ht="13" x14ac:dyDescent="0.15">
      <c r="A3839" s="21" t="str">
        <f>HYPERLINK("https://onemount.atlassian.net/browse/DBA-816","DBA-816")</f>
        <v>DBA-816</v>
      </c>
      <c r="B3839" s="6" t="s">
        <v>21</v>
      </c>
      <c r="C3839" s="6" t="s">
        <v>15127</v>
      </c>
      <c r="D3839" s="8" t="s">
        <v>17</v>
      </c>
      <c r="E3839" s="6" t="s">
        <v>23</v>
      </c>
      <c r="F3839" s="6" t="s">
        <v>24</v>
      </c>
      <c r="G3839" s="6" t="s">
        <v>15834</v>
      </c>
      <c r="H3839" s="10">
        <v>45703</v>
      </c>
      <c r="I3839" s="6" t="s">
        <v>15835</v>
      </c>
      <c r="J3839" s="6" t="s">
        <v>55</v>
      </c>
      <c r="K3839" s="6" t="s">
        <v>55</v>
      </c>
      <c r="L3839" s="6" t="s">
        <v>906</v>
      </c>
      <c r="M3839" s="6" t="s">
        <v>15836</v>
      </c>
    </row>
    <row r="3840" spans="1:13" ht="13" x14ac:dyDescent="0.15">
      <c r="A3840" s="5" t="str">
        <f>HYPERLINK("https://onemount.atlassian.net/browse/DBA-815","DBA-815")</f>
        <v>DBA-815</v>
      </c>
      <c r="B3840" s="6" t="s">
        <v>21</v>
      </c>
      <c r="C3840" s="6" t="s">
        <v>15837</v>
      </c>
      <c r="D3840" s="8" t="s">
        <v>17</v>
      </c>
      <c r="E3840" s="6" t="s">
        <v>23</v>
      </c>
      <c r="F3840" s="6" t="s">
        <v>24</v>
      </c>
      <c r="G3840" s="6" t="s">
        <v>15838</v>
      </c>
      <c r="H3840" s="10">
        <v>45713</v>
      </c>
      <c r="I3840" s="6" t="s">
        <v>15839</v>
      </c>
      <c r="J3840" s="6" t="s">
        <v>46</v>
      </c>
      <c r="K3840" s="6" t="s">
        <v>46</v>
      </c>
      <c r="L3840" s="6" t="s">
        <v>39</v>
      </c>
      <c r="M3840" s="6" t="s">
        <v>15840</v>
      </c>
    </row>
    <row r="3841" spans="1:13" ht="13" x14ac:dyDescent="0.15">
      <c r="A3841" s="5" t="str">
        <f>HYPERLINK("https://onemount.atlassian.net/browse/DBA-814","DBA-814")</f>
        <v>DBA-814</v>
      </c>
      <c r="B3841" s="6" t="s">
        <v>21</v>
      </c>
      <c r="C3841" s="6" t="s">
        <v>15841</v>
      </c>
      <c r="D3841" s="8" t="s">
        <v>17</v>
      </c>
      <c r="E3841" s="6" t="s">
        <v>23</v>
      </c>
      <c r="F3841" s="6" t="s">
        <v>24</v>
      </c>
      <c r="G3841" s="6" t="s">
        <v>15842</v>
      </c>
      <c r="H3841" s="10">
        <v>45713</v>
      </c>
      <c r="I3841" s="6" t="s">
        <v>15843</v>
      </c>
      <c r="J3841" s="6" t="s">
        <v>165</v>
      </c>
      <c r="K3841" s="6" t="s">
        <v>165</v>
      </c>
      <c r="L3841" s="6" t="s">
        <v>1071</v>
      </c>
      <c r="M3841" s="6" t="s">
        <v>15844</v>
      </c>
    </row>
    <row r="3842" spans="1:13" ht="13" x14ac:dyDescent="0.15">
      <c r="A3842" s="5" t="str">
        <f>HYPERLINK("https://onemount.atlassian.net/browse/DBA-813","DBA-813")</f>
        <v>DBA-813</v>
      </c>
      <c r="B3842" s="6" t="s">
        <v>21</v>
      </c>
      <c r="C3842" s="6" t="s">
        <v>15127</v>
      </c>
      <c r="D3842" s="8" t="s">
        <v>17</v>
      </c>
      <c r="E3842" s="6" t="s">
        <v>23</v>
      </c>
      <c r="F3842" s="6" t="s">
        <v>24</v>
      </c>
      <c r="G3842" s="6" t="s">
        <v>15845</v>
      </c>
      <c r="H3842" s="10">
        <v>45700</v>
      </c>
      <c r="I3842" s="6" t="s">
        <v>15846</v>
      </c>
      <c r="J3842" s="6" t="s">
        <v>55</v>
      </c>
      <c r="K3842" s="6" t="s">
        <v>55</v>
      </c>
      <c r="L3842" s="6" t="s">
        <v>906</v>
      </c>
      <c r="M3842" s="6" t="s">
        <v>15847</v>
      </c>
    </row>
    <row r="3843" spans="1:13" ht="13" x14ac:dyDescent="0.15">
      <c r="A3843" s="5" t="str">
        <f>HYPERLINK("https://onemount.atlassian.net/browse/DBA-812","DBA-812")</f>
        <v>DBA-812</v>
      </c>
      <c r="B3843" s="6" t="s">
        <v>21</v>
      </c>
      <c r="C3843" s="6" t="s">
        <v>14350</v>
      </c>
      <c r="D3843" s="8" t="s">
        <v>17</v>
      </c>
      <c r="E3843" s="6" t="s">
        <v>23</v>
      </c>
      <c r="F3843" s="6" t="s">
        <v>24</v>
      </c>
      <c r="G3843" s="6" t="s">
        <v>15848</v>
      </c>
      <c r="H3843" s="10">
        <v>45700</v>
      </c>
      <c r="I3843" s="6" t="s">
        <v>15849</v>
      </c>
      <c r="J3843" s="6" t="s">
        <v>55</v>
      </c>
      <c r="K3843" s="6" t="s">
        <v>55</v>
      </c>
      <c r="L3843" s="6" t="s">
        <v>906</v>
      </c>
      <c r="M3843" s="6" t="s">
        <v>15850</v>
      </c>
    </row>
    <row r="3844" spans="1:13" ht="13" x14ac:dyDescent="0.15">
      <c r="A3844" s="5" t="str">
        <f>HYPERLINK("https://onemount.atlassian.net/browse/DBA-811","DBA-811")</f>
        <v>DBA-811</v>
      </c>
      <c r="B3844" s="6" t="s">
        <v>21</v>
      </c>
      <c r="C3844" s="6" t="s">
        <v>15127</v>
      </c>
      <c r="D3844" s="8" t="s">
        <v>17</v>
      </c>
      <c r="E3844" s="6" t="s">
        <v>23</v>
      </c>
      <c r="F3844" s="6" t="s">
        <v>24</v>
      </c>
      <c r="G3844" s="6" t="s">
        <v>15851</v>
      </c>
      <c r="H3844" s="10">
        <v>45699</v>
      </c>
      <c r="I3844" s="6" t="s">
        <v>15852</v>
      </c>
      <c r="J3844" s="6" t="s">
        <v>55</v>
      </c>
      <c r="K3844" s="6" t="s">
        <v>55</v>
      </c>
      <c r="L3844" s="6" t="s">
        <v>906</v>
      </c>
      <c r="M3844" s="6" t="s">
        <v>15853</v>
      </c>
    </row>
    <row r="3845" spans="1:13" ht="13" x14ac:dyDescent="0.15">
      <c r="A3845" s="5" t="str">
        <f>HYPERLINK("https://onemount.atlassian.net/browse/DBA-810","DBA-810")</f>
        <v>DBA-810</v>
      </c>
      <c r="B3845" s="6" t="s">
        <v>21</v>
      </c>
      <c r="C3845" s="6" t="s">
        <v>15127</v>
      </c>
      <c r="D3845" s="8" t="s">
        <v>17</v>
      </c>
      <c r="E3845" s="6" t="s">
        <v>23</v>
      </c>
      <c r="F3845" s="6" t="s">
        <v>24</v>
      </c>
      <c r="G3845" s="6" t="s">
        <v>15854</v>
      </c>
      <c r="H3845" s="10">
        <v>45699</v>
      </c>
      <c r="I3845" s="6" t="s">
        <v>15855</v>
      </c>
      <c r="J3845" s="6" t="s">
        <v>55</v>
      </c>
      <c r="K3845" s="6" t="s">
        <v>55</v>
      </c>
      <c r="L3845" s="6" t="s">
        <v>906</v>
      </c>
      <c r="M3845" s="6" t="s">
        <v>15856</v>
      </c>
    </row>
    <row r="3846" spans="1:13" ht="13" x14ac:dyDescent="0.15">
      <c r="A3846" s="5" t="str">
        <f>HYPERLINK("https://onemount.atlassian.net/browse/DBA-809","DBA-809")</f>
        <v>DBA-809</v>
      </c>
      <c r="B3846" s="6" t="s">
        <v>21</v>
      </c>
      <c r="C3846" s="6" t="s">
        <v>14948</v>
      </c>
      <c r="D3846" s="8" t="s">
        <v>17</v>
      </c>
      <c r="E3846" s="6" t="s">
        <v>23</v>
      </c>
      <c r="F3846" s="6" t="s">
        <v>24</v>
      </c>
      <c r="G3846" s="6" t="s">
        <v>15857</v>
      </c>
      <c r="H3846" s="10">
        <v>45713</v>
      </c>
      <c r="I3846" s="6" t="s">
        <v>15858</v>
      </c>
      <c r="J3846" s="6" t="s">
        <v>46</v>
      </c>
      <c r="K3846" s="6" t="s">
        <v>46</v>
      </c>
      <c r="L3846" s="6" t="s">
        <v>39</v>
      </c>
      <c r="M3846" s="6" t="s">
        <v>15859</v>
      </c>
    </row>
    <row r="3847" spans="1:13" ht="13" x14ac:dyDescent="0.15">
      <c r="A3847" s="5" t="str">
        <f>HYPERLINK("https://onemount.atlassian.net/browse/DBA-808","DBA-808")</f>
        <v>DBA-808</v>
      </c>
      <c r="B3847" s="6" t="s">
        <v>21</v>
      </c>
      <c r="C3847" s="6" t="s">
        <v>15860</v>
      </c>
      <c r="D3847" s="8" t="s">
        <v>17</v>
      </c>
      <c r="E3847" s="6" t="s">
        <v>23</v>
      </c>
      <c r="F3847" s="6" t="s">
        <v>24</v>
      </c>
      <c r="G3847" s="6" t="s">
        <v>15861</v>
      </c>
      <c r="H3847" s="10">
        <v>45713</v>
      </c>
      <c r="I3847" s="6" t="s">
        <v>15862</v>
      </c>
      <c r="J3847" s="6" t="s">
        <v>55</v>
      </c>
      <c r="K3847" s="6" t="s">
        <v>55</v>
      </c>
      <c r="L3847" s="6" t="s">
        <v>56</v>
      </c>
      <c r="M3847" s="6" t="s">
        <v>15863</v>
      </c>
    </row>
    <row r="3848" spans="1:13" ht="13" x14ac:dyDescent="0.15">
      <c r="A3848" s="5" t="str">
        <f>HYPERLINK("https://onemount.atlassian.net/browse/DBA-807","DBA-807")</f>
        <v>DBA-807</v>
      </c>
      <c r="B3848" s="6" t="s">
        <v>21</v>
      </c>
      <c r="C3848" s="6" t="s">
        <v>14317</v>
      </c>
      <c r="D3848" s="8" t="s">
        <v>17</v>
      </c>
      <c r="E3848" s="6" t="s">
        <v>23</v>
      </c>
      <c r="F3848" s="6" t="s">
        <v>24</v>
      </c>
      <c r="G3848" s="6" t="s">
        <v>15864</v>
      </c>
      <c r="H3848" s="10">
        <v>45695</v>
      </c>
      <c r="I3848" s="6" t="s">
        <v>15865</v>
      </c>
      <c r="J3848" s="6" t="s">
        <v>55</v>
      </c>
      <c r="K3848" s="6" t="s">
        <v>55</v>
      </c>
      <c r="L3848" s="6" t="s">
        <v>56</v>
      </c>
      <c r="M3848" s="6" t="s">
        <v>15866</v>
      </c>
    </row>
    <row r="3849" spans="1:13" ht="13" x14ac:dyDescent="0.15">
      <c r="A3849" s="5" t="str">
        <f>HYPERLINK("https://onemount.atlassian.net/browse/DBA-806","DBA-806")</f>
        <v>DBA-806</v>
      </c>
      <c r="B3849" s="6" t="s">
        <v>21</v>
      </c>
      <c r="C3849" s="6" t="s">
        <v>15867</v>
      </c>
      <c r="D3849" s="8" t="s">
        <v>17</v>
      </c>
      <c r="E3849" s="6" t="s">
        <v>23</v>
      </c>
      <c r="F3849" s="6" t="s">
        <v>24</v>
      </c>
      <c r="G3849" s="6" t="s">
        <v>15868</v>
      </c>
      <c r="H3849" s="10">
        <v>45713</v>
      </c>
      <c r="I3849" s="6" t="s">
        <v>15869</v>
      </c>
      <c r="J3849" s="6" t="s">
        <v>55</v>
      </c>
      <c r="K3849" s="6" t="s">
        <v>55</v>
      </c>
      <c r="L3849" s="6" t="s">
        <v>56</v>
      </c>
      <c r="M3849" s="6" t="s">
        <v>15870</v>
      </c>
    </row>
    <row r="3850" spans="1:13" ht="13" x14ac:dyDescent="0.15">
      <c r="A3850" s="5" t="str">
        <f>HYPERLINK("https://onemount.atlassian.net/browse/DBA-805","DBA-805")</f>
        <v>DBA-805</v>
      </c>
      <c r="B3850" s="6" t="s">
        <v>21</v>
      </c>
      <c r="C3850" s="6" t="s">
        <v>15127</v>
      </c>
      <c r="D3850" s="8" t="s">
        <v>17</v>
      </c>
      <c r="E3850" s="6" t="s">
        <v>23</v>
      </c>
      <c r="F3850" s="6" t="s">
        <v>24</v>
      </c>
      <c r="G3850" s="6" t="s">
        <v>15871</v>
      </c>
      <c r="H3850" s="10">
        <v>45694</v>
      </c>
      <c r="I3850" s="6" t="s">
        <v>15872</v>
      </c>
      <c r="J3850" s="6" t="s">
        <v>55</v>
      </c>
      <c r="K3850" s="6" t="s">
        <v>55</v>
      </c>
      <c r="L3850" s="6" t="s">
        <v>906</v>
      </c>
      <c r="M3850" s="6" t="s">
        <v>15873</v>
      </c>
    </row>
    <row r="3851" spans="1:13" ht="13" x14ac:dyDescent="0.15">
      <c r="A3851" s="5" t="str">
        <f>HYPERLINK("https://onemount.atlassian.net/browse/DBA-804","DBA-804")</f>
        <v>DBA-804</v>
      </c>
      <c r="B3851" s="6" t="s">
        <v>21</v>
      </c>
      <c r="C3851" s="6" t="s">
        <v>15874</v>
      </c>
      <c r="D3851" s="8" t="s">
        <v>17</v>
      </c>
      <c r="E3851" s="6" t="s">
        <v>23</v>
      </c>
      <c r="F3851" s="6" t="s">
        <v>24</v>
      </c>
      <c r="G3851" s="6" t="s">
        <v>15875</v>
      </c>
      <c r="H3851" s="10">
        <v>45694</v>
      </c>
      <c r="I3851" s="6" t="s">
        <v>15876</v>
      </c>
      <c r="J3851" s="6" t="s">
        <v>55</v>
      </c>
      <c r="K3851" s="6" t="s">
        <v>55</v>
      </c>
      <c r="L3851" s="6" t="s">
        <v>906</v>
      </c>
      <c r="M3851" s="6" t="s">
        <v>15877</v>
      </c>
    </row>
    <row r="3852" spans="1:13" ht="13" x14ac:dyDescent="0.15">
      <c r="A3852" s="5" t="str">
        <f>HYPERLINK("https://onemount.atlassian.net/browse/DBA-803","DBA-803")</f>
        <v>DBA-803</v>
      </c>
      <c r="B3852" s="6" t="s">
        <v>21</v>
      </c>
      <c r="C3852" s="6" t="s">
        <v>15878</v>
      </c>
      <c r="D3852" s="8" t="s">
        <v>17</v>
      </c>
      <c r="E3852" s="6" t="s">
        <v>23</v>
      </c>
      <c r="F3852" s="6" t="s">
        <v>24</v>
      </c>
      <c r="G3852" s="6" t="s">
        <v>15879</v>
      </c>
      <c r="H3852" s="10">
        <v>45693</v>
      </c>
      <c r="I3852" s="6" t="s">
        <v>15880</v>
      </c>
      <c r="J3852" s="6" t="s">
        <v>55</v>
      </c>
      <c r="K3852" s="6" t="s">
        <v>55</v>
      </c>
      <c r="L3852" s="6" t="s">
        <v>906</v>
      </c>
      <c r="M3852" s="6" t="s">
        <v>15881</v>
      </c>
    </row>
    <row r="3853" spans="1:13" ht="13" x14ac:dyDescent="0.15">
      <c r="A3853" s="5" t="str">
        <f>HYPERLINK("https://onemount.atlassian.net/browse/DBA-802","DBA-802")</f>
        <v>DBA-802</v>
      </c>
      <c r="B3853" s="6" t="s">
        <v>21</v>
      </c>
      <c r="C3853" s="6" t="s">
        <v>15882</v>
      </c>
      <c r="D3853" s="8" t="s">
        <v>17</v>
      </c>
      <c r="E3853" s="6" t="s">
        <v>23</v>
      </c>
      <c r="F3853" s="6" t="s">
        <v>24</v>
      </c>
      <c r="G3853" s="6" t="s">
        <v>15883</v>
      </c>
      <c r="H3853" s="10">
        <v>45693</v>
      </c>
      <c r="I3853" s="6" t="s">
        <v>15884</v>
      </c>
      <c r="J3853" s="6" t="s">
        <v>28</v>
      </c>
      <c r="K3853" s="6" t="s">
        <v>28</v>
      </c>
      <c r="L3853" s="6" t="s">
        <v>1000</v>
      </c>
      <c r="M3853" s="6" t="s">
        <v>15885</v>
      </c>
    </row>
    <row r="3854" spans="1:13" ht="13" x14ac:dyDescent="0.15">
      <c r="A3854" s="5" t="str">
        <f>HYPERLINK("https://onemount.atlassian.net/browse/DBA-801","DBA-801")</f>
        <v>DBA-801</v>
      </c>
      <c r="B3854" s="6" t="s">
        <v>21</v>
      </c>
      <c r="C3854" s="6" t="s">
        <v>15882</v>
      </c>
      <c r="D3854" s="8" t="s">
        <v>17</v>
      </c>
      <c r="E3854" s="6" t="s">
        <v>23</v>
      </c>
      <c r="F3854" s="6" t="s">
        <v>24</v>
      </c>
      <c r="G3854" s="6" t="s">
        <v>15886</v>
      </c>
      <c r="H3854" s="10">
        <v>45693</v>
      </c>
      <c r="I3854" s="6" t="s">
        <v>15887</v>
      </c>
      <c r="J3854" s="6" t="s">
        <v>28</v>
      </c>
      <c r="K3854" s="6" t="s">
        <v>28</v>
      </c>
      <c r="L3854" s="6" t="s">
        <v>1000</v>
      </c>
      <c r="M3854" s="6" t="s">
        <v>15888</v>
      </c>
    </row>
    <row r="3855" spans="1:13" ht="13" x14ac:dyDescent="0.15">
      <c r="A3855" s="5" t="str">
        <f>HYPERLINK("https://onemount.atlassian.net/browse/DBA-800","DBA-800")</f>
        <v>DBA-800</v>
      </c>
      <c r="B3855" s="6" t="s">
        <v>21</v>
      </c>
      <c r="C3855" s="6" t="s">
        <v>15882</v>
      </c>
      <c r="D3855" s="8" t="s">
        <v>17</v>
      </c>
      <c r="E3855" s="6" t="s">
        <v>23</v>
      </c>
      <c r="F3855" s="6" t="s">
        <v>24</v>
      </c>
      <c r="G3855" s="6" t="s">
        <v>15889</v>
      </c>
      <c r="H3855" s="10">
        <v>45693</v>
      </c>
      <c r="I3855" s="6" t="s">
        <v>15890</v>
      </c>
      <c r="J3855" s="6" t="s">
        <v>28</v>
      </c>
      <c r="K3855" s="6" t="s">
        <v>28</v>
      </c>
      <c r="L3855" s="6" t="s">
        <v>1000</v>
      </c>
      <c r="M3855" s="6" t="s">
        <v>15891</v>
      </c>
    </row>
    <row r="3856" spans="1:13" ht="13" x14ac:dyDescent="0.15">
      <c r="A3856" s="5" t="str">
        <f>HYPERLINK("https://onemount.atlassian.net/browse/DBA-799","DBA-799")</f>
        <v>DBA-799</v>
      </c>
      <c r="B3856" s="6" t="s">
        <v>21</v>
      </c>
      <c r="C3856" s="6" t="s">
        <v>15892</v>
      </c>
      <c r="D3856" s="8" t="s">
        <v>17</v>
      </c>
      <c r="E3856" s="6" t="s">
        <v>23</v>
      </c>
      <c r="F3856" s="6" t="s">
        <v>24</v>
      </c>
      <c r="G3856" s="6" t="s">
        <v>15893</v>
      </c>
      <c r="H3856" s="10">
        <v>45693</v>
      </c>
      <c r="I3856" s="6" t="s">
        <v>15894</v>
      </c>
      <c r="J3856" s="6" t="s">
        <v>55</v>
      </c>
      <c r="K3856" s="6" t="s">
        <v>55</v>
      </c>
      <c r="L3856" s="6" t="s">
        <v>638</v>
      </c>
      <c r="M3856" s="6" t="s">
        <v>15895</v>
      </c>
    </row>
    <row r="3857" spans="1:13" ht="13" x14ac:dyDescent="0.15">
      <c r="A3857" s="5" t="str">
        <f>HYPERLINK("https://onemount.atlassian.net/browse/DBA-798","DBA-798")</f>
        <v>DBA-798</v>
      </c>
      <c r="B3857" s="6" t="s">
        <v>21</v>
      </c>
      <c r="C3857" s="6" t="s">
        <v>15896</v>
      </c>
      <c r="D3857" s="8" t="s">
        <v>17</v>
      </c>
      <c r="E3857" s="6" t="s">
        <v>23</v>
      </c>
      <c r="F3857" s="6" t="s">
        <v>24</v>
      </c>
      <c r="G3857" s="6" t="s">
        <v>15897</v>
      </c>
      <c r="H3857" s="10">
        <v>45693</v>
      </c>
      <c r="I3857" s="6" t="s">
        <v>15898</v>
      </c>
      <c r="J3857" s="6" t="s">
        <v>28</v>
      </c>
      <c r="K3857" s="6" t="s">
        <v>28</v>
      </c>
      <c r="L3857" s="6" t="s">
        <v>1000</v>
      </c>
      <c r="M3857" s="6" t="s">
        <v>15899</v>
      </c>
    </row>
    <row r="3858" spans="1:13" ht="13" x14ac:dyDescent="0.15">
      <c r="A3858" s="5" t="str">
        <f>HYPERLINK("https://onemount.atlassian.net/browse/DBA-797","DBA-797")</f>
        <v>DBA-797</v>
      </c>
      <c r="B3858" s="6" t="s">
        <v>21</v>
      </c>
      <c r="C3858" s="6" t="s">
        <v>8702</v>
      </c>
      <c r="D3858" s="8" t="s">
        <v>17</v>
      </c>
      <c r="E3858" s="6" t="s">
        <v>23</v>
      </c>
      <c r="F3858" s="6" t="s">
        <v>24</v>
      </c>
      <c r="G3858" s="6" t="s">
        <v>15900</v>
      </c>
      <c r="H3858" s="10">
        <v>45693</v>
      </c>
      <c r="I3858" s="6" t="s">
        <v>15901</v>
      </c>
      <c r="J3858" s="6" t="s">
        <v>28</v>
      </c>
      <c r="K3858" s="6" t="s">
        <v>28</v>
      </c>
      <c r="L3858" s="6" t="s">
        <v>1000</v>
      </c>
      <c r="M3858" s="6" t="s">
        <v>15902</v>
      </c>
    </row>
    <row r="3859" spans="1:13" ht="13" x14ac:dyDescent="0.15">
      <c r="A3859" s="5" t="str">
        <f>HYPERLINK("https://onemount.atlassian.net/browse/DBA-796","DBA-796")</f>
        <v>DBA-796</v>
      </c>
      <c r="B3859" s="6" t="s">
        <v>21</v>
      </c>
      <c r="C3859" s="6" t="s">
        <v>15903</v>
      </c>
      <c r="D3859" s="8" t="s">
        <v>17</v>
      </c>
      <c r="E3859" s="6" t="s">
        <v>23</v>
      </c>
      <c r="F3859" s="6" t="s">
        <v>24</v>
      </c>
      <c r="G3859" s="6" t="s">
        <v>15904</v>
      </c>
      <c r="H3859" s="10">
        <v>45692</v>
      </c>
      <c r="I3859" s="6" t="s">
        <v>15905</v>
      </c>
      <c r="J3859" s="6" t="s">
        <v>55</v>
      </c>
      <c r="K3859" s="6" t="s">
        <v>55</v>
      </c>
      <c r="L3859" s="6" t="s">
        <v>906</v>
      </c>
      <c r="M3859" s="6" t="s">
        <v>15906</v>
      </c>
    </row>
    <row r="3860" spans="1:13" ht="13" x14ac:dyDescent="0.15">
      <c r="A3860" s="5" t="str">
        <f>HYPERLINK("https://onemount.atlassian.net/browse/DBA-795","DBA-795")</f>
        <v>DBA-795</v>
      </c>
      <c r="B3860" s="6" t="s">
        <v>21</v>
      </c>
      <c r="C3860" s="6" t="s">
        <v>15907</v>
      </c>
      <c r="D3860" s="8" t="s">
        <v>17</v>
      </c>
      <c r="E3860" s="6" t="s">
        <v>23</v>
      </c>
      <c r="F3860" s="6" t="s">
        <v>24</v>
      </c>
      <c r="G3860" s="6" t="s">
        <v>15908</v>
      </c>
      <c r="H3860" s="10">
        <v>45713</v>
      </c>
      <c r="I3860" s="6" t="s">
        <v>15909</v>
      </c>
      <c r="J3860" s="6" t="s">
        <v>55</v>
      </c>
      <c r="K3860" s="6" t="s">
        <v>55</v>
      </c>
      <c r="L3860" s="6" t="s">
        <v>869</v>
      </c>
      <c r="M3860" s="6" t="s">
        <v>15910</v>
      </c>
    </row>
    <row r="3861" spans="1:13" ht="13" x14ac:dyDescent="0.15">
      <c r="A3861" s="5" t="str">
        <f>HYPERLINK("https://onemount.atlassian.net/browse/DBA-794","DBA-794")</f>
        <v>DBA-794</v>
      </c>
      <c r="B3861" s="6" t="s">
        <v>21</v>
      </c>
      <c r="C3861" s="6" t="s">
        <v>15127</v>
      </c>
      <c r="D3861" s="8" t="s">
        <v>17</v>
      </c>
      <c r="E3861" s="6" t="s">
        <v>23</v>
      </c>
      <c r="F3861" s="6" t="s">
        <v>24</v>
      </c>
      <c r="G3861" s="6" t="s">
        <v>15911</v>
      </c>
      <c r="H3861" s="10">
        <v>45691</v>
      </c>
      <c r="I3861" s="6" t="s">
        <v>15912</v>
      </c>
      <c r="J3861" s="6" t="s">
        <v>55</v>
      </c>
      <c r="K3861" s="6" t="s">
        <v>55</v>
      </c>
      <c r="L3861" s="6" t="s">
        <v>906</v>
      </c>
      <c r="M3861" s="6" t="s">
        <v>15913</v>
      </c>
    </row>
    <row r="3862" spans="1:13" ht="13" x14ac:dyDescent="0.15">
      <c r="A3862" s="5" t="str">
        <f>HYPERLINK("https://onemount.atlassian.net/browse/DBA-793","DBA-793")</f>
        <v>DBA-793</v>
      </c>
      <c r="B3862" s="6" t="s">
        <v>21</v>
      </c>
      <c r="C3862" s="6" t="s">
        <v>15903</v>
      </c>
      <c r="D3862" s="8" t="s">
        <v>17</v>
      </c>
      <c r="E3862" s="6" t="s">
        <v>23</v>
      </c>
      <c r="F3862" s="6" t="s">
        <v>24</v>
      </c>
      <c r="G3862" s="6" t="s">
        <v>15914</v>
      </c>
      <c r="H3862" s="10">
        <v>45682</v>
      </c>
      <c r="I3862" s="6" t="s">
        <v>15915</v>
      </c>
      <c r="J3862" s="6" t="s">
        <v>55</v>
      </c>
      <c r="K3862" s="6" t="s">
        <v>55</v>
      </c>
      <c r="L3862" s="6" t="s">
        <v>906</v>
      </c>
      <c r="M3862" s="6" t="s">
        <v>15916</v>
      </c>
    </row>
    <row r="3863" spans="1:13" ht="13" x14ac:dyDescent="0.15">
      <c r="A3863" s="5" t="str">
        <f>HYPERLINK("https://onemount.atlassian.net/browse/DBA-792","DBA-792")</f>
        <v>DBA-792</v>
      </c>
      <c r="B3863" s="6" t="s">
        <v>21</v>
      </c>
      <c r="C3863" s="6" t="s">
        <v>15917</v>
      </c>
      <c r="D3863" s="8" t="s">
        <v>17</v>
      </c>
      <c r="E3863" s="6" t="s">
        <v>23</v>
      </c>
      <c r="F3863" s="6" t="s">
        <v>24</v>
      </c>
      <c r="G3863" s="6" t="s">
        <v>15918</v>
      </c>
      <c r="H3863" s="10">
        <v>45713</v>
      </c>
      <c r="I3863" s="6" t="s">
        <v>15919</v>
      </c>
      <c r="J3863" s="6" t="s">
        <v>55</v>
      </c>
      <c r="K3863" s="6" t="s">
        <v>55</v>
      </c>
      <c r="L3863" s="6" t="s">
        <v>56</v>
      </c>
      <c r="M3863" s="6" t="s">
        <v>15920</v>
      </c>
    </row>
    <row r="3864" spans="1:13" ht="13" x14ac:dyDescent="0.15">
      <c r="A3864" s="5" t="str">
        <f>HYPERLINK("https://onemount.atlassian.net/browse/DBA-791","DBA-791")</f>
        <v>DBA-791</v>
      </c>
      <c r="B3864" s="6" t="s">
        <v>21</v>
      </c>
      <c r="C3864" s="6" t="s">
        <v>15921</v>
      </c>
      <c r="D3864" s="8" t="s">
        <v>17</v>
      </c>
      <c r="E3864" s="6" t="s">
        <v>23</v>
      </c>
      <c r="F3864" s="6" t="s">
        <v>24</v>
      </c>
      <c r="G3864" s="6" t="s">
        <v>15922</v>
      </c>
      <c r="H3864" s="10">
        <v>45680</v>
      </c>
      <c r="I3864" s="6" t="s">
        <v>15923</v>
      </c>
      <c r="J3864" s="6" t="s">
        <v>55</v>
      </c>
      <c r="K3864" s="6" t="s">
        <v>55</v>
      </c>
      <c r="L3864" s="6" t="s">
        <v>906</v>
      </c>
      <c r="M3864" s="6" t="s">
        <v>15924</v>
      </c>
    </row>
    <row r="3865" spans="1:13" ht="13" x14ac:dyDescent="0.15">
      <c r="A3865" s="5" t="str">
        <f>HYPERLINK("https://onemount.atlassian.net/browse/DBA-790","DBA-790")</f>
        <v>DBA-790</v>
      </c>
      <c r="B3865" s="6" t="s">
        <v>21</v>
      </c>
      <c r="C3865" s="6" t="s">
        <v>15903</v>
      </c>
      <c r="D3865" s="8" t="s">
        <v>17</v>
      </c>
      <c r="E3865" s="6" t="s">
        <v>23</v>
      </c>
      <c r="F3865" s="6" t="s">
        <v>24</v>
      </c>
      <c r="G3865" s="6" t="s">
        <v>15925</v>
      </c>
      <c r="H3865" s="10">
        <v>45679</v>
      </c>
      <c r="I3865" s="6" t="s">
        <v>15926</v>
      </c>
      <c r="J3865" s="6" t="s">
        <v>55</v>
      </c>
      <c r="K3865" s="6" t="s">
        <v>55</v>
      </c>
      <c r="L3865" s="6" t="s">
        <v>906</v>
      </c>
      <c r="M3865" s="6" t="s">
        <v>15927</v>
      </c>
    </row>
    <row r="3866" spans="1:13" ht="13" x14ac:dyDescent="0.15">
      <c r="A3866" s="5" t="str">
        <f>HYPERLINK("https://onemount.atlassian.net/browse/DBA-789","DBA-789")</f>
        <v>DBA-789</v>
      </c>
      <c r="B3866" s="6" t="s">
        <v>21</v>
      </c>
      <c r="C3866" s="6" t="s">
        <v>15928</v>
      </c>
      <c r="D3866" s="8" t="s">
        <v>17</v>
      </c>
      <c r="E3866" s="6" t="s">
        <v>23</v>
      </c>
      <c r="F3866" s="6" t="s">
        <v>24</v>
      </c>
      <c r="G3866" s="6" t="s">
        <v>15929</v>
      </c>
      <c r="H3866" s="10">
        <v>45713</v>
      </c>
      <c r="I3866" s="6" t="s">
        <v>15930</v>
      </c>
      <c r="J3866" s="6" t="s">
        <v>46</v>
      </c>
      <c r="K3866" s="6" t="s">
        <v>46</v>
      </c>
      <c r="L3866" s="6" t="s">
        <v>39</v>
      </c>
      <c r="M3866" s="6" t="s">
        <v>15931</v>
      </c>
    </row>
    <row r="3867" spans="1:13" ht="13" x14ac:dyDescent="0.15">
      <c r="A3867" s="5" t="str">
        <f>HYPERLINK("https://onemount.atlassian.net/browse/DBA-788","DBA-788")</f>
        <v>DBA-788</v>
      </c>
      <c r="B3867" s="6" t="s">
        <v>21</v>
      </c>
      <c r="C3867" s="6" t="s">
        <v>15932</v>
      </c>
      <c r="D3867" s="8" t="s">
        <v>17</v>
      </c>
      <c r="E3867" s="6" t="s">
        <v>23</v>
      </c>
      <c r="F3867" s="6" t="s">
        <v>24</v>
      </c>
      <c r="G3867" s="6" t="s">
        <v>15933</v>
      </c>
      <c r="H3867" s="10">
        <v>45691</v>
      </c>
      <c r="I3867" s="6" t="s">
        <v>15934</v>
      </c>
      <c r="J3867" s="6" t="s">
        <v>55</v>
      </c>
      <c r="K3867" s="6" t="s">
        <v>55</v>
      </c>
      <c r="L3867" s="6" t="s">
        <v>869</v>
      </c>
      <c r="M3867" s="6" t="s">
        <v>15935</v>
      </c>
    </row>
    <row r="3868" spans="1:13" ht="13" x14ac:dyDescent="0.15">
      <c r="A3868" s="5" t="str">
        <f>HYPERLINK("https://onemount.atlassian.net/browse/DBA-787","DBA-787")</f>
        <v>DBA-787</v>
      </c>
      <c r="B3868" s="6" t="s">
        <v>21</v>
      </c>
      <c r="C3868" s="6" t="s">
        <v>15405</v>
      </c>
      <c r="D3868" s="8" t="s">
        <v>17</v>
      </c>
      <c r="E3868" s="6" t="s">
        <v>23</v>
      </c>
      <c r="F3868" s="6" t="s">
        <v>31</v>
      </c>
      <c r="G3868" s="6" t="s">
        <v>15936</v>
      </c>
      <c r="H3868" s="10">
        <v>45713</v>
      </c>
      <c r="I3868" s="6" t="s">
        <v>15937</v>
      </c>
      <c r="J3868" s="6" t="s">
        <v>56</v>
      </c>
      <c r="K3868" s="6" t="s">
        <v>55</v>
      </c>
      <c r="L3868" s="6" t="s">
        <v>56</v>
      </c>
      <c r="M3868" s="6" t="s">
        <v>15938</v>
      </c>
    </row>
    <row r="3869" spans="1:13" ht="13" x14ac:dyDescent="0.15">
      <c r="A3869" s="5" t="str">
        <f>HYPERLINK("https://onemount.atlassian.net/browse/DBA-786","DBA-786")</f>
        <v>DBA-786</v>
      </c>
      <c r="B3869" s="6" t="s">
        <v>21</v>
      </c>
      <c r="C3869" s="6" t="s">
        <v>14800</v>
      </c>
      <c r="D3869" s="8" t="s">
        <v>17</v>
      </c>
      <c r="E3869" s="6" t="s">
        <v>23</v>
      </c>
      <c r="F3869" s="6" t="s">
        <v>31</v>
      </c>
      <c r="G3869" s="6" t="s">
        <v>15939</v>
      </c>
      <c r="H3869" s="10">
        <v>45713</v>
      </c>
      <c r="I3869" s="6" t="s">
        <v>15940</v>
      </c>
      <c r="J3869" s="6" t="s">
        <v>46</v>
      </c>
      <c r="K3869" s="6" t="s">
        <v>46</v>
      </c>
      <c r="L3869" s="6" t="s">
        <v>358</v>
      </c>
      <c r="M3869" s="6" t="s">
        <v>15941</v>
      </c>
    </row>
    <row r="3870" spans="1:13" ht="13" x14ac:dyDescent="0.15">
      <c r="A3870" s="5" t="str">
        <f>HYPERLINK("https://onemount.atlassian.net/browse/DBA-785","DBA-785")</f>
        <v>DBA-785</v>
      </c>
      <c r="B3870" s="6" t="s">
        <v>21</v>
      </c>
      <c r="C3870" s="6" t="s">
        <v>15942</v>
      </c>
      <c r="D3870" s="8" t="s">
        <v>17</v>
      </c>
      <c r="E3870" s="6" t="s">
        <v>23</v>
      </c>
      <c r="F3870" s="6" t="s">
        <v>96</v>
      </c>
      <c r="G3870" s="6" t="s">
        <v>15943</v>
      </c>
      <c r="H3870" s="10">
        <v>45713</v>
      </c>
      <c r="I3870" s="6" t="s">
        <v>15944</v>
      </c>
      <c r="J3870" s="6" t="s">
        <v>15945</v>
      </c>
      <c r="K3870" s="6" t="s">
        <v>165</v>
      </c>
      <c r="L3870" s="6" t="s">
        <v>715</v>
      </c>
      <c r="M3870" s="6" t="s">
        <v>15946</v>
      </c>
    </row>
    <row r="3871" spans="1:13" ht="13" x14ac:dyDescent="0.15">
      <c r="A3871" s="5" t="str">
        <f>HYPERLINK("https://onemount.atlassian.net/browse/DBA-784","DBA-784")</f>
        <v>DBA-784</v>
      </c>
      <c r="B3871" s="6" t="s">
        <v>21</v>
      </c>
      <c r="C3871" s="6" t="s">
        <v>15947</v>
      </c>
      <c r="D3871" s="8" t="s">
        <v>17</v>
      </c>
      <c r="E3871" s="6" t="s">
        <v>23</v>
      </c>
      <c r="F3871" s="6" t="s">
        <v>24</v>
      </c>
      <c r="G3871" s="6" t="s">
        <v>15948</v>
      </c>
      <c r="H3871" s="10">
        <v>45674</v>
      </c>
      <c r="I3871" s="6" t="s">
        <v>15949</v>
      </c>
      <c r="J3871" s="6" t="s">
        <v>55</v>
      </c>
      <c r="K3871" s="6" t="s">
        <v>55</v>
      </c>
      <c r="L3871" s="6" t="s">
        <v>56</v>
      </c>
      <c r="M3871" s="6" t="s">
        <v>15950</v>
      </c>
    </row>
    <row r="3872" spans="1:13" ht="13" x14ac:dyDescent="0.15">
      <c r="A3872" s="5" t="str">
        <f>HYPERLINK("https://onemount.atlassian.net/browse/DBA-783","DBA-783")</f>
        <v>DBA-783</v>
      </c>
      <c r="B3872" s="6" t="s">
        <v>21</v>
      </c>
      <c r="C3872" s="6" t="s">
        <v>15951</v>
      </c>
      <c r="D3872" s="8" t="s">
        <v>17</v>
      </c>
      <c r="E3872" s="6" t="s">
        <v>23</v>
      </c>
      <c r="F3872" s="6" t="s">
        <v>24</v>
      </c>
      <c r="G3872" s="6" t="s">
        <v>15952</v>
      </c>
      <c r="H3872" s="10">
        <v>45677</v>
      </c>
      <c r="I3872" s="6" t="s">
        <v>15953</v>
      </c>
      <c r="J3872" s="6" t="s">
        <v>28</v>
      </c>
      <c r="K3872" s="6" t="s">
        <v>28</v>
      </c>
      <c r="L3872" s="6" t="s">
        <v>1000</v>
      </c>
      <c r="M3872" s="6" t="s">
        <v>15954</v>
      </c>
    </row>
    <row r="3873" spans="1:13" ht="13" x14ac:dyDescent="0.15">
      <c r="A3873" s="5" t="str">
        <f>HYPERLINK("https://onemount.atlassian.net/browse/DBA-782","DBA-782")</f>
        <v>DBA-782</v>
      </c>
      <c r="B3873" s="6" t="s">
        <v>21</v>
      </c>
      <c r="C3873" s="6" t="s">
        <v>15951</v>
      </c>
      <c r="D3873" s="8" t="s">
        <v>17</v>
      </c>
      <c r="E3873" s="6" t="s">
        <v>23</v>
      </c>
      <c r="F3873" s="6" t="s">
        <v>24</v>
      </c>
      <c r="G3873" s="6" t="s">
        <v>15955</v>
      </c>
      <c r="H3873" s="10">
        <v>45677</v>
      </c>
      <c r="I3873" s="6" t="s">
        <v>15956</v>
      </c>
      <c r="J3873" s="6" t="s">
        <v>28</v>
      </c>
      <c r="K3873" s="6" t="s">
        <v>28</v>
      </c>
      <c r="L3873" s="6" t="s">
        <v>1000</v>
      </c>
      <c r="M3873" s="6" t="s">
        <v>15957</v>
      </c>
    </row>
    <row r="3874" spans="1:13" ht="13" x14ac:dyDescent="0.15">
      <c r="A3874" s="5" t="str">
        <f>HYPERLINK("https://onemount.atlassian.net/browse/DBA-781","DBA-781")</f>
        <v>DBA-781</v>
      </c>
      <c r="B3874" s="6" t="s">
        <v>21</v>
      </c>
      <c r="C3874" s="6" t="s">
        <v>15958</v>
      </c>
      <c r="D3874" s="8" t="s">
        <v>17</v>
      </c>
      <c r="E3874" s="6" t="s">
        <v>23</v>
      </c>
      <c r="F3874" s="6" t="s">
        <v>24</v>
      </c>
      <c r="G3874" s="6" t="s">
        <v>15959</v>
      </c>
      <c r="H3874" s="10">
        <v>45713</v>
      </c>
      <c r="I3874" s="6" t="s">
        <v>15960</v>
      </c>
      <c r="J3874" s="6" t="s">
        <v>28</v>
      </c>
      <c r="K3874" s="6" t="s">
        <v>28</v>
      </c>
      <c r="L3874" s="6" t="s">
        <v>39</v>
      </c>
      <c r="M3874" s="6" t="s">
        <v>15961</v>
      </c>
    </row>
    <row r="3875" spans="1:13" ht="13" x14ac:dyDescent="0.15">
      <c r="A3875" s="5" t="str">
        <f>HYPERLINK("https://onemount.atlassian.net/browse/DBA-780","DBA-780")</f>
        <v>DBA-780</v>
      </c>
      <c r="B3875" s="6" t="s">
        <v>21</v>
      </c>
      <c r="C3875" s="6" t="s">
        <v>15127</v>
      </c>
      <c r="D3875" s="8" t="s">
        <v>17</v>
      </c>
      <c r="E3875" s="6" t="s">
        <v>23</v>
      </c>
      <c r="F3875" s="6" t="s">
        <v>24</v>
      </c>
      <c r="G3875" s="6" t="s">
        <v>15962</v>
      </c>
      <c r="H3875" s="10">
        <v>45677</v>
      </c>
      <c r="I3875" s="6" t="s">
        <v>15963</v>
      </c>
      <c r="J3875" s="6" t="s">
        <v>55</v>
      </c>
      <c r="K3875" s="6" t="s">
        <v>55</v>
      </c>
      <c r="L3875" s="6" t="s">
        <v>906</v>
      </c>
      <c r="M3875" s="6" t="s">
        <v>15964</v>
      </c>
    </row>
    <row r="3876" spans="1:13" ht="13" x14ac:dyDescent="0.15">
      <c r="A3876" s="5" t="str">
        <f>HYPERLINK("https://onemount.atlassian.net/browse/DBA-779","DBA-779")</f>
        <v>DBA-779</v>
      </c>
      <c r="B3876" s="6" t="s">
        <v>21</v>
      </c>
      <c r="C3876" s="6" t="s">
        <v>15874</v>
      </c>
      <c r="D3876" s="8" t="s">
        <v>17</v>
      </c>
      <c r="E3876" s="6" t="s">
        <v>23</v>
      </c>
      <c r="F3876" s="6" t="s">
        <v>24</v>
      </c>
      <c r="G3876" s="6" t="s">
        <v>15965</v>
      </c>
      <c r="H3876" s="10">
        <v>45673</v>
      </c>
      <c r="I3876" s="6" t="s">
        <v>15966</v>
      </c>
      <c r="J3876" s="6" t="s">
        <v>55</v>
      </c>
      <c r="K3876" s="6" t="s">
        <v>55</v>
      </c>
      <c r="L3876" s="6" t="s">
        <v>906</v>
      </c>
      <c r="M3876" s="6" t="s">
        <v>15967</v>
      </c>
    </row>
    <row r="3877" spans="1:13" ht="13" x14ac:dyDescent="0.15">
      <c r="A3877" s="5" t="str">
        <f>HYPERLINK("https://onemount.atlassian.net/browse/DBA-778","DBA-778")</f>
        <v>DBA-778</v>
      </c>
      <c r="B3877" s="6" t="s">
        <v>21</v>
      </c>
      <c r="C3877" s="6" t="s">
        <v>15968</v>
      </c>
      <c r="D3877" s="8" t="s">
        <v>17</v>
      </c>
      <c r="E3877" s="6" t="s">
        <v>23</v>
      </c>
      <c r="F3877" s="6" t="s">
        <v>24</v>
      </c>
      <c r="G3877" s="6" t="s">
        <v>15969</v>
      </c>
      <c r="H3877" s="10">
        <v>45713</v>
      </c>
      <c r="I3877" s="6" t="s">
        <v>15970</v>
      </c>
      <c r="J3877" s="6" t="s">
        <v>55</v>
      </c>
      <c r="K3877" s="6" t="s">
        <v>55</v>
      </c>
      <c r="L3877" s="6" t="s">
        <v>36</v>
      </c>
      <c r="M3877" s="6" t="s">
        <v>15971</v>
      </c>
    </row>
    <row r="3878" spans="1:13" ht="13" x14ac:dyDescent="0.15">
      <c r="A3878" s="5" t="str">
        <f>HYPERLINK("https://onemount.atlassian.net/browse/DBA-777","DBA-777")</f>
        <v>DBA-777</v>
      </c>
      <c r="B3878" s="6" t="s">
        <v>21</v>
      </c>
      <c r="C3878" s="6" t="s">
        <v>15972</v>
      </c>
      <c r="D3878" s="8" t="s">
        <v>17</v>
      </c>
      <c r="E3878" s="6" t="s">
        <v>23</v>
      </c>
      <c r="F3878" s="6" t="s">
        <v>24</v>
      </c>
      <c r="G3878" s="6" t="s">
        <v>15973</v>
      </c>
      <c r="H3878" s="10">
        <v>45673</v>
      </c>
      <c r="I3878" s="6" t="s">
        <v>15974</v>
      </c>
      <c r="J3878" s="6" t="s">
        <v>55</v>
      </c>
      <c r="K3878" s="6" t="s">
        <v>55</v>
      </c>
      <c r="L3878" s="6" t="s">
        <v>906</v>
      </c>
      <c r="M3878" s="6" t="s">
        <v>15975</v>
      </c>
    </row>
    <row r="3879" spans="1:13" ht="13" x14ac:dyDescent="0.15">
      <c r="A3879" s="5" t="str">
        <f>HYPERLINK("https://onemount.atlassian.net/browse/DBA-776","DBA-776")</f>
        <v>DBA-776</v>
      </c>
      <c r="B3879" s="6" t="s">
        <v>21</v>
      </c>
      <c r="C3879" s="6" t="s">
        <v>15976</v>
      </c>
      <c r="D3879" s="8" t="s">
        <v>17</v>
      </c>
      <c r="E3879" s="6" t="s">
        <v>23</v>
      </c>
      <c r="F3879" s="6" t="s">
        <v>24</v>
      </c>
      <c r="G3879" s="6" t="s">
        <v>15977</v>
      </c>
      <c r="H3879" s="10">
        <v>45672</v>
      </c>
      <c r="I3879" s="6" t="s">
        <v>15978</v>
      </c>
      <c r="J3879" s="6" t="s">
        <v>55</v>
      </c>
      <c r="K3879" s="6" t="s">
        <v>55</v>
      </c>
      <c r="L3879" s="6" t="s">
        <v>719</v>
      </c>
      <c r="M3879" s="6" t="s">
        <v>15979</v>
      </c>
    </row>
    <row r="3880" spans="1:13" ht="13" x14ac:dyDescent="0.15">
      <c r="A3880" s="5" t="str">
        <f>HYPERLINK("https://onemount.atlassian.net/browse/DBA-775","DBA-775")</f>
        <v>DBA-775</v>
      </c>
      <c r="B3880" s="6" t="s">
        <v>21</v>
      </c>
      <c r="C3880" s="6" t="s">
        <v>15980</v>
      </c>
      <c r="D3880" s="8" t="s">
        <v>17</v>
      </c>
      <c r="E3880" s="6" t="s">
        <v>23</v>
      </c>
      <c r="F3880" s="6" t="s">
        <v>24</v>
      </c>
      <c r="G3880" s="6" t="s">
        <v>15981</v>
      </c>
      <c r="H3880" s="10">
        <v>45673</v>
      </c>
      <c r="I3880" s="6" t="s">
        <v>15982</v>
      </c>
      <c r="J3880" s="6" t="s">
        <v>55</v>
      </c>
      <c r="K3880" s="6" t="s">
        <v>55</v>
      </c>
      <c r="L3880" s="6" t="s">
        <v>56</v>
      </c>
      <c r="M3880" s="6" t="s">
        <v>15983</v>
      </c>
    </row>
    <row r="3881" spans="1:13" ht="13" x14ac:dyDescent="0.15">
      <c r="A3881" s="5" t="str">
        <f>HYPERLINK("https://onemount.atlassian.net/browse/DBA-774","DBA-774")</f>
        <v>DBA-774</v>
      </c>
      <c r="B3881" s="6" t="s">
        <v>21</v>
      </c>
      <c r="C3881" s="6" t="s">
        <v>15984</v>
      </c>
      <c r="D3881" s="8" t="s">
        <v>17</v>
      </c>
      <c r="E3881" s="6" t="s">
        <v>23</v>
      </c>
      <c r="F3881" s="6" t="s">
        <v>24</v>
      </c>
      <c r="G3881" s="6" t="s">
        <v>15985</v>
      </c>
      <c r="H3881" s="10">
        <v>45671</v>
      </c>
      <c r="I3881" s="6" t="s">
        <v>15986</v>
      </c>
      <c r="J3881" s="6" t="s">
        <v>55</v>
      </c>
      <c r="K3881" s="6" t="s">
        <v>55</v>
      </c>
      <c r="L3881" s="6" t="s">
        <v>906</v>
      </c>
      <c r="M3881" s="6" t="s">
        <v>15987</v>
      </c>
    </row>
    <row r="3882" spans="1:13" ht="13" x14ac:dyDescent="0.15">
      <c r="A3882" s="5" t="str">
        <f>HYPERLINK("https://onemount.atlassian.net/browse/DBA-773","DBA-773")</f>
        <v>DBA-773</v>
      </c>
      <c r="B3882" s="6" t="s">
        <v>21</v>
      </c>
      <c r="C3882" s="6" t="s">
        <v>15988</v>
      </c>
      <c r="D3882" s="8" t="s">
        <v>17</v>
      </c>
      <c r="E3882" s="6" t="s">
        <v>23</v>
      </c>
      <c r="F3882" s="6" t="s">
        <v>24</v>
      </c>
      <c r="G3882" s="6" t="s">
        <v>15989</v>
      </c>
      <c r="H3882" s="10">
        <v>45671</v>
      </c>
      <c r="I3882" s="6" t="s">
        <v>15990</v>
      </c>
      <c r="J3882" s="6" t="s">
        <v>55</v>
      </c>
      <c r="K3882" s="6" t="s">
        <v>55</v>
      </c>
      <c r="L3882" s="6" t="s">
        <v>906</v>
      </c>
      <c r="M3882" s="6" t="s">
        <v>15991</v>
      </c>
    </row>
    <row r="3883" spans="1:13" ht="13" x14ac:dyDescent="0.15">
      <c r="A3883" s="5" t="str">
        <f>HYPERLINK("https://onemount.atlassian.net/browse/DBA-772","DBA-772")</f>
        <v>DBA-772</v>
      </c>
      <c r="B3883" s="6" t="s">
        <v>21</v>
      </c>
      <c r="C3883" s="6" t="s">
        <v>15992</v>
      </c>
      <c r="D3883" s="8" t="s">
        <v>17</v>
      </c>
      <c r="E3883" s="6" t="s">
        <v>23</v>
      </c>
      <c r="F3883" s="6" t="s">
        <v>24</v>
      </c>
      <c r="G3883" s="6" t="s">
        <v>15993</v>
      </c>
      <c r="H3883" s="10">
        <v>45671</v>
      </c>
      <c r="I3883" s="6" t="s">
        <v>15994</v>
      </c>
      <c r="J3883" s="6" t="s">
        <v>55</v>
      </c>
      <c r="K3883" s="6" t="s">
        <v>55</v>
      </c>
      <c r="L3883" s="6" t="s">
        <v>56</v>
      </c>
      <c r="M3883" s="6" t="s">
        <v>15995</v>
      </c>
    </row>
    <row r="3884" spans="1:13" ht="13" x14ac:dyDescent="0.15">
      <c r="A3884" s="5" t="str">
        <f>HYPERLINK("https://onemount.atlassian.net/browse/DBA-771","DBA-771")</f>
        <v>DBA-771</v>
      </c>
      <c r="B3884" s="6" t="s">
        <v>21</v>
      </c>
      <c r="C3884" s="6" t="s">
        <v>15903</v>
      </c>
      <c r="D3884" s="8" t="s">
        <v>17</v>
      </c>
      <c r="E3884" s="6" t="s">
        <v>23</v>
      </c>
      <c r="F3884" s="6" t="s">
        <v>24</v>
      </c>
      <c r="G3884" s="6" t="s">
        <v>15996</v>
      </c>
      <c r="H3884" s="10">
        <v>45667</v>
      </c>
      <c r="I3884" s="6" t="s">
        <v>15997</v>
      </c>
      <c r="J3884" s="6" t="s">
        <v>55</v>
      </c>
      <c r="K3884" s="6" t="s">
        <v>55</v>
      </c>
      <c r="L3884" s="6" t="s">
        <v>906</v>
      </c>
      <c r="M3884" s="6" t="s">
        <v>15998</v>
      </c>
    </row>
    <row r="3885" spans="1:13" ht="13" x14ac:dyDescent="0.15">
      <c r="A3885" s="5" t="str">
        <f>HYPERLINK("https://onemount.atlassian.net/browse/DBA-770","DBA-770")</f>
        <v>DBA-770</v>
      </c>
      <c r="B3885" s="6" t="s">
        <v>21</v>
      </c>
      <c r="C3885" s="6" t="s">
        <v>8384</v>
      </c>
      <c r="D3885" s="8" t="s">
        <v>17</v>
      </c>
      <c r="E3885" s="6" t="s">
        <v>23</v>
      </c>
      <c r="F3885" s="6" t="s">
        <v>24</v>
      </c>
      <c r="G3885" s="6" t="s">
        <v>15999</v>
      </c>
      <c r="H3885" s="10">
        <v>45666</v>
      </c>
      <c r="I3885" s="6" t="s">
        <v>16000</v>
      </c>
      <c r="J3885" s="6" t="s">
        <v>28</v>
      </c>
      <c r="K3885" s="6" t="s">
        <v>28</v>
      </c>
      <c r="L3885" s="6" t="s">
        <v>1000</v>
      </c>
      <c r="M3885" s="6" t="s">
        <v>16001</v>
      </c>
    </row>
    <row r="3886" spans="1:13" ht="13" x14ac:dyDescent="0.15">
      <c r="A3886" s="5" t="str">
        <f>HYPERLINK("https://onemount.atlassian.net/browse/DBA-769","DBA-769")</f>
        <v>DBA-769</v>
      </c>
      <c r="B3886" s="6" t="s">
        <v>21</v>
      </c>
      <c r="C3886" s="6" t="s">
        <v>16002</v>
      </c>
      <c r="D3886" s="8" t="s">
        <v>17</v>
      </c>
      <c r="E3886" s="6" t="s">
        <v>23</v>
      </c>
      <c r="F3886" s="6" t="s">
        <v>24</v>
      </c>
      <c r="G3886" s="6" t="s">
        <v>16003</v>
      </c>
      <c r="H3886" s="10">
        <v>45667</v>
      </c>
      <c r="I3886" s="6" t="s">
        <v>16004</v>
      </c>
      <c r="J3886" s="6" t="s">
        <v>55</v>
      </c>
      <c r="K3886" s="6" t="s">
        <v>55</v>
      </c>
      <c r="L3886" s="6" t="s">
        <v>906</v>
      </c>
      <c r="M3886" s="6" t="s">
        <v>16005</v>
      </c>
    </row>
    <row r="3887" spans="1:13" ht="13" x14ac:dyDescent="0.15">
      <c r="A3887" s="5" t="str">
        <f>HYPERLINK("https://onemount.atlassian.net/browse/DBA-768","DBA-768")</f>
        <v>DBA-768</v>
      </c>
      <c r="B3887" s="6" t="s">
        <v>21</v>
      </c>
      <c r="C3887" s="6" t="s">
        <v>16006</v>
      </c>
      <c r="D3887" s="8" t="s">
        <v>17</v>
      </c>
      <c r="E3887" s="6" t="s">
        <v>23</v>
      </c>
      <c r="F3887" s="6" t="s">
        <v>24</v>
      </c>
      <c r="G3887" s="6" t="s">
        <v>16007</v>
      </c>
      <c r="H3887" s="10">
        <v>45675</v>
      </c>
      <c r="I3887" s="6" t="s">
        <v>16008</v>
      </c>
      <c r="J3887" s="6" t="s">
        <v>55</v>
      </c>
      <c r="K3887" s="6" t="s">
        <v>55</v>
      </c>
      <c r="L3887" s="6" t="s">
        <v>56</v>
      </c>
      <c r="M3887" s="6" t="s">
        <v>16009</v>
      </c>
    </row>
    <row r="3888" spans="1:13" ht="13" x14ac:dyDescent="0.15">
      <c r="A3888" s="5" t="str">
        <f>HYPERLINK("https://onemount.atlassian.net/browse/DBA-767","DBA-767")</f>
        <v>DBA-767</v>
      </c>
      <c r="B3888" s="6" t="s">
        <v>21</v>
      </c>
      <c r="C3888" s="6" t="s">
        <v>8384</v>
      </c>
      <c r="D3888" s="8" t="s">
        <v>17</v>
      </c>
      <c r="E3888" s="6" t="s">
        <v>23</v>
      </c>
      <c r="F3888" s="6" t="s">
        <v>24</v>
      </c>
      <c r="G3888" s="6" t="s">
        <v>16010</v>
      </c>
      <c r="H3888" s="10">
        <v>45665</v>
      </c>
      <c r="I3888" s="6" t="s">
        <v>16011</v>
      </c>
      <c r="J3888" s="6" t="s">
        <v>28</v>
      </c>
      <c r="K3888" s="6" t="s">
        <v>28</v>
      </c>
      <c r="L3888" s="6" t="s">
        <v>1000</v>
      </c>
      <c r="M3888" s="6" t="s">
        <v>16012</v>
      </c>
    </row>
    <row r="3889" spans="1:13" ht="13" x14ac:dyDescent="0.15">
      <c r="A3889" s="5" t="str">
        <f>HYPERLINK("https://onemount.atlassian.net/browse/DBA-766","DBA-766")</f>
        <v>DBA-766</v>
      </c>
      <c r="B3889" s="6" t="s">
        <v>21</v>
      </c>
      <c r="C3889" s="6" t="s">
        <v>16013</v>
      </c>
      <c r="D3889" s="8" t="s">
        <v>17</v>
      </c>
      <c r="E3889" s="6" t="s">
        <v>23</v>
      </c>
      <c r="F3889" s="6" t="s">
        <v>24</v>
      </c>
      <c r="G3889" s="6" t="s">
        <v>16014</v>
      </c>
      <c r="H3889" s="10">
        <v>45665</v>
      </c>
      <c r="I3889" s="6" t="s">
        <v>16015</v>
      </c>
      <c r="J3889" s="6" t="s">
        <v>55</v>
      </c>
      <c r="K3889" s="6" t="s">
        <v>55</v>
      </c>
      <c r="L3889" s="6" t="s">
        <v>992</v>
      </c>
      <c r="M3889" s="6" t="s">
        <v>16016</v>
      </c>
    </row>
    <row r="3890" spans="1:13" ht="13" x14ac:dyDescent="0.15">
      <c r="A3890" s="5" t="str">
        <f>HYPERLINK("https://onemount.atlassian.net/browse/DBA-765","DBA-765")</f>
        <v>DBA-765</v>
      </c>
      <c r="B3890" s="6" t="s">
        <v>21</v>
      </c>
      <c r="C3890" s="6" t="s">
        <v>16017</v>
      </c>
      <c r="D3890" s="8" t="s">
        <v>17</v>
      </c>
      <c r="E3890" s="6" t="s">
        <v>23</v>
      </c>
      <c r="F3890" s="6" t="s">
        <v>24</v>
      </c>
      <c r="G3890" s="6" t="s">
        <v>16018</v>
      </c>
      <c r="H3890" s="10">
        <v>45713</v>
      </c>
      <c r="I3890" s="6" t="s">
        <v>16019</v>
      </c>
      <c r="J3890" s="6" t="s">
        <v>55</v>
      </c>
      <c r="K3890" s="6" t="s">
        <v>55</v>
      </c>
      <c r="L3890" s="6" t="s">
        <v>56</v>
      </c>
      <c r="M3890" s="6" t="s">
        <v>16020</v>
      </c>
    </row>
    <row r="3891" spans="1:13" ht="13" x14ac:dyDescent="0.15">
      <c r="A3891" s="5" t="str">
        <f>HYPERLINK("https://onemount.atlassian.net/browse/DBA-764","DBA-764")</f>
        <v>DBA-764</v>
      </c>
      <c r="B3891" s="6" t="s">
        <v>21</v>
      </c>
      <c r="C3891" s="6" t="s">
        <v>16021</v>
      </c>
      <c r="D3891" s="8" t="s">
        <v>17</v>
      </c>
      <c r="E3891" s="6" t="s">
        <v>23</v>
      </c>
      <c r="F3891" s="6" t="s">
        <v>24</v>
      </c>
      <c r="G3891" s="6" t="s">
        <v>16022</v>
      </c>
      <c r="H3891" s="10">
        <v>45665</v>
      </c>
      <c r="I3891" s="6" t="s">
        <v>16023</v>
      </c>
      <c r="J3891" s="6" t="s">
        <v>55</v>
      </c>
      <c r="K3891" s="6" t="s">
        <v>55</v>
      </c>
      <c r="L3891" s="6" t="s">
        <v>906</v>
      </c>
      <c r="M3891" s="6" t="s">
        <v>16024</v>
      </c>
    </row>
    <row r="3892" spans="1:13" ht="13" x14ac:dyDescent="0.15">
      <c r="A3892" s="5" t="str">
        <f>HYPERLINK("https://onemount.atlassian.net/browse/DBA-763","DBA-763")</f>
        <v>DBA-763</v>
      </c>
      <c r="B3892" s="6" t="s">
        <v>21</v>
      </c>
      <c r="C3892" s="6" t="s">
        <v>16025</v>
      </c>
      <c r="D3892" s="8" t="s">
        <v>17</v>
      </c>
      <c r="E3892" s="6" t="s">
        <v>23</v>
      </c>
      <c r="F3892" s="6" t="s">
        <v>24</v>
      </c>
      <c r="G3892" s="6" t="s">
        <v>16026</v>
      </c>
      <c r="H3892" s="10">
        <v>45664</v>
      </c>
      <c r="I3892" s="6" t="s">
        <v>16027</v>
      </c>
      <c r="J3892" s="6" t="s">
        <v>55</v>
      </c>
      <c r="K3892" s="6" t="s">
        <v>55</v>
      </c>
      <c r="L3892" s="6" t="s">
        <v>971</v>
      </c>
      <c r="M3892" s="6" t="s">
        <v>16028</v>
      </c>
    </row>
    <row r="3893" spans="1:13" ht="13" x14ac:dyDescent="0.15">
      <c r="A3893" s="5" t="str">
        <f>HYPERLINK("https://onemount.atlassian.net/browse/DBA-762","DBA-762")</f>
        <v>DBA-762</v>
      </c>
      <c r="B3893" s="6" t="s">
        <v>21</v>
      </c>
      <c r="C3893" s="6" t="s">
        <v>16029</v>
      </c>
      <c r="D3893" s="8" t="s">
        <v>17</v>
      </c>
      <c r="E3893" s="6" t="s">
        <v>23</v>
      </c>
      <c r="F3893" s="6" t="s">
        <v>24</v>
      </c>
      <c r="G3893" s="6" t="s">
        <v>16030</v>
      </c>
      <c r="H3893" s="10">
        <v>45713</v>
      </c>
      <c r="I3893" s="6" t="s">
        <v>16031</v>
      </c>
      <c r="J3893" s="6" t="s">
        <v>55</v>
      </c>
      <c r="K3893" s="6" t="s">
        <v>55</v>
      </c>
      <c r="L3893" s="6" t="s">
        <v>56</v>
      </c>
      <c r="M3893" s="6" t="s">
        <v>16032</v>
      </c>
    </row>
    <row r="3894" spans="1:13" ht="13" x14ac:dyDescent="0.15">
      <c r="A3894" s="5" t="str">
        <f>HYPERLINK("https://onemount.atlassian.net/browse/DBA-761","DBA-761")</f>
        <v>DBA-761</v>
      </c>
      <c r="B3894" s="6" t="s">
        <v>21</v>
      </c>
      <c r="C3894" s="6" t="s">
        <v>16033</v>
      </c>
      <c r="D3894" s="8" t="s">
        <v>17</v>
      </c>
      <c r="E3894" s="6" t="s">
        <v>23</v>
      </c>
      <c r="F3894" s="6" t="s">
        <v>24</v>
      </c>
      <c r="G3894" s="6" t="s">
        <v>16034</v>
      </c>
      <c r="H3894" s="10">
        <v>45713</v>
      </c>
      <c r="I3894" s="6" t="s">
        <v>16035</v>
      </c>
      <c r="J3894" s="6" t="s">
        <v>55</v>
      </c>
      <c r="K3894" s="6" t="s">
        <v>55</v>
      </c>
      <c r="L3894" s="6" t="s">
        <v>328</v>
      </c>
      <c r="M3894" s="6" t="s">
        <v>16036</v>
      </c>
    </row>
    <row r="3895" spans="1:13" ht="13" x14ac:dyDescent="0.15">
      <c r="A3895" s="5" t="str">
        <f>HYPERLINK("https://onemount.atlassian.net/browse/DBA-760","DBA-760")</f>
        <v>DBA-760</v>
      </c>
      <c r="B3895" s="6" t="s">
        <v>21</v>
      </c>
      <c r="C3895" s="6" t="s">
        <v>16037</v>
      </c>
      <c r="D3895" s="8" t="s">
        <v>17</v>
      </c>
      <c r="E3895" s="6" t="s">
        <v>23</v>
      </c>
      <c r="F3895" s="6" t="s">
        <v>24</v>
      </c>
      <c r="G3895" s="6" t="s">
        <v>16038</v>
      </c>
      <c r="H3895" s="10">
        <v>45713</v>
      </c>
      <c r="I3895" s="6" t="s">
        <v>16039</v>
      </c>
      <c r="J3895" s="6" t="s">
        <v>55</v>
      </c>
      <c r="K3895" s="6" t="s">
        <v>55</v>
      </c>
      <c r="L3895" s="6" t="s">
        <v>56</v>
      </c>
      <c r="M3895" s="6" t="s">
        <v>16040</v>
      </c>
    </row>
    <row r="3896" spans="1:13" ht="13" x14ac:dyDescent="0.15">
      <c r="A3896" s="5" t="str">
        <f>HYPERLINK("https://onemount.atlassian.net/browse/DBA-759","DBA-759")</f>
        <v>DBA-759</v>
      </c>
      <c r="B3896" s="6" t="s">
        <v>21</v>
      </c>
      <c r="C3896" s="6" t="s">
        <v>16041</v>
      </c>
      <c r="D3896" s="8" t="s">
        <v>17</v>
      </c>
      <c r="E3896" s="6" t="s">
        <v>23</v>
      </c>
      <c r="F3896" s="6" t="s">
        <v>31</v>
      </c>
      <c r="G3896" s="6" t="s">
        <v>16042</v>
      </c>
      <c r="H3896" s="10">
        <v>45710</v>
      </c>
      <c r="I3896" s="6" t="s">
        <v>16043</v>
      </c>
      <c r="J3896" s="6" t="s">
        <v>34</v>
      </c>
      <c r="K3896" s="6" t="s">
        <v>35</v>
      </c>
      <c r="L3896" s="6" t="s">
        <v>36</v>
      </c>
      <c r="M3896" s="6" t="s">
        <v>16044</v>
      </c>
    </row>
    <row r="3897" spans="1:13" ht="13" x14ac:dyDescent="0.15">
      <c r="A3897" s="5" t="str">
        <f>HYPERLINK("https://onemount.atlassian.net/browse/DBA-758","DBA-758")</f>
        <v>DBA-758</v>
      </c>
      <c r="B3897" s="6" t="s">
        <v>21</v>
      </c>
      <c r="C3897" s="6" t="s">
        <v>16045</v>
      </c>
      <c r="D3897" s="8" t="s">
        <v>17</v>
      </c>
      <c r="E3897" s="6" t="s">
        <v>23</v>
      </c>
      <c r="F3897" s="6" t="s">
        <v>31</v>
      </c>
      <c r="G3897" s="6" t="s">
        <v>16046</v>
      </c>
      <c r="H3897" s="10">
        <v>45710</v>
      </c>
      <c r="I3897" s="6" t="s">
        <v>16047</v>
      </c>
      <c r="J3897" s="6" t="s">
        <v>3096</v>
      </c>
      <c r="K3897" s="6" t="s">
        <v>55</v>
      </c>
      <c r="L3897" s="6" t="s">
        <v>906</v>
      </c>
      <c r="M3897" s="6" t="s">
        <v>16048</v>
      </c>
    </row>
    <row r="3898" spans="1:13" ht="13" x14ac:dyDescent="0.15">
      <c r="A3898" s="5" t="str">
        <f>HYPERLINK("https://onemount.atlassian.net/browse/DBA-757","DBA-757")</f>
        <v>DBA-757</v>
      </c>
      <c r="B3898" s="6" t="s">
        <v>21</v>
      </c>
      <c r="C3898" s="6" t="s">
        <v>16049</v>
      </c>
      <c r="D3898" s="8" t="s">
        <v>17</v>
      </c>
      <c r="E3898" s="6" t="s">
        <v>23</v>
      </c>
      <c r="F3898" s="6" t="s">
        <v>31</v>
      </c>
      <c r="G3898" s="6" t="s">
        <v>16050</v>
      </c>
      <c r="H3898" s="10">
        <v>45711</v>
      </c>
      <c r="I3898" s="6" t="s">
        <v>16051</v>
      </c>
      <c r="J3898" s="6" t="s">
        <v>34</v>
      </c>
      <c r="K3898" s="6" t="s">
        <v>35</v>
      </c>
      <c r="L3898" s="6" t="s">
        <v>36</v>
      </c>
      <c r="M3898" s="6" t="s">
        <v>16052</v>
      </c>
    </row>
    <row r="3899" spans="1:13" ht="13" x14ac:dyDescent="0.15">
      <c r="A3899" s="5" t="str">
        <f>HYPERLINK("https://onemount.atlassian.net/browse/DBA-756","DBA-756")</f>
        <v>DBA-756</v>
      </c>
      <c r="B3899" s="6" t="s">
        <v>21</v>
      </c>
      <c r="C3899" s="6" t="s">
        <v>16053</v>
      </c>
      <c r="D3899" s="8" t="s">
        <v>17</v>
      </c>
      <c r="E3899" s="6" t="s">
        <v>23</v>
      </c>
      <c r="F3899" s="6" t="s">
        <v>96</v>
      </c>
      <c r="G3899" s="6" t="s">
        <v>16054</v>
      </c>
      <c r="H3899" s="10">
        <v>45713</v>
      </c>
      <c r="I3899" s="6" t="s">
        <v>16055</v>
      </c>
      <c r="J3899" s="6" t="s">
        <v>165</v>
      </c>
      <c r="K3899" s="6" t="s">
        <v>165</v>
      </c>
      <c r="L3899" s="6" t="s">
        <v>715</v>
      </c>
      <c r="M3899" s="6" t="s">
        <v>16056</v>
      </c>
    </row>
    <row r="3900" spans="1:13" ht="13" x14ac:dyDescent="0.15">
      <c r="A3900" s="5" t="str">
        <f>HYPERLINK("https://onemount.atlassian.net/browse/DBA-755","DBA-755")</f>
        <v>DBA-755</v>
      </c>
      <c r="B3900" s="6" t="s">
        <v>21</v>
      </c>
      <c r="C3900" s="6" t="s">
        <v>16057</v>
      </c>
      <c r="D3900" s="8" t="s">
        <v>17</v>
      </c>
      <c r="E3900" s="6" t="s">
        <v>23</v>
      </c>
      <c r="F3900" s="6" t="s">
        <v>31</v>
      </c>
      <c r="G3900" s="6" t="s">
        <v>16058</v>
      </c>
      <c r="H3900" s="10">
        <v>45711</v>
      </c>
      <c r="I3900" s="6" t="s">
        <v>16059</v>
      </c>
      <c r="J3900" s="6" t="s">
        <v>293</v>
      </c>
      <c r="K3900" s="6" t="s">
        <v>35</v>
      </c>
      <c r="L3900" s="6" t="s">
        <v>293</v>
      </c>
      <c r="M3900" s="6" t="s">
        <v>16060</v>
      </c>
    </row>
    <row r="3901" spans="1:13" ht="13" x14ac:dyDescent="0.15">
      <c r="A3901" s="5" t="str">
        <f>HYPERLINK("https://onemount.atlassian.net/browse/DBA-754","DBA-754")</f>
        <v>DBA-754</v>
      </c>
      <c r="B3901" s="6" t="s">
        <v>21</v>
      </c>
      <c r="C3901" s="6" t="s">
        <v>16061</v>
      </c>
      <c r="D3901" s="8" t="s">
        <v>17</v>
      </c>
      <c r="E3901" s="6" t="s">
        <v>23</v>
      </c>
      <c r="F3901" s="6" t="s">
        <v>31</v>
      </c>
      <c r="G3901" s="6" t="s">
        <v>16062</v>
      </c>
      <c r="H3901" s="10">
        <v>45709</v>
      </c>
      <c r="I3901" s="6" t="s">
        <v>16063</v>
      </c>
      <c r="J3901" s="6" t="s">
        <v>34</v>
      </c>
      <c r="K3901" s="6" t="s">
        <v>35</v>
      </c>
      <c r="L3901" s="6" t="s">
        <v>36</v>
      </c>
      <c r="M3901" s="6" t="s">
        <v>16064</v>
      </c>
    </row>
    <row r="3902" spans="1:13" ht="13" x14ac:dyDescent="0.15">
      <c r="A3902" s="5" t="str">
        <f>HYPERLINK("https://onemount.atlassian.net/browse/DBA-753","DBA-753")</f>
        <v>DBA-753</v>
      </c>
      <c r="B3902" s="6" t="s">
        <v>21</v>
      </c>
      <c r="C3902" s="6" t="s">
        <v>15654</v>
      </c>
      <c r="D3902" s="8" t="s">
        <v>17</v>
      </c>
      <c r="E3902" s="6" t="s">
        <v>23</v>
      </c>
      <c r="F3902" s="6" t="s">
        <v>31</v>
      </c>
      <c r="G3902" s="6" t="s">
        <v>16065</v>
      </c>
      <c r="H3902" s="10">
        <v>45710</v>
      </c>
      <c r="I3902" s="6" t="s">
        <v>16066</v>
      </c>
      <c r="J3902" s="6" t="s">
        <v>489</v>
      </c>
      <c r="K3902" s="6" t="s">
        <v>35</v>
      </c>
      <c r="L3902" s="6" t="s">
        <v>489</v>
      </c>
      <c r="M3902" s="6" t="s">
        <v>16067</v>
      </c>
    </row>
    <row r="3903" spans="1:13" ht="13" x14ac:dyDescent="0.15">
      <c r="A3903" s="5" t="str">
        <f>HYPERLINK("https://onemount.atlassian.net/browse/DBA-752","DBA-752")</f>
        <v>DBA-752</v>
      </c>
      <c r="B3903" s="6" t="s">
        <v>21</v>
      </c>
      <c r="C3903" s="6" t="s">
        <v>16068</v>
      </c>
      <c r="D3903" s="8" t="s">
        <v>17</v>
      </c>
      <c r="E3903" s="6" t="s">
        <v>23</v>
      </c>
      <c r="F3903" s="6" t="s">
        <v>31</v>
      </c>
      <c r="G3903" s="6" t="s">
        <v>16069</v>
      </c>
      <c r="H3903" s="10">
        <v>45709</v>
      </c>
      <c r="I3903" s="6" t="s">
        <v>16070</v>
      </c>
      <c r="J3903" s="6" t="s">
        <v>13942</v>
      </c>
      <c r="K3903" s="6" t="s">
        <v>35</v>
      </c>
      <c r="L3903" s="6" t="s">
        <v>638</v>
      </c>
      <c r="M3903" s="6" t="s">
        <v>16071</v>
      </c>
    </row>
    <row r="3904" spans="1:13" ht="13" x14ac:dyDescent="0.15">
      <c r="A3904" s="5" t="str">
        <f>HYPERLINK("https://onemount.atlassian.net/browse/DBA-751","DBA-751")</f>
        <v>DBA-751</v>
      </c>
      <c r="B3904" s="6" t="s">
        <v>21</v>
      </c>
      <c r="C3904" s="6" t="s">
        <v>14350</v>
      </c>
      <c r="D3904" s="8" t="s">
        <v>17</v>
      </c>
      <c r="E3904" s="6" t="s">
        <v>23</v>
      </c>
      <c r="F3904" s="6" t="s">
        <v>31</v>
      </c>
      <c r="G3904" s="6" t="s">
        <v>16072</v>
      </c>
      <c r="H3904" s="10">
        <v>45709</v>
      </c>
      <c r="I3904" s="6" t="s">
        <v>16073</v>
      </c>
      <c r="J3904" s="6" t="s">
        <v>55</v>
      </c>
      <c r="K3904" s="6" t="s">
        <v>55</v>
      </c>
      <c r="L3904" s="6" t="s">
        <v>984</v>
      </c>
      <c r="M3904" s="6" t="s">
        <v>16074</v>
      </c>
    </row>
    <row r="3905" spans="1:13" ht="13" x14ac:dyDescent="0.15">
      <c r="A3905" s="5" t="str">
        <f>HYPERLINK("https://onemount.atlassian.net/browse/DBA-750","DBA-750")</f>
        <v>DBA-750</v>
      </c>
      <c r="B3905" s="6" t="s">
        <v>21</v>
      </c>
      <c r="C3905" s="6" t="s">
        <v>16075</v>
      </c>
      <c r="D3905" s="8" t="s">
        <v>17</v>
      </c>
      <c r="E3905" s="6" t="s">
        <v>23</v>
      </c>
      <c r="F3905" s="6" t="s">
        <v>24</v>
      </c>
      <c r="G3905" s="6" t="s">
        <v>16076</v>
      </c>
      <c r="H3905" s="10">
        <v>45709</v>
      </c>
      <c r="I3905" s="6" t="s">
        <v>16077</v>
      </c>
      <c r="J3905" s="6" t="s">
        <v>28</v>
      </c>
      <c r="K3905" s="6" t="s">
        <v>28</v>
      </c>
      <c r="L3905" s="6" t="s">
        <v>1000</v>
      </c>
      <c r="M3905" s="6" t="s">
        <v>16078</v>
      </c>
    </row>
    <row r="3906" spans="1:13" ht="13" x14ac:dyDescent="0.15">
      <c r="A3906" s="5" t="str">
        <f>HYPERLINK("https://onemount.atlassian.net/browse/DBA-749","DBA-749")</f>
        <v>DBA-749</v>
      </c>
      <c r="B3906" s="6" t="s">
        <v>21</v>
      </c>
      <c r="C3906" s="6" t="s">
        <v>16079</v>
      </c>
      <c r="D3906" s="8" t="s">
        <v>17</v>
      </c>
      <c r="E3906" s="6" t="s">
        <v>23</v>
      </c>
      <c r="F3906" s="6" t="s">
        <v>31</v>
      </c>
      <c r="G3906" s="6" t="s">
        <v>16080</v>
      </c>
      <c r="H3906" s="10">
        <v>45710</v>
      </c>
      <c r="I3906" s="6" t="s">
        <v>16081</v>
      </c>
      <c r="J3906" s="6" t="s">
        <v>10503</v>
      </c>
      <c r="K3906" s="6" t="s">
        <v>55</v>
      </c>
      <c r="L3906" s="6" t="s">
        <v>328</v>
      </c>
      <c r="M3906" s="6" t="s">
        <v>16082</v>
      </c>
    </row>
    <row r="3907" spans="1:13" ht="13" x14ac:dyDescent="0.15">
      <c r="A3907" s="5" t="str">
        <f>HYPERLINK("https://onemount.atlassian.net/browse/DBA-748","DBA-748")</f>
        <v>DBA-748</v>
      </c>
      <c r="B3907" s="6" t="s">
        <v>21</v>
      </c>
      <c r="C3907" s="6" t="s">
        <v>16083</v>
      </c>
      <c r="D3907" s="8" t="s">
        <v>17</v>
      </c>
      <c r="E3907" s="6" t="s">
        <v>1810</v>
      </c>
      <c r="F3907" s="6" t="s">
        <v>31</v>
      </c>
      <c r="G3907" s="6" t="s">
        <v>16084</v>
      </c>
      <c r="H3907" s="10">
        <v>45710</v>
      </c>
      <c r="I3907" s="6" t="s">
        <v>16085</v>
      </c>
      <c r="J3907" s="6" t="s">
        <v>55</v>
      </c>
      <c r="K3907" s="6" t="s">
        <v>55</v>
      </c>
      <c r="L3907" s="6" t="s">
        <v>328</v>
      </c>
      <c r="M3907" s="6" t="s">
        <v>16086</v>
      </c>
    </row>
    <row r="3908" spans="1:13" ht="13" x14ac:dyDescent="0.15">
      <c r="A3908" s="5" t="str">
        <f>HYPERLINK("https://onemount.atlassian.net/browse/DBA-747","DBA-747")</f>
        <v>DBA-747</v>
      </c>
      <c r="B3908" s="6" t="s">
        <v>21</v>
      </c>
      <c r="C3908" s="6" t="s">
        <v>16087</v>
      </c>
      <c r="D3908" s="8" t="s">
        <v>17</v>
      </c>
      <c r="E3908" s="6" t="s">
        <v>1810</v>
      </c>
      <c r="F3908" s="6" t="s">
        <v>31</v>
      </c>
      <c r="G3908" s="6" t="s">
        <v>16088</v>
      </c>
      <c r="H3908" s="10">
        <v>45710</v>
      </c>
      <c r="I3908" s="6" t="s">
        <v>16089</v>
      </c>
      <c r="J3908" s="6" t="s">
        <v>55</v>
      </c>
      <c r="K3908" s="6" t="s">
        <v>55</v>
      </c>
      <c r="L3908" s="6" t="s">
        <v>254</v>
      </c>
      <c r="M3908" s="6" t="s">
        <v>16090</v>
      </c>
    </row>
    <row r="3909" spans="1:13" ht="13" x14ac:dyDescent="0.15">
      <c r="A3909" s="5" t="str">
        <f>HYPERLINK("https://onemount.atlassian.net/browse/DBA-746","DBA-746")</f>
        <v>DBA-746</v>
      </c>
      <c r="B3909" s="6" t="s">
        <v>21</v>
      </c>
      <c r="C3909" s="6" t="s">
        <v>16091</v>
      </c>
      <c r="D3909" s="8" t="s">
        <v>17</v>
      </c>
      <c r="E3909" s="6" t="s">
        <v>23</v>
      </c>
      <c r="F3909" s="6" t="s">
        <v>31</v>
      </c>
      <c r="G3909" s="6" t="s">
        <v>16092</v>
      </c>
      <c r="H3909" s="10">
        <v>45709</v>
      </c>
      <c r="I3909" s="6" t="s">
        <v>16093</v>
      </c>
      <c r="J3909" s="6" t="s">
        <v>55</v>
      </c>
      <c r="K3909" s="6" t="s">
        <v>55</v>
      </c>
      <c r="L3909" s="6" t="s">
        <v>906</v>
      </c>
      <c r="M3909" s="6" t="s">
        <v>16094</v>
      </c>
    </row>
    <row r="3910" spans="1:13" ht="13" x14ac:dyDescent="0.15">
      <c r="A3910" s="5" t="str">
        <f>HYPERLINK("https://onemount.atlassian.net/browse/DBA-743","DBA-743")</f>
        <v>DBA-743</v>
      </c>
      <c r="B3910" s="6" t="s">
        <v>21</v>
      </c>
      <c r="C3910" s="6" t="s">
        <v>16095</v>
      </c>
      <c r="D3910" s="8" t="s">
        <v>17</v>
      </c>
      <c r="E3910" s="6" t="s">
        <v>23</v>
      </c>
      <c r="F3910" s="6" t="s">
        <v>31</v>
      </c>
      <c r="G3910" s="6" t="s">
        <v>16096</v>
      </c>
      <c r="H3910" s="10">
        <v>45709</v>
      </c>
      <c r="I3910" s="6" t="s">
        <v>16097</v>
      </c>
      <c r="J3910" s="6" t="s">
        <v>16098</v>
      </c>
      <c r="K3910" s="6" t="s">
        <v>55</v>
      </c>
      <c r="L3910" s="6" t="s">
        <v>906</v>
      </c>
      <c r="M3910" s="6" t="s">
        <v>16099</v>
      </c>
    </row>
    <row r="3911" spans="1:13" ht="13" x14ac:dyDescent="0.15">
      <c r="A3911" s="5" t="str">
        <f>HYPERLINK("https://onemount.atlassian.net/browse/DBA-742","DBA-742")</f>
        <v>DBA-742</v>
      </c>
      <c r="B3911" s="6" t="s">
        <v>21</v>
      </c>
      <c r="C3911" s="6" t="s">
        <v>16100</v>
      </c>
      <c r="D3911" s="8" t="s">
        <v>17</v>
      </c>
      <c r="E3911" s="6" t="s">
        <v>23</v>
      </c>
      <c r="F3911" s="6" t="s">
        <v>31</v>
      </c>
      <c r="G3911" s="6" t="s">
        <v>16101</v>
      </c>
      <c r="H3911" s="10">
        <v>45709</v>
      </c>
      <c r="I3911" s="6" t="s">
        <v>16102</v>
      </c>
      <c r="J3911" s="6" t="s">
        <v>55</v>
      </c>
      <c r="K3911" s="6" t="s">
        <v>55</v>
      </c>
      <c r="L3911" s="6" t="s">
        <v>254</v>
      </c>
      <c r="M3911" s="6" t="s">
        <v>16103</v>
      </c>
    </row>
    <row r="3912" spans="1:13" ht="13" x14ac:dyDescent="0.15">
      <c r="A3912" s="5" t="str">
        <f>HYPERLINK("https://onemount.atlassian.net/browse/DBA-741","DBA-741")</f>
        <v>DBA-741</v>
      </c>
      <c r="B3912" s="6" t="s">
        <v>21</v>
      </c>
      <c r="C3912" s="6" t="s">
        <v>16104</v>
      </c>
      <c r="D3912" s="8" t="s">
        <v>17</v>
      </c>
      <c r="E3912" s="6" t="s">
        <v>23</v>
      </c>
      <c r="F3912" s="6" t="s">
        <v>24</v>
      </c>
      <c r="G3912" s="6" t="s">
        <v>16105</v>
      </c>
      <c r="H3912" s="10">
        <v>45710</v>
      </c>
      <c r="I3912" s="6" t="s">
        <v>16106</v>
      </c>
      <c r="J3912" s="6" t="s">
        <v>46</v>
      </c>
      <c r="K3912" s="6" t="s">
        <v>46</v>
      </c>
      <c r="L3912" s="6" t="s">
        <v>39</v>
      </c>
      <c r="M3912" s="6" t="s">
        <v>16107</v>
      </c>
    </row>
    <row r="3913" spans="1:13" ht="13" x14ac:dyDescent="0.15">
      <c r="A3913" s="5" t="str">
        <f>HYPERLINK("https://onemount.atlassian.net/browse/DBA-740","DBA-740")</f>
        <v>DBA-740</v>
      </c>
      <c r="B3913" s="6" t="s">
        <v>21</v>
      </c>
      <c r="C3913" s="6" t="s">
        <v>16108</v>
      </c>
      <c r="D3913" s="8" t="s">
        <v>17</v>
      </c>
      <c r="E3913" s="6" t="s">
        <v>23</v>
      </c>
      <c r="F3913" s="6" t="s">
        <v>96</v>
      </c>
      <c r="G3913" s="6" t="s">
        <v>16109</v>
      </c>
      <c r="H3913" s="10">
        <v>45752</v>
      </c>
      <c r="I3913" s="6" t="s">
        <v>16110</v>
      </c>
      <c r="J3913" s="6" t="s">
        <v>55</v>
      </c>
      <c r="K3913" s="6" t="s">
        <v>55</v>
      </c>
      <c r="L3913" s="6" t="s">
        <v>270</v>
      </c>
      <c r="M3913" s="6" t="s">
        <v>16111</v>
      </c>
    </row>
    <row r="3914" spans="1:13" ht="13" x14ac:dyDescent="0.15">
      <c r="A3914" s="5" t="str">
        <f>HYPERLINK("https://onemount.atlassian.net/browse/DBA-739","DBA-739")</f>
        <v>DBA-739</v>
      </c>
      <c r="B3914" s="6" t="s">
        <v>21</v>
      </c>
      <c r="C3914" s="6" t="s">
        <v>16112</v>
      </c>
      <c r="D3914" s="8" t="s">
        <v>17</v>
      </c>
      <c r="E3914" s="6" t="s">
        <v>23</v>
      </c>
      <c r="F3914" s="6" t="s">
        <v>31</v>
      </c>
      <c r="G3914" s="6" t="s">
        <v>16113</v>
      </c>
      <c r="H3914" s="10">
        <v>45708</v>
      </c>
      <c r="I3914" s="6" t="s">
        <v>16114</v>
      </c>
      <c r="J3914" s="6" t="s">
        <v>55</v>
      </c>
      <c r="K3914" s="6" t="s">
        <v>55</v>
      </c>
      <c r="L3914" s="6" t="s">
        <v>906</v>
      </c>
      <c r="M3914" s="6" t="s">
        <v>16115</v>
      </c>
    </row>
    <row r="3915" spans="1:13" ht="13" x14ac:dyDescent="0.15">
      <c r="A3915" s="5" t="str">
        <f>HYPERLINK("https://onemount.atlassian.net/browse/DBA-738","DBA-738")</f>
        <v>DBA-738</v>
      </c>
      <c r="B3915" s="6" t="s">
        <v>21</v>
      </c>
      <c r="C3915" s="6" t="s">
        <v>16116</v>
      </c>
      <c r="D3915" s="8" t="s">
        <v>17</v>
      </c>
      <c r="E3915" s="6" t="s">
        <v>23</v>
      </c>
      <c r="F3915" s="6" t="s">
        <v>96</v>
      </c>
      <c r="G3915" s="6" t="s">
        <v>16117</v>
      </c>
      <c r="H3915" s="10">
        <v>45707</v>
      </c>
      <c r="I3915" s="6" t="s">
        <v>16118</v>
      </c>
      <c r="J3915" s="6" t="s">
        <v>165</v>
      </c>
      <c r="K3915" s="6" t="s">
        <v>165</v>
      </c>
      <c r="L3915" s="6" t="s">
        <v>1060</v>
      </c>
      <c r="M3915" s="6" t="s">
        <v>16119</v>
      </c>
    </row>
    <row r="3916" spans="1:13" ht="13" x14ac:dyDescent="0.15">
      <c r="A3916" s="5" t="str">
        <f>HYPERLINK("https://onemount.atlassian.net/browse/DBA-737","DBA-737")</f>
        <v>DBA-737</v>
      </c>
      <c r="B3916" s="6" t="s">
        <v>21</v>
      </c>
      <c r="C3916" s="6" t="s">
        <v>16120</v>
      </c>
      <c r="D3916" s="8" t="s">
        <v>17</v>
      </c>
      <c r="E3916" s="6" t="s">
        <v>23</v>
      </c>
      <c r="F3916" s="6" t="s">
        <v>31</v>
      </c>
      <c r="G3916" s="6" t="s">
        <v>16121</v>
      </c>
      <c r="H3916" s="10">
        <v>45708</v>
      </c>
      <c r="I3916" s="6" t="s">
        <v>16122</v>
      </c>
      <c r="J3916" s="6" t="s">
        <v>16123</v>
      </c>
      <c r="K3916" s="6" t="s">
        <v>28</v>
      </c>
      <c r="L3916" s="6" t="s">
        <v>358</v>
      </c>
      <c r="M3916" s="6" t="s">
        <v>16124</v>
      </c>
    </row>
    <row r="3917" spans="1:13" ht="13" x14ac:dyDescent="0.15">
      <c r="A3917" s="5" t="str">
        <f>HYPERLINK("https://onemount.atlassian.net/browse/DBA-736","DBA-736")</f>
        <v>DBA-736</v>
      </c>
      <c r="B3917" s="6" t="s">
        <v>21</v>
      </c>
      <c r="C3917" s="6" t="s">
        <v>16125</v>
      </c>
      <c r="D3917" s="8" t="s">
        <v>17</v>
      </c>
      <c r="E3917" s="6" t="s">
        <v>23</v>
      </c>
      <c r="F3917" s="6" t="s">
        <v>24</v>
      </c>
      <c r="G3917" s="6" t="s">
        <v>16126</v>
      </c>
      <c r="H3917" s="10">
        <v>45709</v>
      </c>
      <c r="I3917" s="6" t="s">
        <v>16127</v>
      </c>
      <c r="J3917" s="6" t="s">
        <v>55</v>
      </c>
      <c r="K3917" s="6" t="s">
        <v>55</v>
      </c>
      <c r="L3917" s="6" t="s">
        <v>39</v>
      </c>
      <c r="M3917" s="6" t="s">
        <v>16128</v>
      </c>
    </row>
    <row r="3918" spans="1:13" ht="13" x14ac:dyDescent="0.15">
      <c r="A3918" s="5" t="str">
        <f>HYPERLINK("https://onemount.atlassian.net/browse/DBA-735","DBA-735")</f>
        <v>DBA-735</v>
      </c>
      <c r="B3918" s="6" t="s">
        <v>21</v>
      </c>
      <c r="C3918" s="6" t="s">
        <v>16129</v>
      </c>
      <c r="D3918" s="8" t="s">
        <v>17</v>
      </c>
      <c r="E3918" s="6" t="s">
        <v>23</v>
      </c>
      <c r="F3918" s="6" t="s">
        <v>96</v>
      </c>
      <c r="G3918" s="6" t="s">
        <v>16130</v>
      </c>
      <c r="H3918" s="10">
        <v>45710</v>
      </c>
      <c r="I3918" s="6" t="s">
        <v>16131</v>
      </c>
      <c r="J3918" s="6" t="s">
        <v>165</v>
      </c>
      <c r="K3918" s="6" t="s">
        <v>165</v>
      </c>
      <c r="L3918" s="6" t="s">
        <v>1097</v>
      </c>
      <c r="M3918" s="6" t="s">
        <v>16132</v>
      </c>
    </row>
    <row r="3919" spans="1:13" ht="13" x14ac:dyDescent="0.15">
      <c r="A3919" s="5" t="str">
        <f>HYPERLINK("https://onemount.atlassian.net/browse/DBA-734","DBA-734")</f>
        <v>DBA-734</v>
      </c>
      <c r="B3919" s="6" t="s">
        <v>21</v>
      </c>
      <c r="C3919" s="6" t="s">
        <v>14350</v>
      </c>
      <c r="D3919" s="8" t="s">
        <v>17</v>
      </c>
      <c r="E3919" s="6" t="s">
        <v>23</v>
      </c>
      <c r="F3919" s="6" t="s">
        <v>31</v>
      </c>
      <c r="G3919" s="6" t="s">
        <v>16133</v>
      </c>
      <c r="H3919" s="10">
        <v>45708</v>
      </c>
      <c r="I3919" s="6" t="s">
        <v>16134</v>
      </c>
      <c r="J3919" s="6" t="s">
        <v>55</v>
      </c>
      <c r="K3919" s="6" t="s">
        <v>55</v>
      </c>
      <c r="L3919" s="6" t="s">
        <v>906</v>
      </c>
      <c r="M3919" s="6" t="s">
        <v>16135</v>
      </c>
    </row>
    <row r="3920" spans="1:13" ht="13" x14ac:dyDescent="0.15">
      <c r="A3920" s="5" t="str">
        <f>HYPERLINK("https://onemount.atlassian.net/browse/DBA-733","DBA-733")</f>
        <v>DBA-733</v>
      </c>
      <c r="B3920" s="6" t="s">
        <v>21</v>
      </c>
      <c r="C3920" s="6" t="s">
        <v>16136</v>
      </c>
      <c r="D3920" s="8" t="s">
        <v>17</v>
      </c>
      <c r="E3920" s="6" t="s">
        <v>23</v>
      </c>
      <c r="F3920" s="6" t="s">
        <v>96</v>
      </c>
      <c r="G3920" s="6" t="s">
        <v>16137</v>
      </c>
      <c r="H3920" s="10">
        <v>45708</v>
      </c>
      <c r="I3920" s="6" t="s">
        <v>16138</v>
      </c>
      <c r="J3920" s="6" t="s">
        <v>165</v>
      </c>
      <c r="K3920" s="6" t="s">
        <v>165</v>
      </c>
      <c r="L3920" s="6" t="s">
        <v>715</v>
      </c>
      <c r="M3920" s="6" t="s">
        <v>16139</v>
      </c>
    </row>
    <row r="3921" spans="1:13" ht="13" x14ac:dyDescent="0.15">
      <c r="A3921" s="5" t="str">
        <f>HYPERLINK("https://onemount.atlassian.net/browse/DBA-732","DBA-732")</f>
        <v>DBA-732</v>
      </c>
      <c r="B3921" s="6" t="s">
        <v>21</v>
      </c>
      <c r="C3921" s="6" t="s">
        <v>10235</v>
      </c>
      <c r="D3921" s="8" t="s">
        <v>17</v>
      </c>
      <c r="E3921" s="6" t="s">
        <v>23</v>
      </c>
      <c r="F3921" s="6" t="s">
        <v>31</v>
      </c>
      <c r="G3921" s="6" t="s">
        <v>16140</v>
      </c>
      <c r="H3921" s="10">
        <v>45708</v>
      </c>
      <c r="I3921" s="6" t="s">
        <v>16141</v>
      </c>
      <c r="J3921" s="6" t="s">
        <v>16142</v>
      </c>
      <c r="K3921" s="6" t="s">
        <v>55</v>
      </c>
      <c r="L3921" s="6" t="s">
        <v>254</v>
      </c>
      <c r="M3921" s="6" t="s">
        <v>16143</v>
      </c>
    </row>
    <row r="3922" spans="1:13" ht="13" x14ac:dyDescent="0.15">
      <c r="A3922" s="5" t="str">
        <f>HYPERLINK("https://onemount.atlassian.net/browse/DBA-731","DBA-731")</f>
        <v>DBA-731</v>
      </c>
      <c r="B3922" s="6" t="s">
        <v>21</v>
      </c>
      <c r="C3922" s="6" t="s">
        <v>16144</v>
      </c>
      <c r="D3922" s="8" t="s">
        <v>17</v>
      </c>
      <c r="E3922" s="6" t="s">
        <v>23</v>
      </c>
      <c r="F3922" s="6" t="s">
        <v>31</v>
      </c>
      <c r="G3922" s="6" t="s">
        <v>16145</v>
      </c>
      <c r="H3922" s="10">
        <v>45709</v>
      </c>
      <c r="I3922" s="6" t="s">
        <v>16146</v>
      </c>
      <c r="J3922" s="6" t="s">
        <v>34</v>
      </c>
      <c r="K3922" s="6" t="s">
        <v>35</v>
      </c>
      <c r="L3922" s="6" t="s">
        <v>962</v>
      </c>
      <c r="M3922" s="6" t="s">
        <v>16147</v>
      </c>
    </row>
    <row r="3923" spans="1:13" ht="13" x14ac:dyDescent="0.15">
      <c r="A3923" s="5" t="str">
        <f>HYPERLINK("https://onemount.atlassian.net/browse/DBA-730","DBA-730")</f>
        <v>DBA-730</v>
      </c>
      <c r="B3923" s="6" t="s">
        <v>21</v>
      </c>
      <c r="C3923" s="6" t="s">
        <v>16148</v>
      </c>
      <c r="D3923" s="8" t="s">
        <v>17</v>
      </c>
      <c r="E3923" s="6" t="s">
        <v>23</v>
      </c>
      <c r="F3923" s="6" t="s">
        <v>31</v>
      </c>
      <c r="G3923" s="6" t="s">
        <v>16149</v>
      </c>
      <c r="H3923" s="10">
        <v>45708</v>
      </c>
      <c r="I3923" s="6" t="s">
        <v>16150</v>
      </c>
      <c r="J3923" s="6" t="s">
        <v>55</v>
      </c>
      <c r="K3923" s="6" t="s">
        <v>55</v>
      </c>
      <c r="L3923" s="6" t="s">
        <v>906</v>
      </c>
      <c r="M3923" s="6" t="s">
        <v>16151</v>
      </c>
    </row>
    <row r="3924" spans="1:13" ht="13" x14ac:dyDescent="0.15">
      <c r="A3924" s="21" t="str">
        <f>HYPERLINK("https://onemount.atlassian.net/browse/DBA-729","DBA-729")</f>
        <v>DBA-729</v>
      </c>
      <c r="B3924" s="6" t="s">
        <v>21</v>
      </c>
      <c r="C3924" s="6" t="s">
        <v>16152</v>
      </c>
      <c r="D3924" s="8" t="s">
        <v>17</v>
      </c>
      <c r="E3924" s="6" t="s">
        <v>23</v>
      </c>
      <c r="F3924" s="6" t="s">
        <v>31</v>
      </c>
      <c r="G3924" s="6" t="s">
        <v>16153</v>
      </c>
      <c r="H3924" s="10">
        <v>45709</v>
      </c>
      <c r="I3924" s="6" t="s">
        <v>16154</v>
      </c>
      <c r="J3924" s="6" t="s">
        <v>55</v>
      </c>
      <c r="K3924" s="6" t="s">
        <v>55</v>
      </c>
      <c r="L3924" s="6" t="s">
        <v>56</v>
      </c>
      <c r="M3924" s="6" t="s">
        <v>16155</v>
      </c>
    </row>
    <row r="3925" spans="1:13" ht="13" x14ac:dyDescent="0.15">
      <c r="A3925" s="5" t="str">
        <f>HYPERLINK("https://onemount.atlassian.net/browse/DBA-728","DBA-728")</f>
        <v>DBA-728</v>
      </c>
      <c r="B3925" s="6" t="s">
        <v>21</v>
      </c>
      <c r="C3925" s="6" t="s">
        <v>16156</v>
      </c>
      <c r="D3925" s="8" t="s">
        <v>17</v>
      </c>
      <c r="E3925" s="6" t="s">
        <v>23</v>
      </c>
      <c r="F3925" s="6" t="s">
        <v>96</v>
      </c>
      <c r="G3925" s="6" t="s">
        <v>16157</v>
      </c>
      <c r="H3925" s="10">
        <v>45708</v>
      </c>
      <c r="I3925" s="6" t="s">
        <v>16158</v>
      </c>
      <c r="J3925" s="6" t="s">
        <v>165</v>
      </c>
      <c r="K3925" s="6" t="s">
        <v>165</v>
      </c>
      <c r="L3925" s="6" t="s">
        <v>288</v>
      </c>
      <c r="M3925" s="6" t="s">
        <v>16159</v>
      </c>
    </row>
    <row r="3926" spans="1:13" ht="13" x14ac:dyDescent="0.15">
      <c r="A3926" s="5" t="str">
        <f>HYPERLINK("https://onemount.atlassian.net/browse/DBA-727","DBA-727")</f>
        <v>DBA-727</v>
      </c>
      <c r="B3926" s="6" t="s">
        <v>21</v>
      </c>
      <c r="C3926" s="6" t="s">
        <v>16160</v>
      </c>
      <c r="D3926" s="8" t="s">
        <v>17</v>
      </c>
      <c r="E3926" s="6" t="s">
        <v>23</v>
      </c>
      <c r="F3926" s="6" t="s">
        <v>96</v>
      </c>
      <c r="G3926" s="6" t="s">
        <v>16161</v>
      </c>
      <c r="H3926" s="10">
        <v>45707</v>
      </c>
      <c r="I3926" s="6" t="s">
        <v>16162</v>
      </c>
      <c r="J3926" s="6" t="s">
        <v>165</v>
      </c>
      <c r="K3926" s="6" t="s">
        <v>165</v>
      </c>
      <c r="L3926" s="6" t="s">
        <v>288</v>
      </c>
      <c r="M3926" s="6" t="s">
        <v>16163</v>
      </c>
    </row>
    <row r="3927" spans="1:13" ht="13" x14ac:dyDescent="0.15">
      <c r="A3927" s="5" t="str">
        <f>HYPERLINK("https://onemount.atlassian.net/browse/DBA-726","DBA-726")</f>
        <v>DBA-726</v>
      </c>
      <c r="B3927" s="6" t="s">
        <v>21</v>
      </c>
      <c r="C3927" s="6" t="s">
        <v>16164</v>
      </c>
      <c r="D3927" s="8" t="s">
        <v>17</v>
      </c>
      <c r="E3927" s="6" t="s">
        <v>23</v>
      </c>
      <c r="F3927" s="6" t="s">
        <v>96</v>
      </c>
      <c r="G3927" s="6" t="s">
        <v>16165</v>
      </c>
      <c r="H3927" s="10">
        <v>45707</v>
      </c>
      <c r="I3927" s="6" t="s">
        <v>16166</v>
      </c>
      <c r="J3927" s="6" t="s">
        <v>165</v>
      </c>
      <c r="K3927" s="6" t="s">
        <v>165</v>
      </c>
      <c r="L3927" s="6" t="s">
        <v>1004</v>
      </c>
      <c r="M3927" s="6" t="s">
        <v>16167</v>
      </c>
    </row>
    <row r="3928" spans="1:13" ht="13" x14ac:dyDescent="0.15">
      <c r="A3928" s="5" t="str">
        <f>HYPERLINK("https://onemount.atlassian.net/browse/DBA-725","DBA-725")</f>
        <v>DBA-725</v>
      </c>
      <c r="B3928" s="6" t="s">
        <v>21</v>
      </c>
      <c r="C3928" s="6" t="s">
        <v>16168</v>
      </c>
      <c r="D3928" s="8" t="s">
        <v>17</v>
      </c>
      <c r="E3928" s="6" t="s">
        <v>23</v>
      </c>
      <c r="F3928" s="6" t="s">
        <v>96</v>
      </c>
      <c r="G3928" s="6" t="s">
        <v>16169</v>
      </c>
      <c r="H3928" s="10">
        <v>45707</v>
      </c>
      <c r="I3928" s="6" t="s">
        <v>16170</v>
      </c>
      <c r="J3928" s="6" t="s">
        <v>165</v>
      </c>
      <c r="K3928" s="6" t="s">
        <v>165</v>
      </c>
      <c r="L3928" s="6" t="s">
        <v>715</v>
      </c>
      <c r="M3928" s="6" t="s">
        <v>16171</v>
      </c>
    </row>
    <row r="3929" spans="1:13" ht="13" x14ac:dyDescent="0.15">
      <c r="A3929" s="5" t="str">
        <f>HYPERLINK("https://onemount.atlassian.net/browse/DBA-724","DBA-724")</f>
        <v>DBA-724</v>
      </c>
      <c r="B3929" s="6" t="s">
        <v>21</v>
      </c>
      <c r="C3929" s="6" t="s">
        <v>16172</v>
      </c>
      <c r="D3929" s="8" t="s">
        <v>17</v>
      </c>
      <c r="E3929" s="6" t="s">
        <v>23</v>
      </c>
      <c r="F3929" s="6" t="s">
        <v>96</v>
      </c>
      <c r="G3929" s="6" t="s">
        <v>16173</v>
      </c>
      <c r="H3929" s="10">
        <v>45709</v>
      </c>
      <c r="I3929" s="6" t="s">
        <v>16174</v>
      </c>
      <c r="J3929" s="6" t="s">
        <v>165</v>
      </c>
      <c r="K3929" s="6" t="s">
        <v>165</v>
      </c>
      <c r="L3929" s="6" t="s">
        <v>1073</v>
      </c>
      <c r="M3929" s="6" t="s">
        <v>16175</v>
      </c>
    </row>
    <row r="3930" spans="1:13" ht="13" x14ac:dyDescent="0.15">
      <c r="A3930" s="5" t="str">
        <f>HYPERLINK("https://onemount.atlassian.net/browse/DBA-723","DBA-723")</f>
        <v>DBA-723</v>
      </c>
      <c r="B3930" s="6" t="s">
        <v>21</v>
      </c>
      <c r="C3930" s="6" t="s">
        <v>16176</v>
      </c>
      <c r="D3930" s="8" t="s">
        <v>17</v>
      </c>
      <c r="E3930" s="6" t="s">
        <v>23</v>
      </c>
      <c r="F3930" s="6" t="s">
        <v>96</v>
      </c>
      <c r="G3930" s="6" t="s">
        <v>16177</v>
      </c>
      <c r="H3930" s="10">
        <v>45707</v>
      </c>
      <c r="I3930" s="6" t="s">
        <v>16178</v>
      </c>
      <c r="J3930" s="6" t="s">
        <v>165</v>
      </c>
      <c r="K3930" s="6" t="s">
        <v>165</v>
      </c>
      <c r="L3930" s="6" t="s">
        <v>1091</v>
      </c>
      <c r="M3930" s="6" t="s">
        <v>16179</v>
      </c>
    </row>
    <row r="3931" spans="1:13" ht="13" x14ac:dyDescent="0.15">
      <c r="A3931" s="5" t="str">
        <f>HYPERLINK("https://onemount.atlassian.net/browse/DBA-708","DBA-708")</f>
        <v>DBA-708</v>
      </c>
      <c r="B3931" s="6" t="s">
        <v>21</v>
      </c>
      <c r="C3931" s="6" t="s">
        <v>16180</v>
      </c>
      <c r="D3931" s="8" t="s">
        <v>17</v>
      </c>
      <c r="E3931" s="6" t="s">
        <v>23</v>
      </c>
      <c r="F3931" s="6" t="s">
        <v>31</v>
      </c>
      <c r="G3931" s="6" t="s">
        <v>16181</v>
      </c>
      <c r="H3931" s="10">
        <v>45708</v>
      </c>
      <c r="I3931" s="6" t="s">
        <v>16182</v>
      </c>
      <c r="J3931" s="6" t="s">
        <v>28</v>
      </c>
      <c r="K3931" s="6" t="s">
        <v>28</v>
      </c>
      <c r="L3931" s="6" t="s">
        <v>1000</v>
      </c>
      <c r="M3931" s="6" t="s">
        <v>16183</v>
      </c>
    </row>
    <row r="3932" spans="1:13" ht="13" x14ac:dyDescent="0.15">
      <c r="A3932" s="5" t="str">
        <f>HYPERLINK("https://onemount.atlassian.net/browse/DBA-707","DBA-707")</f>
        <v>DBA-707</v>
      </c>
      <c r="B3932" s="6" t="s">
        <v>21</v>
      </c>
      <c r="C3932" s="6" t="s">
        <v>16184</v>
      </c>
      <c r="D3932" s="8" t="s">
        <v>17</v>
      </c>
      <c r="E3932" s="6" t="s">
        <v>23</v>
      </c>
      <c r="F3932" s="6" t="s">
        <v>24</v>
      </c>
      <c r="G3932" s="6" t="s">
        <v>16185</v>
      </c>
      <c r="H3932" s="10">
        <v>45709</v>
      </c>
      <c r="I3932" s="6" t="s">
        <v>16186</v>
      </c>
      <c r="J3932" s="6" t="s">
        <v>28</v>
      </c>
      <c r="K3932" s="6" t="s">
        <v>28</v>
      </c>
      <c r="L3932" s="6" t="s">
        <v>1000</v>
      </c>
      <c r="M3932" s="6" t="s">
        <v>16187</v>
      </c>
    </row>
    <row r="3933" spans="1:13" ht="13" x14ac:dyDescent="0.15">
      <c r="A3933" s="5" t="str">
        <f>HYPERLINK("https://onemount.atlassian.net/browse/DBA-706","DBA-706")</f>
        <v>DBA-706</v>
      </c>
      <c r="B3933" s="6" t="s">
        <v>21</v>
      </c>
      <c r="C3933" s="6" t="s">
        <v>15405</v>
      </c>
      <c r="D3933" s="8" t="s">
        <v>17</v>
      </c>
      <c r="E3933" s="6" t="s">
        <v>23</v>
      </c>
      <c r="F3933" s="6" t="s">
        <v>31</v>
      </c>
      <c r="G3933" s="6" t="s">
        <v>16188</v>
      </c>
      <c r="H3933" s="10">
        <v>45708</v>
      </c>
      <c r="I3933" s="6" t="s">
        <v>16189</v>
      </c>
      <c r="J3933" s="6" t="s">
        <v>55</v>
      </c>
      <c r="K3933" s="6" t="s">
        <v>55</v>
      </c>
      <c r="L3933" s="6" t="s">
        <v>56</v>
      </c>
      <c r="M3933" s="6" t="s">
        <v>16190</v>
      </c>
    </row>
    <row r="3934" spans="1:13" ht="13" x14ac:dyDescent="0.15">
      <c r="A3934" s="5" t="str">
        <f>HYPERLINK("https://onemount.atlassian.net/browse/DBA-705","DBA-705")</f>
        <v>DBA-705</v>
      </c>
      <c r="B3934" s="6" t="s">
        <v>21</v>
      </c>
      <c r="C3934" s="6" t="s">
        <v>16191</v>
      </c>
      <c r="D3934" s="8" t="s">
        <v>17</v>
      </c>
      <c r="E3934" s="6" t="s">
        <v>23</v>
      </c>
      <c r="F3934" s="6" t="s">
        <v>24</v>
      </c>
      <c r="G3934" s="6" t="s">
        <v>16192</v>
      </c>
      <c r="H3934" s="10">
        <v>45667</v>
      </c>
      <c r="I3934" s="6" t="s">
        <v>16193</v>
      </c>
      <c r="J3934" s="6" t="s">
        <v>55</v>
      </c>
      <c r="K3934" s="6" t="s">
        <v>55</v>
      </c>
      <c r="L3934" s="6" t="s">
        <v>906</v>
      </c>
      <c r="M3934" s="6" t="s">
        <v>16194</v>
      </c>
    </row>
    <row r="3935" spans="1:13" ht="13" x14ac:dyDescent="0.15">
      <c r="A3935" s="5" t="str">
        <f>HYPERLINK("https://onemount.atlassian.net/browse/DBA-704","DBA-704")</f>
        <v>DBA-704</v>
      </c>
      <c r="B3935" s="6" t="s">
        <v>21</v>
      </c>
      <c r="C3935" s="6" t="s">
        <v>16195</v>
      </c>
      <c r="D3935" s="8" t="s">
        <v>17</v>
      </c>
      <c r="E3935" s="6" t="s">
        <v>23</v>
      </c>
      <c r="F3935" s="6" t="s">
        <v>24</v>
      </c>
      <c r="G3935" s="6" t="s">
        <v>16196</v>
      </c>
      <c r="H3935" s="10">
        <v>45664</v>
      </c>
      <c r="I3935" s="6" t="s">
        <v>16197</v>
      </c>
      <c r="J3935" s="6" t="s">
        <v>55</v>
      </c>
      <c r="K3935" s="6" t="s">
        <v>55</v>
      </c>
      <c r="L3935" s="6" t="s">
        <v>36</v>
      </c>
      <c r="M3935" s="6" t="s">
        <v>16198</v>
      </c>
    </row>
    <row r="3936" spans="1:13" ht="13" x14ac:dyDescent="0.15">
      <c r="A3936" s="5" t="str">
        <f>HYPERLINK("https://onemount.atlassian.net/browse/DBA-703","DBA-703")</f>
        <v>DBA-703</v>
      </c>
      <c r="B3936" s="6" t="s">
        <v>21</v>
      </c>
      <c r="C3936" s="6" t="s">
        <v>16199</v>
      </c>
      <c r="D3936" s="8" t="s">
        <v>17</v>
      </c>
      <c r="E3936" s="6" t="s">
        <v>23</v>
      </c>
      <c r="F3936" s="6" t="s">
        <v>24</v>
      </c>
      <c r="G3936" s="6" t="s">
        <v>16200</v>
      </c>
      <c r="H3936" s="10">
        <v>45663</v>
      </c>
      <c r="I3936" s="6" t="s">
        <v>16201</v>
      </c>
      <c r="J3936" s="6" t="s">
        <v>55</v>
      </c>
      <c r="K3936" s="6" t="s">
        <v>55</v>
      </c>
      <c r="L3936" s="6" t="s">
        <v>906</v>
      </c>
      <c r="M3936" s="6" t="s">
        <v>16202</v>
      </c>
    </row>
    <row r="3937" spans="1:13" ht="13" x14ac:dyDescent="0.15">
      <c r="A3937" s="5" t="str">
        <f>HYPERLINK("https://onemount.atlassian.net/browse/DBA-702","DBA-702")</f>
        <v>DBA-702</v>
      </c>
      <c r="B3937" s="6" t="s">
        <v>21</v>
      </c>
      <c r="C3937" s="6" t="s">
        <v>16203</v>
      </c>
      <c r="D3937" s="8" t="s">
        <v>17</v>
      </c>
      <c r="E3937" s="6" t="s">
        <v>23</v>
      </c>
      <c r="F3937" s="6" t="s">
        <v>24</v>
      </c>
      <c r="G3937" s="6" t="s">
        <v>16204</v>
      </c>
      <c r="H3937" s="10">
        <v>45708</v>
      </c>
      <c r="I3937" s="6" t="s">
        <v>16205</v>
      </c>
      <c r="J3937" s="6" t="s">
        <v>165</v>
      </c>
      <c r="K3937" s="6" t="s">
        <v>165</v>
      </c>
      <c r="L3937" s="6" t="s">
        <v>39</v>
      </c>
      <c r="M3937" s="6" t="s">
        <v>16206</v>
      </c>
    </row>
    <row r="3938" spans="1:13" ht="13" x14ac:dyDescent="0.15">
      <c r="A3938" s="21" t="str">
        <f>HYPERLINK("https://onemount.atlassian.net/browse/DBA-701","DBA-701")</f>
        <v>DBA-701</v>
      </c>
      <c r="B3938" s="6" t="s">
        <v>21</v>
      </c>
      <c r="C3938" s="6" t="s">
        <v>16152</v>
      </c>
      <c r="D3938" s="8" t="s">
        <v>17</v>
      </c>
      <c r="E3938" s="6" t="s">
        <v>23</v>
      </c>
      <c r="F3938" s="6" t="s">
        <v>31</v>
      </c>
      <c r="G3938" s="6" t="s">
        <v>16207</v>
      </c>
      <c r="H3938" s="10">
        <v>45708</v>
      </c>
      <c r="I3938" s="6" t="s">
        <v>16208</v>
      </c>
      <c r="J3938" s="6" t="s">
        <v>55</v>
      </c>
      <c r="K3938" s="6" t="s">
        <v>55</v>
      </c>
      <c r="L3938" s="6" t="s">
        <v>56</v>
      </c>
      <c r="M3938" s="6" t="s">
        <v>16155</v>
      </c>
    </row>
    <row r="3939" spans="1:13" ht="13" x14ac:dyDescent="0.15">
      <c r="A3939" s="5" t="str">
        <f>HYPERLINK("https://onemount.atlassian.net/browse/DBA-700","DBA-700")</f>
        <v>DBA-700</v>
      </c>
      <c r="B3939" s="6" t="s">
        <v>21</v>
      </c>
      <c r="C3939" s="6" t="s">
        <v>16209</v>
      </c>
      <c r="D3939" s="8" t="s">
        <v>17</v>
      </c>
      <c r="E3939" s="6" t="s">
        <v>23</v>
      </c>
      <c r="F3939" s="6" t="s">
        <v>24</v>
      </c>
      <c r="G3939" s="6" t="s">
        <v>16210</v>
      </c>
      <c r="H3939" s="10">
        <v>45663</v>
      </c>
      <c r="I3939" s="6" t="s">
        <v>16211</v>
      </c>
      <c r="J3939" s="6" t="s">
        <v>165</v>
      </c>
      <c r="K3939" s="6" t="s">
        <v>165</v>
      </c>
      <c r="L3939" s="6" t="s">
        <v>632</v>
      </c>
      <c r="M3939" s="6" t="s">
        <v>16212</v>
      </c>
    </row>
    <row r="3940" spans="1:13" ht="13" x14ac:dyDescent="0.15">
      <c r="A3940" s="5" t="str">
        <f>HYPERLINK("https://onemount.atlassian.net/browse/DBA-699","DBA-699")</f>
        <v>DBA-699</v>
      </c>
      <c r="B3940" s="6" t="s">
        <v>21</v>
      </c>
      <c r="C3940" s="6" t="s">
        <v>16213</v>
      </c>
      <c r="D3940" s="8" t="s">
        <v>17</v>
      </c>
      <c r="E3940" s="6" t="s">
        <v>23</v>
      </c>
      <c r="F3940" s="6" t="s">
        <v>24</v>
      </c>
      <c r="G3940" s="6" t="s">
        <v>16214</v>
      </c>
      <c r="H3940" s="10">
        <v>45661</v>
      </c>
      <c r="I3940" s="6" t="s">
        <v>16215</v>
      </c>
      <c r="J3940" s="6" t="s">
        <v>55</v>
      </c>
      <c r="K3940" s="6" t="s">
        <v>55</v>
      </c>
      <c r="L3940" s="6" t="s">
        <v>56</v>
      </c>
      <c r="M3940" s="6" t="s">
        <v>16216</v>
      </c>
    </row>
    <row r="3941" spans="1:13" ht="13" x14ac:dyDescent="0.15">
      <c r="A3941" s="5" t="str">
        <f>HYPERLINK("https://onemount.atlassian.net/browse/DBA-698","DBA-698")</f>
        <v>DBA-698</v>
      </c>
      <c r="B3941" s="6" t="s">
        <v>21</v>
      </c>
      <c r="C3941" s="6" t="s">
        <v>16217</v>
      </c>
      <c r="D3941" s="8" t="s">
        <v>17</v>
      </c>
      <c r="E3941" s="6" t="s">
        <v>23</v>
      </c>
      <c r="F3941" s="6" t="s">
        <v>31</v>
      </c>
      <c r="G3941" s="6" t="s">
        <v>16218</v>
      </c>
      <c r="H3941" s="10">
        <v>45707</v>
      </c>
      <c r="I3941" s="6" t="s">
        <v>16219</v>
      </c>
      <c r="J3941" s="6" t="s">
        <v>13942</v>
      </c>
      <c r="K3941" s="6" t="s">
        <v>35</v>
      </c>
      <c r="L3941" s="6" t="s">
        <v>638</v>
      </c>
      <c r="M3941" s="6" t="s">
        <v>16220</v>
      </c>
    </row>
    <row r="3942" spans="1:13" ht="13" x14ac:dyDescent="0.15">
      <c r="A3942" s="5" t="str">
        <f>HYPERLINK("https://onemount.atlassian.net/browse/DBA-697","DBA-697")</f>
        <v>DBA-697</v>
      </c>
      <c r="B3942" s="6" t="s">
        <v>21</v>
      </c>
      <c r="C3942" s="6" t="s">
        <v>16221</v>
      </c>
      <c r="D3942" s="8" t="s">
        <v>17</v>
      </c>
      <c r="E3942" s="6" t="s">
        <v>23</v>
      </c>
      <c r="F3942" s="6" t="s">
        <v>24</v>
      </c>
      <c r="G3942" s="6" t="s">
        <v>16222</v>
      </c>
      <c r="H3942" s="10">
        <v>45660</v>
      </c>
      <c r="I3942" s="6" t="s">
        <v>16223</v>
      </c>
      <c r="J3942" s="6" t="s">
        <v>55</v>
      </c>
      <c r="K3942" s="6" t="s">
        <v>55</v>
      </c>
      <c r="L3942" s="6" t="s">
        <v>283</v>
      </c>
      <c r="M3942" s="6" t="s">
        <v>16224</v>
      </c>
    </row>
    <row r="3943" spans="1:13" ht="13" x14ac:dyDescent="0.15">
      <c r="A3943" s="5" t="str">
        <f>HYPERLINK("https://onemount.atlassian.net/browse/DBA-696","DBA-696")</f>
        <v>DBA-696</v>
      </c>
      <c r="B3943" s="6" t="s">
        <v>21</v>
      </c>
      <c r="C3943" s="6" t="s">
        <v>16225</v>
      </c>
      <c r="D3943" s="8" t="s">
        <v>17</v>
      </c>
      <c r="E3943" s="6" t="s">
        <v>23</v>
      </c>
      <c r="F3943" s="6" t="s">
        <v>24</v>
      </c>
      <c r="G3943" s="6" t="s">
        <v>16226</v>
      </c>
      <c r="H3943" s="10">
        <v>45660</v>
      </c>
      <c r="I3943" s="6" t="s">
        <v>16227</v>
      </c>
      <c r="J3943" s="6" t="s">
        <v>55</v>
      </c>
      <c r="K3943" s="6" t="s">
        <v>55</v>
      </c>
      <c r="L3943" s="6" t="s">
        <v>906</v>
      </c>
      <c r="M3943" s="6" t="s">
        <v>16228</v>
      </c>
    </row>
    <row r="3944" spans="1:13" ht="13" x14ac:dyDescent="0.15">
      <c r="A3944" s="5" t="str">
        <f>HYPERLINK("https://onemount.atlassian.net/browse/DBA-695","DBA-695")</f>
        <v>DBA-695</v>
      </c>
      <c r="B3944" s="6" t="s">
        <v>21</v>
      </c>
      <c r="C3944" s="6" t="s">
        <v>16225</v>
      </c>
      <c r="D3944" s="8" t="s">
        <v>17</v>
      </c>
      <c r="E3944" s="6" t="s">
        <v>23</v>
      </c>
      <c r="F3944" s="6" t="s">
        <v>24</v>
      </c>
      <c r="G3944" s="6" t="s">
        <v>16229</v>
      </c>
      <c r="H3944" s="10">
        <v>45660</v>
      </c>
      <c r="I3944" s="6" t="s">
        <v>16230</v>
      </c>
      <c r="J3944" s="6" t="s">
        <v>55</v>
      </c>
      <c r="K3944" s="6" t="s">
        <v>55</v>
      </c>
      <c r="L3944" s="6" t="s">
        <v>906</v>
      </c>
      <c r="M3944" s="6" t="s">
        <v>16231</v>
      </c>
    </row>
    <row r="3945" spans="1:13" ht="13" x14ac:dyDescent="0.15">
      <c r="A3945" s="5" t="str">
        <f>HYPERLINK("https://onemount.atlassian.net/browse/DBA-694","DBA-694")</f>
        <v>DBA-694</v>
      </c>
      <c r="B3945" s="6" t="s">
        <v>21</v>
      </c>
      <c r="C3945" s="6" t="s">
        <v>16232</v>
      </c>
      <c r="D3945" s="8" t="s">
        <v>17</v>
      </c>
      <c r="E3945" s="6" t="s">
        <v>23</v>
      </c>
      <c r="F3945" s="6" t="s">
        <v>24</v>
      </c>
      <c r="G3945" s="6" t="s">
        <v>16233</v>
      </c>
      <c r="H3945" s="10">
        <v>45661</v>
      </c>
      <c r="I3945" s="6" t="s">
        <v>16234</v>
      </c>
      <c r="J3945" s="6" t="s">
        <v>55</v>
      </c>
      <c r="K3945" s="6" t="s">
        <v>55</v>
      </c>
      <c r="L3945" s="6" t="s">
        <v>906</v>
      </c>
      <c r="M3945" s="6" t="s">
        <v>16235</v>
      </c>
    </row>
    <row r="3946" spans="1:13" ht="13" x14ac:dyDescent="0.15">
      <c r="A3946" s="5" t="str">
        <f>HYPERLINK("https://onemount.atlassian.net/browse/DBA-693","DBA-693")</f>
        <v>DBA-693</v>
      </c>
      <c r="B3946" s="6" t="s">
        <v>21</v>
      </c>
      <c r="C3946" s="6" t="s">
        <v>16236</v>
      </c>
      <c r="D3946" s="8" t="s">
        <v>17</v>
      </c>
      <c r="E3946" s="6" t="s">
        <v>23</v>
      </c>
      <c r="F3946" s="6" t="s">
        <v>24</v>
      </c>
      <c r="G3946" s="6" t="s">
        <v>16237</v>
      </c>
      <c r="H3946" s="10">
        <v>45660</v>
      </c>
      <c r="I3946" s="6" t="s">
        <v>16238</v>
      </c>
      <c r="J3946" s="6" t="s">
        <v>55</v>
      </c>
      <c r="K3946" s="6" t="s">
        <v>55</v>
      </c>
      <c r="L3946" s="6" t="s">
        <v>36</v>
      </c>
      <c r="M3946" s="6" t="s">
        <v>16239</v>
      </c>
    </row>
    <row r="3947" spans="1:13" ht="13" x14ac:dyDescent="0.15">
      <c r="A3947" s="5" t="str">
        <f>HYPERLINK("https://onemount.atlassian.net/browse/DBA-692","DBA-692")</f>
        <v>DBA-692</v>
      </c>
      <c r="B3947" s="6" t="s">
        <v>21</v>
      </c>
      <c r="C3947" s="6" t="s">
        <v>16025</v>
      </c>
      <c r="D3947" s="8" t="s">
        <v>17</v>
      </c>
      <c r="E3947" s="6" t="s">
        <v>23</v>
      </c>
      <c r="F3947" s="6" t="s">
        <v>24</v>
      </c>
      <c r="G3947" s="6" t="s">
        <v>16240</v>
      </c>
      <c r="H3947" s="10">
        <v>45663</v>
      </c>
      <c r="I3947" s="6" t="s">
        <v>16241</v>
      </c>
      <c r="J3947" s="6" t="s">
        <v>55</v>
      </c>
      <c r="K3947" s="6" t="s">
        <v>55</v>
      </c>
      <c r="L3947" s="6" t="s">
        <v>906</v>
      </c>
      <c r="M3947" s="6" t="s">
        <v>16242</v>
      </c>
    </row>
    <row r="3948" spans="1:13" ht="13" x14ac:dyDescent="0.15">
      <c r="A3948" s="5" t="str">
        <f>HYPERLINK("https://onemount.atlassian.net/browse/DBA-691","DBA-691")</f>
        <v>DBA-691</v>
      </c>
      <c r="B3948" s="6" t="s">
        <v>21</v>
      </c>
      <c r="C3948" s="6" t="s">
        <v>16243</v>
      </c>
      <c r="D3948" s="8" t="s">
        <v>17</v>
      </c>
      <c r="E3948" s="6" t="s">
        <v>23</v>
      </c>
      <c r="F3948" s="6" t="s">
        <v>24</v>
      </c>
      <c r="G3948" s="6" t="s">
        <v>16244</v>
      </c>
      <c r="H3948" s="10">
        <v>45660</v>
      </c>
      <c r="I3948" s="6" t="s">
        <v>16245</v>
      </c>
      <c r="J3948" s="6" t="s">
        <v>55</v>
      </c>
      <c r="K3948" s="6" t="s">
        <v>55</v>
      </c>
      <c r="L3948" s="6" t="s">
        <v>56</v>
      </c>
      <c r="M3948" s="6" t="s">
        <v>16246</v>
      </c>
    </row>
    <row r="3949" spans="1:13" ht="13" x14ac:dyDescent="0.15">
      <c r="A3949" s="5" t="str">
        <f>HYPERLINK("https://onemount.atlassian.net/browse/DBA-690","DBA-690")</f>
        <v>DBA-690</v>
      </c>
      <c r="B3949" s="6" t="s">
        <v>21</v>
      </c>
      <c r="C3949" s="6" t="s">
        <v>16247</v>
      </c>
      <c r="D3949" s="8" t="s">
        <v>17</v>
      </c>
      <c r="E3949" s="6" t="s">
        <v>23</v>
      </c>
      <c r="F3949" s="6" t="s">
        <v>24</v>
      </c>
      <c r="G3949" s="6" t="s">
        <v>16248</v>
      </c>
      <c r="H3949" s="10">
        <v>45708</v>
      </c>
      <c r="I3949" s="6" t="s">
        <v>16249</v>
      </c>
      <c r="J3949" s="6" t="s">
        <v>46</v>
      </c>
      <c r="K3949" s="6" t="s">
        <v>46</v>
      </c>
      <c r="L3949" s="6" t="s">
        <v>151</v>
      </c>
      <c r="M3949" s="6" t="s">
        <v>16250</v>
      </c>
    </row>
    <row r="3950" spans="1:13" ht="13" x14ac:dyDescent="0.15">
      <c r="A3950" s="5" t="str">
        <f>HYPERLINK("https://onemount.atlassian.net/browse/DBA-689","DBA-689")</f>
        <v>DBA-689</v>
      </c>
      <c r="B3950" s="6" t="s">
        <v>21</v>
      </c>
      <c r="C3950" s="6" t="s">
        <v>16251</v>
      </c>
      <c r="D3950" s="8" t="s">
        <v>17</v>
      </c>
      <c r="E3950" s="6" t="s">
        <v>23</v>
      </c>
      <c r="F3950" s="6" t="s">
        <v>24</v>
      </c>
      <c r="G3950" s="6" t="s">
        <v>16252</v>
      </c>
      <c r="H3950" s="10">
        <v>45660</v>
      </c>
      <c r="I3950" s="6" t="s">
        <v>16253</v>
      </c>
      <c r="J3950" s="6" t="s">
        <v>55</v>
      </c>
      <c r="K3950" s="6" t="s">
        <v>55</v>
      </c>
      <c r="L3950" s="6" t="s">
        <v>36</v>
      </c>
      <c r="M3950" s="6" t="s">
        <v>16254</v>
      </c>
    </row>
    <row r="3951" spans="1:13" ht="13" x14ac:dyDescent="0.15">
      <c r="A3951" s="5" t="str">
        <f>HYPERLINK("https://onemount.atlassian.net/browse/DBA-688","DBA-688")</f>
        <v>DBA-688</v>
      </c>
      <c r="B3951" s="6" t="s">
        <v>21</v>
      </c>
      <c r="C3951" s="6" t="s">
        <v>16255</v>
      </c>
      <c r="D3951" s="8" t="s">
        <v>17</v>
      </c>
      <c r="E3951" s="6" t="s">
        <v>23</v>
      </c>
      <c r="F3951" s="6" t="s">
        <v>31</v>
      </c>
      <c r="G3951" s="6" t="s">
        <v>16256</v>
      </c>
      <c r="H3951" s="10">
        <v>45707</v>
      </c>
      <c r="I3951" s="6" t="s">
        <v>16257</v>
      </c>
      <c r="J3951" s="6" t="s">
        <v>28</v>
      </c>
      <c r="K3951" s="6" t="s">
        <v>28</v>
      </c>
      <c r="L3951" s="6" t="s">
        <v>1000</v>
      </c>
      <c r="M3951" s="6" t="s">
        <v>16258</v>
      </c>
    </row>
    <row r="3952" spans="1:13" ht="13" x14ac:dyDescent="0.15">
      <c r="A3952" s="5" t="str">
        <f>HYPERLINK("https://onemount.atlassian.net/browse/DBA-686","DBA-686")</f>
        <v>DBA-686</v>
      </c>
      <c r="B3952" s="6" t="s">
        <v>21</v>
      </c>
      <c r="C3952" s="6" t="s">
        <v>16259</v>
      </c>
      <c r="D3952" s="8" t="s">
        <v>17</v>
      </c>
      <c r="E3952" s="6" t="s">
        <v>23</v>
      </c>
      <c r="F3952" s="6" t="s">
        <v>96</v>
      </c>
      <c r="G3952" s="6" t="s">
        <v>16260</v>
      </c>
      <c r="H3952" s="10">
        <v>45710</v>
      </c>
      <c r="I3952" s="6" t="s">
        <v>16261</v>
      </c>
      <c r="J3952" s="6" t="s">
        <v>165</v>
      </c>
      <c r="K3952" s="6" t="s">
        <v>165</v>
      </c>
      <c r="L3952" s="6" t="s">
        <v>1097</v>
      </c>
      <c r="M3952" s="6" t="s">
        <v>16262</v>
      </c>
    </row>
    <row r="3953" spans="1:13" ht="13" x14ac:dyDescent="0.15">
      <c r="A3953" s="5" t="str">
        <f>HYPERLINK("https://onemount.atlassian.net/browse/DBA-684","DBA-684")</f>
        <v>DBA-684</v>
      </c>
      <c r="B3953" s="6" t="s">
        <v>21</v>
      </c>
      <c r="C3953" s="6" t="s">
        <v>15921</v>
      </c>
      <c r="D3953" s="8" t="s">
        <v>17</v>
      </c>
      <c r="E3953" s="6" t="s">
        <v>23</v>
      </c>
      <c r="F3953" s="6" t="s">
        <v>24</v>
      </c>
      <c r="G3953" s="6" t="s">
        <v>16263</v>
      </c>
      <c r="H3953" s="10">
        <v>45702</v>
      </c>
      <c r="I3953" s="6" t="s">
        <v>16264</v>
      </c>
      <c r="J3953" s="6" t="s">
        <v>55</v>
      </c>
      <c r="K3953" s="6" t="s">
        <v>55</v>
      </c>
      <c r="L3953" s="6" t="s">
        <v>906</v>
      </c>
      <c r="M3953" s="6" t="s">
        <v>16265</v>
      </c>
    </row>
    <row r="3954" spans="1:13" ht="13" x14ac:dyDescent="0.15">
      <c r="A3954" s="5" t="str">
        <f>HYPERLINK("https://onemount.atlassian.net/browse/DBA-679","DBA-679")</f>
        <v>DBA-679</v>
      </c>
      <c r="B3954" s="6" t="s">
        <v>21</v>
      </c>
      <c r="C3954" s="6" t="s">
        <v>16266</v>
      </c>
      <c r="D3954" s="8" t="s">
        <v>17</v>
      </c>
      <c r="E3954" s="6" t="s">
        <v>23</v>
      </c>
      <c r="F3954" s="6" t="s">
        <v>31</v>
      </c>
      <c r="G3954" s="6" t="s">
        <v>16267</v>
      </c>
      <c r="H3954" s="10">
        <v>45706</v>
      </c>
      <c r="I3954" s="6" t="s">
        <v>16268</v>
      </c>
      <c r="J3954" s="6" t="s">
        <v>14672</v>
      </c>
      <c r="K3954" s="6" t="s">
        <v>55</v>
      </c>
      <c r="L3954" s="6" t="s">
        <v>254</v>
      </c>
      <c r="M3954" s="6" t="s">
        <v>16269</v>
      </c>
    </row>
    <row r="3955" spans="1:13" ht="13" x14ac:dyDescent="0.15">
      <c r="A3955" s="21" t="str">
        <f>HYPERLINK("https://onemount.atlassian.net/browse/DBA-677","DBA-677")</f>
        <v>DBA-677</v>
      </c>
      <c r="B3955" s="6" t="s">
        <v>21</v>
      </c>
      <c r="C3955" s="6" t="s">
        <v>15127</v>
      </c>
      <c r="D3955" s="8" t="s">
        <v>17</v>
      </c>
      <c r="E3955" s="6" t="s">
        <v>23</v>
      </c>
      <c r="F3955" s="6" t="s">
        <v>24</v>
      </c>
      <c r="G3955" s="6" t="s">
        <v>16270</v>
      </c>
      <c r="H3955" s="10">
        <v>45706</v>
      </c>
      <c r="I3955" s="6" t="s">
        <v>16271</v>
      </c>
      <c r="J3955" s="6" t="s">
        <v>55</v>
      </c>
      <c r="K3955" s="6" t="s">
        <v>55</v>
      </c>
      <c r="L3955" s="6" t="s">
        <v>906</v>
      </c>
      <c r="M3955" s="6" t="s">
        <v>16272</v>
      </c>
    </row>
    <row r="3956" spans="1:13" ht="13" x14ac:dyDescent="0.15">
      <c r="A3956" s="5" t="str">
        <f>HYPERLINK("https://onemount.atlassian.net/browse/DBA-676","DBA-676")</f>
        <v>DBA-676</v>
      </c>
      <c r="B3956" s="6" t="s">
        <v>21</v>
      </c>
      <c r="C3956" s="6" t="s">
        <v>16273</v>
      </c>
      <c r="D3956" s="8" t="s">
        <v>17</v>
      </c>
      <c r="E3956" s="6" t="s">
        <v>23</v>
      </c>
      <c r="F3956" s="6" t="s">
        <v>31</v>
      </c>
      <c r="G3956" s="6" t="s">
        <v>16274</v>
      </c>
      <c r="H3956" s="10">
        <v>45707</v>
      </c>
      <c r="I3956" s="6" t="s">
        <v>16275</v>
      </c>
      <c r="J3956" s="6" t="s">
        <v>55</v>
      </c>
      <c r="K3956" s="6" t="s">
        <v>55</v>
      </c>
      <c r="L3956" s="6" t="s">
        <v>56</v>
      </c>
      <c r="M3956" s="6" t="s">
        <v>16276</v>
      </c>
    </row>
    <row r="3957" spans="1:13" ht="13" x14ac:dyDescent="0.15">
      <c r="A3957" s="5" t="str">
        <f>HYPERLINK("https://onemount.atlassian.net/browse/DBA-672","DBA-672")</f>
        <v>DBA-672</v>
      </c>
      <c r="B3957" s="6" t="s">
        <v>21</v>
      </c>
      <c r="C3957" s="6" t="s">
        <v>16277</v>
      </c>
      <c r="D3957" s="8" t="s">
        <v>17</v>
      </c>
      <c r="E3957" s="6" t="s">
        <v>23</v>
      </c>
      <c r="F3957" s="6" t="s">
        <v>96</v>
      </c>
      <c r="G3957" s="6" t="s">
        <v>16278</v>
      </c>
      <c r="H3957" s="10">
        <v>45716</v>
      </c>
      <c r="I3957" s="6" t="s">
        <v>16279</v>
      </c>
      <c r="J3957" s="6" t="s">
        <v>46</v>
      </c>
      <c r="K3957" s="6" t="s">
        <v>46</v>
      </c>
      <c r="L3957" s="6" t="s">
        <v>338</v>
      </c>
      <c r="M3957" s="6" t="s">
        <v>16280</v>
      </c>
    </row>
    <row r="3958" spans="1:13" ht="13" x14ac:dyDescent="0.15">
      <c r="A3958" s="5" t="str">
        <f>HYPERLINK("https://onemount.atlassian.net/browse/DBA-666","DBA-666")</f>
        <v>DBA-666</v>
      </c>
      <c r="B3958" s="6" t="s">
        <v>21</v>
      </c>
      <c r="C3958" s="6" t="s">
        <v>16281</v>
      </c>
      <c r="D3958" s="8" t="s">
        <v>17</v>
      </c>
      <c r="E3958" s="6" t="s">
        <v>23</v>
      </c>
      <c r="F3958" s="6" t="s">
        <v>96</v>
      </c>
      <c r="G3958" s="6" t="s">
        <v>16282</v>
      </c>
      <c r="H3958" s="10">
        <v>45707</v>
      </c>
      <c r="I3958" s="6" t="s">
        <v>16283</v>
      </c>
      <c r="J3958" s="6" t="s">
        <v>165</v>
      </c>
      <c r="K3958" s="6" t="s">
        <v>165</v>
      </c>
      <c r="L3958" s="6" t="s">
        <v>1097</v>
      </c>
      <c r="M3958" s="6" t="s">
        <v>16284</v>
      </c>
    </row>
    <row r="3959" spans="1:13" ht="13" x14ac:dyDescent="0.15">
      <c r="A3959" s="5" t="str">
        <f>HYPERLINK("https://onemount.atlassian.net/browse/DBA-665","DBA-665")</f>
        <v>DBA-665</v>
      </c>
      <c r="B3959" s="6" t="s">
        <v>21</v>
      </c>
      <c r="C3959" s="6" t="s">
        <v>15127</v>
      </c>
      <c r="D3959" s="8" t="s">
        <v>17</v>
      </c>
      <c r="E3959" s="6" t="s">
        <v>23</v>
      </c>
      <c r="F3959" s="6" t="s">
        <v>24</v>
      </c>
      <c r="G3959" s="6" t="s">
        <v>16285</v>
      </c>
      <c r="H3959" s="10">
        <v>45706</v>
      </c>
      <c r="I3959" s="6" t="s">
        <v>16286</v>
      </c>
      <c r="J3959" s="6" t="s">
        <v>55</v>
      </c>
      <c r="K3959" s="6" t="s">
        <v>55</v>
      </c>
      <c r="L3959" s="6" t="s">
        <v>906</v>
      </c>
      <c r="M3959" s="6" t="s">
        <v>16287</v>
      </c>
    </row>
    <row r="3960" spans="1:13" ht="13" x14ac:dyDescent="0.15">
      <c r="A3960" s="5" t="str">
        <f>HYPERLINK("https://onemount.atlassian.net/browse/DBA-664","DBA-664")</f>
        <v>DBA-664</v>
      </c>
      <c r="B3960" s="6" t="s">
        <v>21</v>
      </c>
      <c r="C3960" s="6" t="s">
        <v>16288</v>
      </c>
      <c r="D3960" s="8" t="s">
        <v>17</v>
      </c>
      <c r="E3960" s="6" t="s">
        <v>23</v>
      </c>
      <c r="F3960" s="6" t="s">
        <v>24</v>
      </c>
      <c r="G3960" s="6" t="s">
        <v>16289</v>
      </c>
      <c r="H3960" s="10">
        <v>45706</v>
      </c>
      <c r="I3960" s="6" t="s">
        <v>16290</v>
      </c>
      <c r="J3960" s="6" t="s">
        <v>55</v>
      </c>
      <c r="K3960" s="6" t="s">
        <v>55</v>
      </c>
      <c r="L3960" s="6" t="s">
        <v>39</v>
      </c>
      <c r="M3960" s="6" t="s">
        <v>16291</v>
      </c>
    </row>
    <row r="3961" spans="1:13" ht="13" x14ac:dyDescent="0.15">
      <c r="A3961" s="5" t="str">
        <f>HYPERLINK("https://onemount.atlassian.net/browse/DBA-663","DBA-663")</f>
        <v>DBA-663</v>
      </c>
      <c r="B3961" s="6" t="s">
        <v>21</v>
      </c>
      <c r="C3961" s="6" t="s">
        <v>16292</v>
      </c>
      <c r="D3961" s="8" t="s">
        <v>17</v>
      </c>
      <c r="E3961" s="6" t="s">
        <v>23</v>
      </c>
      <c r="F3961" s="6" t="s">
        <v>31</v>
      </c>
      <c r="G3961" s="6" t="s">
        <v>16293</v>
      </c>
      <c r="H3961" s="10">
        <v>45707</v>
      </c>
      <c r="I3961" s="6" t="s">
        <v>16294</v>
      </c>
      <c r="J3961" s="6" t="s">
        <v>55</v>
      </c>
      <c r="K3961" s="6" t="s">
        <v>35</v>
      </c>
      <c r="L3961" s="6" t="s">
        <v>962</v>
      </c>
      <c r="M3961" s="6" t="s">
        <v>16295</v>
      </c>
    </row>
    <row r="3962" spans="1:13" ht="13" x14ac:dyDescent="0.15">
      <c r="A3962" s="5" t="str">
        <f>HYPERLINK("https://onemount.atlassian.net/browse/DBA-662","DBA-662")</f>
        <v>DBA-662</v>
      </c>
      <c r="B3962" s="6" t="s">
        <v>21</v>
      </c>
      <c r="C3962" s="6" t="s">
        <v>15405</v>
      </c>
      <c r="D3962" s="8" t="s">
        <v>17</v>
      </c>
      <c r="E3962" s="6" t="s">
        <v>23</v>
      </c>
      <c r="F3962" s="6" t="s">
        <v>31</v>
      </c>
      <c r="G3962" s="6" t="s">
        <v>16296</v>
      </c>
      <c r="H3962" s="10">
        <v>45707</v>
      </c>
      <c r="I3962" s="6" t="s">
        <v>16297</v>
      </c>
      <c r="J3962" s="6" t="s">
        <v>55</v>
      </c>
      <c r="K3962" s="6" t="s">
        <v>55</v>
      </c>
      <c r="L3962" s="6" t="s">
        <v>56</v>
      </c>
      <c r="M3962" s="6" t="s">
        <v>16298</v>
      </c>
    </row>
    <row r="3963" spans="1:13" ht="13" x14ac:dyDescent="0.15">
      <c r="A3963" s="5" t="str">
        <f>HYPERLINK("https://onemount.atlassian.net/browse/DBA-661","DBA-661")</f>
        <v>DBA-661</v>
      </c>
      <c r="B3963" s="6" t="s">
        <v>21</v>
      </c>
      <c r="C3963" s="6" t="s">
        <v>16299</v>
      </c>
      <c r="D3963" s="8" t="s">
        <v>17</v>
      </c>
      <c r="E3963" s="6" t="s">
        <v>23</v>
      </c>
      <c r="F3963" s="6" t="s">
        <v>31</v>
      </c>
      <c r="G3963" s="6" t="s">
        <v>16300</v>
      </c>
      <c r="H3963" s="10">
        <v>45706</v>
      </c>
      <c r="I3963" s="6" t="s">
        <v>16301</v>
      </c>
      <c r="J3963" s="6" t="s">
        <v>28</v>
      </c>
      <c r="K3963" s="6" t="s">
        <v>28</v>
      </c>
      <c r="L3963" s="6" t="s">
        <v>1000</v>
      </c>
      <c r="M3963" s="6" t="s">
        <v>16302</v>
      </c>
    </row>
    <row r="3964" spans="1:13" ht="13" x14ac:dyDescent="0.15">
      <c r="A3964" s="5" t="str">
        <f>HYPERLINK("https://onemount.atlassian.net/browse/DBA-652","DBA-652")</f>
        <v>DBA-652</v>
      </c>
      <c r="B3964" s="6" t="s">
        <v>21</v>
      </c>
      <c r="C3964" s="6" t="s">
        <v>16217</v>
      </c>
      <c r="D3964" s="8" t="s">
        <v>17</v>
      </c>
      <c r="E3964" s="6" t="s">
        <v>23</v>
      </c>
      <c r="F3964" s="6" t="s">
        <v>31</v>
      </c>
      <c r="G3964" s="6" t="s">
        <v>16303</v>
      </c>
      <c r="H3964" s="10">
        <v>45705</v>
      </c>
      <c r="I3964" s="6" t="s">
        <v>16304</v>
      </c>
      <c r="J3964" s="6" t="s">
        <v>55</v>
      </c>
      <c r="K3964" s="6" t="s">
        <v>35</v>
      </c>
      <c r="L3964" s="6" t="s">
        <v>638</v>
      </c>
      <c r="M3964" s="6" t="s">
        <v>16305</v>
      </c>
    </row>
    <row r="3965" spans="1:13" ht="13" x14ac:dyDescent="0.15">
      <c r="A3965" s="5" t="str">
        <f>HYPERLINK("https://onemount.atlassian.net/browse/DBA-651","DBA-651")</f>
        <v>DBA-651</v>
      </c>
      <c r="B3965" s="23" t="str">
        <f t="shared" ref="B3965:B3966" si="65">HYPERLINK("https://onemount.atlassian.net/browse/DBA-482","DBA-482")</f>
        <v>DBA-482</v>
      </c>
      <c r="C3965" s="6" t="s">
        <v>16306</v>
      </c>
      <c r="D3965" s="8" t="s">
        <v>17</v>
      </c>
      <c r="E3965" s="6" t="s">
        <v>428</v>
      </c>
      <c r="F3965" s="6" t="s">
        <v>24</v>
      </c>
      <c r="G3965" s="6" t="s">
        <v>16307</v>
      </c>
      <c r="H3965" s="10">
        <v>45721</v>
      </c>
      <c r="I3965" s="6" t="s">
        <v>16308</v>
      </c>
      <c r="J3965" s="6" t="s">
        <v>55</v>
      </c>
      <c r="K3965" s="6" t="s">
        <v>55</v>
      </c>
      <c r="L3965" s="6" t="s">
        <v>949</v>
      </c>
      <c r="M3965" s="6" t="s">
        <v>16309</v>
      </c>
    </row>
    <row r="3966" spans="1:13" ht="13" x14ac:dyDescent="0.15">
      <c r="A3966" s="5" t="str">
        <f>HYPERLINK("https://onemount.atlassian.net/browse/DBA-650","DBA-650")</f>
        <v>DBA-650</v>
      </c>
      <c r="B3966" s="23" t="str">
        <f t="shared" si="65"/>
        <v>DBA-482</v>
      </c>
      <c r="C3966" s="6" t="s">
        <v>16310</v>
      </c>
      <c r="D3966" s="8" t="s">
        <v>17</v>
      </c>
      <c r="E3966" s="6" t="s">
        <v>428</v>
      </c>
      <c r="F3966" s="6" t="s">
        <v>24</v>
      </c>
      <c r="G3966" s="6" t="s">
        <v>16311</v>
      </c>
      <c r="H3966" s="10">
        <v>45707</v>
      </c>
      <c r="I3966" s="6" t="s">
        <v>16312</v>
      </c>
      <c r="J3966" s="6" t="s">
        <v>55</v>
      </c>
      <c r="K3966" s="6" t="s">
        <v>55</v>
      </c>
      <c r="L3966" s="6" t="s">
        <v>56</v>
      </c>
      <c r="M3966" s="6" t="s">
        <v>16313</v>
      </c>
    </row>
    <row r="3967" spans="1:13" ht="13" x14ac:dyDescent="0.15">
      <c r="A3967" s="5" t="str">
        <f>HYPERLINK("https://onemount.atlassian.net/browse/DBA-649","DBA-649")</f>
        <v>DBA-649</v>
      </c>
      <c r="B3967" s="23" t="str">
        <f>HYPERLINK("https://onemount.atlassian.net/browse/DBA-480","DBA-480")</f>
        <v>DBA-480</v>
      </c>
      <c r="C3967" s="6" t="s">
        <v>16314</v>
      </c>
      <c r="D3967" s="8" t="s">
        <v>17</v>
      </c>
      <c r="E3967" s="6" t="s">
        <v>23</v>
      </c>
      <c r="F3967" s="6" t="s">
        <v>31</v>
      </c>
      <c r="G3967" s="6" t="s">
        <v>16315</v>
      </c>
      <c r="H3967" s="10">
        <v>45711</v>
      </c>
      <c r="I3967" s="6" t="s">
        <v>16316</v>
      </c>
      <c r="J3967" s="6" t="s">
        <v>46</v>
      </c>
      <c r="K3967" s="6" t="s">
        <v>46</v>
      </c>
      <c r="L3967" s="6" t="s">
        <v>39</v>
      </c>
      <c r="M3967" s="6" t="s">
        <v>16317</v>
      </c>
    </row>
    <row r="3968" spans="1:13" ht="13" x14ac:dyDescent="0.15">
      <c r="A3968" s="5" t="str">
        <f>HYPERLINK("https://onemount.atlassian.net/browse/DBA-648","DBA-648")</f>
        <v>DBA-648</v>
      </c>
      <c r="B3968" s="23" t="str">
        <f t="shared" ref="B3968:B3970" si="66">HYPERLINK("https://onemount.atlassian.net/browse/DBA-483","DBA-483")</f>
        <v>DBA-483</v>
      </c>
      <c r="C3968" s="6" t="s">
        <v>16318</v>
      </c>
      <c r="D3968" s="8" t="s">
        <v>17</v>
      </c>
      <c r="E3968" s="6" t="s">
        <v>428</v>
      </c>
      <c r="F3968" s="6" t="s">
        <v>24</v>
      </c>
      <c r="G3968" s="6" t="s">
        <v>16319</v>
      </c>
      <c r="H3968" s="10">
        <v>45716</v>
      </c>
      <c r="I3968" s="6" t="s">
        <v>16320</v>
      </c>
      <c r="J3968" s="6" t="s">
        <v>55</v>
      </c>
      <c r="K3968" s="6" t="s">
        <v>55</v>
      </c>
      <c r="L3968" s="6" t="s">
        <v>56</v>
      </c>
      <c r="M3968" s="6" t="s">
        <v>16321</v>
      </c>
    </row>
    <row r="3969" spans="1:13" ht="13" x14ac:dyDescent="0.15">
      <c r="A3969" s="5" t="str">
        <f>HYPERLINK("https://onemount.atlassian.net/browse/DBA-647","DBA-647")</f>
        <v>DBA-647</v>
      </c>
      <c r="B3969" s="23" t="str">
        <f t="shared" si="66"/>
        <v>DBA-483</v>
      </c>
      <c r="C3969" s="6" t="s">
        <v>16322</v>
      </c>
      <c r="D3969" s="8" t="s">
        <v>17</v>
      </c>
      <c r="E3969" s="6" t="s">
        <v>428</v>
      </c>
      <c r="F3969" s="6" t="s">
        <v>24</v>
      </c>
      <c r="G3969" s="6" t="s">
        <v>16323</v>
      </c>
      <c r="H3969" s="10">
        <v>45706</v>
      </c>
      <c r="I3969" s="6" t="s">
        <v>16324</v>
      </c>
      <c r="J3969" s="6" t="s">
        <v>55</v>
      </c>
      <c r="K3969" s="6" t="s">
        <v>55</v>
      </c>
      <c r="L3969" s="6" t="s">
        <v>56</v>
      </c>
      <c r="M3969" s="6" t="s">
        <v>16325</v>
      </c>
    </row>
    <row r="3970" spans="1:13" ht="13" x14ac:dyDescent="0.15">
      <c r="A3970" s="5" t="str">
        <f>HYPERLINK("https://onemount.atlassian.net/browse/DBA-646","DBA-646")</f>
        <v>DBA-646</v>
      </c>
      <c r="B3970" s="23" t="str">
        <f t="shared" si="66"/>
        <v>DBA-483</v>
      </c>
      <c r="C3970" s="6" t="s">
        <v>16326</v>
      </c>
      <c r="D3970" s="8" t="s">
        <v>17</v>
      </c>
      <c r="E3970" s="6" t="s">
        <v>428</v>
      </c>
      <c r="F3970" s="6" t="s">
        <v>24</v>
      </c>
      <c r="G3970" s="6" t="s">
        <v>16327</v>
      </c>
      <c r="H3970" s="10">
        <v>45706</v>
      </c>
      <c r="I3970" s="6" t="s">
        <v>16328</v>
      </c>
      <c r="J3970" s="6" t="s">
        <v>55</v>
      </c>
      <c r="K3970" s="6" t="s">
        <v>55</v>
      </c>
      <c r="L3970" s="6" t="s">
        <v>56</v>
      </c>
      <c r="M3970" s="6" t="s">
        <v>16329</v>
      </c>
    </row>
    <row r="3971" spans="1:13" ht="13" x14ac:dyDescent="0.15">
      <c r="A3971" s="5" t="str">
        <f>HYPERLINK("https://onemount.atlassian.net/browse/DBA-645","DBA-645")</f>
        <v>DBA-645</v>
      </c>
      <c r="B3971" s="6" t="s">
        <v>21</v>
      </c>
      <c r="C3971" s="6" t="s">
        <v>16330</v>
      </c>
      <c r="D3971" s="8" t="s">
        <v>17</v>
      </c>
      <c r="E3971" s="6" t="s">
        <v>23</v>
      </c>
      <c r="F3971" s="6" t="s">
        <v>31</v>
      </c>
      <c r="G3971" s="6" t="s">
        <v>16331</v>
      </c>
      <c r="H3971" s="10">
        <v>45706</v>
      </c>
      <c r="I3971" s="6" t="s">
        <v>16332</v>
      </c>
      <c r="J3971" s="6" t="s">
        <v>55</v>
      </c>
      <c r="K3971" s="6" t="s">
        <v>35</v>
      </c>
      <c r="L3971" s="6" t="s">
        <v>962</v>
      </c>
      <c r="M3971" s="6" t="s">
        <v>16333</v>
      </c>
    </row>
    <row r="3972" spans="1:13" ht="13" x14ac:dyDescent="0.15">
      <c r="A3972" s="21" t="str">
        <f>HYPERLINK("https://onemount.atlassian.net/browse/DBA-641","DBA-641")</f>
        <v>DBA-641</v>
      </c>
      <c r="B3972" s="6" t="s">
        <v>21</v>
      </c>
      <c r="C3972" s="6" t="s">
        <v>16334</v>
      </c>
      <c r="D3972" s="8" t="s">
        <v>17</v>
      </c>
      <c r="E3972" s="6" t="s">
        <v>23</v>
      </c>
      <c r="F3972" s="6" t="s">
        <v>31</v>
      </c>
      <c r="G3972" s="6" t="s">
        <v>16335</v>
      </c>
      <c r="H3972" s="10">
        <v>45706</v>
      </c>
      <c r="I3972" s="6" t="s">
        <v>16336</v>
      </c>
      <c r="J3972" s="6" t="s">
        <v>55</v>
      </c>
      <c r="K3972" s="6" t="s">
        <v>55</v>
      </c>
      <c r="L3972" s="6" t="s">
        <v>254</v>
      </c>
      <c r="M3972" s="6" t="s">
        <v>16337</v>
      </c>
    </row>
    <row r="3973" spans="1:13" ht="13" x14ac:dyDescent="0.15">
      <c r="A3973" s="5" t="str">
        <f>HYPERLINK("https://onemount.atlassian.net/browse/DBA-640","DBA-640")</f>
        <v>DBA-640</v>
      </c>
      <c r="B3973" s="6" t="s">
        <v>21</v>
      </c>
      <c r="C3973" s="6" t="s">
        <v>16338</v>
      </c>
      <c r="D3973" s="8" t="s">
        <v>17</v>
      </c>
      <c r="E3973" s="6" t="s">
        <v>23</v>
      </c>
      <c r="F3973" s="6" t="s">
        <v>31</v>
      </c>
      <c r="G3973" s="6" t="s">
        <v>16339</v>
      </c>
      <c r="H3973" s="10">
        <v>45706</v>
      </c>
      <c r="I3973" s="6" t="s">
        <v>16340</v>
      </c>
      <c r="J3973" s="6" t="s">
        <v>55</v>
      </c>
      <c r="K3973" s="6" t="s">
        <v>55</v>
      </c>
      <c r="L3973" s="6" t="s">
        <v>56</v>
      </c>
      <c r="M3973" s="6" t="s">
        <v>16341</v>
      </c>
    </row>
    <row r="3974" spans="1:13" ht="13" x14ac:dyDescent="0.15">
      <c r="A3974" s="5" t="str">
        <f>HYPERLINK("https://onemount.atlassian.net/browse/DBA-639","DBA-639")</f>
        <v>DBA-639</v>
      </c>
      <c r="B3974" s="6" t="s">
        <v>21</v>
      </c>
      <c r="C3974" s="6" t="s">
        <v>16342</v>
      </c>
      <c r="D3974" s="8" t="s">
        <v>17</v>
      </c>
      <c r="E3974" s="6" t="s">
        <v>23</v>
      </c>
      <c r="F3974" s="6" t="s">
        <v>31</v>
      </c>
      <c r="G3974" s="6" t="s">
        <v>16343</v>
      </c>
      <c r="H3974" s="10">
        <v>45706</v>
      </c>
      <c r="I3974" s="6" t="s">
        <v>16344</v>
      </c>
      <c r="J3974" s="6" t="s">
        <v>55</v>
      </c>
      <c r="K3974" s="6" t="s">
        <v>35</v>
      </c>
      <c r="L3974" s="6" t="s">
        <v>638</v>
      </c>
      <c r="M3974" s="6" t="s">
        <v>16345</v>
      </c>
    </row>
    <row r="3975" spans="1:13" ht="13" x14ac:dyDescent="0.15">
      <c r="A3975" s="5" t="str">
        <f>HYPERLINK("https://onemount.atlassian.net/browse/DBA-638","DBA-638")</f>
        <v>DBA-638</v>
      </c>
      <c r="B3975" s="6" t="s">
        <v>21</v>
      </c>
      <c r="C3975" s="6" t="s">
        <v>16346</v>
      </c>
      <c r="D3975" s="8" t="s">
        <v>17</v>
      </c>
      <c r="E3975" s="6" t="s">
        <v>23</v>
      </c>
      <c r="F3975" s="6" t="s">
        <v>31</v>
      </c>
      <c r="G3975" s="6" t="s">
        <v>16347</v>
      </c>
      <c r="H3975" s="10">
        <v>45706</v>
      </c>
      <c r="I3975" s="6" t="s">
        <v>16348</v>
      </c>
      <c r="J3975" s="6" t="s">
        <v>55</v>
      </c>
      <c r="K3975" s="6" t="s">
        <v>35</v>
      </c>
      <c r="L3975" s="6" t="s">
        <v>638</v>
      </c>
      <c r="M3975" s="6" t="s">
        <v>16349</v>
      </c>
    </row>
    <row r="3976" spans="1:13" ht="13" x14ac:dyDescent="0.15">
      <c r="A3976" s="5" t="str">
        <f>HYPERLINK("https://onemount.atlassian.net/browse/DBA-637","DBA-637")</f>
        <v>DBA-637</v>
      </c>
      <c r="B3976" s="6" t="s">
        <v>21</v>
      </c>
      <c r="C3976" s="6" t="s">
        <v>16350</v>
      </c>
      <c r="D3976" s="8" t="s">
        <v>17</v>
      </c>
      <c r="E3976" s="6" t="s">
        <v>23</v>
      </c>
      <c r="F3976" s="6" t="s">
        <v>31</v>
      </c>
      <c r="G3976" s="6" t="s">
        <v>16351</v>
      </c>
      <c r="H3976" s="10">
        <v>45706</v>
      </c>
      <c r="I3976" s="6" t="s">
        <v>16352</v>
      </c>
      <c r="J3976" s="6" t="s">
        <v>55</v>
      </c>
      <c r="K3976" s="6" t="s">
        <v>55</v>
      </c>
      <c r="L3976" s="6" t="s">
        <v>56</v>
      </c>
      <c r="M3976" s="6" t="s">
        <v>16353</v>
      </c>
    </row>
    <row r="3977" spans="1:13" ht="13" x14ac:dyDescent="0.15">
      <c r="A3977" s="5" t="str">
        <f>HYPERLINK("https://onemount.atlassian.net/browse/DBA-636","DBA-636")</f>
        <v>DBA-636</v>
      </c>
      <c r="B3977" s="6" t="s">
        <v>21</v>
      </c>
      <c r="C3977" s="6" t="s">
        <v>16354</v>
      </c>
      <c r="D3977" s="8" t="s">
        <v>17</v>
      </c>
      <c r="E3977" s="6" t="s">
        <v>23</v>
      </c>
      <c r="F3977" s="6" t="s">
        <v>31</v>
      </c>
      <c r="G3977" s="6" t="s">
        <v>16355</v>
      </c>
      <c r="H3977" s="10">
        <v>45706</v>
      </c>
      <c r="I3977" s="6" t="s">
        <v>16356</v>
      </c>
      <c r="J3977" s="6" t="s">
        <v>55</v>
      </c>
      <c r="K3977" s="6" t="s">
        <v>35</v>
      </c>
      <c r="L3977" s="6" t="s">
        <v>707</v>
      </c>
      <c r="M3977" s="6" t="s">
        <v>16357</v>
      </c>
    </row>
    <row r="3978" spans="1:13" ht="13" x14ac:dyDescent="0.15">
      <c r="A3978" s="5" t="str">
        <f>HYPERLINK("https://onemount.atlassian.net/browse/DBA-635","DBA-635")</f>
        <v>DBA-635</v>
      </c>
      <c r="B3978" s="6" t="s">
        <v>21</v>
      </c>
      <c r="C3978" s="6" t="s">
        <v>16358</v>
      </c>
      <c r="D3978" s="8" t="s">
        <v>17</v>
      </c>
      <c r="E3978" s="6" t="s">
        <v>23</v>
      </c>
      <c r="F3978" s="6" t="s">
        <v>31</v>
      </c>
      <c r="G3978" s="6" t="s">
        <v>16359</v>
      </c>
      <c r="H3978" s="10">
        <v>45706</v>
      </c>
      <c r="I3978" s="6" t="s">
        <v>16360</v>
      </c>
      <c r="J3978" s="6" t="s">
        <v>55</v>
      </c>
      <c r="K3978" s="6" t="s">
        <v>35</v>
      </c>
      <c r="L3978" s="6" t="s">
        <v>49</v>
      </c>
      <c r="M3978" s="6" t="s">
        <v>16361</v>
      </c>
    </row>
    <row r="3979" spans="1:13" ht="13" x14ac:dyDescent="0.15">
      <c r="A3979" s="5" t="str">
        <f>HYPERLINK("https://onemount.atlassian.net/browse/DBA-634","DBA-634")</f>
        <v>DBA-634</v>
      </c>
      <c r="B3979" s="6" t="s">
        <v>21</v>
      </c>
      <c r="C3979" s="6" t="s">
        <v>15316</v>
      </c>
      <c r="D3979" s="8" t="s">
        <v>17</v>
      </c>
      <c r="E3979" s="6" t="s">
        <v>23</v>
      </c>
      <c r="F3979" s="6" t="s">
        <v>31</v>
      </c>
      <c r="G3979" s="6" t="s">
        <v>16362</v>
      </c>
      <c r="H3979" s="10">
        <v>45706</v>
      </c>
      <c r="I3979" s="6" t="s">
        <v>16363</v>
      </c>
      <c r="J3979" s="6" t="s">
        <v>55</v>
      </c>
      <c r="K3979" s="6" t="s">
        <v>55</v>
      </c>
      <c r="L3979" s="6" t="s">
        <v>328</v>
      </c>
      <c r="M3979" s="6" t="s">
        <v>16364</v>
      </c>
    </row>
    <row r="3980" spans="1:13" ht="13" x14ac:dyDescent="0.15">
      <c r="A3980" s="5" t="str">
        <f>HYPERLINK("https://onemount.atlassian.net/browse/DBA-633","DBA-633")</f>
        <v>DBA-633</v>
      </c>
      <c r="B3980" s="6" t="s">
        <v>21</v>
      </c>
      <c r="C3980" s="6" t="s">
        <v>16217</v>
      </c>
      <c r="D3980" s="8" t="s">
        <v>17</v>
      </c>
      <c r="E3980" s="6" t="s">
        <v>23</v>
      </c>
      <c r="F3980" s="6" t="s">
        <v>31</v>
      </c>
      <c r="G3980" s="6" t="s">
        <v>16365</v>
      </c>
      <c r="H3980" s="10">
        <v>45706</v>
      </c>
      <c r="I3980" s="6" t="s">
        <v>16366</v>
      </c>
      <c r="J3980" s="6" t="s">
        <v>55</v>
      </c>
      <c r="K3980" s="6" t="s">
        <v>35</v>
      </c>
      <c r="L3980" s="6" t="s">
        <v>962</v>
      </c>
      <c r="M3980" s="6" t="s">
        <v>16367</v>
      </c>
    </row>
    <row r="3981" spans="1:13" ht="13" x14ac:dyDescent="0.15">
      <c r="A3981" s="5" t="str">
        <f>HYPERLINK("https://onemount.atlassian.net/browse/DBA-632","DBA-632")</f>
        <v>DBA-632</v>
      </c>
      <c r="B3981" s="6" t="s">
        <v>21</v>
      </c>
      <c r="C3981" s="6" t="s">
        <v>16217</v>
      </c>
      <c r="D3981" s="8" t="s">
        <v>17</v>
      </c>
      <c r="E3981" s="6" t="s">
        <v>23</v>
      </c>
      <c r="F3981" s="6" t="s">
        <v>31</v>
      </c>
      <c r="G3981" s="6" t="s">
        <v>16368</v>
      </c>
      <c r="H3981" s="10">
        <v>45706</v>
      </c>
      <c r="I3981" s="6" t="s">
        <v>16369</v>
      </c>
      <c r="J3981" s="6" t="s">
        <v>55</v>
      </c>
      <c r="K3981" s="6" t="s">
        <v>35</v>
      </c>
      <c r="L3981" s="6" t="s">
        <v>49</v>
      </c>
      <c r="M3981" s="6" t="s">
        <v>16370</v>
      </c>
    </row>
    <row r="3982" spans="1:13" ht="13" x14ac:dyDescent="0.15">
      <c r="A3982" s="5" t="str">
        <f>HYPERLINK("https://onemount.atlassian.net/browse/DBA-631","DBA-631")</f>
        <v>DBA-631</v>
      </c>
      <c r="B3982" s="6" t="s">
        <v>21</v>
      </c>
      <c r="C3982" s="6" t="s">
        <v>16371</v>
      </c>
      <c r="D3982" s="8" t="s">
        <v>17</v>
      </c>
      <c r="E3982" s="6" t="s">
        <v>23</v>
      </c>
      <c r="F3982" s="6" t="s">
        <v>31</v>
      </c>
      <c r="G3982" s="6" t="s">
        <v>16372</v>
      </c>
      <c r="H3982" s="10">
        <v>45706</v>
      </c>
      <c r="I3982" s="6" t="s">
        <v>16373</v>
      </c>
      <c r="J3982" s="6" t="s">
        <v>55</v>
      </c>
      <c r="K3982" s="6" t="s">
        <v>55</v>
      </c>
      <c r="L3982" s="6" t="s">
        <v>328</v>
      </c>
      <c r="M3982" s="6" t="s">
        <v>16374</v>
      </c>
    </row>
    <row r="3983" spans="1:13" ht="13" x14ac:dyDescent="0.15">
      <c r="A3983" s="5" t="str">
        <f>HYPERLINK("https://onemount.atlassian.net/browse/DBA-630","DBA-630")</f>
        <v>DBA-630</v>
      </c>
      <c r="B3983" s="6" t="s">
        <v>21</v>
      </c>
      <c r="C3983" s="6" t="s">
        <v>16375</v>
      </c>
      <c r="D3983" s="8" t="s">
        <v>17</v>
      </c>
      <c r="E3983" s="6" t="s">
        <v>23</v>
      </c>
      <c r="F3983" s="6" t="s">
        <v>31</v>
      </c>
      <c r="G3983" s="6" t="s">
        <v>16376</v>
      </c>
      <c r="H3983" s="10">
        <v>45706</v>
      </c>
      <c r="I3983" s="6" t="s">
        <v>16377</v>
      </c>
      <c r="J3983" s="6" t="s">
        <v>55</v>
      </c>
      <c r="K3983" s="6" t="s">
        <v>35</v>
      </c>
      <c r="L3983" s="6" t="s">
        <v>49</v>
      </c>
      <c r="M3983" s="6" t="s">
        <v>16378</v>
      </c>
    </row>
    <row r="3984" spans="1:13" ht="13" x14ac:dyDescent="0.15">
      <c r="A3984" s="5" t="str">
        <f>HYPERLINK("https://onemount.atlassian.net/browse/DBA-629","DBA-629")</f>
        <v>DBA-629</v>
      </c>
      <c r="B3984" s="6" t="s">
        <v>21</v>
      </c>
      <c r="C3984" s="6" t="s">
        <v>16379</v>
      </c>
      <c r="D3984" s="8" t="s">
        <v>17</v>
      </c>
      <c r="E3984" s="6" t="s">
        <v>23</v>
      </c>
      <c r="F3984" s="6" t="s">
        <v>31</v>
      </c>
      <c r="G3984" s="6" t="s">
        <v>16380</v>
      </c>
      <c r="H3984" s="10">
        <v>45706</v>
      </c>
      <c r="I3984" s="6" t="s">
        <v>16381</v>
      </c>
      <c r="J3984" s="6" t="s">
        <v>55</v>
      </c>
      <c r="K3984" s="6" t="s">
        <v>35</v>
      </c>
      <c r="L3984" s="6" t="s">
        <v>49</v>
      </c>
      <c r="M3984" s="6" t="s">
        <v>16382</v>
      </c>
    </row>
    <row r="3985" spans="1:13" ht="13" x14ac:dyDescent="0.15">
      <c r="A3985" s="5" t="str">
        <f>HYPERLINK("https://onemount.atlassian.net/browse/DBA-628","DBA-628")</f>
        <v>DBA-628</v>
      </c>
      <c r="B3985" s="6" t="s">
        <v>21</v>
      </c>
      <c r="C3985" s="6" t="s">
        <v>16217</v>
      </c>
      <c r="D3985" s="8" t="s">
        <v>17</v>
      </c>
      <c r="E3985" s="6" t="s">
        <v>23</v>
      </c>
      <c r="F3985" s="6" t="s">
        <v>31</v>
      </c>
      <c r="G3985" s="6" t="s">
        <v>16383</v>
      </c>
      <c r="H3985" s="10">
        <v>45706</v>
      </c>
      <c r="I3985" s="6" t="s">
        <v>16384</v>
      </c>
      <c r="J3985" s="6" t="s">
        <v>55</v>
      </c>
      <c r="K3985" s="6" t="s">
        <v>35</v>
      </c>
      <c r="L3985" s="6" t="s">
        <v>49</v>
      </c>
      <c r="M3985" s="6" t="s">
        <v>16385</v>
      </c>
    </row>
    <row r="3986" spans="1:13" ht="13" x14ac:dyDescent="0.15">
      <c r="A3986" s="5" t="str">
        <f>HYPERLINK("https://onemount.atlassian.net/browse/DBA-627","DBA-627")</f>
        <v>DBA-627</v>
      </c>
      <c r="B3986" s="6" t="s">
        <v>21</v>
      </c>
      <c r="C3986" s="6" t="s">
        <v>16386</v>
      </c>
      <c r="D3986" s="8" t="s">
        <v>17</v>
      </c>
      <c r="E3986" s="6" t="s">
        <v>23</v>
      </c>
      <c r="F3986" s="6" t="s">
        <v>31</v>
      </c>
      <c r="G3986" s="6" t="s">
        <v>16387</v>
      </c>
      <c r="H3986" s="10">
        <v>45706</v>
      </c>
      <c r="I3986" s="6" t="s">
        <v>16388</v>
      </c>
      <c r="J3986" s="6" t="s">
        <v>55</v>
      </c>
      <c r="K3986" s="6" t="s">
        <v>55</v>
      </c>
      <c r="L3986" s="6" t="s">
        <v>56</v>
      </c>
      <c r="M3986" s="6" t="s">
        <v>16389</v>
      </c>
    </row>
    <row r="3987" spans="1:13" ht="13" x14ac:dyDescent="0.15">
      <c r="A3987" s="5" t="str">
        <f>HYPERLINK("https://onemount.atlassian.net/browse/DBA-626","DBA-626")</f>
        <v>DBA-626</v>
      </c>
      <c r="B3987" s="6" t="s">
        <v>21</v>
      </c>
      <c r="C3987" s="6" t="s">
        <v>16334</v>
      </c>
      <c r="D3987" s="8" t="s">
        <v>17</v>
      </c>
      <c r="E3987" s="6" t="s">
        <v>23</v>
      </c>
      <c r="F3987" s="6" t="s">
        <v>31</v>
      </c>
      <c r="G3987" s="6" t="s">
        <v>16390</v>
      </c>
      <c r="H3987" s="10">
        <v>45706</v>
      </c>
      <c r="I3987" s="6" t="s">
        <v>16391</v>
      </c>
      <c r="J3987" s="6" t="s">
        <v>55</v>
      </c>
      <c r="K3987" s="6" t="s">
        <v>55</v>
      </c>
      <c r="L3987" s="6" t="s">
        <v>254</v>
      </c>
      <c r="M3987" s="6" t="s">
        <v>16392</v>
      </c>
    </row>
    <row r="3988" spans="1:13" ht="13" x14ac:dyDescent="0.15">
      <c r="A3988" s="5" t="str">
        <f>HYPERLINK("https://onemount.atlassian.net/browse/DBA-625","DBA-625")</f>
        <v>DBA-625</v>
      </c>
      <c r="B3988" s="6" t="s">
        <v>21</v>
      </c>
      <c r="C3988" s="6" t="s">
        <v>16393</v>
      </c>
      <c r="D3988" s="8" t="s">
        <v>17</v>
      </c>
      <c r="E3988" s="6" t="s">
        <v>23</v>
      </c>
      <c r="F3988" s="6" t="s">
        <v>31</v>
      </c>
      <c r="G3988" s="6" t="s">
        <v>16394</v>
      </c>
      <c r="H3988" s="10">
        <v>45706</v>
      </c>
      <c r="I3988" s="6" t="s">
        <v>16395</v>
      </c>
      <c r="J3988" s="6" t="s">
        <v>28</v>
      </c>
      <c r="K3988" s="6" t="s">
        <v>28</v>
      </c>
      <c r="L3988" s="6" t="s">
        <v>1000</v>
      </c>
      <c r="M3988" s="6" t="s">
        <v>16396</v>
      </c>
    </row>
    <row r="3989" spans="1:13" ht="13" x14ac:dyDescent="0.15">
      <c r="A3989" s="5" t="str">
        <f>HYPERLINK("https://onemount.atlassian.net/browse/DBA-624","DBA-624")</f>
        <v>DBA-624</v>
      </c>
      <c r="B3989" s="6" t="s">
        <v>21</v>
      </c>
      <c r="C3989" s="6" t="s">
        <v>15736</v>
      </c>
      <c r="D3989" s="8" t="s">
        <v>17</v>
      </c>
      <c r="E3989" s="6" t="s">
        <v>23</v>
      </c>
      <c r="F3989" s="6" t="s">
        <v>31</v>
      </c>
      <c r="G3989" s="6" t="s">
        <v>16397</v>
      </c>
      <c r="H3989" s="10">
        <v>45706</v>
      </c>
      <c r="I3989" s="6" t="s">
        <v>16398</v>
      </c>
      <c r="J3989" s="6" t="s">
        <v>55</v>
      </c>
      <c r="K3989" s="6" t="s">
        <v>28</v>
      </c>
      <c r="L3989" s="6" t="s">
        <v>1123</v>
      </c>
      <c r="M3989" s="6" t="s">
        <v>16399</v>
      </c>
    </row>
    <row r="3990" spans="1:13" ht="13" x14ac:dyDescent="0.15">
      <c r="A3990" s="5" t="str">
        <f>HYPERLINK("https://onemount.atlassian.net/browse/DBA-623","DBA-623")</f>
        <v>DBA-623</v>
      </c>
      <c r="B3990" s="6" t="s">
        <v>21</v>
      </c>
      <c r="C3990" s="6" t="s">
        <v>16400</v>
      </c>
      <c r="D3990" s="8" t="s">
        <v>17</v>
      </c>
      <c r="E3990" s="6" t="s">
        <v>23</v>
      </c>
      <c r="F3990" s="6" t="s">
        <v>31</v>
      </c>
      <c r="G3990" s="6" t="s">
        <v>16401</v>
      </c>
      <c r="H3990" s="10">
        <v>45706</v>
      </c>
      <c r="I3990" s="6" t="s">
        <v>16402</v>
      </c>
      <c r="J3990" s="6" t="s">
        <v>55</v>
      </c>
      <c r="K3990" s="6" t="s">
        <v>55</v>
      </c>
      <c r="L3990" s="6" t="s">
        <v>254</v>
      </c>
      <c r="M3990" s="6" t="s">
        <v>16403</v>
      </c>
    </row>
    <row r="3991" spans="1:13" ht="13" x14ac:dyDescent="0.15">
      <c r="A3991" s="5" t="str">
        <f>HYPERLINK("https://onemount.atlassian.net/browse/DBA-622","DBA-622")</f>
        <v>DBA-622</v>
      </c>
      <c r="B3991" s="6" t="s">
        <v>21</v>
      </c>
      <c r="C3991" s="6" t="s">
        <v>16404</v>
      </c>
      <c r="D3991" s="8" t="s">
        <v>17</v>
      </c>
      <c r="E3991" s="6" t="s">
        <v>23</v>
      </c>
      <c r="F3991" s="6" t="s">
        <v>31</v>
      </c>
      <c r="G3991" s="6" t="s">
        <v>16405</v>
      </c>
      <c r="H3991" s="10">
        <v>45706</v>
      </c>
      <c r="I3991" s="6" t="s">
        <v>16406</v>
      </c>
      <c r="J3991" s="6" t="s">
        <v>55</v>
      </c>
      <c r="K3991" s="6" t="s">
        <v>55</v>
      </c>
      <c r="L3991" s="6" t="s">
        <v>962</v>
      </c>
      <c r="M3991" s="6" t="s">
        <v>16407</v>
      </c>
    </row>
    <row r="3992" spans="1:13" ht="13" x14ac:dyDescent="0.15">
      <c r="A3992" s="5" t="str">
        <f>HYPERLINK("https://onemount.atlassian.net/browse/DBA-621","DBA-621")</f>
        <v>DBA-621</v>
      </c>
      <c r="B3992" s="6" t="s">
        <v>21</v>
      </c>
      <c r="C3992" s="6" t="s">
        <v>16408</v>
      </c>
      <c r="D3992" s="8" t="s">
        <v>17</v>
      </c>
      <c r="E3992" s="6" t="s">
        <v>23</v>
      </c>
      <c r="F3992" s="6" t="s">
        <v>31</v>
      </c>
      <c r="G3992" s="6" t="s">
        <v>16409</v>
      </c>
      <c r="H3992" s="10">
        <v>45706</v>
      </c>
      <c r="I3992" s="6" t="s">
        <v>16410</v>
      </c>
      <c r="J3992" s="6" t="s">
        <v>55</v>
      </c>
      <c r="K3992" s="6" t="s">
        <v>55</v>
      </c>
      <c r="L3992" s="6" t="s">
        <v>56</v>
      </c>
      <c r="M3992" s="6" t="s">
        <v>16411</v>
      </c>
    </row>
    <row r="3993" spans="1:13" ht="13" x14ac:dyDescent="0.15">
      <c r="A3993" s="5" t="str">
        <f>HYPERLINK("https://onemount.atlassian.net/browse/DBA-620","DBA-620")</f>
        <v>DBA-620</v>
      </c>
      <c r="B3993" s="6" t="s">
        <v>21</v>
      </c>
      <c r="C3993" s="6" t="s">
        <v>16412</v>
      </c>
      <c r="D3993" s="8" t="s">
        <v>17</v>
      </c>
      <c r="E3993" s="6" t="s">
        <v>23</v>
      </c>
      <c r="F3993" s="6" t="s">
        <v>31</v>
      </c>
      <c r="G3993" s="6" t="s">
        <v>16413</v>
      </c>
      <c r="H3993" s="10">
        <v>45706</v>
      </c>
      <c r="I3993" s="6" t="s">
        <v>16414</v>
      </c>
      <c r="J3993" s="6" t="s">
        <v>55</v>
      </c>
      <c r="K3993" s="6" t="s">
        <v>55</v>
      </c>
      <c r="L3993" s="6" t="s">
        <v>56</v>
      </c>
      <c r="M3993" s="6" t="s">
        <v>16415</v>
      </c>
    </row>
    <row r="3994" spans="1:13" ht="13" x14ac:dyDescent="0.15">
      <c r="A3994" s="5" t="str">
        <f>HYPERLINK("https://onemount.atlassian.net/browse/DBA-619","DBA-619")</f>
        <v>DBA-619</v>
      </c>
      <c r="B3994" s="6" t="s">
        <v>21</v>
      </c>
      <c r="C3994" s="6" t="s">
        <v>16416</v>
      </c>
      <c r="D3994" s="8" t="s">
        <v>17</v>
      </c>
      <c r="E3994" s="6" t="s">
        <v>23</v>
      </c>
      <c r="F3994" s="6" t="s">
        <v>31</v>
      </c>
      <c r="G3994" s="6" t="s">
        <v>16417</v>
      </c>
      <c r="H3994" s="10">
        <v>45706</v>
      </c>
      <c r="I3994" s="6" t="s">
        <v>16418</v>
      </c>
      <c r="J3994" s="6" t="s">
        <v>55</v>
      </c>
      <c r="K3994" s="6" t="s">
        <v>55</v>
      </c>
      <c r="L3994" s="6" t="s">
        <v>56</v>
      </c>
      <c r="M3994" s="6" t="s">
        <v>16419</v>
      </c>
    </row>
    <row r="3995" spans="1:13" ht="13" x14ac:dyDescent="0.15">
      <c r="A3995" s="5" t="str">
        <f>HYPERLINK("https://onemount.atlassian.net/browse/DBA-618","DBA-618")</f>
        <v>DBA-618</v>
      </c>
      <c r="B3995" s="6" t="s">
        <v>21</v>
      </c>
      <c r="C3995" s="6" t="s">
        <v>16420</v>
      </c>
      <c r="D3995" s="8" t="s">
        <v>17</v>
      </c>
      <c r="E3995" s="6" t="s">
        <v>23</v>
      </c>
      <c r="F3995" s="6" t="s">
        <v>31</v>
      </c>
      <c r="G3995" s="6" t="s">
        <v>16421</v>
      </c>
      <c r="H3995" s="10">
        <v>45706</v>
      </c>
      <c r="I3995" s="6" t="s">
        <v>16422</v>
      </c>
      <c r="J3995" s="6" t="s">
        <v>55</v>
      </c>
      <c r="K3995" s="6" t="s">
        <v>55</v>
      </c>
      <c r="L3995" s="6" t="s">
        <v>56</v>
      </c>
      <c r="M3995" s="6" t="s">
        <v>16423</v>
      </c>
    </row>
    <row r="3996" spans="1:13" ht="13" x14ac:dyDescent="0.15">
      <c r="A3996" s="5" t="str">
        <f>HYPERLINK("https://onemount.atlassian.net/browse/DBA-616","DBA-616")</f>
        <v>DBA-616</v>
      </c>
      <c r="B3996" s="6" t="s">
        <v>21</v>
      </c>
      <c r="C3996" s="6" t="s">
        <v>16424</v>
      </c>
      <c r="D3996" s="8" t="s">
        <v>17</v>
      </c>
      <c r="E3996" s="6" t="s">
        <v>23</v>
      </c>
      <c r="F3996" s="6" t="s">
        <v>31</v>
      </c>
      <c r="G3996" s="6" t="s">
        <v>16425</v>
      </c>
      <c r="H3996" s="10">
        <v>45706</v>
      </c>
      <c r="I3996" s="6" t="s">
        <v>16426</v>
      </c>
      <c r="J3996" s="6" t="s">
        <v>55</v>
      </c>
      <c r="K3996" s="6" t="s">
        <v>35</v>
      </c>
      <c r="L3996" s="6" t="s">
        <v>638</v>
      </c>
      <c r="M3996" s="6" t="s">
        <v>16427</v>
      </c>
    </row>
    <row r="3997" spans="1:13" ht="13" x14ac:dyDescent="0.15">
      <c r="A3997" s="5" t="str">
        <f>HYPERLINK("https://onemount.atlassian.net/browse/DBA-615","DBA-615")</f>
        <v>DBA-615</v>
      </c>
      <c r="B3997" s="6" t="s">
        <v>21</v>
      </c>
      <c r="C3997" s="6" t="s">
        <v>16217</v>
      </c>
      <c r="D3997" s="8" t="s">
        <v>17</v>
      </c>
      <c r="E3997" s="6" t="s">
        <v>23</v>
      </c>
      <c r="F3997" s="6" t="s">
        <v>31</v>
      </c>
      <c r="G3997" s="6" t="s">
        <v>16428</v>
      </c>
      <c r="H3997" s="10">
        <v>45706</v>
      </c>
      <c r="I3997" s="6" t="s">
        <v>16429</v>
      </c>
      <c r="J3997" s="6" t="s">
        <v>55</v>
      </c>
      <c r="K3997" s="6" t="s">
        <v>35</v>
      </c>
      <c r="L3997" s="6" t="s">
        <v>49</v>
      </c>
      <c r="M3997" s="6" t="s">
        <v>16430</v>
      </c>
    </row>
    <row r="3998" spans="1:13" ht="13" x14ac:dyDescent="0.15">
      <c r="A3998" s="5" t="str">
        <f>HYPERLINK("https://onemount.atlassian.net/browse/DBA-614","DBA-614")</f>
        <v>DBA-614</v>
      </c>
      <c r="B3998" s="6" t="s">
        <v>21</v>
      </c>
      <c r="C3998" s="6" t="s">
        <v>16431</v>
      </c>
      <c r="D3998" s="8" t="s">
        <v>17</v>
      </c>
      <c r="E3998" s="6" t="s">
        <v>23</v>
      </c>
      <c r="F3998" s="6" t="s">
        <v>31</v>
      </c>
      <c r="G3998" s="6" t="s">
        <v>16432</v>
      </c>
      <c r="H3998" s="10">
        <v>45706</v>
      </c>
      <c r="I3998" s="6" t="s">
        <v>16433</v>
      </c>
      <c r="J3998" s="6" t="s">
        <v>55</v>
      </c>
      <c r="K3998" s="6" t="s">
        <v>35</v>
      </c>
      <c r="L3998" s="6" t="s">
        <v>49</v>
      </c>
      <c r="M3998" s="6" t="s">
        <v>16434</v>
      </c>
    </row>
    <row r="3999" spans="1:13" ht="13" x14ac:dyDescent="0.15">
      <c r="A3999" s="5" t="str">
        <f>HYPERLINK("https://onemount.atlassian.net/browse/DBA-613","DBA-613")</f>
        <v>DBA-613</v>
      </c>
      <c r="B3999" s="6" t="s">
        <v>21</v>
      </c>
      <c r="C3999" s="6" t="s">
        <v>16435</v>
      </c>
      <c r="D3999" s="8" t="s">
        <v>17</v>
      </c>
      <c r="E3999" s="6" t="s">
        <v>23</v>
      </c>
      <c r="F3999" s="6" t="s">
        <v>31</v>
      </c>
      <c r="G3999" s="6" t="s">
        <v>16436</v>
      </c>
      <c r="H3999" s="10">
        <v>45706</v>
      </c>
      <c r="I3999" s="6" t="s">
        <v>16437</v>
      </c>
      <c r="J3999" s="6" t="s">
        <v>55</v>
      </c>
      <c r="K3999" s="6" t="s">
        <v>55</v>
      </c>
      <c r="L3999" s="6" t="s">
        <v>254</v>
      </c>
      <c r="M3999" s="6" t="s">
        <v>16438</v>
      </c>
    </row>
    <row r="4000" spans="1:13" ht="13" x14ac:dyDescent="0.15">
      <c r="A4000" s="5" t="str">
        <f>HYPERLINK("https://onemount.atlassian.net/browse/DBA-612","DBA-612")</f>
        <v>DBA-612</v>
      </c>
      <c r="B4000" s="6" t="s">
        <v>21</v>
      </c>
      <c r="C4000" s="6" t="s">
        <v>16439</v>
      </c>
      <c r="D4000" s="8" t="s">
        <v>17</v>
      </c>
      <c r="E4000" s="6" t="s">
        <v>23</v>
      </c>
      <c r="F4000" s="6" t="s">
        <v>31</v>
      </c>
      <c r="G4000" s="6" t="s">
        <v>16440</v>
      </c>
      <c r="H4000" s="10">
        <v>45706</v>
      </c>
      <c r="I4000" s="6" t="s">
        <v>16441</v>
      </c>
      <c r="J4000" s="6" t="s">
        <v>55</v>
      </c>
      <c r="K4000" s="6" t="s">
        <v>55</v>
      </c>
      <c r="L4000" s="6" t="s">
        <v>56</v>
      </c>
      <c r="M4000" s="6" t="s">
        <v>16442</v>
      </c>
    </row>
    <row r="4001" spans="1:13" ht="13" x14ac:dyDescent="0.15">
      <c r="A4001" s="5" t="str">
        <f>HYPERLINK("https://onemount.atlassian.net/browse/DBA-611","DBA-611")</f>
        <v>DBA-611</v>
      </c>
      <c r="B4001" s="6" t="s">
        <v>21</v>
      </c>
      <c r="C4001" s="6" t="s">
        <v>16443</v>
      </c>
      <c r="D4001" s="8" t="s">
        <v>17</v>
      </c>
      <c r="E4001" s="6" t="s">
        <v>23</v>
      </c>
      <c r="F4001" s="6" t="s">
        <v>31</v>
      </c>
      <c r="G4001" s="6" t="s">
        <v>16444</v>
      </c>
      <c r="H4001" s="10">
        <v>45706</v>
      </c>
      <c r="I4001" s="6" t="s">
        <v>16445</v>
      </c>
      <c r="J4001" s="6" t="s">
        <v>28</v>
      </c>
      <c r="K4001" s="6" t="s">
        <v>28</v>
      </c>
      <c r="L4001" s="6" t="s">
        <v>1000</v>
      </c>
      <c r="M4001" s="6" t="s">
        <v>16446</v>
      </c>
    </row>
    <row r="4002" spans="1:13" ht="13" x14ac:dyDescent="0.15">
      <c r="A4002" s="5" t="str">
        <f>HYPERLINK("https://onemount.atlassian.net/browse/DBA-610","DBA-610")</f>
        <v>DBA-610</v>
      </c>
      <c r="B4002" s="6" t="s">
        <v>21</v>
      </c>
      <c r="C4002" s="6" t="s">
        <v>16447</v>
      </c>
      <c r="D4002" s="8" t="s">
        <v>17</v>
      </c>
      <c r="E4002" s="6" t="s">
        <v>23</v>
      </c>
      <c r="F4002" s="6" t="s">
        <v>31</v>
      </c>
      <c r="G4002" s="6" t="s">
        <v>16448</v>
      </c>
      <c r="H4002" s="10">
        <v>45706</v>
      </c>
      <c r="I4002" s="6" t="s">
        <v>16449</v>
      </c>
      <c r="J4002" s="6" t="s">
        <v>55</v>
      </c>
      <c r="K4002" s="6" t="s">
        <v>35</v>
      </c>
      <c r="L4002" s="6" t="s">
        <v>962</v>
      </c>
      <c r="M4002" s="6" t="s">
        <v>16450</v>
      </c>
    </row>
    <row r="4003" spans="1:13" ht="13" x14ac:dyDescent="0.15">
      <c r="A4003" s="5" t="str">
        <f>HYPERLINK("https://onemount.atlassian.net/browse/DBA-609","DBA-609")</f>
        <v>DBA-609</v>
      </c>
      <c r="B4003" s="6" t="s">
        <v>21</v>
      </c>
      <c r="C4003" s="6" t="s">
        <v>16451</v>
      </c>
      <c r="D4003" s="8" t="s">
        <v>17</v>
      </c>
      <c r="E4003" s="6" t="s">
        <v>23</v>
      </c>
      <c r="F4003" s="6" t="s">
        <v>31</v>
      </c>
      <c r="G4003" s="6" t="s">
        <v>16452</v>
      </c>
      <c r="H4003" s="10">
        <v>45706</v>
      </c>
      <c r="I4003" s="6" t="s">
        <v>16453</v>
      </c>
      <c r="J4003" s="6" t="s">
        <v>28</v>
      </c>
      <c r="K4003" s="6" t="s">
        <v>28</v>
      </c>
      <c r="L4003" s="6" t="s">
        <v>1000</v>
      </c>
      <c r="M4003" s="6" t="s">
        <v>16454</v>
      </c>
    </row>
    <row r="4004" spans="1:13" ht="13" x14ac:dyDescent="0.15">
      <c r="A4004" s="5" t="str">
        <f>HYPERLINK("https://onemount.atlassian.net/browse/DBA-608","DBA-608")</f>
        <v>DBA-608</v>
      </c>
      <c r="B4004" s="6" t="s">
        <v>21</v>
      </c>
      <c r="C4004" s="6" t="s">
        <v>16455</v>
      </c>
      <c r="D4004" s="8" t="s">
        <v>17</v>
      </c>
      <c r="E4004" s="6" t="s">
        <v>23</v>
      </c>
      <c r="F4004" s="6" t="s">
        <v>31</v>
      </c>
      <c r="G4004" s="6" t="s">
        <v>16456</v>
      </c>
      <c r="H4004" s="10">
        <v>45706</v>
      </c>
      <c r="I4004" s="6" t="s">
        <v>16457</v>
      </c>
      <c r="J4004" s="6" t="s">
        <v>28</v>
      </c>
      <c r="K4004" s="6" t="s">
        <v>28</v>
      </c>
      <c r="L4004" s="6" t="s">
        <v>1000</v>
      </c>
      <c r="M4004" s="6" t="s">
        <v>16458</v>
      </c>
    </row>
    <row r="4005" spans="1:13" ht="13" x14ac:dyDescent="0.15">
      <c r="A4005" s="5" t="str">
        <f>HYPERLINK("https://onemount.atlassian.net/browse/DBA-607","DBA-607")</f>
        <v>DBA-607</v>
      </c>
      <c r="B4005" s="6" t="s">
        <v>21</v>
      </c>
      <c r="C4005" s="6" t="s">
        <v>16459</v>
      </c>
      <c r="D4005" s="8" t="s">
        <v>17</v>
      </c>
      <c r="E4005" s="6" t="s">
        <v>23</v>
      </c>
      <c r="F4005" s="6" t="s">
        <v>31</v>
      </c>
      <c r="G4005" s="6" t="s">
        <v>16460</v>
      </c>
      <c r="H4005" s="10">
        <v>45706</v>
      </c>
      <c r="I4005" s="6" t="s">
        <v>16461</v>
      </c>
      <c r="J4005" s="6" t="s">
        <v>28</v>
      </c>
      <c r="K4005" s="6" t="s">
        <v>28</v>
      </c>
      <c r="L4005" s="6" t="s">
        <v>1000</v>
      </c>
      <c r="M4005" s="6" t="s">
        <v>16462</v>
      </c>
    </row>
    <row r="4006" spans="1:13" ht="13" x14ac:dyDescent="0.15">
      <c r="A4006" s="5" t="str">
        <f>HYPERLINK("https://onemount.atlassian.net/browse/DBA-606","DBA-606")</f>
        <v>DBA-606</v>
      </c>
      <c r="B4006" s="6" t="s">
        <v>21</v>
      </c>
      <c r="C4006" s="6" t="s">
        <v>15592</v>
      </c>
      <c r="D4006" s="8" t="s">
        <v>17</v>
      </c>
      <c r="E4006" s="6" t="s">
        <v>23</v>
      </c>
      <c r="F4006" s="6" t="s">
        <v>31</v>
      </c>
      <c r="G4006" s="6" t="s">
        <v>16463</v>
      </c>
      <c r="H4006" s="10">
        <v>45706</v>
      </c>
      <c r="I4006" s="6" t="s">
        <v>16464</v>
      </c>
      <c r="J4006" s="6" t="s">
        <v>55</v>
      </c>
      <c r="K4006" s="6" t="s">
        <v>55</v>
      </c>
      <c r="L4006" s="6" t="s">
        <v>254</v>
      </c>
      <c r="M4006" s="6" t="s">
        <v>16465</v>
      </c>
    </row>
    <row r="4007" spans="1:13" ht="13" x14ac:dyDescent="0.15">
      <c r="A4007" s="5" t="str">
        <f>HYPERLINK("https://onemount.atlassian.net/browse/DBA-605","DBA-605")</f>
        <v>DBA-605</v>
      </c>
      <c r="B4007" s="6" t="s">
        <v>21</v>
      </c>
      <c r="C4007" s="6" t="s">
        <v>16217</v>
      </c>
      <c r="D4007" s="8" t="s">
        <v>17</v>
      </c>
      <c r="E4007" s="6" t="s">
        <v>23</v>
      </c>
      <c r="F4007" s="6" t="s">
        <v>31</v>
      </c>
      <c r="G4007" s="6" t="s">
        <v>16466</v>
      </c>
      <c r="H4007" s="10">
        <v>45706</v>
      </c>
      <c r="I4007" s="6" t="s">
        <v>16467</v>
      </c>
      <c r="J4007" s="6" t="s">
        <v>55</v>
      </c>
      <c r="K4007" s="6" t="s">
        <v>35</v>
      </c>
      <c r="L4007" s="6" t="s">
        <v>638</v>
      </c>
      <c r="M4007" s="6" t="s">
        <v>16468</v>
      </c>
    </row>
    <row r="4008" spans="1:13" ht="13" x14ac:dyDescent="0.15">
      <c r="A4008" s="5" t="str">
        <f>HYPERLINK("https://onemount.atlassian.net/browse/DBA-604","DBA-604")</f>
        <v>DBA-604</v>
      </c>
      <c r="B4008" s="6" t="s">
        <v>21</v>
      </c>
      <c r="C4008" s="6" t="s">
        <v>16424</v>
      </c>
      <c r="D4008" s="8" t="s">
        <v>17</v>
      </c>
      <c r="E4008" s="6" t="s">
        <v>23</v>
      </c>
      <c r="F4008" s="6" t="s">
        <v>31</v>
      </c>
      <c r="G4008" s="6" t="s">
        <v>16469</v>
      </c>
      <c r="H4008" s="10">
        <v>45706</v>
      </c>
      <c r="I4008" s="6" t="s">
        <v>16470</v>
      </c>
      <c r="J4008" s="6" t="s">
        <v>55</v>
      </c>
      <c r="K4008" s="6" t="s">
        <v>35</v>
      </c>
      <c r="L4008" s="6" t="s">
        <v>49</v>
      </c>
      <c r="M4008" s="6" t="s">
        <v>16471</v>
      </c>
    </row>
    <row r="4009" spans="1:13" ht="13" x14ac:dyDescent="0.15">
      <c r="A4009" s="5" t="str">
        <f>HYPERLINK("https://onemount.atlassian.net/browse/DBA-603","DBA-603")</f>
        <v>DBA-603</v>
      </c>
      <c r="B4009" s="6" t="s">
        <v>21</v>
      </c>
      <c r="C4009" s="6" t="s">
        <v>16371</v>
      </c>
      <c r="D4009" s="8" t="s">
        <v>17</v>
      </c>
      <c r="E4009" s="6" t="s">
        <v>23</v>
      </c>
      <c r="F4009" s="6" t="s">
        <v>31</v>
      </c>
      <c r="G4009" s="6" t="s">
        <v>16472</v>
      </c>
      <c r="H4009" s="10">
        <v>45706</v>
      </c>
      <c r="I4009" s="6" t="s">
        <v>16473</v>
      </c>
      <c r="J4009" s="6" t="s">
        <v>55</v>
      </c>
      <c r="K4009" s="6" t="s">
        <v>55</v>
      </c>
      <c r="L4009" s="6" t="s">
        <v>328</v>
      </c>
      <c r="M4009" s="6" t="s">
        <v>16474</v>
      </c>
    </row>
    <row r="4010" spans="1:13" ht="13" x14ac:dyDescent="0.15">
      <c r="A4010" s="5" t="str">
        <f>HYPERLINK("https://onemount.atlassian.net/browse/DBA-602","DBA-602")</f>
        <v>DBA-602</v>
      </c>
      <c r="B4010" s="6" t="s">
        <v>21</v>
      </c>
      <c r="C4010" s="6" t="s">
        <v>16371</v>
      </c>
      <c r="D4010" s="8" t="s">
        <v>17</v>
      </c>
      <c r="E4010" s="6" t="s">
        <v>23</v>
      </c>
      <c r="F4010" s="6" t="s">
        <v>31</v>
      </c>
      <c r="G4010" s="6" t="s">
        <v>16475</v>
      </c>
      <c r="H4010" s="10">
        <v>45706</v>
      </c>
      <c r="I4010" s="6" t="s">
        <v>16476</v>
      </c>
      <c r="J4010" s="6" t="s">
        <v>55</v>
      </c>
      <c r="K4010" s="6" t="s">
        <v>55</v>
      </c>
      <c r="L4010" s="6" t="s">
        <v>328</v>
      </c>
      <c r="M4010" s="6" t="s">
        <v>16477</v>
      </c>
    </row>
    <row r="4011" spans="1:13" ht="13" x14ac:dyDescent="0.15">
      <c r="A4011" s="5" t="str">
        <f>HYPERLINK("https://onemount.atlassian.net/browse/DBA-601","DBA-601")</f>
        <v>DBA-601</v>
      </c>
      <c r="B4011" s="6" t="s">
        <v>21</v>
      </c>
      <c r="C4011" s="6" t="s">
        <v>16478</v>
      </c>
      <c r="D4011" s="8" t="s">
        <v>17</v>
      </c>
      <c r="E4011" s="6" t="s">
        <v>23</v>
      </c>
      <c r="F4011" s="6" t="s">
        <v>31</v>
      </c>
      <c r="G4011" s="6" t="s">
        <v>16479</v>
      </c>
      <c r="H4011" s="10">
        <v>45706</v>
      </c>
      <c r="I4011" s="6" t="s">
        <v>16480</v>
      </c>
      <c r="J4011" s="6" t="s">
        <v>55</v>
      </c>
      <c r="K4011" s="6" t="s">
        <v>35</v>
      </c>
      <c r="L4011" s="6" t="s">
        <v>638</v>
      </c>
      <c r="M4011" s="6" t="s">
        <v>16481</v>
      </c>
    </row>
    <row r="4012" spans="1:13" ht="13" x14ac:dyDescent="0.15">
      <c r="A4012" s="5" t="str">
        <f>HYPERLINK("https://onemount.atlassian.net/browse/DBA-600","DBA-600")</f>
        <v>DBA-600</v>
      </c>
      <c r="B4012" s="6" t="s">
        <v>21</v>
      </c>
      <c r="C4012" s="6" t="s">
        <v>16482</v>
      </c>
      <c r="D4012" s="8" t="s">
        <v>17</v>
      </c>
      <c r="E4012" s="6" t="s">
        <v>23</v>
      </c>
      <c r="F4012" s="6" t="s">
        <v>31</v>
      </c>
      <c r="G4012" s="6" t="s">
        <v>16483</v>
      </c>
      <c r="H4012" s="10">
        <v>45706</v>
      </c>
      <c r="I4012" s="6" t="s">
        <v>16484</v>
      </c>
      <c r="J4012" s="6" t="s">
        <v>55</v>
      </c>
      <c r="K4012" s="6" t="s">
        <v>55</v>
      </c>
      <c r="L4012" s="6" t="s">
        <v>906</v>
      </c>
      <c r="M4012" s="6" t="s">
        <v>16485</v>
      </c>
    </row>
    <row r="4013" spans="1:13" ht="13" x14ac:dyDescent="0.15">
      <c r="A4013" s="5" t="str">
        <f>HYPERLINK("https://onemount.atlassian.net/browse/DBA-599","DBA-599")</f>
        <v>DBA-599</v>
      </c>
      <c r="B4013" s="6" t="s">
        <v>21</v>
      </c>
      <c r="C4013" s="6" t="s">
        <v>16486</v>
      </c>
      <c r="D4013" s="8" t="s">
        <v>17</v>
      </c>
      <c r="E4013" s="6" t="s">
        <v>23</v>
      </c>
      <c r="F4013" s="6" t="s">
        <v>31</v>
      </c>
      <c r="G4013" s="6" t="s">
        <v>16487</v>
      </c>
      <c r="H4013" s="10">
        <v>45706</v>
      </c>
      <c r="I4013" s="6" t="s">
        <v>16488</v>
      </c>
      <c r="J4013" s="6" t="s">
        <v>55</v>
      </c>
      <c r="K4013" s="6" t="s">
        <v>55</v>
      </c>
      <c r="L4013" s="6" t="s">
        <v>906</v>
      </c>
      <c r="M4013" s="6" t="s">
        <v>16489</v>
      </c>
    </row>
    <row r="4014" spans="1:13" ht="13" x14ac:dyDescent="0.15">
      <c r="A4014" s="5" t="str">
        <f>HYPERLINK("https://onemount.atlassian.net/browse/DBA-598","DBA-598")</f>
        <v>DBA-598</v>
      </c>
      <c r="B4014" s="6" t="s">
        <v>21</v>
      </c>
      <c r="C4014" s="6" t="s">
        <v>16490</v>
      </c>
      <c r="D4014" s="8" t="s">
        <v>17</v>
      </c>
      <c r="E4014" s="6" t="s">
        <v>23</v>
      </c>
      <c r="F4014" s="6" t="s">
        <v>31</v>
      </c>
      <c r="G4014" s="6" t="s">
        <v>16491</v>
      </c>
      <c r="H4014" s="10">
        <v>45706</v>
      </c>
      <c r="I4014" s="6" t="s">
        <v>16492</v>
      </c>
      <c r="J4014" s="6" t="s">
        <v>55</v>
      </c>
      <c r="K4014" s="6" t="s">
        <v>55</v>
      </c>
      <c r="L4014" s="6" t="s">
        <v>254</v>
      </c>
      <c r="M4014" s="6" t="s">
        <v>16493</v>
      </c>
    </row>
    <row r="4015" spans="1:13" ht="13" x14ac:dyDescent="0.15">
      <c r="A4015" s="5" t="str">
        <f>HYPERLINK("https://onemount.atlassian.net/browse/DBA-597","DBA-597")</f>
        <v>DBA-597</v>
      </c>
      <c r="B4015" s="6" t="s">
        <v>21</v>
      </c>
      <c r="C4015" s="6" t="s">
        <v>16371</v>
      </c>
      <c r="D4015" s="8" t="s">
        <v>17</v>
      </c>
      <c r="E4015" s="6" t="s">
        <v>23</v>
      </c>
      <c r="F4015" s="6" t="s">
        <v>31</v>
      </c>
      <c r="G4015" s="6" t="s">
        <v>16494</v>
      </c>
      <c r="H4015" s="10">
        <v>45706</v>
      </c>
      <c r="I4015" s="6" t="s">
        <v>16495</v>
      </c>
      <c r="J4015" s="6" t="s">
        <v>55</v>
      </c>
      <c r="K4015" s="6" t="s">
        <v>55</v>
      </c>
      <c r="L4015" s="6" t="s">
        <v>956</v>
      </c>
      <c r="M4015" s="6" t="s">
        <v>16496</v>
      </c>
    </row>
    <row r="4016" spans="1:13" ht="13" x14ac:dyDescent="0.15">
      <c r="A4016" s="5" t="str">
        <f>HYPERLINK("https://onemount.atlassian.net/browse/DBA-596","DBA-596")</f>
        <v>DBA-596</v>
      </c>
      <c r="B4016" s="6" t="s">
        <v>21</v>
      </c>
      <c r="C4016" s="6" t="s">
        <v>16497</v>
      </c>
      <c r="D4016" s="8" t="s">
        <v>17</v>
      </c>
      <c r="E4016" s="6" t="s">
        <v>23</v>
      </c>
      <c r="F4016" s="6" t="s">
        <v>31</v>
      </c>
      <c r="G4016" s="6" t="s">
        <v>16498</v>
      </c>
      <c r="H4016" s="10">
        <v>45706</v>
      </c>
      <c r="I4016" s="6" t="s">
        <v>16499</v>
      </c>
      <c r="J4016" s="6" t="s">
        <v>55</v>
      </c>
      <c r="K4016" s="6" t="s">
        <v>55</v>
      </c>
      <c r="L4016" s="6" t="s">
        <v>254</v>
      </c>
      <c r="M4016" s="6" t="s">
        <v>16500</v>
      </c>
    </row>
    <row r="4017" spans="1:13" ht="13" x14ac:dyDescent="0.15">
      <c r="A4017" s="5" t="str">
        <f>HYPERLINK("https://onemount.atlassian.net/browse/DBA-595","DBA-595")</f>
        <v>DBA-595</v>
      </c>
      <c r="B4017" s="6" t="s">
        <v>21</v>
      </c>
      <c r="C4017" s="6" t="s">
        <v>16501</v>
      </c>
      <c r="D4017" s="8" t="s">
        <v>17</v>
      </c>
      <c r="E4017" s="6" t="s">
        <v>23</v>
      </c>
      <c r="F4017" s="6" t="s">
        <v>31</v>
      </c>
      <c r="G4017" s="6" t="s">
        <v>16502</v>
      </c>
      <c r="H4017" s="10">
        <v>45706</v>
      </c>
      <c r="I4017" s="6" t="s">
        <v>16503</v>
      </c>
      <c r="J4017" s="6" t="s">
        <v>55</v>
      </c>
      <c r="K4017" s="6" t="s">
        <v>55</v>
      </c>
      <c r="L4017" s="6" t="s">
        <v>906</v>
      </c>
      <c r="M4017" s="6" t="s">
        <v>16504</v>
      </c>
    </row>
    <row r="4018" spans="1:13" ht="13" x14ac:dyDescent="0.15">
      <c r="A4018" s="5" t="str">
        <f>HYPERLINK("https://onemount.atlassian.net/browse/DBA-594","DBA-594")</f>
        <v>DBA-594</v>
      </c>
      <c r="B4018" s="6" t="s">
        <v>21</v>
      </c>
      <c r="C4018" s="6" t="s">
        <v>16217</v>
      </c>
      <c r="D4018" s="8" t="s">
        <v>17</v>
      </c>
      <c r="E4018" s="6" t="s">
        <v>23</v>
      </c>
      <c r="F4018" s="6" t="s">
        <v>31</v>
      </c>
      <c r="G4018" s="6" t="s">
        <v>16505</v>
      </c>
      <c r="H4018" s="10">
        <v>45706</v>
      </c>
      <c r="I4018" s="6" t="s">
        <v>16506</v>
      </c>
      <c r="J4018" s="6" t="s">
        <v>55</v>
      </c>
      <c r="K4018" s="6" t="s">
        <v>35</v>
      </c>
      <c r="L4018" s="6" t="s">
        <v>638</v>
      </c>
      <c r="M4018" s="6" t="s">
        <v>16507</v>
      </c>
    </row>
    <row r="4019" spans="1:13" ht="13" x14ac:dyDescent="0.15">
      <c r="A4019" s="5" t="str">
        <f>HYPERLINK("https://onemount.atlassian.net/browse/DBA-593","DBA-593")</f>
        <v>DBA-593</v>
      </c>
      <c r="B4019" s="6" t="s">
        <v>21</v>
      </c>
      <c r="C4019" s="6" t="s">
        <v>16508</v>
      </c>
      <c r="D4019" s="8" t="s">
        <v>17</v>
      </c>
      <c r="E4019" s="6" t="s">
        <v>23</v>
      </c>
      <c r="F4019" s="6" t="s">
        <v>31</v>
      </c>
      <c r="G4019" s="6" t="s">
        <v>16509</v>
      </c>
      <c r="H4019" s="10">
        <v>45706</v>
      </c>
      <c r="I4019" s="6" t="s">
        <v>16510</v>
      </c>
      <c r="J4019" s="6" t="s">
        <v>55</v>
      </c>
      <c r="K4019" s="6" t="s">
        <v>55</v>
      </c>
      <c r="L4019" s="6" t="s">
        <v>906</v>
      </c>
      <c r="M4019" s="6" t="s">
        <v>16511</v>
      </c>
    </row>
    <row r="4020" spans="1:13" ht="13" x14ac:dyDescent="0.15">
      <c r="A4020" s="5" t="str">
        <f>HYPERLINK("https://onemount.atlassian.net/browse/DBA-592","DBA-592")</f>
        <v>DBA-592</v>
      </c>
      <c r="B4020" s="6" t="s">
        <v>21</v>
      </c>
      <c r="C4020" s="6" t="s">
        <v>16512</v>
      </c>
      <c r="D4020" s="8" t="s">
        <v>17</v>
      </c>
      <c r="E4020" s="6" t="s">
        <v>23</v>
      </c>
      <c r="F4020" s="6" t="s">
        <v>31</v>
      </c>
      <c r="G4020" s="6" t="s">
        <v>16513</v>
      </c>
      <c r="H4020" s="10">
        <v>45706</v>
      </c>
      <c r="I4020" s="6" t="s">
        <v>16514</v>
      </c>
      <c r="J4020" s="6" t="s">
        <v>55</v>
      </c>
      <c r="K4020" s="6" t="s">
        <v>55</v>
      </c>
      <c r="L4020" s="6" t="s">
        <v>56</v>
      </c>
      <c r="M4020" s="6" t="s">
        <v>16515</v>
      </c>
    </row>
    <row r="4021" spans="1:13" ht="13" x14ac:dyDescent="0.15">
      <c r="A4021" s="5" t="str">
        <f>HYPERLINK("https://onemount.atlassian.net/browse/DBA-591","DBA-591")</f>
        <v>DBA-591</v>
      </c>
      <c r="B4021" s="6" t="s">
        <v>21</v>
      </c>
      <c r="C4021" s="6" t="s">
        <v>16424</v>
      </c>
      <c r="D4021" s="8" t="s">
        <v>17</v>
      </c>
      <c r="E4021" s="6" t="s">
        <v>23</v>
      </c>
      <c r="F4021" s="6" t="s">
        <v>31</v>
      </c>
      <c r="G4021" s="6" t="s">
        <v>16516</v>
      </c>
      <c r="H4021" s="10">
        <v>45706</v>
      </c>
      <c r="I4021" s="6" t="s">
        <v>16517</v>
      </c>
      <c r="J4021" s="6" t="s">
        <v>55</v>
      </c>
      <c r="K4021" s="6" t="s">
        <v>35</v>
      </c>
      <c r="L4021" s="6" t="s">
        <v>638</v>
      </c>
      <c r="M4021" s="6" t="s">
        <v>16518</v>
      </c>
    </row>
    <row r="4022" spans="1:13" ht="13" x14ac:dyDescent="0.15">
      <c r="A4022" s="5" t="str">
        <f>HYPERLINK("https://onemount.atlassian.net/browse/DBA-590","DBA-590")</f>
        <v>DBA-590</v>
      </c>
      <c r="B4022" s="6" t="s">
        <v>21</v>
      </c>
      <c r="C4022" s="6" t="s">
        <v>16424</v>
      </c>
      <c r="D4022" s="8" t="s">
        <v>17</v>
      </c>
      <c r="E4022" s="6" t="s">
        <v>23</v>
      </c>
      <c r="F4022" s="6" t="s">
        <v>31</v>
      </c>
      <c r="G4022" s="6" t="s">
        <v>16519</v>
      </c>
      <c r="H4022" s="10">
        <v>45706</v>
      </c>
      <c r="I4022" s="6" t="s">
        <v>16520</v>
      </c>
      <c r="J4022" s="6" t="s">
        <v>55</v>
      </c>
      <c r="K4022" s="6" t="s">
        <v>35</v>
      </c>
      <c r="L4022" s="6" t="s">
        <v>49</v>
      </c>
      <c r="M4022" s="6" t="s">
        <v>16521</v>
      </c>
    </row>
    <row r="4023" spans="1:13" ht="13" x14ac:dyDescent="0.15">
      <c r="A4023" s="5" t="str">
        <f>HYPERLINK("https://onemount.atlassian.net/browse/DBA-589","DBA-589")</f>
        <v>DBA-589</v>
      </c>
      <c r="B4023" s="6" t="s">
        <v>21</v>
      </c>
      <c r="C4023" s="6" t="s">
        <v>14384</v>
      </c>
      <c r="D4023" s="8" t="s">
        <v>17</v>
      </c>
      <c r="E4023" s="6" t="s">
        <v>23</v>
      </c>
      <c r="F4023" s="6" t="s">
        <v>31</v>
      </c>
      <c r="G4023" s="6" t="s">
        <v>16522</v>
      </c>
      <c r="H4023" s="10">
        <v>45706</v>
      </c>
      <c r="I4023" s="6" t="s">
        <v>16523</v>
      </c>
      <c r="J4023" s="6" t="s">
        <v>28</v>
      </c>
      <c r="K4023" s="6" t="s">
        <v>28</v>
      </c>
      <c r="L4023" s="6" t="s">
        <v>735</v>
      </c>
      <c r="M4023" s="6" t="s">
        <v>16524</v>
      </c>
    </row>
    <row r="4024" spans="1:13" ht="13" x14ac:dyDescent="0.15">
      <c r="A4024" s="5" t="str">
        <f>HYPERLINK("https://onemount.atlassian.net/browse/DBA-588","DBA-588")</f>
        <v>DBA-588</v>
      </c>
      <c r="B4024" s="6" t="s">
        <v>21</v>
      </c>
      <c r="C4024" s="6" t="s">
        <v>16525</v>
      </c>
      <c r="D4024" s="8" t="s">
        <v>17</v>
      </c>
      <c r="E4024" s="6" t="s">
        <v>23</v>
      </c>
      <c r="F4024" s="6" t="s">
        <v>31</v>
      </c>
      <c r="G4024" s="6" t="s">
        <v>16526</v>
      </c>
      <c r="H4024" s="10">
        <v>45706</v>
      </c>
      <c r="I4024" s="6" t="s">
        <v>16527</v>
      </c>
      <c r="J4024" s="6" t="s">
        <v>55</v>
      </c>
      <c r="K4024" s="6" t="s">
        <v>55</v>
      </c>
      <c r="L4024" s="6" t="s">
        <v>328</v>
      </c>
      <c r="M4024" s="6" t="s">
        <v>16528</v>
      </c>
    </row>
    <row r="4025" spans="1:13" ht="13" x14ac:dyDescent="0.15">
      <c r="A4025" s="5" t="str">
        <f>HYPERLINK("https://onemount.atlassian.net/browse/DBA-587","DBA-587")</f>
        <v>DBA-587</v>
      </c>
      <c r="B4025" s="6" t="s">
        <v>21</v>
      </c>
      <c r="C4025" s="6" t="s">
        <v>16529</v>
      </c>
      <c r="D4025" s="8" t="s">
        <v>17</v>
      </c>
      <c r="E4025" s="6" t="s">
        <v>23</v>
      </c>
      <c r="F4025" s="6" t="s">
        <v>31</v>
      </c>
      <c r="G4025" s="6" t="s">
        <v>16530</v>
      </c>
      <c r="H4025" s="10">
        <v>45706</v>
      </c>
      <c r="I4025" s="6" t="s">
        <v>16531</v>
      </c>
      <c r="J4025" s="6" t="s">
        <v>55</v>
      </c>
      <c r="K4025" s="6" t="s">
        <v>35</v>
      </c>
      <c r="L4025" s="6" t="s">
        <v>49</v>
      </c>
      <c r="M4025" s="6" t="s">
        <v>16532</v>
      </c>
    </row>
    <row r="4026" spans="1:13" ht="13" x14ac:dyDescent="0.15">
      <c r="A4026" s="5" t="str">
        <f>HYPERLINK("https://onemount.atlassian.net/browse/DBA-586","DBA-586")</f>
        <v>DBA-586</v>
      </c>
      <c r="B4026" s="6" t="s">
        <v>21</v>
      </c>
      <c r="C4026" s="6" t="s">
        <v>16533</v>
      </c>
      <c r="D4026" s="8" t="s">
        <v>17</v>
      </c>
      <c r="E4026" s="6" t="s">
        <v>23</v>
      </c>
      <c r="F4026" s="6" t="s">
        <v>31</v>
      </c>
      <c r="G4026" s="6" t="s">
        <v>16534</v>
      </c>
      <c r="H4026" s="10">
        <v>45706</v>
      </c>
      <c r="I4026" s="6" t="s">
        <v>16535</v>
      </c>
      <c r="J4026" s="6" t="s">
        <v>55</v>
      </c>
      <c r="K4026" s="6" t="s">
        <v>55</v>
      </c>
      <c r="L4026" s="6" t="s">
        <v>56</v>
      </c>
      <c r="M4026" s="6" t="s">
        <v>16536</v>
      </c>
    </row>
    <row r="4027" spans="1:13" ht="13" x14ac:dyDescent="0.15">
      <c r="A4027" s="21" t="str">
        <f>HYPERLINK("https://onemount.atlassian.net/browse/DBA-585","DBA-585")</f>
        <v>DBA-585</v>
      </c>
      <c r="B4027" s="6" t="s">
        <v>21</v>
      </c>
      <c r="C4027" s="6" t="s">
        <v>16371</v>
      </c>
      <c r="D4027" s="8" t="s">
        <v>17</v>
      </c>
      <c r="E4027" s="6" t="s">
        <v>23</v>
      </c>
      <c r="F4027" s="6" t="s">
        <v>31</v>
      </c>
      <c r="G4027" s="6" t="s">
        <v>16537</v>
      </c>
      <c r="H4027" s="10">
        <v>45706</v>
      </c>
      <c r="I4027" s="6" t="s">
        <v>16538</v>
      </c>
      <c r="J4027" s="6" t="s">
        <v>55</v>
      </c>
      <c r="K4027" s="6" t="s">
        <v>55</v>
      </c>
      <c r="L4027" s="6" t="s">
        <v>328</v>
      </c>
      <c r="M4027" s="6" t="s">
        <v>16539</v>
      </c>
    </row>
    <row r="4028" spans="1:13" ht="13" x14ac:dyDescent="0.15">
      <c r="A4028" s="5" t="str">
        <f>HYPERLINK("https://onemount.atlassian.net/browse/DBA-584","DBA-584")</f>
        <v>DBA-584</v>
      </c>
      <c r="B4028" s="6" t="s">
        <v>21</v>
      </c>
      <c r="C4028" s="6" t="s">
        <v>16540</v>
      </c>
      <c r="D4028" s="8" t="s">
        <v>17</v>
      </c>
      <c r="E4028" s="6" t="s">
        <v>23</v>
      </c>
      <c r="F4028" s="6" t="s">
        <v>31</v>
      </c>
      <c r="G4028" s="6" t="s">
        <v>16541</v>
      </c>
      <c r="H4028" s="10">
        <v>45706</v>
      </c>
      <c r="I4028" s="6" t="s">
        <v>16542</v>
      </c>
      <c r="J4028" s="6" t="s">
        <v>28</v>
      </c>
      <c r="K4028" s="6" t="s">
        <v>28</v>
      </c>
      <c r="L4028" s="6" t="s">
        <v>1129</v>
      </c>
      <c r="M4028" s="6" t="s">
        <v>16543</v>
      </c>
    </row>
    <row r="4029" spans="1:13" ht="13" x14ac:dyDescent="0.15">
      <c r="A4029" s="5" t="str">
        <f>HYPERLINK("https://onemount.atlassian.net/browse/DBA-583","DBA-583")</f>
        <v>DBA-583</v>
      </c>
      <c r="B4029" s="6" t="s">
        <v>21</v>
      </c>
      <c r="C4029" s="6" t="s">
        <v>16544</v>
      </c>
      <c r="D4029" s="8" t="s">
        <v>17</v>
      </c>
      <c r="E4029" s="6" t="s">
        <v>23</v>
      </c>
      <c r="F4029" s="6" t="s">
        <v>31</v>
      </c>
      <c r="G4029" s="6" t="s">
        <v>16545</v>
      </c>
      <c r="H4029" s="10">
        <v>45706</v>
      </c>
      <c r="I4029" s="6" t="s">
        <v>16546</v>
      </c>
      <c r="J4029" s="6" t="s">
        <v>55</v>
      </c>
      <c r="K4029" s="6" t="s">
        <v>55</v>
      </c>
      <c r="L4029" s="6" t="s">
        <v>328</v>
      </c>
      <c r="M4029" s="6" t="s">
        <v>16547</v>
      </c>
    </row>
    <row r="4030" spans="1:13" ht="13" x14ac:dyDescent="0.15">
      <c r="A4030" s="5" t="str">
        <f>HYPERLINK("https://onemount.atlassian.net/browse/DBA-582","DBA-582")</f>
        <v>DBA-582</v>
      </c>
      <c r="B4030" s="6" t="s">
        <v>21</v>
      </c>
      <c r="C4030" s="6" t="s">
        <v>16548</v>
      </c>
      <c r="D4030" s="8" t="s">
        <v>17</v>
      </c>
      <c r="E4030" s="6" t="s">
        <v>23</v>
      </c>
      <c r="F4030" s="6" t="s">
        <v>31</v>
      </c>
      <c r="G4030" s="6" t="s">
        <v>16549</v>
      </c>
      <c r="H4030" s="10">
        <v>45706</v>
      </c>
      <c r="I4030" s="6" t="s">
        <v>16550</v>
      </c>
      <c r="J4030" s="6" t="s">
        <v>55</v>
      </c>
      <c r="K4030" s="6" t="s">
        <v>35</v>
      </c>
      <c r="L4030" s="6" t="s">
        <v>49</v>
      </c>
      <c r="M4030" s="6" t="s">
        <v>16551</v>
      </c>
    </row>
    <row r="4031" spans="1:13" ht="13" x14ac:dyDescent="0.15">
      <c r="A4031" s="5" t="str">
        <f>HYPERLINK("https://onemount.atlassian.net/browse/DBA-581","DBA-581")</f>
        <v>DBA-581</v>
      </c>
      <c r="B4031" s="6" t="s">
        <v>21</v>
      </c>
      <c r="C4031" s="6" t="s">
        <v>16552</v>
      </c>
      <c r="D4031" s="8" t="s">
        <v>17</v>
      </c>
      <c r="E4031" s="6" t="s">
        <v>23</v>
      </c>
      <c r="F4031" s="6" t="s">
        <v>31</v>
      </c>
      <c r="G4031" s="6" t="s">
        <v>16553</v>
      </c>
      <c r="H4031" s="10">
        <v>45706</v>
      </c>
      <c r="I4031" s="6" t="s">
        <v>16554</v>
      </c>
      <c r="J4031" s="6" t="s">
        <v>55</v>
      </c>
      <c r="K4031" s="6" t="s">
        <v>55</v>
      </c>
      <c r="L4031" s="6" t="s">
        <v>254</v>
      </c>
      <c r="M4031" s="6" t="s">
        <v>16555</v>
      </c>
    </row>
    <row r="4032" spans="1:13" ht="13" x14ac:dyDescent="0.15">
      <c r="A4032" s="5" t="str">
        <f>HYPERLINK("https://onemount.atlassian.net/browse/DBA-580","DBA-580")</f>
        <v>DBA-580</v>
      </c>
      <c r="B4032" s="6" t="s">
        <v>21</v>
      </c>
      <c r="C4032" s="6" t="s">
        <v>16556</v>
      </c>
      <c r="D4032" s="8" t="s">
        <v>17</v>
      </c>
      <c r="E4032" s="6" t="s">
        <v>23</v>
      </c>
      <c r="F4032" s="6" t="s">
        <v>31</v>
      </c>
      <c r="G4032" s="6" t="s">
        <v>16557</v>
      </c>
      <c r="H4032" s="10">
        <v>45706</v>
      </c>
      <c r="I4032" s="6" t="s">
        <v>16558</v>
      </c>
      <c r="J4032" s="6" t="s">
        <v>28</v>
      </c>
      <c r="K4032" s="6" t="s">
        <v>28</v>
      </c>
      <c r="L4032" s="6" t="s">
        <v>1000</v>
      </c>
      <c r="M4032" s="6" t="s">
        <v>16559</v>
      </c>
    </row>
    <row r="4033" spans="1:13" ht="13" x14ac:dyDescent="0.15">
      <c r="A4033" s="5" t="str">
        <f>HYPERLINK("https://onemount.atlassian.net/browse/DBA-579","DBA-579")</f>
        <v>DBA-579</v>
      </c>
      <c r="B4033" s="6" t="s">
        <v>21</v>
      </c>
      <c r="C4033" s="6" t="s">
        <v>16560</v>
      </c>
      <c r="D4033" s="8" t="s">
        <v>17</v>
      </c>
      <c r="E4033" s="6" t="s">
        <v>23</v>
      </c>
      <c r="F4033" s="6" t="s">
        <v>31</v>
      </c>
      <c r="G4033" s="6" t="s">
        <v>16561</v>
      </c>
      <c r="H4033" s="10">
        <v>45706</v>
      </c>
      <c r="I4033" s="6" t="s">
        <v>16562</v>
      </c>
      <c r="J4033" s="6" t="s">
        <v>55</v>
      </c>
      <c r="K4033" s="6" t="s">
        <v>35</v>
      </c>
      <c r="L4033" s="6" t="s">
        <v>49</v>
      </c>
      <c r="M4033" s="6" t="s">
        <v>16563</v>
      </c>
    </row>
    <row r="4034" spans="1:13" ht="13" x14ac:dyDescent="0.15">
      <c r="A4034" s="5" t="str">
        <f>HYPERLINK("https://onemount.atlassian.net/browse/DBA-578","DBA-578")</f>
        <v>DBA-578</v>
      </c>
      <c r="B4034" s="6" t="s">
        <v>21</v>
      </c>
      <c r="C4034" s="6" t="s">
        <v>16564</v>
      </c>
      <c r="D4034" s="8" t="s">
        <v>17</v>
      </c>
      <c r="E4034" s="6" t="s">
        <v>23</v>
      </c>
      <c r="F4034" s="6" t="s">
        <v>31</v>
      </c>
      <c r="G4034" s="6" t="s">
        <v>16565</v>
      </c>
      <c r="H4034" s="10">
        <v>45706</v>
      </c>
      <c r="I4034" s="6" t="s">
        <v>16566</v>
      </c>
      <c r="J4034" s="6" t="s">
        <v>28</v>
      </c>
      <c r="K4034" s="6" t="s">
        <v>28</v>
      </c>
      <c r="L4034" s="6" t="s">
        <v>1000</v>
      </c>
      <c r="M4034" s="6" t="s">
        <v>16567</v>
      </c>
    </row>
    <row r="4035" spans="1:13" ht="13" x14ac:dyDescent="0.15">
      <c r="A4035" s="5" t="str">
        <f>HYPERLINK("https://onemount.atlassian.net/browse/DBA-577","DBA-577")</f>
        <v>DBA-577</v>
      </c>
      <c r="B4035" s="6" t="s">
        <v>21</v>
      </c>
      <c r="C4035" s="6" t="s">
        <v>16568</v>
      </c>
      <c r="D4035" s="8" t="s">
        <v>17</v>
      </c>
      <c r="E4035" s="6" t="s">
        <v>23</v>
      </c>
      <c r="F4035" s="6" t="s">
        <v>31</v>
      </c>
      <c r="G4035" s="6" t="s">
        <v>16569</v>
      </c>
      <c r="H4035" s="10">
        <v>45706</v>
      </c>
      <c r="I4035" s="6" t="s">
        <v>16570</v>
      </c>
      <c r="J4035" s="6" t="s">
        <v>28</v>
      </c>
      <c r="K4035" s="6" t="s">
        <v>28</v>
      </c>
      <c r="L4035" s="6" t="s">
        <v>1129</v>
      </c>
      <c r="M4035" s="6" t="s">
        <v>16571</v>
      </c>
    </row>
    <row r="4036" spans="1:13" ht="13" x14ac:dyDescent="0.15">
      <c r="A4036" s="5" t="str">
        <f>HYPERLINK("https://onemount.atlassian.net/browse/DBA-576","DBA-576")</f>
        <v>DBA-576</v>
      </c>
      <c r="B4036" s="6" t="s">
        <v>21</v>
      </c>
      <c r="C4036" s="6" t="s">
        <v>16572</v>
      </c>
      <c r="D4036" s="8" t="s">
        <v>17</v>
      </c>
      <c r="E4036" s="6" t="s">
        <v>23</v>
      </c>
      <c r="F4036" s="6" t="s">
        <v>31</v>
      </c>
      <c r="G4036" s="6" t="s">
        <v>16573</v>
      </c>
      <c r="H4036" s="10">
        <v>45706</v>
      </c>
      <c r="I4036" s="6" t="s">
        <v>16574</v>
      </c>
      <c r="J4036" s="6" t="s">
        <v>28</v>
      </c>
      <c r="K4036" s="6" t="s">
        <v>28</v>
      </c>
      <c r="L4036" s="6" t="s">
        <v>719</v>
      </c>
      <c r="M4036" s="6" t="s">
        <v>16575</v>
      </c>
    </row>
    <row r="4037" spans="1:13" ht="13" x14ac:dyDescent="0.15">
      <c r="A4037" s="5" t="str">
        <f>HYPERLINK("https://onemount.atlassian.net/browse/DBA-575","DBA-575")</f>
        <v>DBA-575</v>
      </c>
      <c r="B4037" s="6" t="s">
        <v>21</v>
      </c>
      <c r="C4037" s="6" t="s">
        <v>16576</v>
      </c>
      <c r="D4037" s="8" t="s">
        <v>17</v>
      </c>
      <c r="E4037" s="6" t="s">
        <v>23</v>
      </c>
      <c r="F4037" s="6" t="s">
        <v>31</v>
      </c>
      <c r="G4037" s="6" t="s">
        <v>16577</v>
      </c>
      <c r="H4037" s="10">
        <v>45706</v>
      </c>
      <c r="I4037" s="6" t="s">
        <v>16578</v>
      </c>
      <c r="J4037" s="6" t="s">
        <v>55</v>
      </c>
      <c r="K4037" s="6" t="s">
        <v>55</v>
      </c>
      <c r="L4037" s="6" t="s">
        <v>254</v>
      </c>
      <c r="M4037" s="6" t="s">
        <v>16579</v>
      </c>
    </row>
    <row r="4038" spans="1:13" ht="13" x14ac:dyDescent="0.15">
      <c r="A4038" s="5" t="str">
        <f>HYPERLINK("https://onemount.atlassian.net/browse/DBA-574","DBA-574")</f>
        <v>DBA-574</v>
      </c>
      <c r="B4038" s="6" t="s">
        <v>21</v>
      </c>
      <c r="C4038" s="6" t="s">
        <v>16580</v>
      </c>
      <c r="D4038" s="8" t="s">
        <v>17</v>
      </c>
      <c r="E4038" s="6" t="s">
        <v>23</v>
      </c>
      <c r="F4038" s="6" t="s">
        <v>31</v>
      </c>
      <c r="G4038" s="6" t="s">
        <v>16581</v>
      </c>
      <c r="H4038" s="10">
        <v>45706</v>
      </c>
      <c r="I4038" s="6" t="s">
        <v>16582</v>
      </c>
      <c r="J4038" s="6" t="s">
        <v>55</v>
      </c>
      <c r="K4038" s="6" t="s">
        <v>35</v>
      </c>
      <c r="L4038" s="6" t="s">
        <v>36</v>
      </c>
      <c r="M4038" s="6" t="s">
        <v>16583</v>
      </c>
    </row>
    <row r="4039" spans="1:13" ht="13" x14ac:dyDescent="0.15">
      <c r="A4039" s="5" t="str">
        <f>HYPERLINK("https://onemount.atlassian.net/browse/DBA-573","DBA-573")</f>
        <v>DBA-573</v>
      </c>
      <c r="B4039" s="6" t="s">
        <v>21</v>
      </c>
      <c r="C4039" s="6" t="s">
        <v>16584</v>
      </c>
      <c r="D4039" s="8" t="s">
        <v>17</v>
      </c>
      <c r="E4039" s="6" t="s">
        <v>23</v>
      </c>
      <c r="F4039" s="6" t="s">
        <v>31</v>
      </c>
      <c r="G4039" s="6" t="s">
        <v>16585</v>
      </c>
      <c r="H4039" s="10">
        <v>45706</v>
      </c>
      <c r="I4039" s="6" t="s">
        <v>16586</v>
      </c>
      <c r="J4039" s="6" t="s">
        <v>46</v>
      </c>
      <c r="K4039" s="6" t="s">
        <v>46</v>
      </c>
      <c r="L4039" s="6" t="s">
        <v>39</v>
      </c>
      <c r="M4039" s="6" t="s">
        <v>16587</v>
      </c>
    </row>
    <row r="4040" spans="1:13" ht="13" x14ac:dyDescent="0.15">
      <c r="A4040" s="5" t="str">
        <f>HYPERLINK("https://onemount.atlassian.net/browse/DBA-571","DBA-571")</f>
        <v>DBA-571</v>
      </c>
      <c r="B4040" s="6" t="s">
        <v>21</v>
      </c>
      <c r="C4040" s="6" t="s">
        <v>16588</v>
      </c>
      <c r="D4040" s="8" t="s">
        <v>17</v>
      </c>
      <c r="E4040" s="6" t="s">
        <v>23</v>
      </c>
      <c r="F4040" s="6" t="s">
        <v>31</v>
      </c>
      <c r="G4040" s="6" t="s">
        <v>16589</v>
      </c>
      <c r="H4040" s="10">
        <v>45706</v>
      </c>
      <c r="I4040" s="6" t="s">
        <v>16590</v>
      </c>
      <c r="J4040" s="6" t="s">
        <v>55</v>
      </c>
      <c r="K4040" s="6" t="s">
        <v>55</v>
      </c>
      <c r="L4040" s="6" t="s">
        <v>56</v>
      </c>
      <c r="M4040" s="6" t="s">
        <v>16591</v>
      </c>
    </row>
    <row r="4041" spans="1:13" ht="13" x14ac:dyDescent="0.15">
      <c r="A4041" s="5" t="str">
        <f>HYPERLINK("https://onemount.atlassian.net/browse/DBA-570","DBA-570")</f>
        <v>DBA-570</v>
      </c>
      <c r="B4041" s="6" t="s">
        <v>21</v>
      </c>
      <c r="C4041" s="6" t="s">
        <v>16592</v>
      </c>
      <c r="D4041" s="8" t="s">
        <v>17</v>
      </c>
      <c r="E4041" s="6" t="s">
        <v>23</v>
      </c>
      <c r="F4041" s="6" t="s">
        <v>31</v>
      </c>
      <c r="G4041" s="6" t="s">
        <v>16593</v>
      </c>
      <c r="H4041" s="10">
        <v>45706</v>
      </c>
      <c r="I4041" s="6" t="s">
        <v>16594</v>
      </c>
      <c r="J4041" s="6" t="s">
        <v>55</v>
      </c>
      <c r="K4041" s="6" t="s">
        <v>35</v>
      </c>
      <c r="L4041" s="6" t="s">
        <v>638</v>
      </c>
      <c r="M4041" s="6" t="s">
        <v>16595</v>
      </c>
    </row>
    <row r="4042" spans="1:13" ht="13" x14ac:dyDescent="0.15">
      <c r="A4042" s="5" t="str">
        <f>HYPERLINK("https://onemount.atlassian.net/browse/DBA-569","DBA-569")</f>
        <v>DBA-569</v>
      </c>
      <c r="B4042" s="6" t="s">
        <v>21</v>
      </c>
      <c r="C4042" s="6" t="s">
        <v>16596</v>
      </c>
      <c r="D4042" s="8" t="s">
        <v>17</v>
      </c>
      <c r="E4042" s="6" t="s">
        <v>23</v>
      </c>
      <c r="F4042" s="6" t="s">
        <v>31</v>
      </c>
      <c r="G4042" s="6" t="s">
        <v>16597</v>
      </c>
      <c r="H4042" s="10">
        <v>45706</v>
      </c>
      <c r="I4042" s="6" t="s">
        <v>16598</v>
      </c>
      <c r="J4042" s="6" t="s">
        <v>55</v>
      </c>
      <c r="K4042" s="6" t="s">
        <v>55</v>
      </c>
      <c r="L4042" s="6" t="s">
        <v>254</v>
      </c>
      <c r="M4042" s="6" t="s">
        <v>16599</v>
      </c>
    </row>
    <row r="4043" spans="1:13" ht="13" x14ac:dyDescent="0.15">
      <c r="A4043" s="5" t="str">
        <f>HYPERLINK("https://onemount.atlassian.net/browse/DBA-568","DBA-568")</f>
        <v>DBA-568</v>
      </c>
      <c r="B4043" s="6" t="s">
        <v>21</v>
      </c>
      <c r="C4043" s="6" t="s">
        <v>16600</v>
      </c>
      <c r="D4043" s="8" t="s">
        <v>17</v>
      </c>
      <c r="E4043" s="6" t="s">
        <v>23</v>
      </c>
      <c r="F4043" s="6" t="s">
        <v>31</v>
      </c>
      <c r="G4043" s="6" t="s">
        <v>16601</v>
      </c>
      <c r="H4043" s="10">
        <v>45706</v>
      </c>
      <c r="I4043" s="6" t="s">
        <v>16602</v>
      </c>
      <c r="J4043" s="6" t="s">
        <v>55</v>
      </c>
      <c r="K4043" s="6" t="s">
        <v>55</v>
      </c>
      <c r="L4043" s="6" t="s">
        <v>328</v>
      </c>
      <c r="M4043" s="6" t="s">
        <v>16603</v>
      </c>
    </row>
    <row r="4044" spans="1:13" ht="13" x14ac:dyDescent="0.15">
      <c r="A4044" s="5" t="str">
        <f>HYPERLINK("https://onemount.atlassian.net/browse/DBA-567","DBA-567")</f>
        <v>DBA-567</v>
      </c>
      <c r="B4044" s="6" t="s">
        <v>21</v>
      </c>
      <c r="C4044" s="6" t="s">
        <v>16604</v>
      </c>
      <c r="D4044" s="8" t="s">
        <v>17</v>
      </c>
      <c r="E4044" s="6" t="s">
        <v>23</v>
      </c>
      <c r="F4044" s="6" t="s">
        <v>31</v>
      </c>
      <c r="G4044" s="6" t="s">
        <v>16605</v>
      </c>
      <c r="H4044" s="10">
        <v>45706</v>
      </c>
      <c r="I4044" s="6" t="s">
        <v>16606</v>
      </c>
      <c r="J4044" s="6" t="s">
        <v>55</v>
      </c>
      <c r="K4044" s="6" t="s">
        <v>35</v>
      </c>
      <c r="L4044" s="6" t="s">
        <v>962</v>
      </c>
      <c r="M4044" s="6" t="s">
        <v>16607</v>
      </c>
    </row>
    <row r="4045" spans="1:13" ht="13" x14ac:dyDescent="0.15">
      <c r="A4045" s="5" t="str">
        <f>HYPERLINK("https://onemount.atlassian.net/browse/DBA-566","DBA-566")</f>
        <v>DBA-566</v>
      </c>
      <c r="B4045" s="6" t="s">
        <v>21</v>
      </c>
      <c r="C4045" s="6" t="s">
        <v>16608</v>
      </c>
      <c r="D4045" s="8" t="s">
        <v>17</v>
      </c>
      <c r="E4045" s="6" t="s">
        <v>23</v>
      </c>
      <c r="F4045" s="6" t="s">
        <v>31</v>
      </c>
      <c r="G4045" s="6" t="s">
        <v>16609</v>
      </c>
      <c r="H4045" s="10">
        <v>45706</v>
      </c>
      <c r="I4045" s="6" t="s">
        <v>16610</v>
      </c>
      <c r="J4045" s="6" t="s">
        <v>28</v>
      </c>
      <c r="K4045" s="6" t="s">
        <v>28</v>
      </c>
      <c r="L4045" s="6" t="s">
        <v>719</v>
      </c>
      <c r="M4045" s="6" t="s">
        <v>16611</v>
      </c>
    </row>
    <row r="4046" spans="1:13" ht="13" x14ac:dyDescent="0.15">
      <c r="A4046" s="5" t="str">
        <f>HYPERLINK("https://onemount.atlassian.net/browse/DBA-565","DBA-565")</f>
        <v>DBA-565</v>
      </c>
      <c r="B4046" s="6" t="s">
        <v>21</v>
      </c>
      <c r="C4046" s="6" t="s">
        <v>16424</v>
      </c>
      <c r="D4046" s="8" t="s">
        <v>17</v>
      </c>
      <c r="E4046" s="6" t="s">
        <v>23</v>
      </c>
      <c r="F4046" s="6" t="s">
        <v>31</v>
      </c>
      <c r="G4046" s="6" t="s">
        <v>16612</v>
      </c>
      <c r="H4046" s="10">
        <v>45706</v>
      </c>
      <c r="I4046" s="6" t="s">
        <v>16613</v>
      </c>
      <c r="J4046" s="6" t="s">
        <v>55</v>
      </c>
      <c r="K4046" s="6" t="s">
        <v>35</v>
      </c>
      <c r="L4046" s="6" t="s">
        <v>49</v>
      </c>
      <c r="M4046" s="6" t="s">
        <v>16614</v>
      </c>
    </row>
    <row r="4047" spans="1:13" ht="13" x14ac:dyDescent="0.15">
      <c r="A4047" s="5" t="str">
        <f>HYPERLINK("https://onemount.atlassian.net/browse/DBA-564","DBA-564")</f>
        <v>DBA-564</v>
      </c>
      <c r="B4047" s="6" t="s">
        <v>21</v>
      </c>
      <c r="C4047" s="6" t="s">
        <v>16615</v>
      </c>
      <c r="D4047" s="8" t="s">
        <v>17</v>
      </c>
      <c r="E4047" s="6" t="s">
        <v>23</v>
      </c>
      <c r="F4047" s="6" t="s">
        <v>31</v>
      </c>
      <c r="G4047" s="6" t="s">
        <v>16616</v>
      </c>
      <c r="H4047" s="10">
        <v>45706</v>
      </c>
      <c r="I4047" s="6" t="s">
        <v>16617</v>
      </c>
      <c r="J4047" s="6" t="s">
        <v>28</v>
      </c>
      <c r="K4047" s="6" t="s">
        <v>28</v>
      </c>
      <c r="L4047" s="6" t="s">
        <v>1000</v>
      </c>
      <c r="M4047" s="6" t="s">
        <v>16618</v>
      </c>
    </row>
    <row r="4048" spans="1:13" ht="13" x14ac:dyDescent="0.15">
      <c r="A4048" s="21" t="str">
        <f>HYPERLINK("https://onemount.atlassian.net/browse/DBA-563","DBA-563")</f>
        <v>DBA-563</v>
      </c>
      <c r="B4048" s="6" t="s">
        <v>21</v>
      </c>
      <c r="C4048" s="6" t="s">
        <v>16371</v>
      </c>
      <c r="D4048" s="8" t="s">
        <v>17</v>
      </c>
      <c r="E4048" s="6" t="s">
        <v>23</v>
      </c>
      <c r="F4048" s="6" t="s">
        <v>31</v>
      </c>
      <c r="G4048" s="6" t="s">
        <v>16619</v>
      </c>
      <c r="H4048" s="10">
        <v>45706</v>
      </c>
      <c r="I4048" s="6" t="s">
        <v>16620</v>
      </c>
      <c r="J4048" s="6" t="s">
        <v>55</v>
      </c>
      <c r="K4048" s="6" t="s">
        <v>55</v>
      </c>
      <c r="L4048" s="6" t="s">
        <v>328</v>
      </c>
      <c r="M4048" s="6" t="s">
        <v>16539</v>
      </c>
    </row>
    <row r="4049" spans="1:13" ht="13" x14ac:dyDescent="0.15">
      <c r="A4049" s="5" t="str">
        <f>HYPERLINK("https://onemount.atlassian.net/browse/DBA-562","DBA-562")</f>
        <v>DBA-562</v>
      </c>
      <c r="B4049" s="6" t="s">
        <v>21</v>
      </c>
      <c r="C4049" s="6" t="s">
        <v>16621</v>
      </c>
      <c r="D4049" s="8" t="s">
        <v>17</v>
      </c>
      <c r="E4049" s="6" t="s">
        <v>23</v>
      </c>
      <c r="F4049" s="6" t="s">
        <v>31</v>
      </c>
      <c r="G4049" s="6" t="s">
        <v>16622</v>
      </c>
      <c r="H4049" s="10">
        <v>45706</v>
      </c>
      <c r="I4049" s="6" t="s">
        <v>16623</v>
      </c>
      <c r="J4049" s="6" t="s">
        <v>55</v>
      </c>
      <c r="K4049" s="6" t="s">
        <v>35</v>
      </c>
      <c r="L4049" s="6" t="s">
        <v>49</v>
      </c>
      <c r="M4049" s="6" t="s">
        <v>16624</v>
      </c>
    </row>
    <row r="4050" spans="1:13" ht="13" x14ac:dyDescent="0.15">
      <c r="A4050" s="5" t="str">
        <f>HYPERLINK("https://onemount.atlassian.net/browse/DBA-561","DBA-561")</f>
        <v>DBA-561</v>
      </c>
      <c r="B4050" s="6" t="s">
        <v>21</v>
      </c>
      <c r="C4050" s="6" t="s">
        <v>16625</v>
      </c>
      <c r="D4050" s="8" t="s">
        <v>17</v>
      </c>
      <c r="E4050" s="6" t="s">
        <v>23</v>
      </c>
      <c r="F4050" s="6" t="s">
        <v>31</v>
      </c>
      <c r="G4050" s="6" t="s">
        <v>16626</v>
      </c>
      <c r="H4050" s="10">
        <v>45706</v>
      </c>
      <c r="I4050" s="6" t="s">
        <v>16627</v>
      </c>
      <c r="J4050" s="6" t="s">
        <v>55</v>
      </c>
      <c r="K4050" s="6" t="s">
        <v>55</v>
      </c>
      <c r="L4050" s="6" t="s">
        <v>254</v>
      </c>
      <c r="M4050" s="6" t="s">
        <v>16628</v>
      </c>
    </row>
    <row r="4051" spans="1:13" ht="13" x14ac:dyDescent="0.15">
      <c r="A4051" s="5" t="str">
        <f>HYPERLINK("https://onemount.atlassian.net/browse/DBA-560","DBA-560")</f>
        <v>DBA-560</v>
      </c>
      <c r="B4051" s="6" t="s">
        <v>21</v>
      </c>
      <c r="C4051" s="6" t="s">
        <v>16621</v>
      </c>
      <c r="D4051" s="8" t="s">
        <v>17</v>
      </c>
      <c r="E4051" s="6" t="s">
        <v>23</v>
      </c>
      <c r="F4051" s="6" t="s">
        <v>31</v>
      </c>
      <c r="G4051" s="6" t="s">
        <v>16629</v>
      </c>
      <c r="H4051" s="10">
        <v>45706</v>
      </c>
      <c r="I4051" s="6" t="s">
        <v>16630</v>
      </c>
      <c r="J4051" s="6" t="s">
        <v>55</v>
      </c>
      <c r="K4051" s="6" t="s">
        <v>35</v>
      </c>
      <c r="L4051" s="6" t="s">
        <v>49</v>
      </c>
      <c r="M4051" s="6" t="s">
        <v>16631</v>
      </c>
    </row>
    <row r="4052" spans="1:13" ht="13" x14ac:dyDescent="0.15">
      <c r="A4052" s="5" t="str">
        <f>HYPERLINK("https://onemount.atlassian.net/browse/DBA-559","DBA-559")</f>
        <v>DBA-559</v>
      </c>
      <c r="B4052" s="6" t="s">
        <v>21</v>
      </c>
      <c r="C4052" s="6" t="s">
        <v>16632</v>
      </c>
      <c r="D4052" s="8" t="s">
        <v>17</v>
      </c>
      <c r="E4052" s="6" t="s">
        <v>23</v>
      </c>
      <c r="F4052" s="6" t="s">
        <v>31</v>
      </c>
      <c r="G4052" s="6" t="s">
        <v>16633</v>
      </c>
      <c r="H4052" s="10">
        <v>45706</v>
      </c>
      <c r="I4052" s="6" t="s">
        <v>16634</v>
      </c>
      <c r="J4052" s="6" t="s">
        <v>55</v>
      </c>
      <c r="K4052" s="6" t="s">
        <v>35</v>
      </c>
      <c r="L4052" s="6" t="s">
        <v>49</v>
      </c>
      <c r="M4052" s="6" t="s">
        <v>16635</v>
      </c>
    </row>
    <row r="4053" spans="1:13" ht="13" x14ac:dyDescent="0.15">
      <c r="A4053" s="5" t="str">
        <f>HYPERLINK("https://onemount.atlassian.net/browse/DBA-558","DBA-558")</f>
        <v>DBA-558</v>
      </c>
      <c r="B4053" s="6" t="s">
        <v>21</v>
      </c>
      <c r="C4053" s="6" t="s">
        <v>16636</v>
      </c>
      <c r="D4053" s="8" t="s">
        <v>17</v>
      </c>
      <c r="E4053" s="6" t="s">
        <v>23</v>
      </c>
      <c r="F4053" s="6" t="s">
        <v>31</v>
      </c>
      <c r="G4053" s="6" t="s">
        <v>16637</v>
      </c>
      <c r="H4053" s="10">
        <v>45706</v>
      </c>
      <c r="I4053" s="6" t="s">
        <v>16638</v>
      </c>
      <c r="J4053" s="6" t="s">
        <v>55</v>
      </c>
      <c r="K4053" s="6" t="s">
        <v>55</v>
      </c>
      <c r="L4053" s="6" t="s">
        <v>328</v>
      </c>
      <c r="M4053" s="6" t="s">
        <v>16639</v>
      </c>
    </row>
    <row r="4054" spans="1:13" ht="13" x14ac:dyDescent="0.15">
      <c r="A4054" s="5" t="str">
        <f>HYPERLINK("https://onemount.atlassian.net/browse/DBA-557","DBA-557")</f>
        <v>DBA-557</v>
      </c>
      <c r="B4054" s="6" t="s">
        <v>21</v>
      </c>
      <c r="C4054" s="6" t="s">
        <v>16640</v>
      </c>
      <c r="D4054" s="8" t="s">
        <v>17</v>
      </c>
      <c r="E4054" s="6" t="s">
        <v>23</v>
      </c>
      <c r="F4054" s="6" t="s">
        <v>31</v>
      </c>
      <c r="G4054" s="6" t="s">
        <v>16641</v>
      </c>
      <c r="H4054" s="10">
        <v>45706</v>
      </c>
      <c r="I4054" s="6" t="s">
        <v>16642</v>
      </c>
      <c r="J4054" s="6" t="s">
        <v>55</v>
      </c>
      <c r="K4054" s="6" t="s">
        <v>55</v>
      </c>
      <c r="L4054" s="6" t="s">
        <v>254</v>
      </c>
      <c r="M4054" s="6" t="s">
        <v>16643</v>
      </c>
    </row>
    <row r="4055" spans="1:13" ht="13" x14ac:dyDescent="0.15">
      <c r="A4055" s="5" t="str">
        <f>HYPERLINK("https://onemount.atlassian.net/browse/DBA-556","DBA-556")</f>
        <v>DBA-556</v>
      </c>
      <c r="B4055" s="6" t="s">
        <v>21</v>
      </c>
      <c r="C4055" s="6" t="s">
        <v>16644</v>
      </c>
      <c r="D4055" s="8" t="s">
        <v>17</v>
      </c>
      <c r="E4055" s="6" t="s">
        <v>23</v>
      </c>
      <c r="F4055" s="6" t="s">
        <v>31</v>
      </c>
      <c r="G4055" s="6" t="s">
        <v>16645</v>
      </c>
      <c r="H4055" s="10">
        <v>45706</v>
      </c>
      <c r="I4055" s="6" t="s">
        <v>16646</v>
      </c>
      <c r="J4055" s="6" t="s">
        <v>55</v>
      </c>
      <c r="K4055" s="6" t="s">
        <v>35</v>
      </c>
      <c r="L4055" s="6" t="s">
        <v>49</v>
      </c>
      <c r="M4055" s="6" t="s">
        <v>16647</v>
      </c>
    </row>
    <row r="4056" spans="1:13" ht="13" x14ac:dyDescent="0.15">
      <c r="A4056" s="5" t="str">
        <f>HYPERLINK("https://onemount.atlassian.net/browse/DBA-555","DBA-555")</f>
        <v>DBA-555</v>
      </c>
      <c r="B4056" s="6" t="s">
        <v>21</v>
      </c>
      <c r="C4056" s="6" t="s">
        <v>16648</v>
      </c>
      <c r="D4056" s="8" t="s">
        <v>17</v>
      </c>
      <c r="E4056" s="6" t="s">
        <v>23</v>
      </c>
      <c r="F4056" s="6" t="s">
        <v>31</v>
      </c>
      <c r="G4056" s="6" t="s">
        <v>16649</v>
      </c>
      <c r="H4056" s="10">
        <v>45706</v>
      </c>
      <c r="I4056" s="6" t="s">
        <v>16650</v>
      </c>
      <c r="J4056" s="6" t="s">
        <v>55</v>
      </c>
      <c r="K4056" s="6" t="s">
        <v>55</v>
      </c>
      <c r="L4056" s="6" t="s">
        <v>56</v>
      </c>
      <c r="M4056" s="6" t="s">
        <v>16651</v>
      </c>
    </row>
    <row r="4057" spans="1:13" ht="13" x14ac:dyDescent="0.15">
      <c r="A4057" s="5" t="str">
        <f>HYPERLINK("https://onemount.atlassian.net/browse/DBA-554","DBA-554")</f>
        <v>DBA-554</v>
      </c>
      <c r="B4057" s="6" t="s">
        <v>21</v>
      </c>
      <c r="C4057" s="6" t="s">
        <v>16652</v>
      </c>
      <c r="D4057" s="8" t="s">
        <v>17</v>
      </c>
      <c r="E4057" s="6" t="s">
        <v>23</v>
      </c>
      <c r="F4057" s="6" t="s">
        <v>31</v>
      </c>
      <c r="G4057" s="6" t="s">
        <v>16653</v>
      </c>
      <c r="H4057" s="10">
        <v>45706</v>
      </c>
      <c r="I4057" s="6" t="s">
        <v>16654</v>
      </c>
      <c r="J4057" s="6" t="s">
        <v>55</v>
      </c>
      <c r="K4057" s="6" t="s">
        <v>35</v>
      </c>
      <c r="L4057" s="6" t="s">
        <v>962</v>
      </c>
      <c r="M4057" s="6" t="s">
        <v>16655</v>
      </c>
    </row>
    <row r="4058" spans="1:13" ht="13" x14ac:dyDescent="0.15">
      <c r="A4058" s="21" t="str">
        <f>HYPERLINK("https://onemount.atlassian.net/browse/DBA-552","DBA-552")</f>
        <v>DBA-552</v>
      </c>
      <c r="B4058" s="6" t="s">
        <v>21</v>
      </c>
      <c r="C4058" s="6" t="s">
        <v>16371</v>
      </c>
      <c r="D4058" s="8" t="s">
        <v>17</v>
      </c>
      <c r="E4058" s="6" t="s">
        <v>23</v>
      </c>
      <c r="F4058" s="6" t="s">
        <v>31</v>
      </c>
      <c r="G4058" s="6" t="s">
        <v>16656</v>
      </c>
      <c r="H4058" s="10">
        <v>45706</v>
      </c>
      <c r="I4058" s="6" t="s">
        <v>16657</v>
      </c>
      <c r="J4058" s="6" t="s">
        <v>55</v>
      </c>
      <c r="K4058" s="6" t="s">
        <v>55</v>
      </c>
      <c r="L4058" s="6" t="s">
        <v>328</v>
      </c>
      <c r="M4058" s="6" t="s">
        <v>16658</v>
      </c>
    </row>
    <row r="4059" spans="1:13" ht="13" x14ac:dyDescent="0.15">
      <c r="A4059" s="5" t="str">
        <f>HYPERLINK("https://onemount.atlassian.net/browse/DBA-550","DBA-550")</f>
        <v>DBA-550</v>
      </c>
      <c r="B4059" s="6" t="s">
        <v>21</v>
      </c>
      <c r="C4059" s="6" t="s">
        <v>16659</v>
      </c>
      <c r="D4059" s="8" t="s">
        <v>17</v>
      </c>
      <c r="E4059" s="6" t="s">
        <v>23</v>
      </c>
      <c r="F4059" s="6" t="s">
        <v>31</v>
      </c>
      <c r="G4059" s="6" t="s">
        <v>16660</v>
      </c>
      <c r="H4059" s="10">
        <v>45706</v>
      </c>
      <c r="I4059" s="6" t="s">
        <v>16661</v>
      </c>
      <c r="J4059" s="6" t="s">
        <v>55</v>
      </c>
      <c r="K4059" s="6" t="s">
        <v>35</v>
      </c>
      <c r="L4059" s="6" t="s">
        <v>293</v>
      </c>
      <c r="M4059" s="6" t="s">
        <v>16662</v>
      </c>
    </row>
    <row r="4060" spans="1:13" ht="13" x14ac:dyDescent="0.15">
      <c r="A4060" s="5" t="str">
        <f>HYPERLINK("https://onemount.atlassian.net/browse/DBA-549","DBA-549")</f>
        <v>DBA-549</v>
      </c>
      <c r="B4060" s="6" t="s">
        <v>21</v>
      </c>
      <c r="C4060" s="6" t="s">
        <v>16663</v>
      </c>
      <c r="D4060" s="8" t="s">
        <v>17</v>
      </c>
      <c r="E4060" s="6" t="s">
        <v>23</v>
      </c>
      <c r="F4060" s="6" t="s">
        <v>31</v>
      </c>
      <c r="G4060" s="6" t="s">
        <v>16664</v>
      </c>
      <c r="H4060" s="10">
        <v>45706</v>
      </c>
      <c r="I4060" s="6" t="s">
        <v>16665</v>
      </c>
      <c r="J4060" s="6" t="s">
        <v>55</v>
      </c>
      <c r="K4060" s="6" t="s">
        <v>55</v>
      </c>
      <c r="L4060" s="6" t="s">
        <v>254</v>
      </c>
      <c r="M4060" s="6" t="s">
        <v>16666</v>
      </c>
    </row>
    <row r="4061" spans="1:13" ht="13" x14ac:dyDescent="0.15">
      <c r="A4061" s="5" t="str">
        <f>HYPERLINK("https://onemount.atlassian.net/browse/DBA-548","DBA-548")</f>
        <v>DBA-548</v>
      </c>
      <c r="B4061" s="6" t="s">
        <v>21</v>
      </c>
      <c r="C4061" s="6" t="s">
        <v>16371</v>
      </c>
      <c r="D4061" s="8" t="s">
        <v>17</v>
      </c>
      <c r="E4061" s="6" t="s">
        <v>23</v>
      </c>
      <c r="F4061" s="6" t="s">
        <v>31</v>
      </c>
      <c r="G4061" s="6" t="s">
        <v>16667</v>
      </c>
      <c r="H4061" s="10">
        <v>45706</v>
      </c>
      <c r="I4061" s="6" t="s">
        <v>16668</v>
      </c>
      <c r="J4061" s="6" t="s">
        <v>55</v>
      </c>
      <c r="K4061" s="6" t="s">
        <v>55</v>
      </c>
      <c r="L4061" s="6" t="s">
        <v>328</v>
      </c>
      <c r="M4061" s="6" t="s">
        <v>16669</v>
      </c>
    </row>
    <row r="4062" spans="1:13" ht="13" x14ac:dyDescent="0.15">
      <c r="A4062" s="5" t="str">
        <f>HYPERLINK("https://onemount.atlassian.net/browse/DBA-547","DBA-547")</f>
        <v>DBA-547</v>
      </c>
      <c r="B4062" s="6" t="s">
        <v>21</v>
      </c>
      <c r="C4062" s="6" t="s">
        <v>16670</v>
      </c>
      <c r="D4062" s="8" t="s">
        <v>17</v>
      </c>
      <c r="E4062" s="6" t="s">
        <v>23</v>
      </c>
      <c r="F4062" s="6" t="s">
        <v>31</v>
      </c>
      <c r="G4062" s="6" t="s">
        <v>16671</v>
      </c>
      <c r="H4062" s="10">
        <v>45706</v>
      </c>
      <c r="I4062" s="6" t="s">
        <v>16672</v>
      </c>
      <c r="J4062" s="6" t="s">
        <v>28</v>
      </c>
      <c r="K4062" s="6" t="s">
        <v>28</v>
      </c>
      <c r="L4062" s="6" t="s">
        <v>1000</v>
      </c>
      <c r="M4062" s="6" t="s">
        <v>16673</v>
      </c>
    </row>
    <row r="4063" spans="1:13" ht="13" x14ac:dyDescent="0.15">
      <c r="A4063" s="5" t="str">
        <f>HYPERLINK("https://onemount.atlassian.net/browse/DBA-546","DBA-546")</f>
        <v>DBA-546</v>
      </c>
      <c r="B4063" s="6" t="s">
        <v>21</v>
      </c>
      <c r="C4063" s="6" t="s">
        <v>16674</v>
      </c>
      <c r="D4063" s="8" t="s">
        <v>17</v>
      </c>
      <c r="E4063" s="6" t="s">
        <v>23</v>
      </c>
      <c r="F4063" s="6" t="s">
        <v>31</v>
      </c>
      <c r="G4063" s="6" t="s">
        <v>16675</v>
      </c>
      <c r="H4063" s="10">
        <v>45706</v>
      </c>
      <c r="I4063" s="6" t="s">
        <v>16676</v>
      </c>
      <c r="J4063" s="6" t="s">
        <v>165</v>
      </c>
      <c r="K4063" s="6" t="s">
        <v>165</v>
      </c>
      <c r="L4063" s="6" t="s">
        <v>338</v>
      </c>
      <c r="M4063" s="6" t="s">
        <v>16677</v>
      </c>
    </row>
    <row r="4064" spans="1:13" ht="13" x14ac:dyDescent="0.15">
      <c r="A4064" s="5" t="str">
        <f>HYPERLINK("https://onemount.atlassian.net/browse/DBA-545","DBA-545")</f>
        <v>DBA-545</v>
      </c>
      <c r="B4064" s="6" t="s">
        <v>21</v>
      </c>
      <c r="C4064" s="6" t="s">
        <v>16678</v>
      </c>
      <c r="D4064" s="8" t="s">
        <v>17</v>
      </c>
      <c r="E4064" s="6" t="s">
        <v>23</v>
      </c>
      <c r="F4064" s="6" t="s">
        <v>31</v>
      </c>
      <c r="G4064" s="6" t="s">
        <v>16679</v>
      </c>
      <c r="H4064" s="10">
        <v>45706</v>
      </c>
      <c r="I4064" s="6" t="s">
        <v>16680</v>
      </c>
      <c r="J4064" s="6" t="s">
        <v>55</v>
      </c>
      <c r="K4064" s="6" t="s">
        <v>35</v>
      </c>
      <c r="L4064" s="6" t="s">
        <v>962</v>
      </c>
      <c r="M4064" s="6" t="s">
        <v>16681</v>
      </c>
    </row>
    <row r="4065" spans="1:13" ht="13" x14ac:dyDescent="0.15">
      <c r="A4065" s="5" t="str">
        <f>HYPERLINK("https://onemount.atlassian.net/browse/DBA-544","DBA-544")</f>
        <v>DBA-544</v>
      </c>
      <c r="B4065" s="6" t="s">
        <v>21</v>
      </c>
      <c r="C4065" s="6" t="s">
        <v>16682</v>
      </c>
      <c r="D4065" s="8" t="s">
        <v>17</v>
      </c>
      <c r="E4065" s="6" t="s">
        <v>23</v>
      </c>
      <c r="F4065" s="6" t="s">
        <v>31</v>
      </c>
      <c r="G4065" s="6" t="s">
        <v>16683</v>
      </c>
      <c r="H4065" s="10">
        <v>45706</v>
      </c>
      <c r="I4065" s="6" t="s">
        <v>16684</v>
      </c>
      <c r="J4065" s="6" t="s">
        <v>165</v>
      </c>
      <c r="K4065" s="6" t="s">
        <v>165</v>
      </c>
      <c r="L4065" s="6" t="s">
        <v>1073</v>
      </c>
      <c r="M4065" s="6" t="s">
        <v>16685</v>
      </c>
    </row>
    <row r="4066" spans="1:13" ht="13" x14ac:dyDescent="0.15">
      <c r="A4066" s="5" t="str">
        <f>HYPERLINK("https://onemount.atlassian.net/browse/DBA-543","DBA-543")</f>
        <v>DBA-543</v>
      </c>
      <c r="B4066" s="6" t="s">
        <v>21</v>
      </c>
      <c r="C4066" s="6" t="s">
        <v>3967</v>
      </c>
      <c r="D4066" s="8" t="s">
        <v>17</v>
      </c>
      <c r="E4066" s="6" t="s">
        <v>23</v>
      </c>
      <c r="F4066" s="6" t="s">
        <v>31</v>
      </c>
      <c r="G4066" s="6" t="s">
        <v>16686</v>
      </c>
      <c r="H4066" s="10">
        <v>45706</v>
      </c>
      <c r="I4066" s="6" t="s">
        <v>16687</v>
      </c>
      <c r="J4066" s="6" t="s">
        <v>28</v>
      </c>
      <c r="K4066" s="6" t="s">
        <v>28</v>
      </c>
      <c r="L4066" s="6" t="s">
        <v>1000</v>
      </c>
      <c r="M4066" s="6" t="s">
        <v>16688</v>
      </c>
    </row>
    <row r="4067" spans="1:13" ht="13" x14ac:dyDescent="0.15">
      <c r="A4067" s="5" t="str">
        <f>HYPERLINK("https://onemount.atlassian.net/browse/DBA-542","DBA-542")</f>
        <v>DBA-542</v>
      </c>
      <c r="B4067" s="6" t="s">
        <v>21</v>
      </c>
      <c r="C4067" s="6" t="s">
        <v>16689</v>
      </c>
      <c r="D4067" s="8" t="s">
        <v>17</v>
      </c>
      <c r="E4067" s="6" t="s">
        <v>23</v>
      </c>
      <c r="F4067" s="6" t="s">
        <v>31</v>
      </c>
      <c r="G4067" s="6" t="s">
        <v>16690</v>
      </c>
      <c r="H4067" s="10">
        <v>45706</v>
      </c>
      <c r="I4067" s="6" t="s">
        <v>16691</v>
      </c>
      <c r="J4067" s="6" t="s">
        <v>55</v>
      </c>
      <c r="K4067" s="6" t="s">
        <v>55</v>
      </c>
      <c r="L4067" s="6" t="s">
        <v>254</v>
      </c>
      <c r="M4067" s="6" t="s">
        <v>16692</v>
      </c>
    </row>
    <row r="4068" spans="1:13" ht="13" x14ac:dyDescent="0.15">
      <c r="A4068" s="5" t="str">
        <f>HYPERLINK("https://onemount.atlassian.net/browse/DBA-541","DBA-541")</f>
        <v>DBA-541</v>
      </c>
      <c r="B4068" s="6" t="s">
        <v>21</v>
      </c>
      <c r="C4068" s="6" t="s">
        <v>16693</v>
      </c>
      <c r="D4068" s="8" t="s">
        <v>17</v>
      </c>
      <c r="E4068" s="6" t="s">
        <v>23</v>
      </c>
      <c r="F4068" s="6" t="s">
        <v>31</v>
      </c>
      <c r="G4068" s="6" t="s">
        <v>16694</v>
      </c>
      <c r="H4068" s="10">
        <v>45706</v>
      </c>
      <c r="I4068" s="6" t="s">
        <v>16695</v>
      </c>
      <c r="J4068" s="6" t="s">
        <v>28</v>
      </c>
      <c r="K4068" s="6" t="s">
        <v>28</v>
      </c>
      <c r="L4068" s="6" t="s">
        <v>719</v>
      </c>
      <c r="M4068" s="6" t="s">
        <v>16696</v>
      </c>
    </row>
    <row r="4069" spans="1:13" ht="13" x14ac:dyDescent="0.15">
      <c r="A4069" s="5" t="str">
        <f>HYPERLINK("https://onemount.atlassian.net/browse/DBA-539","DBA-539")</f>
        <v>DBA-539</v>
      </c>
      <c r="B4069" s="6" t="s">
        <v>21</v>
      </c>
      <c r="C4069" s="6" t="s">
        <v>16621</v>
      </c>
      <c r="D4069" s="8" t="s">
        <v>17</v>
      </c>
      <c r="E4069" s="6" t="s">
        <v>23</v>
      </c>
      <c r="F4069" s="6" t="s">
        <v>31</v>
      </c>
      <c r="G4069" s="6" t="s">
        <v>16697</v>
      </c>
      <c r="H4069" s="10">
        <v>45706</v>
      </c>
      <c r="I4069" s="6" t="s">
        <v>16698</v>
      </c>
      <c r="J4069" s="6" t="s">
        <v>55</v>
      </c>
      <c r="K4069" s="6" t="s">
        <v>35</v>
      </c>
      <c r="L4069" s="6" t="s">
        <v>49</v>
      </c>
      <c r="M4069" s="6" t="s">
        <v>16699</v>
      </c>
    </row>
    <row r="4070" spans="1:13" ht="13" x14ac:dyDescent="0.15">
      <c r="A4070" s="5" t="str">
        <f>HYPERLINK("https://onemount.atlassian.net/browse/DBA-538","DBA-538")</f>
        <v>DBA-538</v>
      </c>
      <c r="B4070" s="6" t="s">
        <v>21</v>
      </c>
      <c r="C4070" s="6" t="s">
        <v>16700</v>
      </c>
      <c r="D4070" s="8" t="s">
        <v>17</v>
      </c>
      <c r="E4070" s="6" t="s">
        <v>23</v>
      </c>
      <c r="F4070" s="6" t="s">
        <v>31</v>
      </c>
      <c r="G4070" s="6" t="s">
        <v>16701</v>
      </c>
      <c r="H4070" s="10">
        <v>45706</v>
      </c>
      <c r="I4070" s="6" t="s">
        <v>16702</v>
      </c>
      <c r="J4070" s="6" t="s">
        <v>55</v>
      </c>
      <c r="K4070" s="6" t="s">
        <v>55</v>
      </c>
      <c r="L4070" s="6" t="s">
        <v>254</v>
      </c>
      <c r="M4070" s="6" t="s">
        <v>16703</v>
      </c>
    </row>
    <row r="4071" spans="1:13" ht="13" x14ac:dyDescent="0.15">
      <c r="A4071" s="5" t="str">
        <f>HYPERLINK("https://onemount.atlassian.net/browse/DBA-537","DBA-537")</f>
        <v>DBA-537</v>
      </c>
      <c r="B4071" s="6" t="s">
        <v>21</v>
      </c>
      <c r="C4071" s="6" t="s">
        <v>16704</v>
      </c>
      <c r="D4071" s="8" t="s">
        <v>17</v>
      </c>
      <c r="E4071" s="6" t="s">
        <v>23</v>
      </c>
      <c r="F4071" s="6" t="s">
        <v>31</v>
      </c>
      <c r="G4071" s="6" t="s">
        <v>16705</v>
      </c>
      <c r="H4071" s="10">
        <v>45706</v>
      </c>
      <c r="I4071" s="6" t="s">
        <v>16706</v>
      </c>
      <c r="J4071" s="6" t="s">
        <v>165</v>
      </c>
      <c r="K4071" s="6" t="s">
        <v>165</v>
      </c>
      <c r="L4071" s="6" t="s">
        <v>39</v>
      </c>
      <c r="M4071" s="6" t="s">
        <v>16707</v>
      </c>
    </row>
    <row r="4072" spans="1:13" ht="13" x14ac:dyDescent="0.15">
      <c r="A4072" s="5" t="str">
        <f>HYPERLINK("https://onemount.atlassian.net/browse/DBA-536","DBA-536")</f>
        <v>DBA-536</v>
      </c>
      <c r="B4072" s="6" t="s">
        <v>21</v>
      </c>
      <c r="C4072" s="6" t="s">
        <v>16708</v>
      </c>
      <c r="D4072" s="8" t="s">
        <v>17</v>
      </c>
      <c r="E4072" s="6" t="s">
        <v>23</v>
      </c>
      <c r="F4072" s="6" t="s">
        <v>31</v>
      </c>
      <c r="G4072" s="6" t="s">
        <v>16709</v>
      </c>
      <c r="H4072" s="10">
        <v>45706</v>
      </c>
      <c r="I4072" s="6" t="s">
        <v>16710</v>
      </c>
      <c r="J4072" s="6" t="s">
        <v>55</v>
      </c>
      <c r="K4072" s="6" t="s">
        <v>55</v>
      </c>
      <c r="L4072" s="6" t="s">
        <v>906</v>
      </c>
      <c r="M4072" s="6" t="s">
        <v>16711</v>
      </c>
    </row>
    <row r="4073" spans="1:13" ht="13" x14ac:dyDescent="0.15">
      <c r="A4073" s="5" t="str">
        <f>HYPERLINK("https://onemount.atlassian.net/browse/DBA-534","DBA-534")</f>
        <v>DBA-534</v>
      </c>
      <c r="B4073" s="6" t="s">
        <v>21</v>
      </c>
      <c r="C4073" s="6" t="s">
        <v>16712</v>
      </c>
      <c r="D4073" s="8" t="s">
        <v>17</v>
      </c>
      <c r="E4073" s="6" t="s">
        <v>23</v>
      </c>
      <c r="F4073" s="6" t="s">
        <v>31</v>
      </c>
      <c r="G4073" s="6" t="s">
        <v>16713</v>
      </c>
      <c r="H4073" s="10">
        <v>45706</v>
      </c>
      <c r="I4073" s="6" t="s">
        <v>16714</v>
      </c>
      <c r="J4073" s="6" t="s">
        <v>55</v>
      </c>
      <c r="K4073" s="6" t="s">
        <v>55</v>
      </c>
      <c r="L4073" s="6" t="s">
        <v>254</v>
      </c>
      <c r="M4073" s="6" t="s">
        <v>16715</v>
      </c>
    </row>
    <row r="4074" spans="1:13" ht="13" x14ac:dyDescent="0.15">
      <c r="A4074" s="5" t="str">
        <f>HYPERLINK("https://onemount.atlassian.net/browse/DBA-533","DBA-533")</f>
        <v>DBA-533</v>
      </c>
      <c r="B4074" s="6" t="s">
        <v>21</v>
      </c>
      <c r="C4074" s="6" t="s">
        <v>16371</v>
      </c>
      <c r="D4074" s="8" t="s">
        <v>17</v>
      </c>
      <c r="E4074" s="6" t="s">
        <v>23</v>
      </c>
      <c r="F4074" s="6" t="s">
        <v>31</v>
      </c>
      <c r="G4074" s="6" t="s">
        <v>16716</v>
      </c>
      <c r="H4074" s="10">
        <v>45706</v>
      </c>
      <c r="I4074" s="6" t="s">
        <v>16717</v>
      </c>
      <c r="J4074" s="6" t="s">
        <v>55</v>
      </c>
      <c r="K4074" s="6" t="s">
        <v>55</v>
      </c>
      <c r="L4074" s="6" t="s">
        <v>906</v>
      </c>
      <c r="M4074" s="6" t="s">
        <v>16718</v>
      </c>
    </row>
    <row r="4075" spans="1:13" ht="13" x14ac:dyDescent="0.15">
      <c r="A4075" s="5" t="str">
        <f>HYPERLINK("https://onemount.atlassian.net/browse/DBA-531","DBA-531")</f>
        <v>DBA-531</v>
      </c>
      <c r="B4075" s="6" t="s">
        <v>21</v>
      </c>
      <c r="C4075" s="6" t="s">
        <v>16719</v>
      </c>
      <c r="D4075" s="8" t="s">
        <v>17</v>
      </c>
      <c r="E4075" s="6" t="s">
        <v>23</v>
      </c>
      <c r="F4075" s="6" t="s">
        <v>31</v>
      </c>
      <c r="G4075" s="6" t="s">
        <v>16720</v>
      </c>
      <c r="H4075" s="10">
        <v>45706</v>
      </c>
      <c r="I4075" s="6" t="s">
        <v>16721</v>
      </c>
      <c r="J4075" s="6" t="s">
        <v>55</v>
      </c>
      <c r="K4075" s="6" t="s">
        <v>35</v>
      </c>
      <c r="L4075" s="6" t="s">
        <v>56</v>
      </c>
      <c r="M4075" s="6" t="s">
        <v>16722</v>
      </c>
    </row>
    <row r="4076" spans="1:13" ht="13" x14ac:dyDescent="0.15">
      <c r="A4076" s="5" t="str">
        <f>HYPERLINK("https://onemount.atlassian.net/browse/DBA-530","DBA-530")</f>
        <v>DBA-530</v>
      </c>
      <c r="B4076" s="6" t="s">
        <v>21</v>
      </c>
      <c r="C4076" s="6" t="s">
        <v>16371</v>
      </c>
      <c r="D4076" s="8" t="s">
        <v>17</v>
      </c>
      <c r="E4076" s="6" t="s">
        <v>23</v>
      </c>
      <c r="F4076" s="6" t="s">
        <v>31</v>
      </c>
      <c r="G4076" s="6" t="s">
        <v>16723</v>
      </c>
      <c r="H4076" s="10">
        <v>45706</v>
      </c>
      <c r="I4076" s="6" t="s">
        <v>16724</v>
      </c>
      <c r="J4076" s="6" t="s">
        <v>55</v>
      </c>
      <c r="K4076" s="6" t="s">
        <v>55</v>
      </c>
      <c r="L4076" s="6" t="s">
        <v>906</v>
      </c>
      <c r="M4076" s="6" t="s">
        <v>16725</v>
      </c>
    </row>
    <row r="4077" spans="1:13" ht="13" x14ac:dyDescent="0.15">
      <c r="A4077" s="5" t="str">
        <f>HYPERLINK("https://onemount.atlassian.net/browse/DBA-529","DBA-529")</f>
        <v>DBA-529</v>
      </c>
      <c r="B4077" s="6" t="s">
        <v>21</v>
      </c>
      <c r="C4077" s="6" t="s">
        <v>16726</v>
      </c>
      <c r="D4077" s="8" t="s">
        <v>17</v>
      </c>
      <c r="E4077" s="6" t="s">
        <v>23</v>
      </c>
      <c r="F4077" s="6" t="s">
        <v>31</v>
      </c>
      <c r="G4077" s="6" t="s">
        <v>16727</v>
      </c>
      <c r="H4077" s="10">
        <v>45706</v>
      </c>
      <c r="I4077" s="6" t="s">
        <v>16728</v>
      </c>
      <c r="J4077" s="6" t="s">
        <v>55</v>
      </c>
      <c r="K4077" s="6" t="s">
        <v>35</v>
      </c>
      <c r="L4077" s="6" t="s">
        <v>638</v>
      </c>
      <c r="M4077" s="6" t="s">
        <v>16729</v>
      </c>
    </row>
    <row r="4078" spans="1:13" ht="13" x14ac:dyDescent="0.15">
      <c r="A4078" s="5" t="str">
        <f>HYPERLINK("https://onemount.atlassian.net/browse/DBA-528","DBA-528")</f>
        <v>DBA-528</v>
      </c>
      <c r="B4078" s="6" t="s">
        <v>21</v>
      </c>
      <c r="C4078" s="6" t="s">
        <v>16371</v>
      </c>
      <c r="D4078" s="8" t="s">
        <v>17</v>
      </c>
      <c r="E4078" s="6" t="s">
        <v>23</v>
      </c>
      <c r="F4078" s="6" t="s">
        <v>31</v>
      </c>
      <c r="G4078" s="6" t="s">
        <v>16730</v>
      </c>
      <c r="H4078" s="10">
        <v>45706</v>
      </c>
      <c r="I4078" s="6" t="s">
        <v>16731</v>
      </c>
      <c r="J4078" s="6" t="s">
        <v>55</v>
      </c>
      <c r="K4078" s="6" t="s">
        <v>55</v>
      </c>
      <c r="L4078" s="6" t="s">
        <v>328</v>
      </c>
      <c r="M4078" s="6" t="s">
        <v>16732</v>
      </c>
    </row>
    <row r="4079" spans="1:13" ht="13" x14ac:dyDescent="0.15">
      <c r="A4079" s="5" t="str">
        <f>HYPERLINK("https://onemount.atlassian.net/browse/DBA-527","DBA-527")</f>
        <v>DBA-527</v>
      </c>
      <c r="B4079" s="6" t="s">
        <v>21</v>
      </c>
      <c r="C4079" s="6" t="s">
        <v>16733</v>
      </c>
      <c r="D4079" s="8" t="s">
        <v>17</v>
      </c>
      <c r="E4079" s="6" t="s">
        <v>23</v>
      </c>
      <c r="F4079" s="6" t="s">
        <v>31</v>
      </c>
      <c r="G4079" s="6" t="s">
        <v>16734</v>
      </c>
      <c r="H4079" s="10">
        <v>45706</v>
      </c>
      <c r="I4079" s="6" t="s">
        <v>16735</v>
      </c>
      <c r="J4079" s="6" t="s">
        <v>28</v>
      </c>
      <c r="K4079" s="6" t="s">
        <v>28</v>
      </c>
      <c r="L4079" s="6" t="s">
        <v>1000</v>
      </c>
      <c r="M4079" s="6" t="s">
        <v>16736</v>
      </c>
    </row>
    <row r="4080" spans="1:13" ht="13" x14ac:dyDescent="0.15">
      <c r="A4080" s="5" t="str">
        <f>HYPERLINK("https://onemount.atlassian.net/browse/DBA-526","DBA-526")</f>
        <v>DBA-526</v>
      </c>
      <c r="B4080" s="6" t="s">
        <v>21</v>
      </c>
      <c r="C4080" s="6" t="s">
        <v>16371</v>
      </c>
      <c r="D4080" s="8" t="s">
        <v>17</v>
      </c>
      <c r="E4080" s="6" t="s">
        <v>23</v>
      </c>
      <c r="F4080" s="6" t="s">
        <v>31</v>
      </c>
      <c r="G4080" s="6" t="s">
        <v>16737</v>
      </c>
      <c r="H4080" s="10">
        <v>45706</v>
      </c>
      <c r="I4080" s="6" t="s">
        <v>16738</v>
      </c>
      <c r="J4080" s="6" t="s">
        <v>55</v>
      </c>
      <c r="K4080" s="6" t="s">
        <v>55</v>
      </c>
      <c r="L4080" s="6" t="s">
        <v>328</v>
      </c>
      <c r="M4080" s="6" t="s">
        <v>16739</v>
      </c>
    </row>
    <row r="4081" spans="1:13" ht="13" x14ac:dyDescent="0.15">
      <c r="A4081" s="5" t="str">
        <f>HYPERLINK("https://onemount.atlassian.net/browse/DBA-525","DBA-525")</f>
        <v>DBA-525</v>
      </c>
      <c r="B4081" s="6" t="s">
        <v>21</v>
      </c>
      <c r="C4081" s="6" t="s">
        <v>16371</v>
      </c>
      <c r="D4081" s="8" t="s">
        <v>17</v>
      </c>
      <c r="E4081" s="6" t="s">
        <v>23</v>
      </c>
      <c r="F4081" s="6" t="s">
        <v>31</v>
      </c>
      <c r="G4081" s="6" t="s">
        <v>16740</v>
      </c>
      <c r="H4081" s="10">
        <v>45706</v>
      </c>
      <c r="I4081" s="6" t="s">
        <v>16741</v>
      </c>
      <c r="J4081" s="6" t="s">
        <v>55</v>
      </c>
      <c r="K4081" s="6" t="s">
        <v>55</v>
      </c>
      <c r="L4081" s="6" t="s">
        <v>328</v>
      </c>
      <c r="M4081" s="6" t="s">
        <v>16742</v>
      </c>
    </row>
    <row r="4082" spans="1:13" ht="13" x14ac:dyDescent="0.15">
      <c r="A4082" s="5" t="str">
        <f>HYPERLINK("https://onemount.atlassian.net/browse/DBA-524","DBA-524")</f>
        <v>DBA-524</v>
      </c>
      <c r="B4082" s="6" t="s">
        <v>21</v>
      </c>
      <c r="C4082" s="6" t="s">
        <v>16743</v>
      </c>
      <c r="D4082" s="8" t="s">
        <v>17</v>
      </c>
      <c r="E4082" s="6" t="s">
        <v>23</v>
      </c>
      <c r="F4082" s="6" t="s">
        <v>31</v>
      </c>
      <c r="G4082" s="6" t="s">
        <v>16744</v>
      </c>
      <c r="H4082" s="10">
        <v>45706</v>
      </c>
      <c r="I4082" s="6" t="s">
        <v>16745</v>
      </c>
      <c r="J4082" s="6" t="s">
        <v>55</v>
      </c>
      <c r="K4082" s="6" t="s">
        <v>55</v>
      </c>
      <c r="L4082" s="6" t="s">
        <v>254</v>
      </c>
      <c r="M4082" s="6" t="s">
        <v>16746</v>
      </c>
    </row>
    <row r="4083" spans="1:13" ht="13" x14ac:dyDescent="0.15">
      <c r="A4083" s="5" t="str">
        <f>HYPERLINK("https://onemount.atlassian.net/browse/DBA-523","DBA-523")</f>
        <v>DBA-523</v>
      </c>
      <c r="B4083" s="6" t="s">
        <v>21</v>
      </c>
      <c r="C4083" s="6" t="s">
        <v>16747</v>
      </c>
      <c r="D4083" s="8" t="s">
        <v>17</v>
      </c>
      <c r="E4083" s="6" t="s">
        <v>23</v>
      </c>
      <c r="F4083" s="6" t="s">
        <v>31</v>
      </c>
      <c r="G4083" s="6" t="s">
        <v>16748</v>
      </c>
      <c r="H4083" s="10">
        <v>45706</v>
      </c>
      <c r="I4083" s="6" t="s">
        <v>16749</v>
      </c>
      <c r="J4083" s="6" t="s">
        <v>55</v>
      </c>
      <c r="K4083" s="6" t="s">
        <v>55</v>
      </c>
      <c r="L4083" s="6" t="s">
        <v>906</v>
      </c>
      <c r="M4083" s="6" t="s">
        <v>16750</v>
      </c>
    </row>
    <row r="4084" spans="1:13" ht="13" x14ac:dyDescent="0.15">
      <c r="A4084" s="5" t="str">
        <f>HYPERLINK("https://onemount.atlassian.net/browse/DBA-522","DBA-522")</f>
        <v>DBA-522</v>
      </c>
      <c r="B4084" s="6" t="s">
        <v>21</v>
      </c>
      <c r="C4084" s="6" t="s">
        <v>16751</v>
      </c>
      <c r="D4084" s="8" t="s">
        <v>17</v>
      </c>
      <c r="E4084" s="6" t="s">
        <v>23</v>
      </c>
      <c r="F4084" s="6" t="s">
        <v>31</v>
      </c>
      <c r="G4084" s="6" t="s">
        <v>16752</v>
      </c>
      <c r="H4084" s="10">
        <v>45706</v>
      </c>
      <c r="I4084" s="6" t="s">
        <v>16753</v>
      </c>
      <c r="J4084" s="6" t="s">
        <v>28</v>
      </c>
      <c r="K4084" s="6" t="s">
        <v>28</v>
      </c>
      <c r="L4084" s="6" t="s">
        <v>1129</v>
      </c>
      <c r="M4084" s="6" t="s">
        <v>16754</v>
      </c>
    </row>
    <row r="4085" spans="1:13" ht="13" x14ac:dyDescent="0.15">
      <c r="A4085" s="5" t="str">
        <f>HYPERLINK("https://onemount.atlassian.net/browse/DBA-521","DBA-521")</f>
        <v>DBA-521</v>
      </c>
      <c r="B4085" s="6" t="s">
        <v>21</v>
      </c>
      <c r="C4085" s="6" t="s">
        <v>16755</v>
      </c>
      <c r="D4085" s="8" t="s">
        <v>17</v>
      </c>
      <c r="E4085" s="6" t="s">
        <v>23</v>
      </c>
      <c r="F4085" s="6" t="s">
        <v>31</v>
      </c>
      <c r="G4085" s="6" t="s">
        <v>16756</v>
      </c>
      <c r="H4085" s="10">
        <v>45706</v>
      </c>
      <c r="I4085" s="6" t="s">
        <v>16757</v>
      </c>
      <c r="J4085" s="6" t="s">
        <v>28</v>
      </c>
      <c r="K4085" s="6" t="s">
        <v>28</v>
      </c>
      <c r="L4085" s="6" t="s">
        <v>1000</v>
      </c>
      <c r="M4085" s="6" t="s">
        <v>16758</v>
      </c>
    </row>
    <row r="4086" spans="1:13" ht="13" x14ac:dyDescent="0.15">
      <c r="A4086" s="5" t="str">
        <f>HYPERLINK("https://onemount.atlassian.net/browse/DBA-520","DBA-520")</f>
        <v>DBA-520</v>
      </c>
      <c r="B4086" s="6" t="s">
        <v>21</v>
      </c>
      <c r="C4086" s="6" t="s">
        <v>16759</v>
      </c>
      <c r="D4086" s="8" t="s">
        <v>17</v>
      </c>
      <c r="E4086" s="6" t="s">
        <v>23</v>
      </c>
      <c r="F4086" s="6" t="s">
        <v>31</v>
      </c>
      <c r="G4086" s="6" t="s">
        <v>16760</v>
      </c>
      <c r="H4086" s="10">
        <v>45706</v>
      </c>
      <c r="I4086" s="6" t="s">
        <v>16761</v>
      </c>
      <c r="J4086" s="6" t="s">
        <v>55</v>
      </c>
      <c r="K4086" s="6" t="s">
        <v>35</v>
      </c>
      <c r="L4086" s="6" t="s">
        <v>489</v>
      </c>
      <c r="M4086" s="6" t="s">
        <v>16762</v>
      </c>
    </row>
    <row r="4087" spans="1:13" ht="13" x14ac:dyDescent="0.15">
      <c r="A4087" s="5" t="str">
        <f>HYPERLINK("https://onemount.atlassian.net/browse/DBA-519","DBA-519")</f>
        <v>DBA-519</v>
      </c>
      <c r="B4087" s="6" t="s">
        <v>21</v>
      </c>
      <c r="C4087" s="6" t="s">
        <v>16763</v>
      </c>
      <c r="D4087" s="8" t="s">
        <v>17</v>
      </c>
      <c r="E4087" s="6" t="s">
        <v>23</v>
      </c>
      <c r="F4087" s="6" t="s">
        <v>24</v>
      </c>
      <c r="G4087" s="6" t="s">
        <v>16764</v>
      </c>
      <c r="H4087" s="10">
        <v>45705</v>
      </c>
      <c r="I4087" s="6" t="s">
        <v>16765</v>
      </c>
      <c r="J4087" s="6" t="s">
        <v>165</v>
      </c>
      <c r="K4087" s="6" t="s">
        <v>165</v>
      </c>
      <c r="L4087" s="6" t="s">
        <v>39</v>
      </c>
      <c r="M4087" s="6" t="s">
        <v>16766</v>
      </c>
    </row>
    <row r="4088" spans="1:13" ht="13" x14ac:dyDescent="0.15">
      <c r="A4088" s="5" t="str">
        <f>HYPERLINK("https://onemount.atlassian.net/browse/DBA-517","DBA-517")</f>
        <v>DBA-517</v>
      </c>
      <c r="B4088" s="23" t="str">
        <f>HYPERLINK("https://onemount.atlassian.net/browse/DBA-493","DBA-493")</f>
        <v>DBA-493</v>
      </c>
      <c r="C4088" s="6" t="s">
        <v>16767</v>
      </c>
      <c r="D4088" s="8" t="s">
        <v>17</v>
      </c>
      <c r="E4088" s="6" t="s">
        <v>428</v>
      </c>
      <c r="F4088" s="6" t="s">
        <v>31</v>
      </c>
      <c r="G4088" s="6" t="s">
        <v>16768</v>
      </c>
      <c r="H4088" s="10">
        <v>45711</v>
      </c>
      <c r="I4088" s="6" t="s">
        <v>16769</v>
      </c>
      <c r="J4088" s="6" t="s">
        <v>55</v>
      </c>
      <c r="K4088" s="6" t="s">
        <v>35</v>
      </c>
      <c r="L4088" s="6" t="s">
        <v>36</v>
      </c>
      <c r="M4088" s="6" t="s">
        <v>16770</v>
      </c>
    </row>
    <row r="4089" spans="1:13" ht="13" x14ac:dyDescent="0.15">
      <c r="A4089" s="21" t="str">
        <f>HYPERLINK("https://onemount.atlassian.net/browse/DBA-514","DBA-514")</f>
        <v>DBA-514</v>
      </c>
      <c r="B4089" s="6" t="s">
        <v>21</v>
      </c>
      <c r="C4089" s="6" t="s">
        <v>16334</v>
      </c>
      <c r="D4089" s="8" t="s">
        <v>17</v>
      </c>
      <c r="E4089" s="6" t="s">
        <v>23</v>
      </c>
      <c r="F4089" s="6" t="s">
        <v>31</v>
      </c>
      <c r="G4089" s="6" t="s">
        <v>16771</v>
      </c>
      <c r="H4089" s="10">
        <v>45704</v>
      </c>
      <c r="I4089" s="6" t="s">
        <v>16772</v>
      </c>
      <c r="J4089" s="6" t="s">
        <v>55</v>
      </c>
      <c r="K4089" s="6" t="s">
        <v>55</v>
      </c>
      <c r="L4089" s="6" t="s">
        <v>254</v>
      </c>
      <c r="M4089" s="6" t="s">
        <v>16337</v>
      </c>
    </row>
    <row r="4090" spans="1:13" ht="13" x14ac:dyDescent="0.15">
      <c r="A4090" s="5" t="str">
        <f>HYPERLINK("https://onemount.atlassian.net/browse/DBA-513","DBA-513")</f>
        <v>DBA-513</v>
      </c>
      <c r="B4090" s="6" t="s">
        <v>21</v>
      </c>
      <c r="C4090" s="6" t="s">
        <v>16773</v>
      </c>
      <c r="D4090" s="8" t="s">
        <v>17</v>
      </c>
      <c r="E4090" s="6" t="s">
        <v>23</v>
      </c>
      <c r="F4090" s="6" t="s">
        <v>96</v>
      </c>
      <c r="G4090" s="6" t="s">
        <v>16774</v>
      </c>
      <c r="H4090" s="10">
        <v>45721</v>
      </c>
      <c r="I4090" s="6" t="s">
        <v>16775</v>
      </c>
      <c r="J4090" s="6" t="s">
        <v>164</v>
      </c>
      <c r="K4090" s="6" t="s">
        <v>46</v>
      </c>
      <c r="L4090" s="6" t="s">
        <v>164</v>
      </c>
      <c r="M4090" s="6" t="s">
        <v>16776</v>
      </c>
    </row>
    <row r="4091" spans="1:13" ht="13" x14ac:dyDescent="0.15">
      <c r="A4091" s="5" t="str">
        <f>HYPERLINK("https://onemount.atlassian.net/browse/DBA-512","DBA-512")</f>
        <v>DBA-512</v>
      </c>
      <c r="B4091" s="6" t="s">
        <v>21</v>
      </c>
      <c r="C4091" s="6" t="s">
        <v>16777</v>
      </c>
      <c r="D4091" s="8" t="s">
        <v>17</v>
      </c>
      <c r="E4091" s="6" t="s">
        <v>23</v>
      </c>
      <c r="F4091" s="6" t="s">
        <v>96</v>
      </c>
      <c r="G4091" s="6" t="s">
        <v>16778</v>
      </c>
      <c r="H4091" s="10">
        <v>45707</v>
      </c>
      <c r="I4091" s="6" t="s">
        <v>16779</v>
      </c>
      <c r="J4091" s="6" t="s">
        <v>165</v>
      </c>
      <c r="K4091" s="6" t="s">
        <v>165</v>
      </c>
      <c r="L4091" s="6" t="s">
        <v>1091</v>
      </c>
      <c r="M4091" s="6" t="s">
        <v>16780</v>
      </c>
    </row>
    <row r="4092" spans="1:13" ht="13" x14ac:dyDescent="0.15">
      <c r="A4092" s="21" t="str">
        <f>HYPERLINK("https://onemount.atlassian.net/browse/DBA-511","DBA-511")</f>
        <v>DBA-511</v>
      </c>
      <c r="B4092" s="6" t="s">
        <v>21</v>
      </c>
      <c r="C4092" s="6" t="s">
        <v>15127</v>
      </c>
      <c r="D4092" s="8" t="s">
        <v>17</v>
      </c>
      <c r="E4092" s="6" t="s">
        <v>23</v>
      </c>
      <c r="F4092" s="6" t="s">
        <v>24</v>
      </c>
      <c r="G4092" s="6" t="s">
        <v>16781</v>
      </c>
      <c r="H4092" s="10">
        <v>45703</v>
      </c>
      <c r="I4092" s="6" t="s">
        <v>16782</v>
      </c>
      <c r="J4092" s="6" t="s">
        <v>55</v>
      </c>
      <c r="K4092" s="6" t="s">
        <v>55</v>
      </c>
      <c r="L4092" s="6" t="s">
        <v>906</v>
      </c>
      <c r="M4092" s="6" t="s">
        <v>15836</v>
      </c>
    </row>
    <row r="4093" spans="1:13" ht="13" x14ac:dyDescent="0.15">
      <c r="A4093" s="5" t="str">
        <f>HYPERLINK("https://onemount.atlassian.net/browse/DBA-510","DBA-510")</f>
        <v>DBA-510</v>
      </c>
      <c r="B4093" s="6" t="s">
        <v>21</v>
      </c>
      <c r="C4093" s="6" t="s">
        <v>16783</v>
      </c>
      <c r="D4093" s="8" t="s">
        <v>17</v>
      </c>
      <c r="E4093" s="6" t="s">
        <v>23</v>
      </c>
      <c r="F4093" s="6" t="s">
        <v>96</v>
      </c>
      <c r="G4093" s="6" t="s">
        <v>16784</v>
      </c>
      <c r="H4093" s="10">
        <v>45707</v>
      </c>
      <c r="I4093" s="6" t="s">
        <v>16785</v>
      </c>
      <c r="J4093" s="6" t="s">
        <v>165</v>
      </c>
      <c r="K4093" s="6" t="s">
        <v>165</v>
      </c>
      <c r="L4093" s="6" t="s">
        <v>715</v>
      </c>
      <c r="M4093" s="6" t="s">
        <v>16786</v>
      </c>
    </row>
    <row r="4094" spans="1:13" ht="13" x14ac:dyDescent="0.15">
      <c r="A4094" s="5" t="str">
        <f>HYPERLINK("https://onemount.atlassian.net/browse/DBA-508","DBA-508")</f>
        <v>DBA-508</v>
      </c>
      <c r="B4094" s="6" t="s">
        <v>21</v>
      </c>
      <c r="C4094" s="6" t="s">
        <v>15841</v>
      </c>
      <c r="D4094" s="8" t="s">
        <v>17</v>
      </c>
      <c r="E4094" s="6" t="s">
        <v>23</v>
      </c>
      <c r="F4094" s="6" t="s">
        <v>24</v>
      </c>
      <c r="G4094" s="6" t="s">
        <v>16787</v>
      </c>
      <c r="H4094" s="10">
        <v>45702</v>
      </c>
      <c r="I4094" s="6" t="s">
        <v>16788</v>
      </c>
      <c r="J4094" s="6" t="s">
        <v>165</v>
      </c>
      <c r="K4094" s="6" t="s">
        <v>165</v>
      </c>
      <c r="L4094" s="6" t="s">
        <v>1071</v>
      </c>
      <c r="M4094" s="6" t="s">
        <v>16789</v>
      </c>
    </row>
    <row r="4095" spans="1:13" ht="13" x14ac:dyDescent="0.15">
      <c r="A4095" s="5" t="str">
        <f>HYPERLINK("https://onemount.atlassian.net/browse/DBA-507","DBA-507")</f>
        <v>DBA-507</v>
      </c>
      <c r="B4095" s="6" t="s">
        <v>21</v>
      </c>
      <c r="C4095" s="6" t="s">
        <v>15921</v>
      </c>
      <c r="D4095" s="8" t="s">
        <v>17</v>
      </c>
      <c r="E4095" s="6" t="s">
        <v>23</v>
      </c>
      <c r="F4095" s="6" t="s">
        <v>24</v>
      </c>
      <c r="G4095" s="6" t="s">
        <v>16790</v>
      </c>
      <c r="H4095" s="10">
        <v>45702</v>
      </c>
      <c r="I4095" s="6" t="s">
        <v>16791</v>
      </c>
      <c r="J4095" s="6" t="s">
        <v>55</v>
      </c>
      <c r="K4095" s="6" t="s">
        <v>55</v>
      </c>
      <c r="L4095" s="6" t="s">
        <v>906</v>
      </c>
      <c r="M4095" s="6" t="s">
        <v>16792</v>
      </c>
    </row>
    <row r="4096" spans="1:13" ht="13" x14ac:dyDescent="0.15">
      <c r="A4096" s="5" t="str">
        <f>HYPERLINK("https://onemount.atlassian.net/browse/DBA-505","DBA-505")</f>
        <v>DBA-505</v>
      </c>
      <c r="B4096" s="6" t="s">
        <v>21</v>
      </c>
      <c r="C4096" s="6" t="s">
        <v>16793</v>
      </c>
      <c r="D4096" s="8" t="s">
        <v>17</v>
      </c>
      <c r="E4096" s="6" t="s">
        <v>23</v>
      </c>
      <c r="F4096" s="6" t="s">
        <v>96</v>
      </c>
      <c r="G4096" s="6" t="s">
        <v>16794</v>
      </c>
      <c r="H4096" s="10">
        <v>45702</v>
      </c>
      <c r="I4096" s="6" t="s">
        <v>16795</v>
      </c>
      <c r="J4096" s="6" t="s">
        <v>165</v>
      </c>
      <c r="K4096" s="6" t="s">
        <v>165</v>
      </c>
      <c r="L4096" s="6" t="s">
        <v>1004</v>
      </c>
      <c r="M4096" s="6" t="s">
        <v>16796</v>
      </c>
    </row>
    <row r="4097" spans="1:13" ht="13" x14ac:dyDescent="0.15">
      <c r="A4097" s="5" t="str">
        <f>HYPERLINK("https://onemount.atlassian.net/browse/DBA-504","DBA-504")</f>
        <v>DBA-504</v>
      </c>
      <c r="B4097" s="6" t="s">
        <v>21</v>
      </c>
      <c r="C4097" s="6" t="s">
        <v>16797</v>
      </c>
      <c r="D4097" s="8" t="s">
        <v>17</v>
      </c>
      <c r="E4097" s="6" t="s">
        <v>23</v>
      </c>
      <c r="F4097" s="6" t="s">
        <v>96</v>
      </c>
      <c r="G4097" s="6" t="s">
        <v>16798</v>
      </c>
      <c r="H4097" s="10">
        <v>45702</v>
      </c>
      <c r="I4097" s="6" t="s">
        <v>16799</v>
      </c>
      <c r="J4097" s="6" t="s">
        <v>165</v>
      </c>
      <c r="K4097" s="6" t="s">
        <v>165</v>
      </c>
      <c r="L4097" s="6" t="s">
        <v>715</v>
      </c>
      <c r="M4097" s="6" t="s">
        <v>16800</v>
      </c>
    </row>
    <row r="4098" spans="1:13" ht="13" x14ac:dyDescent="0.15">
      <c r="A4098" s="5" t="str">
        <f>HYPERLINK("https://onemount.atlassian.net/browse/DBA-503","DBA-503")</f>
        <v>DBA-503</v>
      </c>
      <c r="B4098" s="6" t="s">
        <v>21</v>
      </c>
      <c r="C4098" s="6" t="s">
        <v>16801</v>
      </c>
      <c r="D4098" s="8" t="s">
        <v>17</v>
      </c>
      <c r="E4098" s="6" t="s">
        <v>23</v>
      </c>
      <c r="F4098" s="6" t="s">
        <v>96</v>
      </c>
      <c r="G4098" s="6" t="s">
        <v>16802</v>
      </c>
      <c r="H4098" s="10">
        <v>45702</v>
      </c>
      <c r="I4098" s="6" t="s">
        <v>16803</v>
      </c>
      <c r="J4098" s="6" t="s">
        <v>34</v>
      </c>
      <c r="K4098" s="6" t="s">
        <v>165</v>
      </c>
      <c r="L4098" s="6" t="s">
        <v>1091</v>
      </c>
      <c r="M4098" s="6" t="s">
        <v>16804</v>
      </c>
    </row>
    <row r="4099" spans="1:13" ht="13" x14ac:dyDescent="0.15">
      <c r="A4099" s="5" t="str">
        <f>HYPERLINK("https://onemount.atlassian.net/browse/DBA-502","DBA-502")</f>
        <v>DBA-502</v>
      </c>
      <c r="B4099" s="6" t="s">
        <v>21</v>
      </c>
      <c r="C4099" s="6" t="s">
        <v>16805</v>
      </c>
      <c r="D4099" s="8" t="s">
        <v>17</v>
      </c>
      <c r="E4099" s="6" t="s">
        <v>23</v>
      </c>
      <c r="F4099" s="6" t="s">
        <v>24</v>
      </c>
      <c r="G4099" s="6" t="s">
        <v>16806</v>
      </c>
      <c r="H4099" s="10">
        <v>45702</v>
      </c>
      <c r="I4099" s="6" t="s">
        <v>16807</v>
      </c>
      <c r="J4099" s="6" t="s">
        <v>55</v>
      </c>
      <c r="K4099" s="6" t="s">
        <v>55</v>
      </c>
      <c r="L4099" s="6" t="s">
        <v>56</v>
      </c>
      <c r="M4099" s="6" t="s">
        <v>16808</v>
      </c>
    </row>
    <row r="4100" spans="1:13" ht="13" x14ac:dyDescent="0.15">
      <c r="A4100" s="5" t="str">
        <f>HYPERLINK("https://onemount.atlassian.net/browse/DBA-501","DBA-501")</f>
        <v>DBA-501</v>
      </c>
      <c r="B4100" s="6" t="s">
        <v>21</v>
      </c>
      <c r="C4100" s="6" t="s">
        <v>16809</v>
      </c>
      <c r="D4100" s="8" t="s">
        <v>17</v>
      </c>
      <c r="E4100" s="6" t="s">
        <v>1810</v>
      </c>
      <c r="F4100" s="6" t="s">
        <v>31</v>
      </c>
      <c r="G4100" s="6" t="s">
        <v>16810</v>
      </c>
      <c r="H4100" s="10">
        <v>45797</v>
      </c>
      <c r="I4100" s="6" t="s">
        <v>16811</v>
      </c>
      <c r="J4100" s="6" t="s">
        <v>46</v>
      </c>
      <c r="K4100" s="6" t="s">
        <v>46</v>
      </c>
      <c r="L4100" s="6" t="s">
        <v>278</v>
      </c>
      <c r="M4100" s="6" t="s">
        <v>16812</v>
      </c>
    </row>
    <row r="4101" spans="1:13" ht="13" x14ac:dyDescent="0.15">
      <c r="A4101" s="5" t="str">
        <f>HYPERLINK("https://onemount.atlassian.net/browse/DBA-497","DBA-497")</f>
        <v>DBA-497</v>
      </c>
      <c r="B4101" s="23" t="str">
        <f>HYPERLINK("https://onemount.atlassian.net/browse/DBA-496","DBA-496")</f>
        <v>DBA-496</v>
      </c>
      <c r="C4101" s="6" t="s">
        <v>16813</v>
      </c>
      <c r="D4101" s="8" t="s">
        <v>17</v>
      </c>
      <c r="E4101" s="6" t="s">
        <v>428</v>
      </c>
      <c r="F4101" s="6" t="s">
        <v>24</v>
      </c>
      <c r="G4101" s="6" t="s">
        <v>16814</v>
      </c>
      <c r="H4101" s="10">
        <v>45707</v>
      </c>
      <c r="I4101" s="6" t="s">
        <v>16815</v>
      </c>
      <c r="J4101" s="6" t="s">
        <v>55</v>
      </c>
      <c r="K4101" s="6" t="s">
        <v>55</v>
      </c>
      <c r="L4101" s="6" t="s">
        <v>56</v>
      </c>
      <c r="M4101" s="6" t="s">
        <v>16816</v>
      </c>
    </row>
    <row r="4102" spans="1:13" ht="13" x14ac:dyDescent="0.15">
      <c r="A4102" s="5" t="str">
        <f>HYPERLINK("https://onemount.atlassian.net/browse/DBA-496","DBA-496")</f>
        <v>DBA-496</v>
      </c>
      <c r="B4102" s="6" t="s">
        <v>21</v>
      </c>
      <c r="C4102" s="6" t="s">
        <v>16817</v>
      </c>
      <c r="D4102" s="8" t="s">
        <v>17</v>
      </c>
      <c r="E4102" s="6" t="s">
        <v>23</v>
      </c>
      <c r="F4102" s="6" t="s">
        <v>24</v>
      </c>
      <c r="G4102" s="6" t="s">
        <v>16818</v>
      </c>
      <c r="H4102" s="10">
        <v>45707</v>
      </c>
      <c r="I4102" s="6" t="s">
        <v>16819</v>
      </c>
      <c r="J4102" s="6" t="s">
        <v>55</v>
      </c>
      <c r="K4102" s="6" t="s">
        <v>55</v>
      </c>
      <c r="L4102" s="6" t="s">
        <v>56</v>
      </c>
      <c r="M4102" s="6" t="s">
        <v>16820</v>
      </c>
    </row>
    <row r="4103" spans="1:13" ht="13" x14ac:dyDescent="0.15">
      <c r="A4103" s="5" t="str">
        <f>HYPERLINK("https://onemount.atlassian.net/browse/DBA-495","DBA-495")</f>
        <v>DBA-495</v>
      </c>
      <c r="B4103" s="23" t="str">
        <f t="shared" ref="B4103:B4104" si="67">HYPERLINK("https://onemount.atlassian.net/browse/DBA-493","DBA-493")</f>
        <v>DBA-493</v>
      </c>
      <c r="C4103" s="6" t="s">
        <v>16821</v>
      </c>
      <c r="D4103" s="8" t="s">
        <v>17</v>
      </c>
      <c r="E4103" s="6" t="s">
        <v>428</v>
      </c>
      <c r="F4103" s="6" t="s">
        <v>31</v>
      </c>
      <c r="G4103" s="6" t="s">
        <v>16822</v>
      </c>
      <c r="H4103" s="10">
        <v>45748</v>
      </c>
      <c r="I4103" s="6" t="s">
        <v>16823</v>
      </c>
      <c r="J4103" s="6" t="s">
        <v>55</v>
      </c>
      <c r="K4103" s="6" t="s">
        <v>55</v>
      </c>
      <c r="L4103" s="6" t="s">
        <v>56</v>
      </c>
      <c r="M4103" s="6" t="s">
        <v>16824</v>
      </c>
    </row>
    <row r="4104" spans="1:13" ht="13" x14ac:dyDescent="0.15">
      <c r="A4104" s="5" t="str">
        <f>HYPERLINK("https://onemount.atlassian.net/browse/DBA-494","DBA-494")</f>
        <v>DBA-494</v>
      </c>
      <c r="B4104" s="23" t="str">
        <f t="shared" si="67"/>
        <v>DBA-493</v>
      </c>
      <c r="C4104" s="6" t="s">
        <v>16825</v>
      </c>
      <c r="D4104" s="8" t="s">
        <v>17</v>
      </c>
      <c r="E4104" s="6" t="s">
        <v>428</v>
      </c>
      <c r="F4104" s="6" t="s">
        <v>31</v>
      </c>
      <c r="G4104" s="6" t="s">
        <v>16826</v>
      </c>
      <c r="H4104" s="10">
        <v>45748</v>
      </c>
      <c r="I4104" s="6" t="s">
        <v>16827</v>
      </c>
      <c r="J4104" s="6" t="s">
        <v>55</v>
      </c>
      <c r="K4104" s="6" t="s">
        <v>55</v>
      </c>
      <c r="L4104" s="6" t="s">
        <v>56</v>
      </c>
      <c r="M4104" s="6" t="s">
        <v>16828</v>
      </c>
    </row>
    <row r="4105" spans="1:13" ht="13" x14ac:dyDescent="0.15">
      <c r="A4105" s="5" t="str">
        <f>HYPERLINK("https://onemount.atlassian.net/browse/DBA-493","DBA-493")</f>
        <v>DBA-493</v>
      </c>
      <c r="B4105" s="6" t="s">
        <v>21</v>
      </c>
      <c r="C4105" s="6" t="s">
        <v>16829</v>
      </c>
      <c r="D4105" s="8" t="s">
        <v>17</v>
      </c>
      <c r="E4105" s="6" t="s">
        <v>1810</v>
      </c>
      <c r="F4105" s="6" t="s">
        <v>31</v>
      </c>
      <c r="G4105" s="6" t="s">
        <v>16830</v>
      </c>
      <c r="H4105" s="10">
        <v>45806</v>
      </c>
      <c r="I4105" s="6" t="s">
        <v>16831</v>
      </c>
      <c r="J4105" s="6" t="s">
        <v>46</v>
      </c>
      <c r="K4105" s="6" t="s">
        <v>46</v>
      </c>
      <c r="L4105" s="6" t="s">
        <v>46</v>
      </c>
      <c r="M4105" s="6" t="s">
        <v>16832</v>
      </c>
    </row>
    <row r="4106" spans="1:13" ht="13" x14ac:dyDescent="0.15">
      <c r="A4106" s="5" t="str">
        <f>HYPERLINK("https://onemount.atlassian.net/browse/DBA-492","DBA-492")</f>
        <v>DBA-492</v>
      </c>
      <c r="B4106" s="23" t="str">
        <f t="shared" ref="B4106:B4108" si="68">HYPERLINK("https://onemount.atlassian.net/browse/DBA-489","DBA-489")</f>
        <v>DBA-489</v>
      </c>
      <c r="C4106" s="6" t="s">
        <v>16833</v>
      </c>
      <c r="D4106" s="8" t="s">
        <v>17</v>
      </c>
      <c r="E4106" s="6" t="s">
        <v>428</v>
      </c>
      <c r="F4106" s="6" t="s">
        <v>31</v>
      </c>
      <c r="G4106" s="6" t="s">
        <v>16834</v>
      </c>
      <c r="H4106" s="10">
        <v>45778</v>
      </c>
      <c r="I4106" s="6" t="s">
        <v>16835</v>
      </c>
      <c r="J4106" s="6" t="s">
        <v>55</v>
      </c>
      <c r="K4106" s="6" t="s">
        <v>55</v>
      </c>
      <c r="L4106" s="6" t="s">
        <v>254</v>
      </c>
      <c r="M4106" s="6" t="s">
        <v>16836</v>
      </c>
    </row>
    <row r="4107" spans="1:13" ht="13" x14ac:dyDescent="0.15">
      <c r="A4107" s="5" t="str">
        <f>HYPERLINK("https://onemount.atlassian.net/browse/DBA-491","DBA-491")</f>
        <v>DBA-491</v>
      </c>
      <c r="B4107" s="23" t="str">
        <f t="shared" si="68"/>
        <v>DBA-489</v>
      </c>
      <c r="C4107" s="6" t="s">
        <v>16837</v>
      </c>
      <c r="D4107" s="8" t="s">
        <v>17</v>
      </c>
      <c r="E4107" s="6" t="s">
        <v>428</v>
      </c>
      <c r="F4107" s="6" t="s">
        <v>31</v>
      </c>
      <c r="G4107" s="6" t="s">
        <v>16838</v>
      </c>
      <c r="H4107" s="10">
        <v>45744</v>
      </c>
      <c r="I4107" s="6" t="s">
        <v>16839</v>
      </c>
      <c r="J4107" s="6" t="s">
        <v>55</v>
      </c>
      <c r="K4107" s="6" t="s">
        <v>55</v>
      </c>
      <c r="L4107" s="6" t="s">
        <v>254</v>
      </c>
      <c r="M4107" s="6" t="s">
        <v>16840</v>
      </c>
    </row>
    <row r="4108" spans="1:13" ht="13" x14ac:dyDescent="0.15">
      <c r="A4108" s="5" t="str">
        <f>HYPERLINK("https://onemount.atlassian.net/browse/DBA-490","DBA-490")</f>
        <v>DBA-490</v>
      </c>
      <c r="B4108" s="23" t="str">
        <f t="shared" si="68"/>
        <v>DBA-489</v>
      </c>
      <c r="C4108" s="6" t="s">
        <v>16841</v>
      </c>
      <c r="D4108" s="8" t="s">
        <v>17</v>
      </c>
      <c r="E4108" s="6" t="s">
        <v>428</v>
      </c>
      <c r="F4108" s="6" t="s">
        <v>31</v>
      </c>
      <c r="G4108" s="6" t="s">
        <v>16842</v>
      </c>
      <c r="H4108" s="10">
        <v>45720</v>
      </c>
      <c r="I4108" s="6" t="s">
        <v>16843</v>
      </c>
      <c r="J4108" s="6" t="s">
        <v>55</v>
      </c>
      <c r="K4108" s="6" t="s">
        <v>55</v>
      </c>
      <c r="L4108" s="6" t="s">
        <v>254</v>
      </c>
      <c r="M4108" s="6" t="s">
        <v>16844</v>
      </c>
    </row>
    <row r="4109" spans="1:13" ht="13" x14ac:dyDescent="0.15">
      <c r="A4109" s="5" t="str">
        <f>HYPERLINK("https://onemount.atlassian.net/browse/DBA-489","DBA-489")</f>
        <v>DBA-489</v>
      </c>
      <c r="B4109" s="6" t="s">
        <v>21</v>
      </c>
      <c r="C4109" s="6" t="s">
        <v>16845</v>
      </c>
      <c r="D4109" s="8" t="s">
        <v>17</v>
      </c>
      <c r="E4109" s="6" t="s">
        <v>1810</v>
      </c>
      <c r="F4109" s="6" t="s">
        <v>31</v>
      </c>
      <c r="G4109" s="6" t="s">
        <v>16846</v>
      </c>
      <c r="H4109" s="10">
        <v>45778</v>
      </c>
      <c r="I4109" s="6" t="s">
        <v>16847</v>
      </c>
      <c r="J4109" s="6" t="s">
        <v>55</v>
      </c>
      <c r="K4109" s="6" t="s">
        <v>55</v>
      </c>
      <c r="L4109" s="6" t="s">
        <v>254</v>
      </c>
      <c r="M4109" s="6" t="s">
        <v>16848</v>
      </c>
    </row>
    <row r="4110" spans="1:13" ht="13" x14ac:dyDescent="0.15">
      <c r="A4110" s="5" t="str">
        <f>HYPERLINK("https://onemount.atlassian.net/browse/DBA-488","DBA-488")</f>
        <v>DBA-488</v>
      </c>
      <c r="B4110" s="23" t="str">
        <f t="shared" ref="B4110:B4112" si="69">HYPERLINK("https://onemount.atlassian.net/browse/DBA-481","DBA-481")</f>
        <v>DBA-481</v>
      </c>
      <c r="C4110" s="6" t="s">
        <v>16849</v>
      </c>
      <c r="D4110" s="8" t="s">
        <v>17</v>
      </c>
      <c r="E4110" s="6" t="s">
        <v>428</v>
      </c>
      <c r="F4110" s="6" t="s">
        <v>31</v>
      </c>
      <c r="G4110" s="6" t="s">
        <v>16850</v>
      </c>
      <c r="H4110" s="10">
        <v>45706</v>
      </c>
      <c r="I4110" s="6" t="s">
        <v>16851</v>
      </c>
      <c r="J4110" s="6" t="s">
        <v>55</v>
      </c>
      <c r="K4110" s="6" t="s">
        <v>35</v>
      </c>
      <c r="L4110" s="6" t="s">
        <v>638</v>
      </c>
      <c r="M4110" s="6" t="s">
        <v>16852</v>
      </c>
    </row>
    <row r="4111" spans="1:13" ht="13" x14ac:dyDescent="0.15">
      <c r="A4111" s="5" t="str">
        <f>HYPERLINK("https://onemount.atlassian.net/browse/DBA-487","DBA-487")</f>
        <v>DBA-487</v>
      </c>
      <c r="B4111" s="23" t="str">
        <f t="shared" si="69"/>
        <v>DBA-481</v>
      </c>
      <c r="C4111" s="6" t="s">
        <v>16853</v>
      </c>
      <c r="D4111" s="8" t="s">
        <v>17</v>
      </c>
      <c r="E4111" s="6" t="s">
        <v>428</v>
      </c>
      <c r="F4111" s="6" t="s">
        <v>31</v>
      </c>
      <c r="G4111" s="6" t="s">
        <v>16854</v>
      </c>
      <c r="H4111" s="10">
        <v>45720</v>
      </c>
      <c r="I4111" s="6" t="s">
        <v>16855</v>
      </c>
      <c r="J4111" s="6" t="s">
        <v>55</v>
      </c>
      <c r="K4111" s="6" t="s">
        <v>55</v>
      </c>
      <c r="L4111" s="6" t="s">
        <v>730</v>
      </c>
      <c r="M4111" s="6" t="s">
        <v>16856</v>
      </c>
    </row>
    <row r="4112" spans="1:13" ht="13" x14ac:dyDescent="0.15">
      <c r="A4112" s="5" t="str">
        <f>HYPERLINK("https://onemount.atlassian.net/browse/DBA-486","DBA-486")</f>
        <v>DBA-486</v>
      </c>
      <c r="B4112" s="23" t="str">
        <f t="shared" si="69"/>
        <v>DBA-481</v>
      </c>
      <c r="C4112" s="6" t="s">
        <v>16857</v>
      </c>
      <c r="D4112" s="8" t="s">
        <v>17</v>
      </c>
      <c r="E4112" s="6" t="s">
        <v>428</v>
      </c>
      <c r="F4112" s="6" t="s">
        <v>31</v>
      </c>
      <c r="G4112" s="6" t="s">
        <v>16858</v>
      </c>
      <c r="H4112" s="10">
        <v>45735</v>
      </c>
      <c r="I4112" s="6" t="s">
        <v>16859</v>
      </c>
      <c r="J4112" s="6" t="s">
        <v>55</v>
      </c>
      <c r="K4112" s="6" t="s">
        <v>55</v>
      </c>
      <c r="L4112" s="6" t="s">
        <v>906</v>
      </c>
      <c r="M4112" s="6" t="s">
        <v>16860</v>
      </c>
    </row>
    <row r="4113" spans="1:13" ht="13" x14ac:dyDescent="0.15">
      <c r="A4113" s="5" t="str">
        <f>HYPERLINK("https://onemount.atlassian.net/browse/DBA-484","DBA-484")</f>
        <v>DBA-484</v>
      </c>
      <c r="B4113" s="23" t="str">
        <f t="shared" ref="B4113:B4116" si="70">HYPERLINK("https://onemount.atlassian.net/browse/DBA-480","DBA-480")</f>
        <v>DBA-480</v>
      </c>
      <c r="C4113" s="6" t="s">
        <v>16861</v>
      </c>
      <c r="D4113" s="8" t="s">
        <v>17</v>
      </c>
      <c r="E4113" s="6" t="s">
        <v>1810</v>
      </c>
      <c r="F4113" s="6" t="s">
        <v>96</v>
      </c>
      <c r="G4113" s="6" t="s">
        <v>16862</v>
      </c>
      <c r="H4113" s="10">
        <v>45718</v>
      </c>
      <c r="I4113" s="6" t="s">
        <v>16863</v>
      </c>
      <c r="J4113" s="6" t="s">
        <v>165</v>
      </c>
      <c r="K4113" s="6" t="s">
        <v>165</v>
      </c>
      <c r="L4113" s="6" t="s">
        <v>1069</v>
      </c>
      <c r="M4113" s="6" t="s">
        <v>16864</v>
      </c>
    </row>
    <row r="4114" spans="1:13" ht="13" x14ac:dyDescent="0.15">
      <c r="A4114" s="5" t="str">
        <f>HYPERLINK("https://onemount.atlassian.net/browse/DBA-483","DBA-483")</f>
        <v>DBA-483</v>
      </c>
      <c r="B4114" s="23" t="str">
        <f t="shared" si="70"/>
        <v>DBA-480</v>
      </c>
      <c r="C4114" s="6" t="s">
        <v>16865</v>
      </c>
      <c r="D4114" s="8" t="s">
        <v>17</v>
      </c>
      <c r="E4114" s="6" t="s">
        <v>1810</v>
      </c>
      <c r="F4114" s="6" t="s">
        <v>24</v>
      </c>
      <c r="G4114" s="6" t="s">
        <v>16866</v>
      </c>
      <c r="H4114" s="10">
        <v>45716</v>
      </c>
      <c r="I4114" s="6" t="s">
        <v>16867</v>
      </c>
      <c r="J4114" s="6" t="s">
        <v>55</v>
      </c>
      <c r="K4114" s="6" t="s">
        <v>55</v>
      </c>
      <c r="L4114" s="6" t="s">
        <v>56</v>
      </c>
      <c r="M4114" s="6" t="s">
        <v>16868</v>
      </c>
    </row>
    <row r="4115" spans="1:13" ht="13" x14ac:dyDescent="0.15">
      <c r="A4115" s="5" t="str">
        <f>HYPERLINK("https://onemount.atlassian.net/browse/DBA-482","DBA-482")</f>
        <v>DBA-482</v>
      </c>
      <c r="B4115" s="23" t="str">
        <f t="shared" si="70"/>
        <v>DBA-480</v>
      </c>
      <c r="C4115" s="6" t="s">
        <v>16869</v>
      </c>
      <c r="D4115" s="8" t="s">
        <v>17</v>
      </c>
      <c r="E4115" s="6" t="s">
        <v>1810</v>
      </c>
      <c r="F4115" s="6" t="s">
        <v>24</v>
      </c>
      <c r="G4115" s="6" t="s">
        <v>16870</v>
      </c>
      <c r="H4115" s="10">
        <v>45721</v>
      </c>
      <c r="I4115" s="6" t="s">
        <v>16871</v>
      </c>
      <c r="J4115" s="6" t="s">
        <v>55</v>
      </c>
      <c r="K4115" s="6" t="s">
        <v>55</v>
      </c>
      <c r="L4115" s="6" t="s">
        <v>56</v>
      </c>
      <c r="M4115" s="6" t="s">
        <v>16872</v>
      </c>
    </row>
    <row r="4116" spans="1:13" ht="13" x14ac:dyDescent="0.15">
      <c r="A4116" s="5" t="str">
        <f>HYPERLINK("https://onemount.atlassian.net/browse/DBA-481","DBA-481")</f>
        <v>DBA-481</v>
      </c>
      <c r="B4116" s="23" t="str">
        <f t="shared" si="70"/>
        <v>DBA-480</v>
      </c>
      <c r="C4116" s="6" t="s">
        <v>16873</v>
      </c>
      <c r="D4116" s="8" t="s">
        <v>17</v>
      </c>
      <c r="E4116" s="6" t="s">
        <v>1810</v>
      </c>
      <c r="F4116" s="6" t="s">
        <v>31</v>
      </c>
      <c r="G4116" s="6" t="s">
        <v>16874</v>
      </c>
      <c r="H4116" s="10">
        <v>45735</v>
      </c>
      <c r="I4116" s="6" t="s">
        <v>16875</v>
      </c>
      <c r="J4116" s="6" t="s">
        <v>55</v>
      </c>
      <c r="K4116" s="6" t="s">
        <v>46</v>
      </c>
      <c r="L4116" s="6" t="s">
        <v>46</v>
      </c>
      <c r="M4116" s="6" t="s">
        <v>16876</v>
      </c>
    </row>
    <row r="4117" spans="1:13" ht="13" x14ac:dyDescent="0.15">
      <c r="A4117" s="5" t="str">
        <f>HYPERLINK("https://onemount.atlassian.net/browse/DBA-480","DBA-480")</f>
        <v>DBA-480</v>
      </c>
      <c r="B4117" s="6" t="s">
        <v>21</v>
      </c>
      <c r="C4117" s="6" t="s">
        <v>16877</v>
      </c>
      <c r="D4117" s="8" t="s">
        <v>17</v>
      </c>
      <c r="E4117" s="6" t="s">
        <v>8986</v>
      </c>
      <c r="F4117" s="6" t="s">
        <v>94</v>
      </c>
      <c r="G4117" s="6" t="s">
        <v>16878</v>
      </c>
      <c r="H4117" s="10">
        <v>45765</v>
      </c>
      <c r="I4117" s="6" t="s">
        <v>44</v>
      </c>
      <c r="J4117" s="6" t="s">
        <v>46</v>
      </c>
      <c r="K4117" s="6" t="s">
        <v>46</v>
      </c>
      <c r="L4117" s="6" t="s">
        <v>46</v>
      </c>
      <c r="M4117" s="6" t="s">
        <v>16879</v>
      </c>
    </row>
    <row r="4118" spans="1:13" ht="13" x14ac:dyDescent="0.15">
      <c r="A4118" s="5" t="str">
        <f>HYPERLINK("https://onemount.atlassian.net/browse/DBA-479","DBA-479")</f>
        <v>DBA-479</v>
      </c>
      <c r="B4118" s="6" t="s">
        <v>21</v>
      </c>
      <c r="C4118" s="6" t="s">
        <v>16880</v>
      </c>
      <c r="D4118" s="8" t="s">
        <v>17</v>
      </c>
      <c r="E4118" s="6" t="s">
        <v>23</v>
      </c>
      <c r="F4118" s="6" t="s">
        <v>31</v>
      </c>
      <c r="G4118" s="6" t="s">
        <v>16881</v>
      </c>
      <c r="H4118" s="10">
        <v>45666</v>
      </c>
      <c r="I4118" s="6" t="s">
        <v>16882</v>
      </c>
      <c r="J4118" s="6" t="s">
        <v>55</v>
      </c>
      <c r="K4118" s="6" t="s">
        <v>55</v>
      </c>
      <c r="L4118" s="6" t="s">
        <v>906</v>
      </c>
      <c r="M4118" s="6" t="s">
        <v>16883</v>
      </c>
    </row>
    <row r="4119" spans="1:13" ht="13" x14ac:dyDescent="0.15">
      <c r="A4119" s="5" t="str">
        <f>HYPERLINK("https://onemount.atlassian.net/browse/DBA-478","DBA-478")</f>
        <v>DBA-478</v>
      </c>
      <c r="B4119" s="6" t="s">
        <v>21</v>
      </c>
      <c r="C4119" s="6" t="s">
        <v>16884</v>
      </c>
      <c r="D4119" s="8" t="s">
        <v>17</v>
      </c>
      <c r="E4119" s="6" t="s">
        <v>23</v>
      </c>
      <c r="F4119" s="6" t="s">
        <v>96</v>
      </c>
      <c r="G4119" s="6" t="s">
        <v>16885</v>
      </c>
      <c r="H4119" s="10">
        <v>46096</v>
      </c>
      <c r="I4119" s="6" t="s">
        <v>16886</v>
      </c>
      <c r="J4119" s="6" t="s">
        <v>8773</v>
      </c>
      <c r="K4119" s="6" t="s">
        <v>165</v>
      </c>
      <c r="L4119" s="6" t="s">
        <v>1076</v>
      </c>
      <c r="M4119" s="6" t="s">
        <v>16887</v>
      </c>
    </row>
    <row r="4120" spans="1:13" ht="13" x14ac:dyDescent="0.15">
      <c r="A4120" s="5" t="str">
        <f>HYPERLINK("https://onemount.atlassian.net/browse/DBA-477","DBA-477")</f>
        <v>DBA-477</v>
      </c>
      <c r="B4120" s="6" t="s">
        <v>21</v>
      </c>
      <c r="C4120" s="6" t="s">
        <v>16888</v>
      </c>
      <c r="D4120" s="8" t="s">
        <v>17</v>
      </c>
      <c r="E4120" s="6" t="s">
        <v>23</v>
      </c>
      <c r="F4120" s="6" t="s">
        <v>24</v>
      </c>
      <c r="G4120" s="6" t="s">
        <v>16889</v>
      </c>
      <c r="H4120" s="10">
        <v>45665</v>
      </c>
      <c r="I4120" s="6" t="s">
        <v>16890</v>
      </c>
      <c r="J4120" s="6" t="s">
        <v>55</v>
      </c>
      <c r="K4120" s="6" t="s">
        <v>55</v>
      </c>
      <c r="L4120" s="6" t="s">
        <v>56</v>
      </c>
      <c r="M4120" s="6" t="s">
        <v>16891</v>
      </c>
    </row>
    <row r="4121" spans="1:13" ht="13" x14ac:dyDescent="0.15">
      <c r="B4121" s="2"/>
      <c r="C4121" s="2"/>
      <c r="D4121" s="2"/>
      <c r="E4121" s="2"/>
      <c r="F4121" s="2"/>
      <c r="G4121" s="2"/>
      <c r="H4121" s="26"/>
      <c r="I4121" s="2"/>
      <c r="J4121" s="2"/>
      <c r="K4121" s="2"/>
      <c r="L4121" s="2"/>
      <c r="M4121" s="2"/>
    </row>
    <row r="4122" spans="1:13" ht="13" x14ac:dyDescent="0.15">
      <c r="B4122" s="2"/>
      <c r="C4122" s="2"/>
      <c r="D4122" s="2"/>
      <c r="E4122" s="2"/>
      <c r="F4122" s="2"/>
      <c r="G4122" s="2"/>
      <c r="H4122" s="26"/>
      <c r="I4122" s="2"/>
      <c r="J4122" s="2"/>
      <c r="K4122" s="2"/>
      <c r="L4122" s="2"/>
      <c r="M4122" s="2"/>
    </row>
    <row r="4123" spans="1:13" ht="13" x14ac:dyDescent="0.15">
      <c r="B4123" s="2"/>
      <c r="C4123" s="2"/>
      <c r="D4123" s="2"/>
      <c r="E4123" s="2"/>
      <c r="F4123" s="2"/>
      <c r="G4123" s="2"/>
      <c r="H4123" s="26"/>
      <c r="I4123" s="2"/>
      <c r="J4123" s="2"/>
      <c r="K4123" s="2"/>
      <c r="L4123" s="2"/>
      <c r="M4123" s="2"/>
    </row>
    <row r="4124" spans="1:13" ht="13" x14ac:dyDescent="0.15">
      <c r="B4124" s="2"/>
      <c r="C4124" s="2"/>
      <c r="D4124" s="2"/>
      <c r="E4124" s="2"/>
      <c r="F4124" s="2"/>
      <c r="G4124" s="2"/>
      <c r="H4124" s="26"/>
      <c r="I4124" s="2"/>
      <c r="J4124" s="2"/>
      <c r="K4124" s="2"/>
      <c r="L4124" s="2"/>
      <c r="M4124" s="2"/>
    </row>
    <row r="4125" spans="1:13" ht="13" x14ac:dyDescent="0.15">
      <c r="B4125" s="2"/>
      <c r="C4125" s="2"/>
      <c r="D4125" s="2"/>
      <c r="E4125" s="2"/>
      <c r="F4125" s="2"/>
      <c r="G4125" s="2"/>
      <c r="H4125" s="26"/>
      <c r="I4125" s="2"/>
      <c r="J4125" s="2"/>
      <c r="K4125" s="2"/>
      <c r="L4125" s="2"/>
      <c r="M4125" s="2"/>
    </row>
    <row r="4126" spans="1:13" ht="13" x14ac:dyDescent="0.15">
      <c r="B4126" s="2"/>
      <c r="C4126" s="2"/>
      <c r="D4126" s="2"/>
      <c r="E4126" s="2"/>
      <c r="F4126" s="2"/>
      <c r="G4126" s="2"/>
      <c r="H4126" s="26"/>
      <c r="I4126" s="2"/>
      <c r="J4126" s="2"/>
      <c r="K4126" s="2"/>
      <c r="L4126" s="2"/>
      <c r="M4126" s="2"/>
    </row>
    <row r="4127" spans="1:13" ht="13" x14ac:dyDescent="0.15">
      <c r="B4127" s="2"/>
      <c r="C4127" s="2"/>
      <c r="D4127" s="2"/>
      <c r="E4127" s="2"/>
      <c r="F4127" s="2"/>
      <c r="G4127" s="2"/>
      <c r="H4127" s="26"/>
      <c r="I4127" s="2"/>
      <c r="J4127" s="2"/>
      <c r="K4127" s="2"/>
      <c r="L4127" s="2"/>
      <c r="M4127" s="2"/>
    </row>
    <row r="4128" spans="1:13" ht="13" x14ac:dyDescent="0.15">
      <c r="B4128" s="2"/>
      <c r="C4128" s="2"/>
      <c r="D4128" s="2"/>
      <c r="E4128" s="2"/>
      <c r="F4128" s="2"/>
      <c r="G4128" s="2"/>
      <c r="H4128" s="26"/>
      <c r="I4128" s="2"/>
      <c r="J4128" s="2"/>
      <c r="K4128" s="2"/>
      <c r="L4128" s="2"/>
      <c r="M4128" s="2"/>
    </row>
    <row r="4129" spans="2:13" ht="13" x14ac:dyDescent="0.15">
      <c r="B4129" s="2"/>
      <c r="C4129" s="2"/>
      <c r="D4129" s="2"/>
      <c r="E4129" s="2"/>
      <c r="F4129" s="2"/>
      <c r="G4129" s="2"/>
      <c r="H4129" s="26"/>
      <c r="I4129" s="2"/>
      <c r="J4129" s="2"/>
      <c r="K4129" s="2"/>
      <c r="L4129" s="2"/>
      <c r="M4129" s="2"/>
    </row>
    <row r="4130" spans="2:13" ht="13" x14ac:dyDescent="0.15">
      <c r="B4130" s="2"/>
      <c r="C4130" s="2"/>
      <c r="D4130" s="2"/>
      <c r="E4130" s="2"/>
      <c r="F4130" s="2"/>
      <c r="G4130" s="2"/>
      <c r="H4130" s="26"/>
      <c r="I4130" s="2"/>
      <c r="J4130" s="2"/>
      <c r="K4130" s="2"/>
      <c r="L4130" s="2"/>
      <c r="M4130" s="2"/>
    </row>
    <row r="4131" spans="2:13" ht="13" x14ac:dyDescent="0.15">
      <c r="B4131" s="2"/>
      <c r="C4131" s="2"/>
      <c r="D4131" s="2"/>
      <c r="E4131" s="2"/>
      <c r="F4131" s="2"/>
      <c r="G4131" s="2"/>
      <c r="H4131" s="26"/>
      <c r="I4131" s="2"/>
      <c r="J4131" s="2"/>
      <c r="K4131" s="2"/>
      <c r="L4131" s="2"/>
      <c r="M4131" s="2"/>
    </row>
    <row r="4132" spans="2:13" ht="13" x14ac:dyDescent="0.15">
      <c r="B4132" s="2"/>
      <c r="C4132" s="2"/>
      <c r="D4132" s="2"/>
      <c r="E4132" s="2"/>
      <c r="F4132" s="2"/>
      <c r="G4132" s="2"/>
      <c r="H4132" s="26"/>
      <c r="I4132" s="2"/>
      <c r="J4132" s="2"/>
      <c r="K4132" s="2"/>
      <c r="L4132" s="2"/>
      <c r="M4132" s="2"/>
    </row>
    <row r="4133" spans="2:13" ht="13" x14ac:dyDescent="0.15">
      <c r="B4133" s="2"/>
      <c r="C4133" s="2"/>
      <c r="D4133" s="2"/>
      <c r="E4133" s="2"/>
      <c r="F4133" s="2"/>
      <c r="G4133" s="2"/>
      <c r="H4133" s="26"/>
      <c r="I4133" s="2"/>
      <c r="J4133" s="2"/>
      <c r="K4133" s="2"/>
      <c r="L4133" s="2"/>
      <c r="M4133" s="2"/>
    </row>
    <row r="4134" spans="2:13" ht="13" x14ac:dyDescent="0.15">
      <c r="B4134" s="2"/>
      <c r="C4134" s="2"/>
      <c r="D4134" s="2"/>
      <c r="E4134" s="2"/>
      <c r="F4134" s="2"/>
      <c r="G4134" s="2"/>
      <c r="H4134" s="26"/>
      <c r="I4134" s="2"/>
      <c r="J4134" s="2"/>
      <c r="K4134" s="2"/>
      <c r="L4134" s="2"/>
      <c r="M4134" s="2"/>
    </row>
    <row r="4135" spans="2:13" ht="13" x14ac:dyDescent="0.15">
      <c r="B4135" s="2"/>
      <c r="C4135" s="2"/>
      <c r="D4135" s="2"/>
      <c r="E4135" s="2"/>
      <c r="F4135" s="2"/>
      <c r="G4135" s="2"/>
      <c r="H4135" s="26"/>
      <c r="I4135" s="2"/>
      <c r="J4135" s="2"/>
      <c r="K4135" s="2"/>
      <c r="L4135" s="2"/>
      <c r="M4135" s="2"/>
    </row>
    <row r="4136" spans="2:13" ht="13" x14ac:dyDescent="0.15">
      <c r="B4136" s="2"/>
      <c r="C4136" s="2"/>
      <c r="D4136" s="2"/>
      <c r="E4136" s="2"/>
      <c r="F4136" s="2"/>
      <c r="G4136" s="2"/>
      <c r="H4136" s="26"/>
      <c r="I4136" s="2"/>
      <c r="J4136" s="2"/>
      <c r="K4136" s="2"/>
      <c r="L4136" s="2"/>
      <c r="M4136" s="2"/>
    </row>
    <row r="4137" spans="2:13" ht="13" x14ac:dyDescent="0.15">
      <c r="B4137" s="2"/>
      <c r="C4137" s="2"/>
      <c r="D4137" s="2"/>
      <c r="E4137" s="2"/>
      <c r="F4137" s="2"/>
      <c r="G4137" s="2"/>
      <c r="H4137" s="26"/>
      <c r="I4137" s="2"/>
      <c r="J4137" s="2"/>
      <c r="K4137" s="2"/>
      <c r="L4137" s="2"/>
      <c r="M4137" s="2"/>
    </row>
    <row r="4138" spans="2:13" ht="13" x14ac:dyDescent="0.15">
      <c r="B4138" s="2"/>
      <c r="C4138" s="2"/>
      <c r="D4138" s="2"/>
      <c r="E4138" s="2"/>
      <c r="F4138" s="2"/>
      <c r="G4138" s="2"/>
      <c r="H4138" s="26"/>
      <c r="I4138" s="2"/>
      <c r="J4138" s="2"/>
      <c r="K4138" s="2"/>
      <c r="L4138" s="2"/>
      <c r="M4138" s="2"/>
    </row>
    <row r="4139" spans="2:13" ht="13" x14ac:dyDescent="0.15">
      <c r="B4139" s="2"/>
      <c r="C4139" s="2"/>
      <c r="D4139" s="2"/>
      <c r="E4139" s="2"/>
      <c r="F4139" s="2"/>
      <c r="G4139" s="2"/>
      <c r="H4139" s="26"/>
      <c r="I4139" s="2"/>
      <c r="J4139" s="2"/>
      <c r="K4139" s="2"/>
      <c r="L4139" s="2"/>
      <c r="M4139" s="2"/>
    </row>
    <row r="4140" spans="2:13" ht="13" x14ac:dyDescent="0.15">
      <c r="B4140" s="2"/>
      <c r="C4140" s="2"/>
      <c r="D4140" s="2"/>
      <c r="E4140" s="2"/>
      <c r="F4140" s="2"/>
      <c r="G4140" s="2"/>
      <c r="H4140" s="26"/>
      <c r="I4140" s="2"/>
      <c r="J4140" s="2"/>
      <c r="K4140" s="2"/>
      <c r="L4140" s="2"/>
      <c r="M4140" s="2"/>
    </row>
    <row r="4141" spans="2:13" ht="13" x14ac:dyDescent="0.15">
      <c r="B4141" s="2"/>
      <c r="C4141" s="2"/>
      <c r="D4141" s="2"/>
      <c r="E4141" s="2"/>
      <c r="F4141" s="2"/>
      <c r="G4141" s="2"/>
      <c r="H4141" s="26"/>
      <c r="I4141" s="2"/>
      <c r="J4141" s="2"/>
      <c r="K4141" s="2"/>
      <c r="L4141" s="2"/>
      <c r="M4141" s="2"/>
    </row>
    <row r="4142" spans="2:13" ht="13" x14ac:dyDescent="0.15">
      <c r="B4142" s="2"/>
      <c r="C4142" s="2"/>
      <c r="D4142" s="2"/>
      <c r="E4142" s="2"/>
      <c r="F4142" s="2"/>
      <c r="G4142" s="2"/>
      <c r="H4142" s="26"/>
      <c r="I4142" s="2"/>
      <c r="J4142" s="2"/>
      <c r="K4142" s="2"/>
      <c r="L4142" s="2"/>
      <c r="M4142" s="2"/>
    </row>
    <row r="4143" spans="2:13" ht="13" x14ac:dyDescent="0.15">
      <c r="B4143" s="2"/>
      <c r="C4143" s="2"/>
      <c r="D4143" s="2"/>
      <c r="E4143" s="2"/>
      <c r="F4143" s="2"/>
      <c r="G4143" s="2"/>
      <c r="H4143" s="26"/>
      <c r="I4143" s="2"/>
      <c r="J4143" s="2"/>
      <c r="K4143" s="2"/>
      <c r="L4143" s="2"/>
      <c r="M4143" s="2"/>
    </row>
    <row r="4144" spans="2:13" ht="13" x14ac:dyDescent="0.15">
      <c r="B4144" s="2"/>
      <c r="C4144" s="2"/>
      <c r="D4144" s="2"/>
      <c r="E4144" s="2"/>
      <c r="F4144" s="2"/>
      <c r="G4144" s="2"/>
      <c r="H4144" s="26"/>
      <c r="I4144" s="2"/>
      <c r="J4144" s="2"/>
      <c r="K4144" s="2"/>
      <c r="L4144" s="2"/>
      <c r="M4144" s="2"/>
    </row>
    <row r="4145" spans="2:13" ht="13" x14ac:dyDescent="0.15">
      <c r="B4145" s="2"/>
      <c r="C4145" s="2"/>
      <c r="D4145" s="2"/>
      <c r="E4145" s="2"/>
      <c r="F4145" s="2"/>
      <c r="G4145" s="2"/>
      <c r="H4145" s="26"/>
      <c r="I4145" s="2"/>
      <c r="J4145" s="2"/>
      <c r="K4145" s="2"/>
      <c r="L4145" s="2"/>
      <c r="M4145" s="2"/>
    </row>
    <row r="4146" spans="2:13" ht="13" x14ac:dyDescent="0.15">
      <c r="B4146" s="2"/>
      <c r="C4146" s="2"/>
      <c r="D4146" s="2"/>
      <c r="E4146" s="2"/>
      <c r="F4146" s="2"/>
      <c r="G4146" s="2"/>
      <c r="H4146" s="26"/>
      <c r="I4146" s="2"/>
      <c r="J4146" s="2"/>
      <c r="K4146" s="2"/>
      <c r="L4146" s="2"/>
      <c r="M4146" s="2"/>
    </row>
    <row r="4147" spans="2:13" ht="13" x14ac:dyDescent="0.15">
      <c r="B4147" s="2"/>
      <c r="C4147" s="2"/>
      <c r="D4147" s="2"/>
      <c r="E4147" s="2"/>
      <c r="F4147" s="2"/>
      <c r="G4147" s="2"/>
      <c r="H4147" s="26"/>
      <c r="I4147" s="2"/>
      <c r="J4147" s="2"/>
      <c r="K4147" s="2"/>
      <c r="L4147" s="2"/>
      <c r="M4147" s="2"/>
    </row>
    <row r="4148" spans="2:13" ht="13" x14ac:dyDescent="0.15">
      <c r="B4148" s="2"/>
      <c r="C4148" s="2"/>
      <c r="D4148" s="2"/>
      <c r="E4148" s="2"/>
      <c r="F4148" s="2"/>
      <c r="G4148" s="2"/>
      <c r="H4148" s="26"/>
      <c r="I4148" s="2"/>
      <c r="J4148" s="2"/>
      <c r="K4148" s="2"/>
      <c r="L4148" s="2"/>
      <c r="M4148" s="2"/>
    </row>
    <row r="4149" spans="2:13" ht="13" x14ac:dyDescent="0.15">
      <c r="B4149" s="2"/>
      <c r="C4149" s="2"/>
      <c r="D4149" s="2"/>
      <c r="E4149" s="2"/>
      <c r="F4149" s="2"/>
      <c r="G4149" s="2"/>
      <c r="H4149" s="26"/>
      <c r="I4149" s="2"/>
      <c r="J4149" s="2"/>
      <c r="K4149" s="2"/>
      <c r="L4149" s="2"/>
      <c r="M4149" s="2"/>
    </row>
    <row r="4150" spans="2:13" ht="13" x14ac:dyDescent="0.15">
      <c r="B4150" s="2"/>
      <c r="C4150" s="2"/>
      <c r="D4150" s="2"/>
      <c r="E4150" s="2"/>
      <c r="F4150" s="2"/>
      <c r="G4150" s="2"/>
      <c r="H4150" s="26"/>
      <c r="I4150" s="2"/>
      <c r="J4150" s="2"/>
      <c r="K4150" s="2"/>
      <c r="L4150" s="2"/>
      <c r="M4150" s="2"/>
    </row>
    <row r="4151" spans="2:13" ht="13" x14ac:dyDescent="0.15">
      <c r="B4151" s="2"/>
      <c r="C4151" s="2"/>
      <c r="D4151" s="2"/>
      <c r="E4151" s="2"/>
      <c r="F4151" s="2"/>
      <c r="G4151" s="2"/>
      <c r="H4151" s="26"/>
      <c r="I4151" s="2"/>
      <c r="J4151" s="2"/>
      <c r="K4151" s="2"/>
      <c r="L4151" s="2"/>
      <c r="M4151" s="2"/>
    </row>
    <row r="4152" spans="2:13" ht="13" x14ac:dyDescent="0.15">
      <c r="B4152" s="2"/>
      <c r="C4152" s="2"/>
      <c r="D4152" s="2"/>
      <c r="E4152" s="2"/>
      <c r="F4152" s="2"/>
      <c r="G4152" s="2"/>
      <c r="H4152" s="26"/>
      <c r="I4152" s="2"/>
      <c r="J4152" s="2"/>
      <c r="K4152" s="2"/>
      <c r="L4152" s="2"/>
      <c r="M4152" s="2"/>
    </row>
    <row r="4153" spans="2:13" ht="13" x14ac:dyDescent="0.15">
      <c r="B4153" s="2"/>
      <c r="C4153" s="2"/>
      <c r="D4153" s="2"/>
      <c r="E4153" s="2"/>
      <c r="F4153" s="2"/>
      <c r="G4153" s="2"/>
      <c r="H4153" s="26"/>
      <c r="I4153" s="2"/>
      <c r="J4153" s="2"/>
      <c r="K4153" s="2"/>
      <c r="L4153" s="2"/>
      <c r="M4153" s="2"/>
    </row>
    <row r="4154" spans="2:13" ht="13" x14ac:dyDescent="0.15">
      <c r="B4154" s="2"/>
      <c r="C4154" s="2"/>
      <c r="D4154" s="2"/>
      <c r="E4154" s="2"/>
      <c r="F4154" s="2"/>
      <c r="G4154" s="2"/>
      <c r="H4154" s="26"/>
      <c r="I4154" s="2"/>
      <c r="J4154" s="2"/>
      <c r="K4154" s="2"/>
      <c r="L4154" s="2"/>
      <c r="M4154" s="2"/>
    </row>
    <row r="4155" spans="2:13" ht="13" x14ac:dyDescent="0.15">
      <c r="B4155" s="2"/>
      <c r="C4155" s="2"/>
      <c r="D4155" s="2"/>
      <c r="E4155" s="2"/>
      <c r="F4155" s="2"/>
      <c r="G4155" s="2"/>
      <c r="H4155" s="26"/>
      <c r="I4155" s="2"/>
      <c r="J4155" s="2"/>
      <c r="K4155" s="2"/>
      <c r="L4155" s="2"/>
      <c r="M4155" s="2"/>
    </row>
    <row r="4156" spans="2:13" ht="13" x14ac:dyDescent="0.15">
      <c r="B4156" s="2"/>
      <c r="C4156" s="2"/>
      <c r="D4156" s="2"/>
      <c r="E4156" s="2"/>
      <c r="F4156" s="2"/>
      <c r="G4156" s="2"/>
      <c r="H4156" s="26"/>
      <c r="I4156" s="2"/>
      <c r="J4156" s="2"/>
      <c r="K4156" s="2"/>
      <c r="L4156" s="2"/>
      <c r="M4156" s="2"/>
    </row>
    <row r="4157" spans="2:13" ht="13" x14ac:dyDescent="0.15">
      <c r="B4157" s="2"/>
      <c r="C4157" s="2"/>
      <c r="D4157" s="2"/>
      <c r="E4157" s="2"/>
      <c r="F4157" s="2"/>
      <c r="G4157" s="2"/>
      <c r="H4157" s="26"/>
      <c r="I4157" s="2"/>
      <c r="J4157" s="2"/>
      <c r="K4157" s="2"/>
      <c r="L4157" s="2"/>
      <c r="M4157" s="2"/>
    </row>
    <row r="4158" spans="2:13" ht="13" x14ac:dyDescent="0.15">
      <c r="B4158" s="2"/>
      <c r="C4158" s="2"/>
      <c r="D4158" s="2"/>
      <c r="E4158" s="2"/>
      <c r="F4158" s="2"/>
      <c r="G4158" s="2"/>
      <c r="H4158" s="26"/>
      <c r="I4158" s="2"/>
      <c r="J4158" s="2"/>
      <c r="K4158" s="2"/>
      <c r="L4158" s="2"/>
      <c r="M4158" s="2"/>
    </row>
    <row r="4159" spans="2:13" ht="13" x14ac:dyDescent="0.15">
      <c r="B4159" s="2"/>
      <c r="C4159" s="2"/>
      <c r="D4159" s="2"/>
      <c r="E4159" s="2"/>
      <c r="F4159" s="2"/>
      <c r="G4159" s="2"/>
      <c r="H4159" s="26"/>
      <c r="I4159" s="2"/>
      <c r="J4159" s="2"/>
      <c r="K4159" s="2"/>
      <c r="L4159" s="2"/>
      <c r="M4159" s="2"/>
    </row>
    <row r="4160" spans="2:13" ht="13" x14ac:dyDescent="0.15">
      <c r="B4160" s="2"/>
      <c r="C4160" s="2"/>
      <c r="D4160" s="2"/>
      <c r="E4160" s="2"/>
      <c r="F4160" s="2"/>
      <c r="G4160" s="2"/>
      <c r="H4160" s="26"/>
      <c r="I4160" s="2"/>
      <c r="J4160" s="2"/>
      <c r="K4160" s="2"/>
      <c r="L4160" s="2"/>
      <c r="M4160" s="2"/>
    </row>
    <row r="4161" spans="2:13" ht="13" x14ac:dyDescent="0.15">
      <c r="B4161" s="2"/>
      <c r="C4161" s="2"/>
      <c r="D4161" s="2"/>
      <c r="E4161" s="2"/>
      <c r="F4161" s="2"/>
      <c r="G4161" s="2"/>
      <c r="H4161" s="26"/>
      <c r="I4161" s="2"/>
      <c r="J4161" s="2"/>
      <c r="K4161" s="2"/>
      <c r="L4161" s="2"/>
      <c r="M4161" s="2"/>
    </row>
    <row r="4162" spans="2:13" ht="13" x14ac:dyDescent="0.15">
      <c r="B4162" s="2"/>
      <c r="C4162" s="2"/>
      <c r="D4162" s="2"/>
      <c r="E4162" s="2"/>
      <c r="F4162" s="2"/>
      <c r="G4162" s="2"/>
      <c r="H4162" s="26"/>
      <c r="I4162" s="2"/>
      <c r="J4162" s="2"/>
      <c r="K4162" s="2"/>
      <c r="L4162" s="2"/>
      <c r="M4162" s="2"/>
    </row>
    <row r="4163" spans="2:13" ht="13" x14ac:dyDescent="0.15">
      <c r="B4163" s="2"/>
      <c r="C4163" s="2"/>
      <c r="D4163" s="2"/>
      <c r="E4163" s="2"/>
      <c r="F4163" s="2"/>
      <c r="G4163" s="2"/>
      <c r="H4163" s="26"/>
      <c r="I4163" s="2"/>
      <c r="J4163" s="2"/>
      <c r="K4163" s="2"/>
      <c r="L4163" s="2"/>
      <c r="M4163" s="2"/>
    </row>
    <row r="4164" spans="2:13" ht="13" x14ac:dyDescent="0.15">
      <c r="B4164" s="2"/>
      <c r="C4164" s="2"/>
      <c r="D4164" s="2"/>
      <c r="E4164" s="2"/>
      <c r="F4164" s="2"/>
      <c r="G4164" s="2"/>
      <c r="H4164" s="26"/>
      <c r="I4164" s="2"/>
      <c r="J4164" s="2"/>
      <c r="K4164" s="2"/>
      <c r="L4164" s="2"/>
      <c r="M4164" s="2"/>
    </row>
    <row r="4165" spans="2:13" ht="13" x14ac:dyDescent="0.15">
      <c r="B4165" s="2"/>
      <c r="C4165" s="2"/>
      <c r="D4165" s="2"/>
      <c r="E4165" s="2"/>
      <c r="F4165" s="2"/>
      <c r="G4165" s="2"/>
      <c r="H4165" s="26"/>
      <c r="I4165" s="2"/>
      <c r="J4165" s="2"/>
      <c r="K4165" s="2"/>
      <c r="L4165" s="2"/>
      <c r="M4165" s="2"/>
    </row>
    <row r="4166" spans="2:13" ht="13" x14ac:dyDescent="0.15">
      <c r="B4166" s="2"/>
      <c r="C4166" s="2"/>
      <c r="D4166" s="2"/>
      <c r="E4166" s="2"/>
      <c r="F4166" s="2"/>
      <c r="G4166" s="2"/>
      <c r="H4166" s="26"/>
      <c r="I4166" s="2"/>
      <c r="J4166" s="2"/>
      <c r="K4166" s="2"/>
      <c r="L4166" s="2"/>
      <c r="M4166" s="2"/>
    </row>
    <row r="4167" spans="2:13" ht="13" x14ac:dyDescent="0.15">
      <c r="B4167" s="2"/>
      <c r="C4167" s="2"/>
      <c r="D4167" s="2"/>
      <c r="E4167" s="2"/>
      <c r="F4167" s="2"/>
      <c r="G4167" s="2"/>
      <c r="H4167" s="26"/>
      <c r="I4167" s="2"/>
      <c r="J4167" s="2"/>
      <c r="K4167" s="2"/>
      <c r="L4167" s="2"/>
      <c r="M4167" s="2"/>
    </row>
    <row r="4168" spans="2:13" ht="13" x14ac:dyDescent="0.15">
      <c r="B4168" s="2"/>
      <c r="C4168" s="2"/>
      <c r="D4168" s="2"/>
      <c r="E4168" s="2"/>
      <c r="F4168" s="2"/>
      <c r="G4168" s="2"/>
      <c r="H4168" s="26"/>
      <c r="I4168" s="2"/>
      <c r="J4168" s="2"/>
      <c r="K4168" s="2"/>
      <c r="L4168" s="2"/>
      <c r="M4168" s="2"/>
    </row>
    <row r="4169" spans="2:13" ht="13" x14ac:dyDescent="0.15">
      <c r="B4169" s="2"/>
      <c r="C4169" s="2"/>
      <c r="D4169" s="2"/>
      <c r="E4169" s="2"/>
      <c r="F4169" s="2"/>
      <c r="G4169" s="2"/>
      <c r="H4169" s="26"/>
      <c r="I4169" s="2"/>
      <c r="J4169" s="2"/>
      <c r="K4169" s="2"/>
      <c r="L4169" s="2"/>
      <c r="M4169" s="2"/>
    </row>
    <row r="4170" spans="2:13" ht="13" x14ac:dyDescent="0.15">
      <c r="B4170" s="2"/>
      <c r="C4170" s="2"/>
      <c r="D4170" s="2"/>
      <c r="E4170" s="2"/>
      <c r="F4170" s="2"/>
      <c r="G4170" s="2"/>
      <c r="H4170" s="26"/>
      <c r="I4170" s="2"/>
      <c r="J4170" s="2"/>
      <c r="K4170" s="2"/>
      <c r="L4170" s="2"/>
      <c r="M4170" s="2"/>
    </row>
    <row r="4171" spans="2:13" ht="13" x14ac:dyDescent="0.15">
      <c r="B4171" s="2"/>
      <c r="C4171" s="2"/>
      <c r="D4171" s="2"/>
      <c r="E4171" s="2"/>
      <c r="F4171" s="2"/>
      <c r="G4171" s="2"/>
      <c r="H4171" s="26"/>
      <c r="I4171" s="2"/>
      <c r="J4171" s="2"/>
      <c r="K4171" s="2"/>
      <c r="L4171" s="2"/>
      <c r="M4171" s="2"/>
    </row>
    <row r="4172" spans="2:13" ht="13" x14ac:dyDescent="0.15">
      <c r="B4172" s="2"/>
      <c r="C4172" s="2"/>
      <c r="D4172" s="2"/>
      <c r="E4172" s="2"/>
      <c r="F4172" s="2"/>
      <c r="G4172" s="2"/>
      <c r="H4172" s="26"/>
      <c r="I4172" s="2"/>
      <c r="J4172" s="2"/>
      <c r="K4172" s="2"/>
      <c r="L4172" s="2"/>
      <c r="M4172" s="2"/>
    </row>
    <row r="4173" spans="2:13" ht="13" x14ac:dyDescent="0.15">
      <c r="B4173" s="2"/>
      <c r="C4173" s="2"/>
      <c r="D4173" s="2"/>
      <c r="E4173" s="2"/>
      <c r="F4173" s="2"/>
      <c r="G4173" s="2"/>
      <c r="H4173" s="26"/>
      <c r="I4173" s="2"/>
      <c r="J4173" s="2"/>
      <c r="K4173" s="2"/>
      <c r="L4173" s="2"/>
      <c r="M4173" s="2"/>
    </row>
    <row r="4174" spans="2:13" ht="13" x14ac:dyDescent="0.15">
      <c r="B4174" s="2"/>
      <c r="C4174" s="2"/>
      <c r="D4174" s="2"/>
      <c r="E4174" s="2"/>
      <c r="F4174" s="2"/>
      <c r="G4174" s="2"/>
      <c r="H4174" s="26"/>
      <c r="I4174" s="2"/>
      <c r="J4174" s="2"/>
      <c r="K4174" s="2"/>
      <c r="L4174" s="2"/>
      <c r="M4174" s="2"/>
    </row>
    <row r="4175" spans="2:13" ht="13" x14ac:dyDescent="0.15">
      <c r="B4175" s="2"/>
      <c r="C4175" s="2"/>
      <c r="D4175" s="2"/>
      <c r="E4175" s="2"/>
      <c r="F4175" s="2"/>
      <c r="G4175" s="2"/>
      <c r="H4175" s="26"/>
      <c r="I4175" s="2"/>
      <c r="J4175" s="2"/>
      <c r="K4175" s="2"/>
      <c r="L4175" s="2"/>
      <c r="M4175" s="2"/>
    </row>
    <row r="4176" spans="2:13" ht="13" x14ac:dyDescent="0.15">
      <c r="B4176" s="2"/>
      <c r="C4176" s="2"/>
      <c r="D4176" s="2"/>
      <c r="E4176" s="2"/>
      <c r="F4176" s="2"/>
      <c r="G4176" s="2"/>
      <c r="H4176" s="26"/>
      <c r="I4176" s="2"/>
      <c r="J4176" s="2"/>
      <c r="K4176" s="2"/>
      <c r="L4176" s="2"/>
      <c r="M4176" s="2"/>
    </row>
    <row r="4177" spans="2:13" ht="13" x14ac:dyDescent="0.15">
      <c r="B4177" s="2"/>
      <c r="C4177" s="2"/>
      <c r="D4177" s="2"/>
      <c r="E4177" s="2"/>
      <c r="F4177" s="2"/>
      <c r="G4177" s="2"/>
      <c r="H4177" s="26"/>
      <c r="I4177" s="2"/>
      <c r="J4177" s="2"/>
      <c r="K4177" s="2"/>
      <c r="L4177" s="2"/>
      <c r="M4177" s="2"/>
    </row>
    <row r="4178" spans="2:13" ht="13" x14ac:dyDescent="0.15">
      <c r="B4178" s="2"/>
      <c r="C4178" s="2"/>
      <c r="D4178" s="2"/>
      <c r="E4178" s="2"/>
      <c r="F4178" s="2"/>
      <c r="G4178" s="2"/>
      <c r="H4178" s="26"/>
      <c r="I4178" s="2"/>
      <c r="J4178" s="2"/>
      <c r="K4178" s="2"/>
      <c r="L4178" s="2"/>
      <c r="M4178" s="2"/>
    </row>
    <row r="4179" spans="2:13" ht="13" x14ac:dyDescent="0.15">
      <c r="B4179" s="2"/>
      <c r="C4179" s="2"/>
      <c r="D4179" s="2"/>
      <c r="E4179" s="2"/>
      <c r="F4179" s="2"/>
      <c r="G4179" s="2"/>
      <c r="H4179" s="26"/>
      <c r="I4179" s="2"/>
      <c r="J4179" s="2"/>
      <c r="K4179" s="2"/>
      <c r="L4179" s="2"/>
      <c r="M4179" s="2"/>
    </row>
    <row r="4180" spans="2:13" ht="13" x14ac:dyDescent="0.15">
      <c r="B4180" s="2"/>
      <c r="C4180" s="2"/>
      <c r="D4180" s="2"/>
      <c r="E4180" s="2"/>
      <c r="F4180" s="2"/>
      <c r="G4180" s="2"/>
      <c r="H4180" s="26"/>
      <c r="I4180" s="2"/>
      <c r="J4180" s="2"/>
      <c r="K4180" s="2"/>
      <c r="L4180" s="2"/>
      <c r="M4180" s="2"/>
    </row>
    <row r="4181" spans="2:13" ht="13" x14ac:dyDescent="0.15">
      <c r="B4181" s="2"/>
      <c r="C4181" s="2"/>
      <c r="D4181" s="2"/>
      <c r="E4181" s="2"/>
      <c r="F4181" s="2"/>
      <c r="G4181" s="2"/>
      <c r="H4181" s="26"/>
      <c r="I4181" s="2"/>
      <c r="J4181" s="2"/>
      <c r="K4181" s="2"/>
      <c r="L4181" s="2"/>
      <c r="M4181" s="2"/>
    </row>
    <row r="4182" spans="2:13" ht="13" x14ac:dyDescent="0.15">
      <c r="B4182" s="2"/>
      <c r="C4182" s="2"/>
      <c r="D4182" s="2"/>
      <c r="E4182" s="2"/>
      <c r="F4182" s="2"/>
      <c r="G4182" s="2"/>
      <c r="H4182" s="26"/>
      <c r="I4182" s="2"/>
      <c r="J4182" s="2"/>
      <c r="K4182" s="2"/>
      <c r="L4182" s="2"/>
      <c r="M4182" s="2"/>
    </row>
    <row r="4183" spans="2:13" ht="13" x14ac:dyDescent="0.15">
      <c r="B4183" s="2"/>
      <c r="C4183" s="2"/>
      <c r="D4183" s="2"/>
      <c r="E4183" s="2"/>
      <c r="F4183" s="2"/>
      <c r="G4183" s="2"/>
      <c r="H4183" s="26"/>
      <c r="I4183" s="2"/>
      <c r="J4183" s="2"/>
      <c r="K4183" s="2"/>
      <c r="L4183" s="2"/>
      <c r="M4183" s="2"/>
    </row>
    <row r="4184" spans="2:13" ht="13" x14ac:dyDescent="0.15">
      <c r="B4184" s="2"/>
      <c r="C4184" s="2"/>
      <c r="D4184" s="2"/>
      <c r="E4184" s="2"/>
      <c r="F4184" s="2"/>
      <c r="G4184" s="2"/>
      <c r="H4184" s="26"/>
      <c r="I4184" s="2"/>
      <c r="J4184" s="2"/>
      <c r="K4184" s="2"/>
      <c r="L4184" s="2"/>
      <c r="M4184" s="2"/>
    </row>
    <row r="4185" spans="2:13" ht="13" x14ac:dyDescent="0.15">
      <c r="B4185" s="2"/>
      <c r="C4185" s="2"/>
      <c r="D4185" s="2"/>
      <c r="E4185" s="2"/>
      <c r="F4185" s="2"/>
      <c r="G4185" s="2"/>
      <c r="H4185" s="26"/>
      <c r="I4185" s="2"/>
      <c r="J4185" s="2"/>
      <c r="K4185" s="2"/>
      <c r="L4185" s="2"/>
      <c r="M4185" s="2"/>
    </row>
    <row r="4186" spans="2:13" ht="13" x14ac:dyDescent="0.15">
      <c r="B4186" s="2"/>
      <c r="C4186" s="2"/>
      <c r="D4186" s="2"/>
      <c r="E4186" s="2"/>
      <c r="F4186" s="2"/>
      <c r="G4186" s="2"/>
      <c r="H4186" s="26"/>
      <c r="I4186" s="2"/>
      <c r="J4186" s="2"/>
      <c r="K4186" s="2"/>
      <c r="L4186" s="2"/>
      <c r="M4186" s="2"/>
    </row>
    <row r="4187" spans="2:13" ht="13" x14ac:dyDescent="0.15">
      <c r="B4187" s="2"/>
      <c r="C4187" s="2"/>
      <c r="D4187" s="2"/>
      <c r="E4187" s="2"/>
      <c r="F4187" s="2"/>
      <c r="G4187" s="2"/>
      <c r="H4187" s="26"/>
      <c r="I4187" s="2"/>
      <c r="J4187" s="2"/>
      <c r="K4187" s="2"/>
      <c r="L4187" s="2"/>
      <c r="M4187" s="2"/>
    </row>
    <row r="4188" spans="2:13" ht="13" x14ac:dyDescent="0.15">
      <c r="B4188" s="2"/>
      <c r="C4188" s="2"/>
      <c r="D4188" s="2"/>
      <c r="E4188" s="2"/>
      <c r="F4188" s="2"/>
      <c r="G4188" s="2"/>
      <c r="H4188" s="26"/>
      <c r="I4188" s="2"/>
      <c r="J4188" s="2"/>
      <c r="K4188" s="2"/>
      <c r="L4188" s="2"/>
      <c r="M4188" s="2"/>
    </row>
    <row r="4189" spans="2:13" ht="13" x14ac:dyDescent="0.15">
      <c r="B4189" s="2"/>
      <c r="C4189" s="2"/>
      <c r="D4189" s="2"/>
      <c r="E4189" s="2"/>
      <c r="F4189" s="2"/>
      <c r="G4189" s="2"/>
      <c r="H4189" s="26"/>
      <c r="I4189" s="2"/>
      <c r="J4189" s="2"/>
      <c r="K4189" s="2"/>
      <c r="L4189" s="2"/>
      <c r="M4189" s="2"/>
    </row>
    <row r="4190" spans="2:13" ht="13" x14ac:dyDescent="0.15">
      <c r="B4190" s="2"/>
      <c r="C4190" s="2"/>
      <c r="D4190" s="2"/>
      <c r="E4190" s="2"/>
      <c r="F4190" s="2"/>
      <c r="G4190" s="2"/>
      <c r="H4190" s="26"/>
      <c r="I4190" s="2"/>
      <c r="J4190" s="2"/>
      <c r="K4190" s="2"/>
      <c r="L4190" s="2"/>
      <c r="M4190" s="2"/>
    </row>
    <row r="4191" spans="2:13" ht="13" x14ac:dyDescent="0.15">
      <c r="B4191" s="2"/>
      <c r="C4191" s="2"/>
      <c r="D4191" s="2"/>
      <c r="E4191" s="2"/>
      <c r="F4191" s="2"/>
      <c r="G4191" s="2"/>
      <c r="H4191" s="26"/>
      <c r="I4191" s="2"/>
      <c r="J4191" s="2"/>
      <c r="K4191" s="2"/>
      <c r="L4191" s="2"/>
      <c r="M4191" s="2"/>
    </row>
    <row r="4192" spans="2:13" ht="13" x14ac:dyDescent="0.15">
      <c r="B4192" s="2"/>
      <c r="C4192" s="2"/>
      <c r="D4192" s="2"/>
      <c r="E4192" s="2"/>
      <c r="F4192" s="2"/>
      <c r="G4192" s="2"/>
      <c r="H4192" s="26"/>
      <c r="I4192" s="2"/>
      <c r="J4192" s="2"/>
      <c r="K4192" s="2"/>
      <c r="L4192" s="2"/>
      <c r="M4192" s="2"/>
    </row>
    <row r="4193" spans="2:13" ht="13" x14ac:dyDescent="0.15">
      <c r="B4193" s="2"/>
      <c r="C4193" s="2"/>
      <c r="D4193" s="2"/>
      <c r="E4193" s="2"/>
      <c r="F4193" s="2"/>
      <c r="G4193" s="2"/>
      <c r="H4193" s="26"/>
      <c r="I4193" s="2"/>
      <c r="J4193" s="2"/>
      <c r="K4193" s="2"/>
      <c r="L4193" s="2"/>
      <c r="M4193" s="2"/>
    </row>
    <row r="4194" spans="2:13" ht="13" x14ac:dyDescent="0.15">
      <c r="B4194" s="2"/>
      <c r="C4194" s="2"/>
      <c r="D4194" s="2"/>
      <c r="E4194" s="2"/>
      <c r="F4194" s="2"/>
      <c r="G4194" s="2"/>
      <c r="H4194" s="26"/>
      <c r="I4194" s="2"/>
      <c r="J4194" s="2"/>
      <c r="K4194" s="2"/>
      <c r="L4194" s="2"/>
      <c r="M4194" s="2"/>
    </row>
    <row r="4195" spans="2:13" ht="13" x14ac:dyDescent="0.15">
      <c r="B4195" s="2"/>
      <c r="C4195" s="2"/>
      <c r="D4195" s="2"/>
      <c r="E4195" s="2"/>
      <c r="F4195" s="2"/>
      <c r="G4195" s="2"/>
      <c r="H4195" s="26"/>
      <c r="I4195" s="2"/>
      <c r="J4195" s="2"/>
      <c r="K4195" s="2"/>
      <c r="L4195" s="2"/>
      <c r="M4195" s="2"/>
    </row>
    <row r="4196" spans="2:13" ht="13" x14ac:dyDescent="0.15">
      <c r="B4196" s="2"/>
      <c r="C4196" s="2"/>
      <c r="D4196" s="2"/>
      <c r="E4196" s="2"/>
      <c r="F4196" s="2"/>
      <c r="G4196" s="2"/>
      <c r="H4196" s="26"/>
      <c r="I4196" s="2"/>
      <c r="J4196" s="2"/>
      <c r="K4196" s="2"/>
      <c r="L4196" s="2"/>
      <c r="M4196" s="2"/>
    </row>
    <row r="4197" spans="2:13" ht="13" x14ac:dyDescent="0.15">
      <c r="B4197" s="2"/>
      <c r="C4197" s="2"/>
      <c r="D4197" s="2"/>
      <c r="E4197" s="2"/>
      <c r="F4197" s="2"/>
      <c r="G4197" s="2"/>
      <c r="H4197" s="26"/>
      <c r="I4197" s="2"/>
      <c r="J4197" s="2"/>
      <c r="K4197" s="2"/>
      <c r="L4197" s="2"/>
      <c r="M4197" s="2"/>
    </row>
    <row r="4198" spans="2:13" ht="13" x14ac:dyDescent="0.15">
      <c r="B4198" s="2"/>
      <c r="C4198" s="2"/>
      <c r="D4198" s="2"/>
      <c r="E4198" s="2"/>
      <c r="F4198" s="2"/>
      <c r="G4198" s="2"/>
      <c r="H4198" s="26"/>
      <c r="I4198" s="2"/>
      <c r="J4198" s="2"/>
      <c r="K4198" s="2"/>
      <c r="L4198" s="2"/>
      <c r="M4198" s="2"/>
    </row>
    <row r="4199" spans="2:13" ht="13" x14ac:dyDescent="0.15">
      <c r="B4199" s="2"/>
      <c r="C4199" s="2"/>
      <c r="D4199" s="2"/>
      <c r="E4199" s="2"/>
      <c r="F4199" s="2"/>
      <c r="G4199" s="2"/>
      <c r="H4199" s="26"/>
      <c r="I4199" s="2"/>
      <c r="J4199" s="2"/>
      <c r="K4199" s="2"/>
      <c r="L4199" s="2"/>
      <c r="M4199" s="2"/>
    </row>
    <row r="4200" spans="2:13" ht="13" x14ac:dyDescent="0.15">
      <c r="B4200" s="2"/>
      <c r="C4200" s="2"/>
      <c r="D4200" s="2"/>
      <c r="E4200" s="2"/>
      <c r="F4200" s="2"/>
      <c r="G4200" s="2"/>
      <c r="H4200" s="26"/>
      <c r="I4200" s="2"/>
      <c r="J4200" s="2"/>
      <c r="K4200" s="2"/>
      <c r="L4200" s="2"/>
      <c r="M4200" s="2"/>
    </row>
    <row r="4201" spans="2:13" ht="13" x14ac:dyDescent="0.15">
      <c r="B4201" s="2"/>
      <c r="C4201" s="2"/>
      <c r="D4201" s="2"/>
      <c r="E4201" s="2"/>
      <c r="F4201" s="2"/>
      <c r="G4201" s="2"/>
      <c r="H4201" s="26"/>
      <c r="I4201" s="2"/>
      <c r="J4201" s="2"/>
      <c r="K4201" s="2"/>
      <c r="L4201" s="2"/>
      <c r="M4201" s="2"/>
    </row>
    <row r="4202" spans="2:13" ht="13" x14ac:dyDescent="0.15">
      <c r="B4202" s="2"/>
      <c r="C4202" s="2"/>
      <c r="D4202" s="2"/>
      <c r="E4202" s="2"/>
      <c r="F4202" s="2"/>
      <c r="G4202" s="2"/>
      <c r="H4202" s="26"/>
      <c r="I4202" s="2"/>
      <c r="J4202" s="2"/>
      <c r="K4202" s="2"/>
      <c r="L4202" s="2"/>
      <c r="M4202" s="2"/>
    </row>
    <row r="4203" spans="2:13" ht="13" x14ac:dyDescent="0.15">
      <c r="B4203" s="2"/>
      <c r="C4203" s="2"/>
      <c r="D4203" s="2"/>
      <c r="E4203" s="2"/>
      <c r="F4203" s="2"/>
      <c r="G4203" s="2"/>
      <c r="H4203" s="26"/>
      <c r="I4203" s="2"/>
      <c r="J4203" s="2"/>
      <c r="K4203" s="2"/>
      <c r="L4203" s="2"/>
      <c r="M4203" s="2"/>
    </row>
    <row r="4204" spans="2:13" ht="13" x14ac:dyDescent="0.15">
      <c r="B4204" s="2"/>
      <c r="C4204" s="2"/>
      <c r="D4204" s="2"/>
      <c r="E4204" s="2"/>
      <c r="F4204" s="2"/>
      <c r="G4204" s="2"/>
      <c r="H4204" s="26"/>
      <c r="I4204" s="2"/>
      <c r="J4204" s="2"/>
      <c r="K4204" s="2"/>
      <c r="L4204" s="2"/>
      <c r="M4204" s="2"/>
    </row>
    <row r="4205" spans="2:13" ht="13" x14ac:dyDescent="0.15">
      <c r="B4205" s="2"/>
      <c r="C4205" s="2"/>
      <c r="D4205" s="2"/>
      <c r="E4205" s="2"/>
      <c r="F4205" s="2"/>
      <c r="G4205" s="2"/>
      <c r="H4205" s="26"/>
      <c r="I4205" s="2"/>
      <c r="J4205" s="2"/>
      <c r="K4205" s="2"/>
      <c r="L4205" s="2"/>
      <c r="M4205" s="2"/>
    </row>
    <row r="4206" spans="2:13" ht="13" x14ac:dyDescent="0.15">
      <c r="B4206" s="2"/>
      <c r="C4206" s="2"/>
      <c r="D4206" s="2"/>
      <c r="E4206" s="2"/>
      <c r="F4206" s="2"/>
      <c r="G4206" s="2"/>
      <c r="H4206" s="26"/>
      <c r="I4206" s="2"/>
      <c r="J4206" s="2"/>
      <c r="K4206" s="2"/>
      <c r="L4206" s="2"/>
      <c r="M4206" s="2"/>
    </row>
    <row r="4207" spans="2:13" ht="13" x14ac:dyDescent="0.15">
      <c r="B4207" s="2"/>
      <c r="C4207" s="2"/>
      <c r="D4207" s="2"/>
      <c r="E4207" s="2"/>
      <c r="F4207" s="2"/>
      <c r="G4207" s="2"/>
      <c r="H4207" s="26"/>
      <c r="I4207" s="2"/>
      <c r="J4207" s="2"/>
      <c r="K4207" s="2"/>
      <c r="L4207" s="2"/>
      <c r="M4207" s="2"/>
    </row>
    <row r="4208" spans="2:13" ht="13" x14ac:dyDescent="0.15">
      <c r="B4208" s="2"/>
      <c r="C4208" s="2"/>
      <c r="D4208" s="2"/>
      <c r="E4208" s="2"/>
      <c r="F4208" s="2"/>
      <c r="G4208" s="2"/>
      <c r="H4208" s="26"/>
      <c r="I4208" s="2"/>
      <c r="J4208" s="2"/>
      <c r="K4208" s="2"/>
      <c r="L4208" s="2"/>
      <c r="M4208" s="2"/>
    </row>
    <row r="4209" spans="2:13" ht="13" x14ac:dyDescent="0.15">
      <c r="B4209" s="2"/>
      <c r="C4209" s="2"/>
      <c r="D4209" s="2"/>
      <c r="E4209" s="2"/>
      <c r="F4209" s="2"/>
      <c r="G4209" s="2"/>
      <c r="H4209" s="26"/>
      <c r="I4209" s="2"/>
      <c r="J4209" s="2"/>
      <c r="K4209" s="2"/>
      <c r="L4209" s="2"/>
      <c r="M4209" s="2"/>
    </row>
    <row r="4210" spans="2:13" ht="13" x14ac:dyDescent="0.15">
      <c r="B4210" s="2"/>
      <c r="C4210" s="2"/>
      <c r="D4210" s="2"/>
      <c r="E4210" s="2"/>
      <c r="F4210" s="2"/>
      <c r="G4210" s="2"/>
      <c r="H4210" s="26"/>
      <c r="I4210" s="2"/>
      <c r="J4210" s="2"/>
      <c r="K4210" s="2"/>
      <c r="L4210" s="2"/>
      <c r="M4210" s="2"/>
    </row>
    <row r="4211" spans="2:13" ht="13" x14ac:dyDescent="0.15">
      <c r="B4211" s="2"/>
      <c r="C4211" s="2"/>
      <c r="D4211" s="2"/>
      <c r="E4211" s="2"/>
      <c r="F4211" s="2"/>
      <c r="G4211" s="2"/>
      <c r="H4211" s="26"/>
      <c r="I4211" s="2"/>
      <c r="J4211" s="2"/>
      <c r="K4211" s="2"/>
      <c r="L4211" s="2"/>
      <c r="M4211" s="2"/>
    </row>
    <row r="4212" spans="2:13" ht="13" x14ac:dyDescent="0.15">
      <c r="B4212" s="2"/>
      <c r="C4212" s="2"/>
      <c r="D4212" s="2"/>
      <c r="E4212" s="2"/>
      <c r="F4212" s="2"/>
      <c r="G4212" s="2"/>
      <c r="H4212" s="26"/>
      <c r="I4212" s="2"/>
      <c r="J4212" s="2"/>
      <c r="K4212" s="2"/>
      <c r="L4212" s="2"/>
      <c r="M4212" s="2"/>
    </row>
    <row r="4213" spans="2:13" ht="13" x14ac:dyDescent="0.15">
      <c r="B4213" s="2"/>
      <c r="C4213" s="2"/>
      <c r="D4213" s="2"/>
      <c r="E4213" s="2"/>
      <c r="F4213" s="2"/>
      <c r="G4213" s="2"/>
      <c r="H4213" s="26"/>
      <c r="I4213" s="2"/>
      <c r="J4213" s="2"/>
      <c r="K4213" s="2"/>
      <c r="L4213" s="2"/>
      <c r="M4213" s="2"/>
    </row>
    <row r="4214" spans="2:13" ht="13" x14ac:dyDescent="0.15">
      <c r="B4214" s="2"/>
      <c r="C4214" s="2"/>
      <c r="D4214" s="2"/>
      <c r="E4214" s="2"/>
      <c r="F4214" s="2"/>
      <c r="G4214" s="2"/>
      <c r="H4214" s="26"/>
      <c r="I4214" s="2"/>
      <c r="J4214" s="2"/>
      <c r="K4214" s="2"/>
      <c r="L4214" s="2"/>
      <c r="M4214" s="2"/>
    </row>
    <row r="4215" spans="2:13" ht="13" x14ac:dyDescent="0.15">
      <c r="B4215" s="2"/>
      <c r="C4215" s="2"/>
      <c r="D4215" s="2"/>
      <c r="E4215" s="2"/>
      <c r="F4215" s="2"/>
      <c r="G4215" s="2"/>
      <c r="H4215" s="26"/>
      <c r="I4215" s="2"/>
      <c r="J4215" s="2"/>
      <c r="K4215" s="2"/>
      <c r="L4215" s="2"/>
      <c r="M4215" s="2"/>
    </row>
    <row r="4216" spans="2:13" ht="13" x14ac:dyDescent="0.15">
      <c r="B4216" s="2"/>
      <c r="C4216" s="2"/>
      <c r="D4216" s="2"/>
      <c r="E4216" s="2"/>
      <c r="F4216" s="2"/>
      <c r="G4216" s="2"/>
      <c r="H4216" s="26"/>
      <c r="I4216" s="2"/>
      <c r="J4216" s="2"/>
      <c r="K4216" s="2"/>
      <c r="L4216" s="2"/>
      <c r="M4216" s="2"/>
    </row>
    <row r="4217" spans="2:13" ht="13" x14ac:dyDescent="0.15">
      <c r="B4217" s="2"/>
      <c r="C4217" s="2"/>
      <c r="D4217" s="2"/>
      <c r="E4217" s="2"/>
      <c r="F4217" s="2"/>
      <c r="G4217" s="2"/>
      <c r="H4217" s="26"/>
      <c r="I4217" s="2"/>
      <c r="J4217" s="2"/>
      <c r="K4217" s="2"/>
      <c r="L4217" s="2"/>
      <c r="M4217" s="2"/>
    </row>
    <row r="4218" spans="2:13" ht="13" x14ac:dyDescent="0.15">
      <c r="B4218" s="2"/>
      <c r="C4218" s="2"/>
      <c r="D4218" s="2"/>
      <c r="E4218" s="2"/>
      <c r="F4218" s="2"/>
      <c r="G4218" s="2"/>
      <c r="H4218" s="26"/>
      <c r="I4218" s="2"/>
      <c r="J4218" s="2"/>
      <c r="K4218" s="2"/>
      <c r="L4218" s="2"/>
      <c r="M4218" s="2"/>
    </row>
    <row r="4219" spans="2:13" ht="13" x14ac:dyDescent="0.15">
      <c r="B4219" s="2"/>
      <c r="C4219" s="2"/>
      <c r="D4219" s="2"/>
      <c r="E4219" s="2"/>
      <c r="F4219" s="2"/>
      <c r="G4219" s="2"/>
      <c r="H4219" s="26"/>
      <c r="I4219" s="2"/>
      <c r="J4219" s="2"/>
      <c r="K4219" s="2"/>
      <c r="L4219" s="2"/>
      <c r="M4219" s="2"/>
    </row>
    <row r="4220" spans="2:13" ht="13" x14ac:dyDescent="0.15">
      <c r="B4220" s="2"/>
      <c r="C4220" s="2"/>
      <c r="D4220" s="2"/>
      <c r="E4220" s="2"/>
      <c r="F4220" s="2"/>
      <c r="G4220" s="2"/>
      <c r="H4220" s="26"/>
      <c r="I4220" s="2"/>
      <c r="J4220" s="2"/>
      <c r="K4220" s="2"/>
      <c r="L4220" s="2"/>
      <c r="M4220" s="2"/>
    </row>
    <row r="4221" spans="2:13" ht="13" x14ac:dyDescent="0.15">
      <c r="B4221" s="2"/>
      <c r="C4221" s="2"/>
      <c r="D4221" s="2"/>
      <c r="E4221" s="2"/>
      <c r="F4221" s="2"/>
      <c r="G4221" s="2"/>
      <c r="H4221" s="26"/>
      <c r="I4221" s="2"/>
      <c r="J4221" s="2"/>
      <c r="K4221" s="2"/>
      <c r="L4221" s="2"/>
      <c r="M4221" s="2"/>
    </row>
    <row r="4222" spans="2:13" ht="13" x14ac:dyDescent="0.15">
      <c r="B4222" s="2"/>
      <c r="C4222" s="2"/>
      <c r="D4222" s="2"/>
      <c r="E4222" s="2"/>
      <c r="F4222" s="2"/>
      <c r="G4222" s="2"/>
      <c r="H4222" s="26"/>
      <c r="I4222" s="2"/>
      <c r="J4222" s="2"/>
      <c r="K4222" s="2"/>
      <c r="L4222" s="2"/>
      <c r="M4222" s="2"/>
    </row>
    <row r="4223" spans="2:13" ht="13" x14ac:dyDescent="0.15">
      <c r="B4223" s="2"/>
      <c r="C4223" s="2"/>
      <c r="D4223" s="2"/>
      <c r="E4223" s="2"/>
      <c r="F4223" s="2"/>
      <c r="G4223" s="2"/>
      <c r="H4223" s="26"/>
      <c r="I4223" s="2"/>
      <c r="J4223" s="2"/>
      <c r="K4223" s="2"/>
      <c r="L4223" s="2"/>
      <c r="M4223" s="2"/>
    </row>
    <row r="4224" spans="2:13" ht="13" x14ac:dyDescent="0.15">
      <c r="B4224" s="2"/>
      <c r="C4224" s="2"/>
      <c r="D4224" s="2"/>
      <c r="E4224" s="2"/>
      <c r="F4224" s="2"/>
      <c r="G4224" s="2"/>
      <c r="H4224" s="26"/>
      <c r="I4224" s="2"/>
      <c r="J4224" s="2"/>
      <c r="K4224" s="2"/>
      <c r="L4224" s="2"/>
      <c r="M4224" s="2"/>
    </row>
    <row r="4225" spans="2:13" ht="13" x14ac:dyDescent="0.15">
      <c r="B4225" s="2"/>
      <c r="C4225" s="2"/>
      <c r="D4225" s="2"/>
      <c r="E4225" s="2"/>
      <c r="F4225" s="2"/>
      <c r="G4225" s="2"/>
      <c r="H4225" s="26"/>
      <c r="I4225" s="2"/>
      <c r="J4225" s="2"/>
      <c r="K4225" s="2"/>
      <c r="L4225" s="2"/>
      <c r="M4225" s="2"/>
    </row>
    <row r="4226" spans="2:13" ht="13" x14ac:dyDescent="0.15">
      <c r="B4226" s="2"/>
      <c r="C4226" s="2"/>
      <c r="D4226" s="2"/>
      <c r="E4226" s="2"/>
      <c r="F4226" s="2"/>
      <c r="G4226" s="2"/>
      <c r="H4226" s="26"/>
      <c r="I4226" s="2"/>
      <c r="J4226" s="2"/>
      <c r="K4226" s="2"/>
      <c r="L4226" s="2"/>
      <c r="M4226" s="2"/>
    </row>
    <row r="4227" spans="2:13" ht="13" x14ac:dyDescent="0.15">
      <c r="B4227" s="2"/>
      <c r="C4227" s="2"/>
      <c r="D4227" s="2"/>
      <c r="E4227" s="2"/>
      <c r="F4227" s="2"/>
      <c r="G4227" s="2"/>
      <c r="H4227" s="26"/>
      <c r="I4227" s="2"/>
      <c r="J4227" s="2"/>
      <c r="K4227" s="2"/>
      <c r="L4227" s="2"/>
      <c r="M4227" s="2"/>
    </row>
    <row r="4228" spans="2:13" ht="13" x14ac:dyDescent="0.15">
      <c r="B4228" s="2"/>
      <c r="C4228" s="2"/>
      <c r="D4228" s="2"/>
      <c r="E4228" s="2"/>
      <c r="F4228" s="2"/>
      <c r="G4228" s="2"/>
      <c r="H4228" s="26"/>
      <c r="I4228" s="2"/>
      <c r="J4228" s="2"/>
      <c r="K4228" s="2"/>
      <c r="L4228" s="2"/>
      <c r="M4228" s="2"/>
    </row>
    <row r="4229" spans="2:13" ht="13" x14ac:dyDescent="0.15">
      <c r="B4229" s="2"/>
      <c r="C4229" s="2"/>
      <c r="D4229" s="2"/>
      <c r="E4229" s="2"/>
      <c r="F4229" s="2"/>
      <c r="G4229" s="2"/>
      <c r="H4229" s="26"/>
      <c r="I4229" s="2"/>
      <c r="J4229" s="2"/>
      <c r="K4229" s="2"/>
      <c r="L4229" s="2"/>
      <c r="M4229" s="2"/>
    </row>
    <row r="4230" spans="2:13" ht="13" x14ac:dyDescent="0.15">
      <c r="B4230" s="2"/>
      <c r="C4230" s="2"/>
      <c r="D4230" s="2"/>
      <c r="E4230" s="2"/>
      <c r="F4230" s="2"/>
      <c r="G4230" s="2"/>
      <c r="H4230" s="26"/>
      <c r="I4230" s="2"/>
      <c r="J4230" s="2"/>
      <c r="K4230" s="2"/>
      <c r="L4230" s="2"/>
      <c r="M4230" s="2"/>
    </row>
    <row r="4231" spans="2:13" ht="13" x14ac:dyDescent="0.15">
      <c r="B4231" s="2"/>
      <c r="C4231" s="2"/>
      <c r="D4231" s="2"/>
      <c r="E4231" s="2"/>
      <c r="F4231" s="2"/>
      <c r="G4231" s="2"/>
      <c r="H4231" s="26"/>
      <c r="I4231" s="2"/>
      <c r="J4231" s="2"/>
      <c r="K4231" s="2"/>
      <c r="L4231" s="2"/>
      <c r="M4231" s="2"/>
    </row>
    <row r="4232" spans="2:13" ht="13" x14ac:dyDescent="0.15">
      <c r="B4232" s="2"/>
      <c r="C4232" s="2"/>
      <c r="D4232" s="2"/>
      <c r="E4232" s="2"/>
      <c r="F4232" s="2"/>
      <c r="G4232" s="2"/>
      <c r="H4232" s="26"/>
      <c r="I4232" s="2"/>
      <c r="J4232" s="2"/>
      <c r="K4232" s="2"/>
      <c r="L4232" s="2"/>
      <c r="M4232" s="2"/>
    </row>
    <row r="4233" spans="2:13" ht="13" x14ac:dyDescent="0.15">
      <c r="B4233" s="2"/>
      <c r="C4233" s="2"/>
      <c r="D4233" s="2"/>
      <c r="E4233" s="2"/>
      <c r="F4233" s="2"/>
      <c r="G4233" s="2"/>
      <c r="H4233" s="26"/>
      <c r="I4233" s="2"/>
      <c r="J4233" s="2"/>
      <c r="K4233" s="2"/>
      <c r="L4233" s="2"/>
      <c r="M4233" s="2"/>
    </row>
    <row r="4234" spans="2:13" ht="13" x14ac:dyDescent="0.15">
      <c r="B4234" s="2"/>
      <c r="C4234" s="2"/>
      <c r="D4234" s="2"/>
      <c r="E4234" s="2"/>
      <c r="F4234" s="2"/>
      <c r="G4234" s="2"/>
      <c r="H4234" s="26"/>
      <c r="I4234" s="2"/>
      <c r="J4234" s="2"/>
      <c r="K4234" s="2"/>
      <c r="L4234" s="2"/>
      <c r="M4234" s="2"/>
    </row>
    <row r="4235" spans="2:13" ht="13" x14ac:dyDescent="0.15">
      <c r="B4235" s="2"/>
      <c r="C4235" s="2"/>
      <c r="D4235" s="2"/>
      <c r="E4235" s="2"/>
      <c r="F4235" s="2"/>
      <c r="G4235" s="2"/>
      <c r="H4235" s="26"/>
      <c r="I4235" s="2"/>
      <c r="J4235" s="2"/>
      <c r="K4235" s="2"/>
      <c r="L4235" s="2"/>
      <c r="M4235" s="2"/>
    </row>
    <row r="4236" spans="2:13" ht="13" x14ac:dyDescent="0.15">
      <c r="B4236" s="2"/>
      <c r="C4236" s="2"/>
      <c r="D4236" s="2"/>
      <c r="E4236" s="2"/>
      <c r="F4236" s="2"/>
      <c r="G4236" s="2"/>
      <c r="H4236" s="26"/>
      <c r="I4236" s="2"/>
      <c r="J4236" s="2"/>
      <c r="K4236" s="2"/>
      <c r="L4236" s="2"/>
      <c r="M4236" s="2"/>
    </row>
    <row r="4237" spans="2:13" ht="13" x14ac:dyDescent="0.15">
      <c r="B4237" s="2"/>
      <c r="C4237" s="2"/>
      <c r="D4237" s="2"/>
      <c r="E4237" s="2"/>
      <c r="F4237" s="2"/>
      <c r="G4237" s="2"/>
      <c r="H4237" s="26"/>
      <c r="I4237" s="2"/>
      <c r="J4237" s="2"/>
      <c r="K4237" s="2"/>
      <c r="L4237" s="2"/>
      <c r="M4237" s="2"/>
    </row>
    <row r="4238" spans="2:13" ht="13" x14ac:dyDescent="0.15">
      <c r="B4238" s="2"/>
      <c r="C4238" s="2"/>
      <c r="D4238" s="2"/>
      <c r="E4238" s="2"/>
      <c r="F4238" s="2"/>
      <c r="G4238" s="2"/>
      <c r="H4238" s="26"/>
      <c r="I4238" s="2"/>
      <c r="J4238" s="2"/>
      <c r="K4238" s="2"/>
      <c r="L4238" s="2"/>
      <c r="M4238" s="2"/>
    </row>
    <row r="4239" spans="2:13" ht="13" x14ac:dyDescent="0.15">
      <c r="B4239" s="2"/>
      <c r="C4239" s="2"/>
      <c r="D4239" s="2"/>
      <c r="E4239" s="2"/>
      <c r="F4239" s="2"/>
      <c r="G4239" s="2"/>
      <c r="H4239" s="26"/>
      <c r="I4239" s="2"/>
      <c r="J4239" s="2"/>
      <c r="K4239" s="2"/>
      <c r="L4239" s="2"/>
      <c r="M4239" s="2"/>
    </row>
    <row r="4240" spans="2:13" ht="13" x14ac:dyDescent="0.15">
      <c r="B4240" s="2"/>
      <c r="C4240" s="2"/>
      <c r="D4240" s="2"/>
      <c r="E4240" s="2"/>
      <c r="F4240" s="2"/>
      <c r="G4240" s="2"/>
      <c r="H4240" s="26"/>
      <c r="I4240" s="2"/>
      <c r="J4240" s="2"/>
      <c r="K4240" s="2"/>
      <c r="L4240" s="2"/>
      <c r="M4240" s="2"/>
    </row>
    <row r="4241" spans="2:13" ht="13" x14ac:dyDescent="0.15">
      <c r="B4241" s="2"/>
      <c r="C4241" s="2"/>
      <c r="D4241" s="2"/>
      <c r="E4241" s="2"/>
      <c r="F4241" s="2"/>
      <c r="G4241" s="2"/>
      <c r="H4241" s="26"/>
      <c r="I4241" s="2"/>
      <c r="J4241" s="2"/>
      <c r="K4241" s="2"/>
      <c r="L4241" s="2"/>
      <c r="M4241" s="2"/>
    </row>
    <row r="4242" spans="2:13" ht="13" x14ac:dyDescent="0.15">
      <c r="B4242" s="2"/>
      <c r="C4242" s="2"/>
      <c r="D4242" s="2"/>
      <c r="E4242" s="2"/>
      <c r="F4242" s="2"/>
      <c r="G4242" s="2"/>
      <c r="H4242" s="26"/>
      <c r="I4242" s="2"/>
      <c r="J4242" s="2"/>
      <c r="K4242" s="2"/>
      <c r="L4242" s="2"/>
      <c r="M4242" s="2"/>
    </row>
    <row r="4243" spans="2:13" ht="13" x14ac:dyDescent="0.15">
      <c r="B4243" s="2"/>
      <c r="C4243" s="2"/>
      <c r="D4243" s="2"/>
      <c r="E4243" s="2"/>
      <c r="F4243" s="2"/>
      <c r="G4243" s="2"/>
      <c r="H4243" s="26"/>
      <c r="I4243" s="2"/>
      <c r="J4243" s="2"/>
      <c r="K4243" s="2"/>
      <c r="L4243" s="2"/>
      <c r="M4243" s="2"/>
    </row>
    <row r="4244" spans="2:13" ht="13" x14ac:dyDescent="0.15">
      <c r="B4244" s="2"/>
      <c r="C4244" s="2"/>
      <c r="D4244" s="2"/>
      <c r="E4244" s="2"/>
      <c r="F4244" s="2"/>
      <c r="G4244" s="2"/>
      <c r="H4244" s="26"/>
      <c r="I4244" s="2"/>
      <c r="J4244" s="2"/>
      <c r="K4244" s="2"/>
      <c r="L4244" s="2"/>
      <c r="M4244" s="2"/>
    </row>
    <row r="4245" spans="2:13" ht="13" x14ac:dyDescent="0.15">
      <c r="B4245" s="2"/>
      <c r="C4245" s="2"/>
      <c r="D4245" s="2"/>
      <c r="E4245" s="2"/>
      <c r="F4245" s="2"/>
      <c r="G4245" s="2"/>
      <c r="H4245" s="26"/>
      <c r="I4245" s="2"/>
      <c r="J4245" s="2"/>
      <c r="K4245" s="2"/>
      <c r="L4245" s="2"/>
      <c r="M4245" s="2"/>
    </row>
    <row r="4246" spans="2:13" ht="13" x14ac:dyDescent="0.15">
      <c r="B4246" s="2"/>
      <c r="C4246" s="2"/>
      <c r="D4246" s="2"/>
      <c r="E4246" s="2"/>
      <c r="F4246" s="2"/>
      <c r="G4246" s="2"/>
      <c r="H4246" s="26"/>
      <c r="I4246" s="2"/>
      <c r="J4246" s="2"/>
      <c r="K4246" s="2"/>
      <c r="L4246" s="2"/>
      <c r="M4246" s="2"/>
    </row>
    <row r="4247" spans="2:13" ht="13" x14ac:dyDescent="0.15">
      <c r="B4247" s="2"/>
      <c r="C4247" s="2"/>
      <c r="D4247" s="2"/>
      <c r="E4247" s="2"/>
      <c r="F4247" s="2"/>
      <c r="G4247" s="2"/>
      <c r="H4247" s="26"/>
      <c r="I4247" s="2"/>
      <c r="J4247" s="2"/>
      <c r="K4247" s="2"/>
      <c r="L4247" s="2"/>
      <c r="M4247" s="2"/>
    </row>
    <row r="4248" spans="2:13" ht="13" x14ac:dyDescent="0.15">
      <c r="B4248" s="2"/>
      <c r="C4248" s="2"/>
      <c r="D4248" s="2"/>
      <c r="E4248" s="2"/>
      <c r="F4248" s="2"/>
      <c r="G4248" s="2"/>
      <c r="H4248" s="26"/>
      <c r="I4248" s="2"/>
      <c r="J4248" s="2"/>
      <c r="K4248" s="2"/>
      <c r="L4248" s="2"/>
      <c r="M4248" s="2"/>
    </row>
    <row r="4249" spans="2:13" ht="13" x14ac:dyDescent="0.15">
      <c r="B4249" s="2"/>
      <c r="C4249" s="2"/>
      <c r="D4249" s="2"/>
      <c r="E4249" s="2"/>
      <c r="F4249" s="2"/>
      <c r="G4249" s="2"/>
      <c r="H4249" s="26"/>
      <c r="I4249" s="2"/>
      <c r="J4249" s="2"/>
      <c r="K4249" s="2"/>
      <c r="L4249" s="2"/>
      <c r="M4249" s="2"/>
    </row>
    <row r="4250" spans="2:13" ht="13" x14ac:dyDescent="0.15">
      <c r="B4250" s="2"/>
      <c r="C4250" s="2"/>
      <c r="D4250" s="2"/>
      <c r="E4250" s="2"/>
      <c r="F4250" s="2"/>
      <c r="G4250" s="2"/>
      <c r="H4250" s="26"/>
      <c r="I4250" s="2"/>
      <c r="J4250" s="2"/>
      <c r="K4250" s="2"/>
      <c r="L4250" s="2"/>
      <c r="M4250" s="2"/>
    </row>
    <row r="4251" spans="2:13" ht="13" x14ac:dyDescent="0.15">
      <c r="B4251" s="2"/>
      <c r="C4251" s="2"/>
      <c r="D4251" s="2"/>
      <c r="E4251" s="2"/>
      <c r="F4251" s="2"/>
      <c r="G4251" s="2"/>
      <c r="H4251" s="26"/>
      <c r="I4251" s="2"/>
      <c r="J4251" s="2"/>
      <c r="K4251" s="2"/>
      <c r="L4251" s="2"/>
      <c r="M4251" s="2"/>
    </row>
    <row r="4252" spans="2:13" ht="13" x14ac:dyDescent="0.15">
      <c r="B4252" s="2"/>
      <c r="C4252" s="2"/>
      <c r="D4252" s="2"/>
      <c r="E4252" s="2"/>
      <c r="F4252" s="2"/>
      <c r="G4252" s="2"/>
      <c r="H4252" s="26"/>
      <c r="I4252" s="2"/>
      <c r="J4252" s="2"/>
      <c r="K4252" s="2"/>
      <c r="L4252" s="2"/>
      <c r="M4252" s="2"/>
    </row>
    <row r="4253" spans="2:13" ht="13" x14ac:dyDescent="0.15">
      <c r="B4253" s="2"/>
      <c r="C4253" s="2"/>
      <c r="D4253" s="2"/>
      <c r="E4253" s="2"/>
      <c r="F4253" s="2"/>
      <c r="G4253" s="2"/>
      <c r="H4253" s="26"/>
      <c r="I4253" s="2"/>
      <c r="J4253" s="2"/>
      <c r="K4253" s="2"/>
      <c r="L4253" s="2"/>
      <c r="M4253" s="2"/>
    </row>
    <row r="4254" spans="2:13" ht="13" x14ac:dyDescent="0.15">
      <c r="B4254" s="2"/>
      <c r="C4254" s="2"/>
      <c r="D4254" s="2"/>
      <c r="E4254" s="2"/>
      <c r="F4254" s="2"/>
      <c r="G4254" s="2"/>
      <c r="H4254" s="26"/>
      <c r="I4254" s="2"/>
      <c r="J4254" s="2"/>
      <c r="K4254" s="2"/>
      <c r="L4254" s="2"/>
      <c r="M4254" s="2"/>
    </row>
    <row r="4255" spans="2:13" ht="13" x14ac:dyDescent="0.15">
      <c r="B4255" s="2"/>
      <c r="C4255" s="2"/>
      <c r="D4255" s="2"/>
      <c r="E4255" s="2"/>
      <c r="F4255" s="2"/>
      <c r="G4255" s="2"/>
      <c r="H4255" s="26"/>
      <c r="I4255" s="2"/>
      <c r="J4255" s="2"/>
      <c r="K4255" s="2"/>
      <c r="L4255" s="2"/>
      <c r="M4255" s="2"/>
    </row>
    <row r="4256" spans="2:13" ht="13" x14ac:dyDescent="0.15">
      <c r="B4256" s="2"/>
      <c r="C4256" s="2"/>
      <c r="D4256" s="2"/>
      <c r="E4256" s="2"/>
      <c r="F4256" s="2"/>
      <c r="G4256" s="2"/>
      <c r="H4256" s="26"/>
      <c r="I4256" s="2"/>
      <c r="J4256" s="2"/>
      <c r="K4256" s="2"/>
      <c r="L4256" s="2"/>
      <c r="M4256" s="2"/>
    </row>
    <row r="4257" spans="2:13" ht="13" x14ac:dyDescent="0.15">
      <c r="B4257" s="2"/>
      <c r="C4257" s="2"/>
      <c r="D4257" s="2"/>
      <c r="E4257" s="2"/>
      <c r="F4257" s="2"/>
      <c r="G4257" s="2"/>
      <c r="H4257" s="26"/>
      <c r="I4257" s="2"/>
      <c r="J4257" s="2"/>
      <c r="K4257" s="2"/>
      <c r="L4257" s="2"/>
      <c r="M4257" s="2"/>
    </row>
    <row r="4258" spans="2:13" ht="13" x14ac:dyDescent="0.15">
      <c r="B4258" s="2"/>
      <c r="C4258" s="2"/>
      <c r="D4258" s="2"/>
      <c r="E4258" s="2"/>
      <c r="F4258" s="2"/>
      <c r="G4258" s="2"/>
      <c r="H4258" s="26"/>
      <c r="I4258" s="2"/>
      <c r="J4258" s="2"/>
      <c r="K4258" s="2"/>
      <c r="L4258" s="2"/>
      <c r="M4258" s="2"/>
    </row>
    <row r="4259" spans="2:13" ht="13" x14ac:dyDescent="0.15">
      <c r="B4259" s="2"/>
      <c r="C4259" s="2"/>
      <c r="D4259" s="2"/>
      <c r="E4259" s="2"/>
      <c r="F4259" s="2"/>
      <c r="G4259" s="2"/>
      <c r="H4259" s="26"/>
      <c r="I4259" s="2"/>
      <c r="J4259" s="2"/>
      <c r="K4259" s="2"/>
      <c r="L4259" s="2"/>
      <c r="M4259" s="2"/>
    </row>
    <row r="4260" spans="2:13" ht="13" x14ac:dyDescent="0.15">
      <c r="B4260" s="2"/>
      <c r="C4260" s="2"/>
      <c r="D4260" s="2"/>
      <c r="E4260" s="2"/>
      <c r="F4260" s="2"/>
      <c r="G4260" s="2"/>
      <c r="H4260" s="26"/>
      <c r="I4260" s="2"/>
      <c r="J4260" s="2"/>
      <c r="K4260" s="2"/>
      <c r="L4260" s="2"/>
      <c r="M4260" s="2"/>
    </row>
    <row r="4261" spans="2:13" ht="13" x14ac:dyDescent="0.15">
      <c r="B4261" s="2"/>
      <c r="C4261" s="2"/>
      <c r="D4261" s="2"/>
      <c r="E4261" s="2"/>
      <c r="F4261" s="2"/>
      <c r="G4261" s="2"/>
      <c r="H4261" s="26"/>
      <c r="I4261" s="2"/>
      <c r="J4261" s="2"/>
      <c r="K4261" s="2"/>
      <c r="L4261" s="2"/>
      <c r="M4261" s="2"/>
    </row>
    <row r="4262" spans="2:13" ht="13" x14ac:dyDescent="0.15">
      <c r="B4262" s="2"/>
      <c r="C4262" s="2"/>
      <c r="D4262" s="2"/>
      <c r="E4262" s="2"/>
      <c r="F4262" s="2"/>
      <c r="G4262" s="2"/>
      <c r="H4262" s="26"/>
      <c r="I4262" s="2"/>
      <c r="J4262" s="2"/>
      <c r="K4262" s="2"/>
      <c r="L4262" s="2"/>
      <c r="M4262" s="2"/>
    </row>
    <row r="4263" spans="2:13" ht="13" x14ac:dyDescent="0.15">
      <c r="B4263" s="2"/>
      <c r="C4263" s="2"/>
      <c r="D4263" s="2"/>
      <c r="E4263" s="2"/>
      <c r="F4263" s="2"/>
      <c r="G4263" s="2"/>
      <c r="H4263" s="26"/>
      <c r="I4263" s="2"/>
      <c r="J4263" s="2"/>
      <c r="K4263" s="2"/>
      <c r="L4263" s="2"/>
      <c r="M4263" s="2"/>
    </row>
    <row r="4264" spans="2:13" ht="13" x14ac:dyDescent="0.15">
      <c r="B4264" s="2"/>
      <c r="C4264" s="2"/>
      <c r="D4264" s="2"/>
      <c r="E4264" s="2"/>
      <c r="F4264" s="2"/>
      <c r="G4264" s="2"/>
      <c r="H4264" s="26"/>
      <c r="I4264" s="2"/>
      <c r="J4264" s="2"/>
      <c r="K4264" s="2"/>
      <c r="L4264" s="2"/>
      <c r="M4264" s="2"/>
    </row>
    <row r="4265" spans="2:13" ht="13" x14ac:dyDescent="0.15">
      <c r="B4265" s="2"/>
      <c r="C4265" s="2"/>
      <c r="D4265" s="2"/>
      <c r="E4265" s="2"/>
      <c r="F4265" s="2"/>
      <c r="G4265" s="2"/>
      <c r="H4265" s="26"/>
      <c r="I4265" s="2"/>
      <c r="J4265" s="2"/>
      <c r="K4265" s="2"/>
      <c r="L4265" s="2"/>
      <c r="M4265" s="2"/>
    </row>
    <row r="4266" spans="2:13" ht="13" x14ac:dyDescent="0.15">
      <c r="B4266" s="2"/>
      <c r="C4266" s="2"/>
      <c r="D4266" s="2"/>
      <c r="E4266" s="2"/>
      <c r="F4266" s="2"/>
      <c r="G4266" s="2"/>
      <c r="H4266" s="26"/>
      <c r="I4266" s="2"/>
      <c r="J4266" s="2"/>
      <c r="K4266" s="2"/>
      <c r="L4266" s="2"/>
      <c r="M4266" s="2"/>
    </row>
    <row r="4267" spans="2:13" ht="13" x14ac:dyDescent="0.15">
      <c r="B4267" s="2"/>
      <c r="C4267" s="2"/>
      <c r="D4267" s="2"/>
      <c r="E4267" s="2"/>
      <c r="F4267" s="2"/>
      <c r="G4267" s="2"/>
      <c r="H4267" s="26"/>
      <c r="I4267" s="2"/>
      <c r="J4267" s="2"/>
      <c r="K4267" s="2"/>
      <c r="L4267" s="2"/>
      <c r="M4267" s="2"/>
    </row>
    <row r="4268" spans="2:13" ht="13" x14ac:dyDescent="0.15">
      <c r="B4268" s="2"/>
      <c r="C4268" s="2"/>
      <c r="D4268" s="2"/>
      <c r="E4268" s="2"/>
      <c r="F4268" s="2"/>
      <c r="G4268" s="2"/>
      <c r="H4268" s="26"/>
      <c r="I4268" s="2"/>
      <c r="J4268" s="2"/>
      <c r="K4268" s="2"/>
      <c r="L4268" s="2"/>
      <c r="M4268" s="2"/>
    </row>
    <row r="4269" spans="2:13" ht="13" x14ac:dyDescent="0.15">
      <c r="B4269" s="2"/>
      <c r="C4269" s="2"/>
      <c r="D4269" s="2"/>
      <c r="E4269" s="2"/>
      <c r="F4269" s="2"/>
      <c r="G4269" s="2"/>
      <c r="H4269" s="26"/>
      <c r="I4269" s="2"/>
      <c r="J4269" s="2"/>
      <c r="K4269" s="2"/>
      <c r="L4269" s="2"/>
      <c r="M4269" s="2"/>
    </row>
    <row r="4270" spans="2:13" ht="13" x14ac:dyDescent="0.15">
      <c r="B4270" s="2"/>
      <c r="C4270" s="2"/>
      <c r="D4270" s="2"/>
      <c r="E4270" s="2"/>
      <c r="F4270" s="2"/>
      <c r="G4270" s="2"/>
      <c r="H4270" s="26"/>
      <c r="I4270" s="2"/>
      <c r="J4270" s="2"/>
      <c r="K4270" s="2"/>
      <c r="L4270" s="2"/>
      <c r="M4270" s="2"/>
    </row>
    <row r="4271" spans="2:13" ht="13" x14ac:dyDescent="0.15">
      <c r="B4271" s="2"/>
      <c r="C4271" s="2"/>
      <c r="D4271" s="2"/>
      <c r="E4271" s="2"/>
      <c r="F4271" s="2"/>
      <c r="G4271" s="2"/>
      <c r="H4271" s="26"/>
      <c r="I4271" s="2"/>
      <c r="J4271" s="2"/>
      <c r="K4271" s="2"/>
      <c r="L4271" s="2"/>
      <c r="M4271" s="2"/>
    </row>
    <row r="4272" spans="2:13" ht="13" x14ac:dyDescent="0.15">
      <c r="B4272" s="2"/>
      <c r="C4272" s="2"/>
      <c r="D4272" s="2"/>
      <c r="E4272" s="2"/>
      <c r="F4272" s="2"/>
      <c r="G4272" s="2"/>
      <c r="H4272" s="26"/>
      <c r="I4272" s="2"/>
      <c r="J4272" s="2"/>
      <c r="K4272" s="2"/>
      <c r="L4272" s="2"/>
      <c r="M4272" s="2"/>
    </row>
    <row r="4273" spans="2:13" ht="13" x14ac:dyDescent="0.15">
      <c r="B4273" s="2"/>
      <c r="C4273" s="2"/>
      <c r="D4273" s="2"/>
      <c r="E4273" s="2"/>
      <c r="F4273" s="2"/>
      <c r="G4273" s="2"/>
      <c r="H4273" s="26"/>
      <c r="I4273" s="2"/>
      <c r="J4273" s="2"/>
      <c r="K4273" s="2"/>
      <c r="L4273" s="2"/>
      <c r="M4273" s="2"/>
    </row>
    <row r="4274" spans="2:13" ht="13" x14ac:dyDescent="0.15">
      <c r="B4274" s="2"/>
      <c r="C4274" s="2"/>
      <c r="D4274" s="2"/>
      <c r="E4274" s="2"/>
      <c r="F4274" s="2"/>
      <c r="G4274" s="2"/>
      <c r="H4274" s="26"/>
      <c r="I4274" s="2"/>
      <c r="J4274" s="2"/>
      <c r="K4274" s="2"/>
      <c r="L4274" s="2"/>
      <c r="M4274" s="2"/>
    </row>
    <row r="4275" spans="2:13" ht="13" x14ac:dyDescent="0.15">
      <c r="B4275" s="2"/>
      <c r="C4275" s="2"/>
      <c r="D4275" s="2"/>
      <c r="E4275" s="2"/>
      <c r="F4275" s="2"/>
      <c r="G4275" s="2"/>
      <c r="H4275" s="26"/>
      <c r="I4275" s="2"/>
      <c r="J4275" s="2"/>
      <c r="K4275" s="2"/>
      <c r="L4275" s="2"/>
      <c r="M4275" s="2"/>
    </row>
    <row r="4276" spans="2:13" ht="13" x14ac:dyDescent="0.15">
      <c r="B4276" s="2"/>
      <c r="C4276" s="2"/>
      <c r="D4276" s="2"/>
      <c r="E4276" s="2"/>
      <c r="F4276" s="2"/>
      <c r="G4276" s="2"/>
      <c r="H4276" s="26"/>
      <c r="I4276" s="2"/>
      <c r="J4276" s="2"/>
      <c r="K4276" s="2"/>
      <c r="L4276" s="2"/>
      <c r="M4276" s="2"/>
    </row>
    <row r="4277" spans="2:13" ht="13" x14ac:dyDescent="0.15">
      <c r="B4277" s="2"/>
      <c r="C4277" s="2"/>
      <c r="D4277" s="2"/>
      <c r="E4277" s="2"/>
      <c r="F4277" s="2"/>
      <c r="G4277" s="2"/>
      <c r="H4277" s="26"/>
      <c r="I4277" s="2"/>
      <c r="J4277" s="2"/>
      <c r="K4277" s="2"/>
      <c r="L4277" s="2"/>
      <c r="M4277" s="2"/>
    </row>
    <row r="4278" spans="2:13" ht="13" x14ac:dyDescent="0.15">
      <c r="B4278" s="2"/>
      <c r="C4278" s="2"/>
      <c r="D4278" s="2"/>
      <c r="E4278" s="2"/>
      <c r="F4278" s="2"/>
      <c r="G4278" s="2"/>
      <c r="H4278" s="26"/>
      <c r="I4278" s="2"/>
      <c r="J4278" s="2"/>
      <c r="K4278" s="2"/>
      <c r="L4278" s="2"/>
      <c r="M4278" s="2"/>
    </row>
    <row r="4279" spans="2:13" ht="13" x14ac:dyDescent="0.15">
      <c r="B4279" s="2"/>
      <c r="C4279" s="2"/>
      <c r="D4279" s="2"/>
      <c r="E4279" s="2"/>
      <c r="F4279" s="2"/>
      <c r="G4279" s="2"/>
      <c r="H4279" s="26"/>
      <c r="I4279" s="2"/>
      <c r="J4279" s="2"/>
      <c r="K4279" s="2"/>
      <c r="L4279" s="2"/>
      <c r="M4279" s="2"/>
    </row>
    <row r="4280" spans="2:13" ht="13" x14ac:dyDescent="0.15">
      <c r="B4280" s="2"/>
      <c r="C4280" s="2"/>
      <c r="D4280" s="2"/>
      <c r="E4280" s="2"/>
      <c r="F4280" s="2"/>
      <c r="G4280" s="2"/>
      <c r="H4280" s="26"/>
      <c r="I4280" s="2"/>
      <c r="J4280" s="2"/>
      <c r="K4280" s="2"/>
      <c r="L4280" s="2"/>
      <c r="M4280" s="2"/>
    </row>
    <row r="4281" spans="2:13" ht="13" x14ac:dyDescent="0.15">
      <c r="B4281" s="2"/>
      <c r="C4281" s="2"/>
      <c r="D4281" s="2"/>
      <c r="E4281" s="2"/>
      <c r="F4281" s="2"/>
      <c r="G4281" s="2"/>
      <c r="H4281" s="26"/>
      <c r="I4281" s="2"/>
      <c r="J4281" s="2"/>
      <c r="K4281" s="2"/>
      <c r="L4281" s="2"/>
      <c r="M4281" s="2"/>
    </row>
    <row r="4282" spans="2:13" ht="13" x14ac:dyDescent="0.15">
      <c r="B4282" s="2"/>
      <c r="C4282" s="2"/>
      <c r="D4282" s="2"/>
      <c r="E4282" s="2"/>
      <c r="F4282" s="2"/>
      <c r="G4282" s="2"/>
      <c r="H4282" s="26"/>
      <c r="I4282" s="2"/>
      <c r="J4282" s="2"/>
      <c r="K4282" s="2"/>
      <c r="L4282" s="2"/>
      <c r="M4282" s="2"/>
    </row>
    <row r="4283" spans="2:13" ht="13" x14ac:dyDescent="0.15">
      <c r="B4283" s="2"/>
      <c r="C4283" s="2"/>
      <c r="D4283" s="2"/>
      <c r="E4283" s="2"/>
      <c r="F4283" s="2"/>
      <c r="G4283" s="2"/>
      <c r="H4283" s="26"/>
      <c r="I4283" s="2"/>
      <c r="J4283" s="2"/>
      <c r="K4283" s="2"/>
      <c r="L4283" s="2"/>
      <c r="M4283" s="2"/>
    </row>
    <row r="4284" spans="2:13" ht="13" x14ac:dyDescent="0.15">
      <c r="B4284" s="2"/>
      <c r="C4284" s="2"/>
      <c r="D4284" s="2"/>
      <c r="E4284" s="2"/>
      <c r="F4284" s="2"/>
      <c r="G4284" s="2"/>
      <c r="H4284" s="26"/>
      <c r="I4284" s="2"/>
      <c r="J4284" s="2"/>
      <c r="K4284" s="2"/>
      <c r="L4284" s="2"/>
      <c r="M4284" s="2"/>
    </row>
    <row r="4285" spans="2:13" ht="13" x14ac:dyDescent="0.15">
      <c r="B4285" s="2"/>
      <c r="C4285" s="2"/>
      <c r="D4285" s="2"/>
      <c r="E4285" s="2"/>
      <c r="F4285" s="2"/>
      <c r="G4285" s="2"/>
      <c r="H4285" s="26"/>
      <c r="I4285" s="2"/>
      <c r="J4285" s="2"/>
      <c r="K4285" s="2"/>
      <c r="L4285" s="2"/>
      <c r="M4285" s="2"/>
    </row>
    <row r="4286" spans="2:13" ht="13" x14ac:dyDescent="0.15">
      <c r="B4286" s="2"/>
      <c r="C4286" s="2"/>
      <c r="D4286" s="2"/>
      <c r="E4286" s="2"/>
      <c r="F4286" s="2"/>
      <c r="G4286" s="2"/>
      <c r="H4286" s="26"/>
      <c r="I4286" s="2"/>
      <c r="J4286" s="2"/>
      <c r="K4286" s="2"/>
      <c r="L4286" s="2"/>
      <c r="M4286" s="2"/>
    </row>
    <row r="4287" spans="2:13" ht="13" x14ac:dyDescent="0.15">
      <c r="B4287" s="2"/>
      <c r="C4287" s="2"/>
      <c r="D4287" s="2"/>
      <c r="E4287" s="2"/>
      <c r="F4287" s="2"/>
      <c r="G4287" s="2"/>
      <c r="H4287" s="26"/>
      <c r="I4287" s="2"/>
      <c r="J4287" s="2"/>
      <c r="K4287" s="2"/>
      <c r="L4287" s="2"/>
      <c r="M4287" s="2"/>
    </row>
    <row r="4288" spans="2:13" ht="13" x14ac:dyDescent="0.15">
      <c r="B4288" s="2"/>
      <c r="C4288" s="2"/>
      <c r="D4288" s="2"/>
      <c r="E4288" s="2"/>
      <c r="F4288" s="2"/>
      <c r="G4288" s="2"/>
      <c r="H4288" s="26"/>
      <c r="I4288" s="2"/>
      <c r="J4288" s="2"/>
      <c r="K4288" s="2"/>
      <c r="L4288" s="2"/>
      <c r="M4288" s="2"/>
    </row>
    <row r="4289" spans="2:13" ht="13" x14ac:dyDescent="0.15">
      <c r="B4289" s="2"/>
      <c r="C4289" s="2"/>
      <c r="D4289" s="2"/>
      <c r="E4289" s="2"/>
      <c r="F4289" s="2"/>
      <c r="G4289" s="2"/>
      <c r="H4289" s="26"/>
      <c r="I4289" s="2"/>
      <c r="J4289" s="2"/>
      <c r="K4289" s="2"/>
      <c r="L4289" s="2"/>
      <c r="M4289" s="2"/>
    </row>
    <row r="4290" spans="2:13" ht="13" x14ac:dyDescent="0.15">
      <c r="B4290" s="2"/>
      <c r="C4290" s="2"/>
      <c r="D4290" s="2"/>
      <c r="E4290" s="2"/>
      <c r="F4290" s="2"/>
      <c r="G4290" s="2"/>
      <c r="H4290" s="26"/>
      <c r="I4290" s="2"/>
      <c r="J4290" s="2"/>
      <c r="K4290" s="2"/>
      <c r="L4290" s="2"/>
      <c r="M4290" s="2"/>
    </row>
    <row r="4291" spans="2:13" ht="13" x14ac:dyDescent="0.15">
      <c r="B4291" s="2"/>
      <c r="C4291" s="2"/>
      <c r="D4291" s="2"/>
      <c r="E4291" s="2"/>
      <c r="F4291" s="2"/>
      <c r="G4291" s="2"/>
      <c r="H4291" s="26"/>
      <c r="I4291" s="2"/>
      <c r="J4291" s="2"/>
      <c r="K4291" s="2"/>
      <c r="L4291" s="2"/>
      <c r="M4291" s="2"/>
    </row>
    <row r="4292" spans="2:13" ht="13" x14ac:dyDescent="0.15">
      <c r="B4292" s="2"/>
      <c r="C4292" s="2"/>
      <c r="D4292" s="2"/>
      <c r="E4292" s="2"/>
      <c r="F4292" s="2"/>
      <c r="G4292" s="2"/>
      <c r="H4292" s="26"/>
      <c r="I4292" s="2"/>
      <c r="J4292" s="2"/>
      <c r="K4292" s="2"/>
      <c r="L4292" s="2"/>
      <c r="M4292" s="2"/>
    </row>
    <row r="4293" spans="2:13" ht="13" x14ac:dyDescent="0.15">
      <c r="B4293" s="2"/>
      <c r="C4293" s="2"/>
      <c r="D4293" s="2"/>
      <c r="E4293" s="2"/>
      <c r="F4293" s="2"/>
      <c r="G4293" s="2"/>
      <c r="H4293" s="26"/>
      <c r="I4293" s="2"/>
      <c r="J4293" s="2"/>
      <c r="K4293" s="2"/>
      <c r="L4293" s="2"/>
      <c r="M4293" s="2"/>
    </row>
    <row r="4294" spans="2:13" ht="13" x14ac:dyDescent="0.15">
      <c r="B4294" s="2"/>
      <c r="C4294" s="2"/>
      <c r="D4294" s="2"/>
      <c r="E4294" s="2"/>
      <c r="F4294" s="2"/>
      <c r="G4294" s="2"/>
      <c r="H4294" s="26"/>
      <c r="I4294" s="2"/>
      <c r="J4294" s="2"/>
      <c r="K4294" s="2"/>
      <c r="L4294" s="2"/>
      <c r="M4294" s="2"/>
    </row>
    <row r="4295" spans="2:13" ht="13" x14ac:dyDescent="0.15">
      <c r="B4295" s="2"/>
      <c r="C4295" s="2"/>
      <c r="D4295" s="2"/>
      <c r="E4295" s="2"/>
      <c r="F4295" s="2"/>
      <c r="G4295" s="2"/>
      <c r="H4295" s="26"/>
      <c r="I4295" s="2"/>
      <c r="J4295" s="2"/>
      <c r="K4295" s="2"/>
      <c r="L4295" s="2"/>
      <c r="M4295" s="2"/>
    </row>
    <row r="4296" spans="2:13" ht="13" x14ac:dyDescent="0.15">
      <c r="B4296" s="2"/>
      <c r="C4296" s="2"/>
      <c r="D4296" s="2"/>
      <c r="E4296" s="2"/>
      <c r="F4296" s="2"/>
      <c r="G4296" s="2"/>
      <c r="H4296" s="26"/>
      <c r="I4296" s="2"/>
      <c r="J4296" s="2"/>
      <c r="K4296" s="2"/>
      <c r="L4296" s="2"/>
      <c r="M4296" s="2"/>
    </row>
    <row r="4297" spans="2:13" ht="13" x14ac:dyDescent="0.15">
      <c r="B4297" s="2"/>
      <c r="C4297" s="2"/>
      <c r="D4297" s="2"/>
      <c r="E4297" s="2"/>
      <c r="F4297" s="2"/>
      <c r="G4297" s="2"/>
      <c r="H4297" s="26"/>
      <c r="I4297" s="2"/>
      <c r="J4297" s="2"/>
      <c r="K4297" s="2"/>
      <c r="L4297" s="2"/>
      <c r="M4297" s="2"/>
    </row>
    <row r="4298" spans="2:13" ht="13" x14ac:dyDescent="0.15">
      <c r="B4298" s="2"/>
      <c r="C4298" s="2"/>
      <c r="D4298" s="2"/>
      <c r="E4298" s="2"/>
      <c r="F4298" s="2"/>
      <c r="G4298" s="2"/>
      <c r="H4298" s="26"/>
      <c r="I4298" s="2"/>
      <c r="J4298" s="2"/>
      <c r="K4298" s="2"/>
      <c r="L4298" s="2"/>
      <c r="M4298" s="2"/>
    </row>
    <row r="4299" spans="2:13" ht="13" x14ac:dyDescent="0.15">
      <c r="B4299" s="2"/>
      <c r="C4299" s="2"/>
      <c r="D4299" s="2"/>
      <c r="E4299" s="2"/>
      <c r="F4299" s="2"/>
      <c r="G4299" s="2"/>
      <c r="H4299" s="26"/>
      <c r="I4299" s="2"/>
      <c r="J4299" s="2"/>
      <c r="K4299" s="2"/>
      <c r="L4299" s="2"/>
      <c r="M4299" s="2"/>
    </row>
    <row r="4300" spans="2:13" ht="13" x14ac:dyDescent="0.15">
      <c r="B4300" s="2"/>
      <c r="C4300" s="2"/>
      <c r="D4300" s="2"/>
      <c r="E4300" s="2"/>
      <c r="F4300" s="2"/>
      <c r="G4300" s="2"/>
      <c r="H4300" s="26"/>
      <c r="I4300" s="2"/>
      <c r="J4300" s="2"/>
      <c r="K4300" s="2"/>
      <c r="L4300" s="2"/>
      <c r="M4300" s="2"/>
    </row>
    <row r="4301" spans="2:13" ht="13" x14ac:dyDescent="0.15">
      <c r="B4301" s="2"/>
      <c r="C4301" s="2"/>
      <c r="D4301" s="2"/>
      <c r="E4301" s="2"/>
      <c r="F4301" s="2"/>
      <c r="G4301" s="2"/>
      <c r="H4301" s="26"/>
      <c r="I4301" s="2"/>
      <c r="J4301" s="2"/>
      <c r="K4301" s="2"/>
      <c r="L4301" s="2"/>
      <c r="M4301" s="2"/>
    </row>
    <row r="4302" spans="2:13" ht="13" x14ac:dyDescent="0.15">
      <c r="B4302" s="2"/>
      <c r="C4302" s="2"/>
      <c r="D4302" s="2"/>
      <c r="E4302" s="2"/>
      <c r="F4302" s="2"/>
      <c r="G4302" s="2"/>
      <c r="H4302" s="26"/>
      <c r="I4302" s="2"/>
      <c r="J4302" s="2"/>
      <c r="K4302" s="2"/>
      <c r="L4302" s="2"/>
      <c r="M4302" s="2"/>
    </row>
    <row r="4303" spans="2:13" ht="13" x14ac:dyDescent="0.15">
      <c r="B4303" s="2"/>
      <c r="C4303" s="2"/>
      <c r="D4303" s="2"/>
      <c r="E4303" s="2"/>
      <c r="F4303" s="2"/>
      <c r="G4303" s="2"/>
      <c r="H4303" s="26"/>
      <c r="I4303" s="2"/>
      <c r="J4303" s="2"/>
      <c r="K4303" s="2"/>
      <c r="L4303" s="2"/>
      <c r="M4303" s="2"/>
    </row>
    <row r="4304" spans="2:13" ht="13" x14ac:dyDescent="0.15">
      <c r="B4304" s="2"/>
      <c r="C4304" s="2"/>
      <c r="D4304" s="2"/>
      <c r="E4304" s="2"/>
      <c r="F4304" s="2"/>
      <c r="G4304" s="2"/>
      <c r="H4304" s="26"/>
      <c r="I4304" s="2"/>
      <c r="J4304" s="2"/>
      <c r="K4304" s="2"/>
      <c r="L4304" s="2"/>
      <c r="M4304" s="2"/>
    </row>
    <row r="4305" spans="2:13" ht="13" x14ac:dyDescent="0.15">
      <c r="B4305" s="2"/>
      <c r="C4305" s="2"/>
      <c r="D4305" s="2"/>
      <c r="E4305" s="2"/>
      <c r="F4305" s="2"/>
      <c r="G4305" s="2"/>
      <c r="H4305" s="26"/>
      <c r="I4305" s="2"/>
      <c r="J4305" s="2"/>
      <c r="K4305" s="2"/>
      <c r="L4305" s="2"/>
      <c r="M4305" s="2"/>
    </row>
    <row r="4306" spans="2:13" ht="13" x14ac:dyDescent="0.15">
      <c r="B4306" s="2"/>
      <c r="C4306" s="2"/>
      <c r="D4306" s="2"/>
      <c r="E4306" s="2"/>
      <c r="F4306" s="2"/>
      <c r="G4306" s="2"/>
      <c r="H4306" s="26"/>
      <c r="I4306" s="2"/>
      <c r="J4306" s="2"/>
      <c r="K4306" s="2"/>
      <c r="L4306" s="2"/>
      <c r="M4306" s="2"/>
    </row>
    <row r="4307" spans="2:13" ht="13" x14ac:dyDescent="0.15">
      <c r="B4307" s="2"/>
      <c r="C4307" s="2"/>
      <c r="D4307" s="2"/>
      <c r="E4307" s="2"/>
      <c r="F4307" s="2"/>
      <c r="G4307" s="2"/>
      <c r="H4307" s="26"/>
      <c r="I4307" s="2"/>
      <c r="J4307" s="2"/>
      <c r="K4307" s="2"/>
      <c r="L4307" s="2"/>
      <c r="M4307" s="2"/>
    </row>
    <row r="4308" spans="2:13" ht="13" x14ac:dyDescent="0.15">
      <c r="B4308" s="2"/>
      <c r="C4308" s="2"/>
      <c r="D4308" s="2"/>
      <c r="E4308" s="2"/>
      <c r="F4308" s="2"/>
      <c r="G4308" s="2"/>
      <c r="H4308" s="26"/>
      <c r="I4308" s="2"/>
      <c r="J4308" s="2"/>
      <c r="K4308" s="2"/>
      <c r="L4308" s="2"/>
      <c r="M4308" s="2"/>
    </row>
    <row r="4309" spans="2:13" ht="13" x14ac:dyDescent="0.15">
      <c r="B4309" s="2"/>
      <c r="C4309" s="2"/>
      <c r="D4309" s="2"/>
      <c r="E4309" s="2"/>
      <c r="F4309" s="2"/>
      <c r="G4309" s="2"/>
      <c r="H4309" s="26"/>
      <c r="I4309" s="2"/>
      <c r="J4309" s="2"/>
      <c r="K4309" s="2"/>
      <c r="L4309" s="2"/>
      <c r="M4309" s="2"/>
    </row>
    <row r="4310" spans="2:13" ht="13" x14ac:dyDescent="0.15">
      <c r="B4310" s="2"/>
      <c r="C4310" s="2"/>
      <c r="D4310" s="2"/>
      <c r="E4310" s="2"/>
      <c r="F4310" s="2"/>
      <c r="G4310" s="2"/>
      <c r="H4310" s="26"/>
      <c r="I4310" s="2"/>
      <c r="J4310" s="2"/>
      <c r="K4310" s="2"/>
      <c r="L4310" s="2"/>
      <c r="M4310" s="2"/>
    </row>
    <row r="4311" spans="2:13" ht="13" x14ac:dyDescent="0.15">
      <c r="B4311" s="2"/>
      <c r="C4311" s="2"/>
      <c r="D4311" s="2"/>
      <c r="E4311" s="2"/>
      <c r="F4311" s="2"/>
      <c r="G4311" s="2"/>
      <c r="H4311" s="26"/>
      <c r="I4311" s="2"/>
      <c r="J4311" s="2"/>
      <c r="K4311" s="2"/>
      <c r="L4311" s="2"/>
      <c r="M4311" s="2"/>
    </row>
    <row r="4312" spans="2:13" ht="13" x14ac:dyDescent="0.15">
      <c r="B4312" s="2"/>
      <c r="C4312" s="2"/>
      <c r="D4312" s="2"/>
      <c r="E4312" s="2"/>
      <c r="F4312" s="2"/>
      <c r="G4312" s="2"/>
      <c r="H4312" s="26"/>
      <c r="I4312" s="2"/>
      <c r="J4312" s="2"/>
      <c r="K4312" s="2"/>
      <c r="L4312" s="2"/>
      <c r="M4312" s="2"/>
    </row>
    <row r="4313" spans="2:13" ht="13" x14ac:dyDescent="0.15">
      <c r="B4313" s="2"/>
      <c r="C4313" s="2"/>
      <c r="D4313" s="2"/>
      <c r="E4313" s="2"/>
      <c r="F4313" s="2"/>
      <c r="G4313" s="2"/>
      <c r="H4313" s="26"/>
      <c r="I4313" s="2"/>
      <c r="J4313" s="2"/>
      <c r="K4313" s="2"/>
      <c r="L4313" s="2"/>
      <c r="M4313" s="2"/>
    </row>
    <row r="4314" spans="2:13" ht="13" x14ac:dyDescent="0.15">
      <c r="B4314" s="2"/>
      <c r="C4314" s="2"/>
      <c r="D4314" s="2"/>
      <c r="E4314" s="2"/>
      <c r="F4314" s="2"/>
      <c r="G4314" s="2"/>
      <c r="H4314" s="26"/>
      <c r="I4314" s="2"/>
      <c r="J4314" s="2"/>
      <c r="K4314" s="2"/>
      <c r="L4314" s="2"/>
      <c r="M4314" s="2"/>
    </row>
    <row r="4315" spans="2:13" ht="13" x14ac:dyDescent="0.15">
      <c r="B4315" s="2"/>
      <c r="C4315" s="2"/>
      <c r="D4315" s="2"/>
      <c r="E4315" s="2"/>
      <c r="F4315" s="2"/>
      <c r="G4315" s="2"/>
      <c r="H4315" s="26"/>
      <c r="I4315" s="2"/>
      <c r="J4315" s="2"/>
      <c r="K4315" s="2"/>
      <c r="L4315" s="2"/>
      <c r="M4315" s="2"/>
    </row>
    <row r="4316" spans="2:13" ht="13" x14ac:dyDescent="0.15">
      <c r="B4316" s="2"/>
      <c r="C4316" s="2"/>
      <c r="D4316" s="2"/>
      <c r="E4316" s="2"/>
      <c r="F4316" s="2"/>
      <c r="G4316" s="2"/>
      <c r="H4316" s="26"/>
      <c r="I4316" s="2"/>
      <c r="J4316" s="2"/>
      <c r="K4316" s="2"/>
      <c r="L4316" s="2"/>
      <c r="M4316" s="2"/>
    </row>
    <row r="4317" spans="2:13" ht="13" x14ac:dyDescent="0.15">
      <c r="B4317" s="2"/>
      <c r="C4317" s="2"/>
      <c r="D4317" s="2"/>
      <c r="E4317" s="2"/>
      <c r="F4317" s="2"/>
      <c r="G4317" s="2"/>
      <c r="H4317" s="26"/>
      <c r="I4317" s="2"/>
      <c r="J4317" s="2"/>
      <c r="K4317" s="2"/>
      <c r="L4317" s="2"/>
      <c r="M4317" s="2"/>
    </row>
    <row r="4318" spans="2:13" ht="13" x14ac:dyDescent="0.15">
      <c r="B4318" s="2"/>
      <c r="C4318" s="2"/>
      <c r="D4318" s="2"/>
      <c r="E4318" s="2"/>
      <c r="F4318" s="2"/>
      <c r="G4318" s="2"/>
      <c r="H4318" s="26"/>
      <c r="I4318" s="2"/>
      <c r="J4318" s="2"/>
      <c r="K4318" s="2"/>
      <c r="L4318" s="2"/>
      <c r="M4318" s="2"/>
    </row>
    <row r="4319" spans="2:13" ht="13" x14ac:dyDescent="0.15">
      <c r="B4319" s="2"/>
      <c r="C4319" s="2"/>
      <c r="D4319" s="2"/>
      <c r="E4319" s="2"/>
      <c r="F4319" s="2"/>
      <c r="G4319" s="2"/>
      <c r="H4319" s="26"/>
      <c r="I4319" s="2"/>
      <c r="J4319" s="2"/>
      <c r="K4319" s="2"/>
      <c r="L4319" s="2"/>
      <c r="M4319" s="2"/>
    </row>
    <row r="4320" spans="2:13" ht="13" x14ac:dyDescent="0.15">
      <c r="B4320" s="2"/>
      <c r="C4320" s="2"/>
      <c r="D4320" s="2"/>
      <c r="E4320" s="2"/>
      <c r="F4320" s="2"/>
      <c r="G4320" s="2"/>
      <c r="H4320" s="26"/>
      <c r="I4320" s="2"/>
      <c r="J4320" s="2"/>
      <c r="K4320" s="2"/>
      <c r="L4320" s="2"/>
      <c r="M4320" s="2"/>
    </row>
    <row r="4321" spans="2:13" ht="13" x14ac:dyDescent="0.15">
      <c r="B4321" s="2"/>
      <c r="C4321" s="2"/>
      <c r="D4321" s="2"/>
      <c r="E4321" s="2"/>
      <c r="F4321" s="2"/>
      <c r="G4321" s="2"/>
      <c r="H4321" s="26"/>
      <c r="I4321" s="2"/>
      <c r="J4321" s="2"/>
      <c r="K4321" s="2"/>
      <c r="L4321" s="2"/>
      <c r="M4321" s="2"/>
    </row>
    <row r="4322" spans="2:13" ht="13" x14ac:dyDescent="0.15">
      <c r="B4322" s="2"/>
      <c r="C4322" s="2"/>
      <c r="D4322" s="2"/>
      <c r="E4322" s="2"/>
      <c r="F4322" s="2"/>
      <c r="G4322" s="2"/>
      <c r="H4322" s="26"/>
      <c r="I4322" s="2"/>
      <c r="J4322" s="2"/>
      <c r="K4322" s="2"/>
      <c r="L4322" s="2"/>
      <c r="M4322" s="2"/>
    </row>
    <row r="4323" spans="2:13" ht="13" x14ac:dyDescent="0.15">
      <c r="B4323" s="2"/>
      <c r="C4323" s="2"/>
      <c r="D4323" s="2"/>
      <c r="E4323" s="2"/>
      <c r="F4323" s="2"/>
      <c r="G4323" s="2"/>
      <c r="H4323" s="26"/>
      <c r="I4323" s="2"/>
      <c r="J4323" s="2"/>
      <c r="K4323" s="2"/>
      <c r="L4323" s="2"/>
      <c r="M4323" s="2"/>
    </row>
    <row r="4324" spans="2:13" ht="13" x14ac:dyDescent="0.15">
      <c r="B4324" s="2"/>
      <c r="C4324" s="2"/>
      <c r="D4324" s="2"/>
      <c r="E4324" s="2"/>
      <c r="F4324" s="2"/>
      <c r="G4324" s="2"/>
      <c r="H4324" s="26"/>
      <c r="I4324" s="2"/>
      <c r="J4324" s="2"/>
      <c r="K4324" s="2"/>
      <c r="L4324" s="2"/>
      <c r="M4324" s="2"/>
    </row>
    <row r="4325" spans="2:13" ht="13" x14ac:dyDescent="0.15">
      <c r="B4325" s="2"/>
      <c r="C4325" s="2"/>
      <c r="D4325" s="2"/>
      <c r="E4325" s="2"/>
      <c r="F4325" s="2"/>
      <c r="G4325" s="2"/>
      <c r="H4325" s="26"/>
      <c r="I4325" s="2"/>
      <c r="J4325" s="2"/>
      <c r="K4325" s="2"/>
      <c r="L4325" s="2"/>
      <c r="M4325" s="2"/>
    </row>
    <row r="4326" spans="2:13" ht="13" x14ac:dyDescent="0.15">
      <c r="B4326" s="2"/>
      <c r="C4326" s="2"/>
      <c r="D4326" s="2"/>
      <c r="E4326" s="2"/>
      <c r="F4326" s="2"/>
      <c r="G4326" s="2"/>
      <c r="H4326" s="26"/>
      <c r="I4326" s="2"/>
      <c r="J4326" s="2"/>
      <c r="K4326" s="2"/>
      <c r="L4326" s="2"/>
      <c r="M4326" s="2"/>
    </row>
    <row r="4327" spans="2:13" ht="13" x14ac:dyDescent="0.15">
      <c r="B4327" s="2"/>
      <c r="C4327" s="2"/>
      <c r="D4327" s="2"/>
      <c r="E4327" s="2"/>
      <c r="F4327" s="2"/>
      <c r="G4327" s="2"/>
      <c r="H4327" s="26"/>
      <c r="I4327" s="2"/>
      <c r="J4327" s="2"/>
      <c r="K4327" s="2"/>
      <c r="L4327" s="2"/>
      <c r="M4327" s="2"/>
    </row>
    <row r="4328" spans="2:13" ht="13" x14ac:dyDescent="0.15">
      <c r="B4328" s="2"/>
      <c r="C4328" s="2"/>
      <c r="D4328" s="2"/>
      <c r="E4328" s="2"/>
      <c r="F4328" s="2"/>
      <c r="G4328" s="2"/>
      <c r="H4328" s="26"/>
      <c r="I4328" s="2"/>
      <c r="J4328" s="2"/>
      <c r="K4328" s="2"/>
      <c r="L4328" s="2"/>
      <c r="M4328" s="2"/>
    </row>
    <row r="4329" spans="2:13" ht="13" x14ac:dyDescent="0.15">
      <c r="B4329" s="2"/>
      <c r="C4329" s="2"/>
      <c r="D4329" s="2"/>
      <c r="E4329" s="2"/>
      <c r="F4329" s="2"/>
      <c r="G4329" s="2"/>
      <c r="H4329" s="26"/>
      <c r="I4329" s="2"/>
      <c r="J4329" s="2"/>
      <c r="K4329" s="2"/>
      <c r="L4329" s="2"/>
      <c r="M4329" s="2"/>
    </row>
    <row r="4330" spans="2:13" ht="13" x14ac:dyDescent="0.15">
      <c r="B4330" s="2"/>
      <c r="C4330" s="2"/>
      <c r="D4330" s="2"/>
      <c r="E4330" s="2"/>
      <c r="F4330" s="2"/>
      <c r="G4330" s="2"/>
      <c r="H4330" s="26"/>
      <c r="I4330" s="2"/>
      <c r="J4330" s="2"/>
      <c r="K4330" s="2"/>
      <c r="L4330" s="2"/>
      <c r="M4330" s="2"/>
    </row>
    <row r="4331" spans="2:13" ht="13" x14ac:dyDescent="0.15">
      <c r="B4331" s="2"/>
      <c r="C4331" s="2"/>
      <c r="D4331" s="2"/>
      <c r="E4331" s="2"/>
      <c r="F4331" s="2"/>
      <c r="G4331" s="2"/>
      <c r="H4331" s="26"/>
      <c r="I4331" s="2"/>
      <c r="J4331" s="2"/>
      <c r="K4331" s="2"/>
      <c r="L4331" s="2"/>
      <c r="M4331" s="2"/>
    </row>
    <row r="4332" spans="2:13" ht="13" x14ac:dyDescent="0.15">
      <c r="B4332" s="2"/>
      <c r="C4332" s="2"/>
      <c r="D4332" s="2"/>
      <c r="E4332" s="2"/>
      <c r="F4332" s="2"/>
      <c r="G4332" s="2"/>
      <c r="H4332" s="26"/>
      <c r="I4332" s="2"/>
      <c r="J4332" s="2"/>
      <c r="K4332" s="2"/>
      <c r="L4332" s="2"/>
      <c r="M4332" s="2"/>
    </row>
    <row r="4333" spans="2:13" ht="13" x14ac:dyDescent="0.15">
      <c r="B4333" s="2"/>
      <c r="C4333" s="2"/>
      <c r="D4333" s="2"/>
      <c r="E4333" s="2"/>
      <c r="F4333" s="2"/>
      <c r="G4333" s="2"/>
      <c r="H4333" s="26"/>
      <c r="I4333" s="2"/>
      <c r="J4333" s="2"/>
      <c r="K4333" s="2"/>
      <c r="L4333" s="2"/>
      <c r="M4333" s="2"/>
    </row>
    <row r="4334" spans="2:13" ht="13" x14ac:dyDescent="0.15">
      <c r="B4334" s="2"/>
      <c r="C4334" s="2"/>
      <c r="D4334" s="2"/>
      <c r="E4334" s="2"/>
      <c r="F4334" s="2"/>
      <c r="G4334" s="2"/>
      <c r="H4334" s="26"/>
      <c r="I4334" s="2"/>
      <c r="J4334" s="2"/>
      <c r="K4334" s="2"/>
      <c r="L4334" s="2"/>
      <c r="M4334" s="2"/>
    </row>
    <row r="4335" spans="2:13" ht="13" x14ac:dyDescent="0.15">
      <c r="B4335" s="2"/>
      <c r="C4335" s="2"/>
      <c r="D4335" s="2"/>
      <c r="E4335" s="2"/>
      <c r="F4335" s="2"/>
      <c r="G4335" s="2"/>
      <c r="H4335" s="26"/>
      <c r="I4335" s="2"/>
      <c r="J4335" s="2"/>
      <c r="K4335" s="2"/>
      <c r="L4335" s="2"/>
      <c r="M4335" s="2"/>
    </row>
    <row r="4336" spans="2:13" ht="13" x14ac:dyDescent="0.15">
      <c r="B4336" s="2"/>
      <c r="C4336" s="2"/>
      <c r="D4336" s="2"/>
      <c r="E4336" s="2"/>
      <c r="F4336" s="2"/>
      <c r="G4336" s="2"/>
      <c r="H4336" s="26"/>
      <c r="I4336" s="2"/>
      <c r="J4336" s="2"/>
      <c r="K4336" s="2"/>
      <c r="L4336" s="2"/>
      <c r="M4336" s="2"/>
    </row>
    <row r="4337" spans="2:13" ht="13" x14ac:dyDescent="0.15">
      <c r="B4337" s="2"/>
      <c r="C4337" s="2"/>
      <c r="D4337" s="2"/>
      <c r="E4337" s="2"/>
      <c r="F4337" s="2"/>
      <c r="G4337" s="2"/>
      <c r="H4337" s="26"/>
      <c r="I4337" s="2"/>
      <c r="J4337" s="2"/>
      <c r="K4337" s="2"/>
      <c r="L4337" s="2"/>
      <c r="M4337" s="2"/>
    </row>
    <row r="4338" spans="2:13" ht="13" x14ac:dyDescent="0.15">
      <c r="B4338" s="2"/>
      <c r="C4338" s="2"/>
      <c r="D4338" s="2"/>
      <c r="E4338" s="2"/>
      <c r="F4338" s="2"/>
      <c r="G4338" s="2"/>
      <c r="H4338" s="26"/>
      <c r="I4338" s="2"/>
      <c r="J4338" s="2"/>
      <c r="K4338" s="2"/>
      <c r="L4338" s="2"/>
      <c r="M4338" s="2"/>
    </row>
    <row r="4339" spans="2:13" ht="13" x14ac:dyDescent="0.15">
      <c r="B4339" s="2"/>
      <c r="C4339" s="2"/>
      <c r="D4339" s="2"/>
      <c r="E4339" s="2"/>
      <c r="F4339" s="2"/>
      <c r="G4339" s="2"/>
      <c r="H4339" s="26"/>
      <c r="I4339" s="2"/>
      <c r="J4339" s="2"/>
      <c r="K4339" s="2"/>
      <c r="L4339" s="2"/>
      <c r="M4339" s="2"/>
    </row>
    <row r="4340" spans="2:13" ht="13" x14ac:dyDescent="0.15">
      <c r="B4340" s="2"/>
      <c r="C4340" s="2"/>
      <c r="D4340" s="2"/>
      <c r="E4340" s="2"/>
      <c r="F4340" s="2"/>
      <c r="G4340" s="2"/>
      <c r="H4340" s="26"/>
      <c r="I4340" s="2"/>
      <c r="J4340" s="2"/>
      <c r="K4340" s="2"/>
      <c r="L4340" s="2"/>
      <c r="M4340" s="2"/>
    </row>
    <row r="4341" spans="2:13" ht="13" x14ac:dyDescent="0.15">
      <c r="B4341" s="2"/>
      <c r="C4341" s="2"/>
      <c r="D4341" s="2"/>
      <c r="E4341" s="2"/>
      <c r="F4341" s="2"/>
      <c r="G4341" s="2"/>
      <c r="H4341" s="26"/>
      <c r="I4341" s="2"/>
      <c r="J4341" s="2"/>
      <c r="K4341" s="2"/>
      <c r="L4341" s="2"/>
      <c r="M4341" s="2"/>
    </row>
    <row r="4342" spans="2:13" ht="13" x14ac:dyDescent="0.15">
      <c r="B4342" s="2"/>
      <c r="C4342" s="2"/>
      <c r="D4342" s="2"/>
      <c r="E4342" s="2"/>
      <c r="F4342" s="2"/>
      <c r="G4342" s="2"/>
      <c r="H4342" s="26"/>
      <c r="I4342" s="2"/>
      <c r="J4342" s="2"/>
      <c r="K4342" s="2"/>
      <c r="L4342" s="2"/>
      <c r="M4342" s="2"/>
    </row>
    <row r="4343" spans="2:13" ht="13" x14ac:dyDescent="0.15">
      <c r="B4343" s="2"/>
      <c r="C4343" s="2"/>
      <c r="D4343" s="2"/>
      <c r="E4343" s="2"/>
      <c r="F4343" s="2"/>
      <c r="G4343" s="2"/>
      <c r="H4343" s="26"/>
      <c r="I4343" s="2"/>
      <c r="J4343" s="2"/>
      <c r="K4343" s="2"/>
      <c r="L4343" s="2"/>
      <c r="M4343" s="2"/>
    </row>
    <row r="4344" spans="2:13" ht="13" x14ac:dyDescent="0.15">
      <c r="B4344" s="2"/>
      <c r="C4344" s="2"/>
      <c r="D4344" s="2"/>
      <c r="E4344" s="2"/>
      <c r="F4344" s="2"/>
      <c r="G4344" s="2"/>
      <c r="H4344" s="26"/>
      <c r="I4344" s="2"/>
      <c r="J4344" s="2"/>
      <c r="K4344" s="2"/>
      <c r="L4344" s="2"/>
      <c r="M4344" s="2"/>
    </row>
    <row r="4345" spans="2:13" ht="13" x14ac:dyDescent="0.15">
      <c r="B4345" s="2"/>
      <c r="C4345" s="2"/>
      <c r="D4345" s="2"/>
      <c r="E4345" s="2"/>
      <c r="F4345" s="2"/>
      <c r="G4345" s="2"/>
      <c r="H4345" s="26"/>
      <c r="I4345" s="2"/>
      <c r="J4345" s="2"/>
      <c r="K4345" s="2"/>
      <c r="L4345" s="2"/>
      <c r="M4345" s="2"/>
    </row>
    <row r="4346" spans="2:13" ht="13" x14ac:dyDescent="0.15">
      <c r="B4346" s="2"/>
      <c r="C4346" s="2"/>
      <c r="D4346" s="2"/>
      <c r="E4346" s="2"/>
      <c r="F4346" s="2"/>
      <c r="G4346" s="2"/>
      <c r="H4346" s="26"/>
      <c r="I4346" s="2"/>
      <c r="J4346" s="2"/>
      <c r="K4346" s="2"/>
      <c r="L4346" s="2"/>
      <c r="M4346" s="2"/>
    </row>
    <row r="4347" spans="2:13" ht="13" x14ac:dyDescent="0.15">
      <c r="B4347" s="2"/>
      <c r="C4347" s="2"/>
      <c r="D4347" s="2"/>
      <c r="E4347" s="2"/>
      <c r="F4347" s="2"/>
      <c r="G4347" s="2"/>
      <c r="H4347" s="26"/>
      <c r="I4347" s="2"/>
      <c r="J4347" s="2"/>
      <c r="K4347" s="2"/>
      <c r="L4347" s="2"/>
      <c r="M4347" s="2"/>
    </row>
    <row r="4348" spans="2:13" ht="13" x14ac:dyDescent="0.15">
      <c r="B4348" s="2"/>
      <c r="C4348" s="2"/>
      <c r="D4348" s="2"/>
      <c r="E4348" s="2"/>
      <c r="F4348" s="2"/>
      <c r="G4348" s="2"/>
      <c r="H4348" s="26"/>
      <c r="I4348" s="2"/>
      <c r="J4348" s="2"/>
      <c r="K4348" s="2"/>
      <c r="L4348" s="2"/>
      <c r="M4348" s="2"/>
    </row>
    <row r="4349" spans="2:13" ht="13" x14ac:dyDescent="0.15">
      <c r="B4349" s="2"/>
      <c r="C4349" s="2"/>
      <c r="D4349" s="2"/>
      <c r="E4349" s="2"/>
      <c r="F4349" s="2"/>
      <c r="G4349" s="2"/>
      <c r="H4349" s="26"/>
      <c r="I4349" s="2"/>
      <c r="J4349" s="2"/>
      <c r="K4349" s="2"/>
      <c r="L4349" s="2"/>
      <c r="M4349" s="2"/>
    </row>
    <row r="4350" spans="2:13" ht="13" x14ac:dyDescent="0.15">
      <c r="B4350" s="2"/>
      <c r="C4350" s="2"/>
      <c r="D4350" s="2"/>
      <c r="E4350" s="2"/>
      <c r="F4350" s="2"/>
      <c r="G4350" s="2"/>
      <c r="H4350" s="26"/>
      <c r="I4350" s="2"/>
      <c r="J4350" s="2"/>
      <c r="K4350" s="2"/>
      <c r="L4350" s="2"/>
      <c r="M4350" s="2"/>
    </row>
    <row r="4351" spans="2:13" ht="13" x14ac:dyDescent="0.15">
      <c r="B4351" s="2"/>
      <c r="C4351" s="2"/>
      <c r="D4351" s="2"/>
      <c r="E4351" s="2"/>
      <c r="F4351" s="2"/>
      <c r="G4351" s="2"/>
      <c r="H4351" s="26"/>
      <c r="I4351" s="2"/>
      <c r="J4351" s="2"/>
      <c r="K4351" s="2"/>
      <c r="L4351" s="2"/>
      <c r="M4351" s="2"/>
    </row>
    <row r="4352" spans="2:13" ht="13" x14ac:dyDescent="0.15">
      <c r="B4352" s="2"/>
      <c r="C4352" s="2"/>
      <c r="D4352" s="2"/>
      <c r="E4352" s="2"/>
      <c r="F4352" s="2"/>
      <c r="G4352" s="2"/>
      <c r="H4352" s="26"/>
      <c r="I4352" s="2"/>
      <c r="J4352" s="2"/>
      <c r="K4352" s="2"/>
      <c r="L4352" s="2"/>
      <c r="M4352" s="2"/>
    </row>
    <row r="4353" spans="2:13" ht="13" x14ac:dyDescent="0.15">
      <c r="B4353" s="2"/>
      <c r="C4353" s="2"/>
      <c r="D4353" s="2"/>
      <c r="E4353" s="2"/>
      <c r="F4353" s="2"/>
      <c r="G4353" s="2"/>
      <c r="H4353" s="26"/>
      <c r="I4353" s="2"/>
      <c r="J4353" s="2"/>
      <c r="K4353" s="2"/>
      <c r="L4353" s="2"/>
      <c r="M4353" s="2"/>
    </row>
    <row r="4354" spans="2:13" ht="13" x14ac:dyDescent="0.15">
      <c r="B4354" s="2"/>
      <c r="C4354" s="2"/>
      <c r="D4354" s="2"/>
      <c r="E4354" s="2"/>
      <c r="F4354" s="2"/>
      <c r="G4354" s="2"/>
      <c r="H4354" s="26"/>
      <c r="I4354" s="2"/>
      <c r="J4354" s="2"/>
      <c r="K4354" s="2"/>
      <c r="L4354" s="2"/>
      <c r="M4354" s="2"/>
    </row>
    <row r="4355" spans="2:13" ht="13" x14ac:dyDescent="0.15">
      <c r="B4355" s="2"/>
      <c r="C4355" s="2"/>
      <c r="D4355" s="2"/>
      <c r="E4355" s="2"/>
      <c r="F4355" s="2"/>
      <c r="G4355" s="2"/>
      <c r="H4355" s="26"/>
      <c r="I4355" s="2"/>
      <c r="J4355" s="2"/>
      <c r="K4355" s="2"/>
      <c r="L4355" s="2"/>
      <c r="M4355" s="2"/>
    </row>
    <row r="4356" spans="2:13" ht="13" x14ac:dyDescent="0.15">
      <c r="B4356" s="2"/>
      <c r="C4356" s="2"/>
      <c r="D4356" s="2"/>
      <c r="E4356" s="2"/>
      <c r="F4356" s="2"/>
      <c r="G4356" s="2"/>
      <c r="H4356" s="26"/>
      <c r="I4356" s="2"/>
      <c r="J4356" s="2"/>
      <c r="K4356" s="2"/>
      <c r="L4356" s="2"/>
      <c r="M4356" s="2"/>
    </row>
    <row r="4357" spans="2:13" ht="13" x14ac:dyDescent="0.15">
      <c r="B4357" s="2"/>
      <c r="C4357" s="2"/>
      <c r="D4357" s="2"/>
      <c r="E4357" s="2"/>
      <c r="F4357" s="2"/>
      <c r="G4357" s="2"/>
      <c r="H4357" s="26"/>
      <c r="I4357" s="2"/>
      <c r="J4357" s="2"/>
      <c r="K4357" s="2"/>
      <c r="L4357" s="2"/>
      <c r="M4357" s="2"/>
    </row>
    <row r="4358" spans="2:13" ht="13" x14ac:dyDescent="0.15">
      <c r="B4358" s="2"/>
      <c r="C4358" s="2"/>
      <c r="D4358" s="2"/>
      <c r="E4358" s="2"/>
      <c r="F4358" s="2"/>
      <c r="G4358" s="2"/>
      <c r="H4358" s="26"/>
      <c r="I4358" s="2"/>
      <c r="J4358" s="2"/>
      <c r="K4358" s="2"/>
      <c r="L4358" s="2"/>
      <c r="M4358" s="2"/>
    </row>
    <row r="4359" spans="2:13" ht="13" x14ac:dyDescent="0.15">
      <c r="B4359" s="2"/>
      <c r="C4359" s="2"/>
      <c r="D4359" s="2"/>
      <c r="E4359" s="2"/>
      <c r="F4359" s="2"/>
      <c r="G4359" s="2"/>
      <c r="H4359" s="26"/>
      <c r="I4359" s="2"/>
      <c r="J4359" s="2"/>
      <c r="K4359" s="2"/>
      <c r="L4359" s="2"/>
      <c r="M4359" s="2"/>
    </row>
    <row r="4360" spans="2:13" ht="13" x14ac:dyDescent="0.15">
      <c r="B4360" s="2"/>
      <c r="C4360" s="2"/>
      <c r="D4360" s="2"/>
      <c r="E4360" s="2"/>
      <c r="F4360" s="2"/>
      <c r="G4360" s="2"/>
      <c r="H4360" s="26"/>
      <c r="I4360" s="2"/>
      <c r="J4360" s="2"/>
      <c r="K4360" s="2"/>
      <c r="L4360" s="2"/>
      <c r="M4360" s="2"/>
    </row>
    <row r="4361" spans="2:13" ht="13" x14ac:dyDescent="0.15">
      <c r="B4361" s="2"/>
      <c r="C4361" s="2"/>
      <c r="D4361" s="2"/>
      <c r="E4361" s="2"/>
      <c r="F4361" s="2"/>
      <c r="G4361" s="2"/>
      <c r="H4361" s="26"/>
      <c r="I4361" s="2"/>
      <c r="J4361" s="2"/>
      <c r="K4361" s="2"/>
      <c r="L4361" s="2"/>
      <c r="M4361" s="2"/>
    </row>
    <row r="4362" spans="2:13" ht="13" x14ac:dyDescent="0.15">
      <c r="B4362" s="2"/>
      <c r="C4362" s="2"/>
      <c r="D4362" s="2"/>
      <c r="E4362" s="2"/>
      <c r="F4362" s="2"/>
      <c r="G4362" s="2"/>
      <c r="H4362" s="26"/>
      <c r="I4362" s="2"/>
      <c r="J4362" s="2"/>
      <c r="K4362" s="2"/>
      <c r="L4362" s="2"/>
      <c r="M4362" s="2"/>
    </row>
    <row r="4363" spans="2:13" ht="13" x14ac:dyDescent="0.15">
      <c r="B4363" s="2"/>
      <c r="C4363" s="2"/>
      <c r="D4363" s="2"/>
      <c r="E4363" s="2"/>
      <c r="F4363" s="2"/>
      <c r="G4363" s="2"/>
      <c r="H4363" s="26"/>
      <c r="I4363" s="2"/>
      <c r="J4363" s="2"/>
      <c r="K4363" s="2"/>
      <c r="L4363" s="2"/>
      <c r="M4363" s="2"/>
    </row>
    <row r="4364" spans="2:13" ht="13" x14ac:dyDescent="0.15">
      <c r="B4364" s="2"/>
      <c r="C4364" s="2"/>
      <c r="D4364" s="2"/>
      <c r="E4364" s="2"/>
      <c r="F4364" s="2"/>
      <c r="G4364" s="2"/>
      <c r="H4364" s="26"/>
      <c r="I4364" s="2"/>
      <c r="J4364" s="2"/>
      <c r="K4364" s="2"/>
      <c r="L4364" s="2"/>
      <c r="M4364" s="2"/>
    </row>
    <row r="4365" spans="2:13" ht="13" x14ac:dyDescent="0.15">
      <c r="B4365" s="2"/>
      <c r="C4365" s="2"/>
      <c r="D4365" s="2"/>
      <c r="E4365" s="2"/>
      <c r="F4365" s="2"/>
      <c r="G4365" s="2"/>
      <c r="H4365" s="26"/>
      <c r="I4365" s="2"/>
      <c r="J4365" s="2"/>
      <c r="K4365" s="2"/>
      <c r="L4365" s="2"/>
      <c r="M4365" s="2"/>
    </row>
    <row r="4366" spans="2:13" ht="13" x14ac:dyDescent="0.15">
      <c r="B4366" s="2"/>
      <c r="C4366" s="2"/>
      <c r="D4366" s="2"/>
      <c r="E4366" s="2"/>
      <c r="F4366" s="2"/>
      <c r="G4366" s="2"/>
      <c r="H4366" s="26"/>
      <c r="I4366" s="2"/>
      <c r="J4366" s="2"/>
      <c r="K4366" s="2"/>
      <c r="L4366" s="2"/>
      <c r="M4366" s="2"/>
    </row>
    <row r="4367" spans="2:13" ht="13" x14ac:dyDescent="0.15">
      <c r="B4367" s="2"/>
      <c r="C4367" s="2"/>
      <c r="D4367" s="2"/>
      <c r="E4367" s="2"/>
      <c r="F4367" s="2"/>
      <c r="G4367" s="2"/>
      <c r="H4367" s="26"/>
      <c r="I4367" s="2"/>
      <c r="J4367" s="2"/>
      <c r="K4367" s="2"/>
      <c r="L4367" s="2"/>
      <c r="M4367" s="2"/>
    </row>
    <row r="4368" spans="2:13" ht="13" x14ac:dyDescent="0.15">
      <c r="B4368" s="2"/>
      <c r="C4368" s="2"/>
      <c r="D4368" s="2"/>
      <c r="E4368" s="2"/>
      <c r="F4368" s="2"/>
      <c r="G4368" s="2"/>
      <c r="H4368" s="26"/>
      <c r="I4368" s="2"/>
      <c r="J4368" s="2"/>
      <c r="K4368" s="2"/>
      <c r="L4368" s="2"/>
      <c r="M4368" s="2"/>
    </row>
    <row r="4369" spans="2:13" ht="13" x14ac:dyDescent="0.15">
      <c r="B4369" s="2"/>
      <c r="C4369" s="2"/>
      <c r="D4369" s="2"/>
      <c r="E4369" s="2"/>
      <c r="F4369" s="2"/>
      <c r="G4369" s="2"/>
      <c r="H4369" s="26"/>
      <c r="I4369" s="2"/>
      <c r="J4369" s="2"/>
      <c r="K4369" s="2"/>
      <c r="L4369" s="2"/>
      <c r="M4369" s="2"/>
    </row>
    <row r="4370" spans="2:13" ht="13" x14ac:dyDescent="0.15">
      <c r="B4370" s="2"/>
      <c r="C4370" s="2"/>
      <c r="D4370" s="2"/>
      <c r="E4370" s="2"/>
      <c r="F4370" s="2"/>
      <c r="G4370" s="2"/>
      <c r="H4370" s="26"/>
      <c r="I4370" s="2"/>
      <c r="J4370" s="2"/>
      <c r="K4370" s="2"/>
      <c r="L4370" s="2"/>
      <c r="M4370" s="2"/>
    </row>
    <row r="4371" spans="2:13" ht="13" x14ac:dyDescent="0.15">
      <c r="B4371" s="2"/>
      <c r="C4371" s="2"/>
      <c r="D4371" s="2"/>
      <c r="E4371" s="2"/>
      <c r="F4371" s="2"/>
      <c r="G4371" s="2"/>
      <c r="H4371" s="26"/>
      <c r="I4371" s="2"/>
      <c r="J4371" s="2"/>
      <c r="K4371" s="2"/>
      <c r="L4371" s="2"/>
      <c r="M4371" s="2"/>
    </row>
    <row r="4372" spans="2:13" ht="13" x14ac:dyDescent="0.15">
      <c r="B4372" s="2"/>
      <c r="C4372" s="2"/>
      <c r="D4372" s="2"/>
      <c r="E4372" s="2"/>
      <c r="F4372" s="2"/>
      <c r="G4372" s="2"/>
      <c r="H4372" s="26"/>
      <c r="I4372" s="2"/>
      <c r="J4372" s="2"/>
      <c r="K4372" s="2"/>
      <c r="L4372" s="2"/>
      <c r="M4372" s="2"/>
    </row>
    <row r="4373" spans="2:13" ht="13" x14ac:dyDescent="0.15">
      <c r="B4373" s="2"/>
      <c r="C4373" s="2"/>
      <c r="D4373" s="2"/>
      <c r="E4373" s="2"/>
      <c r="F4373" s="2"/>
      <c r="G4373" s="2"/>
      <c r="H4373" s="26"/>
      <c r="I4373" s="2"/>
      <c r="J4373" s="2"/>
      <c r="K4373" s="2"/>
      <c r="L4373" s="2"/>
      <c r="M4373" s="2"/>
    </row>
    <row r="4374" spans="2:13" ht="13" x14ac:dyDescent="0.15">
      <c r="B4374" s="2"/>
      <c r="C4374" s="2"/>
      <c r="D4374" s="2"/>
      <c r="E4374" s="2"/>
      <c r="F4374" s="2"/>
      <c r="G4374" s="2"/>
      <c r="H4374" s="26"/>
      <c r="I4374" s="2"/>
      <c r="J4374" s="2"/>
      <c r="K4374" s="2"/>
      <c r="L4374" s="2"/>
      <c r="M4374" s="2"/>
    </row>
    <row r="4375" spans="2:13" ht="13" x14ac:dyDescent="0.15">
      <c r="B4375" s="2"/>
      <c r="C4375" s="2"/>
      <c r="D4375" s="2"/>
      <c r="E4375" s="2"/>
      <c r="F4375" s="2"/>
      <c r="G4375" s="2"/>
      <c r="H4375" s="26"/>
      <c r="I4375" s="2"/>
      <c r="J4375" s="2"/>
      <c r="K4375" s="2"/>
      <c r="L4375" s="2"/>
      <c r="M4375" s="2"/>
    </row>
    <row r="4376" spans="2:13" ht="13" x14ac:dyDescent="0.15">
      <c r="B4376" s="2"/>
      <c r="C4376" s="2"/>
      <c r="D4376" s="2"/>
      <c r="E4376" s="2"/>
      <c r="F4376" s="2"/>
      <c r="G4376" s="2"/>
      <c r="H4376" s="26"/>
      <c r="I4376" s="2"/>
      <c r="J4376" s="2"/>
      <c r="K4376" s="2"/>
      <c r="L4376" s="2"/>
      <c r="M4376" s="2"/>
    </row>
    <row r="4377" spans="2:13" ht="13" x14ac:dyDescent="0.15">
      <c r="B4377" s="2"/>
      <c r="C4377" s="2"/>
      <c r="D4377" s="2"/>
      <c r="E4377" s="2"/>
      <c r="F4377" s="2"/>
      <c r="G4377" s="2"/>
      <c r="H4377" s="26"/>
      <c r="I4377" s="2"/>
      <c r="J4377" s="2"/>
      <c r="K4377" s="2"/>
      <c r="L4377" s="2"/>
      <c r="M4377" s="2"/>
    </row>
    <row r="4378" spans="2:13" ht="13" x14ac:dyDescent="0.15">
      <c r="B4378" s="2"/>
      <c r="C4378" s="2"/>
      <c r="D4378" s="2"/>
      <c r="E4378" s="2"/>
      <c r="F4378" s="2"/>
      <c r="G4378" s="2"/>
      <c r="H4378" s="26"/>
      <c r="I4378" s="2"/>
      <c r="J4378" s="2"/>
      <c r="K4378" s="2"/>
      <c r="L4378" s="2"/>
      <c r="M4378" s="2"/>
    </row>
    <row r="4379" spans="2:13" ht="13" x14ac:dyDescent="0.15">
      <c r="B4379" s="2"/>
      <c r="C4379" s="2"/>
      <c r="D4379" s="2"/>
      <c r="E4379" s="2"/>
      <c r="F4379" s="2"/>
      <c r="G4379" s="2"/>
      <c r="H4379" s="26"/>
      <c r="I4379" s="2"/>
      <c r="J4379" s="2"/>
      <c r="K4379" s="2"/>
      <c r="L4379" s="2"/>
      <c r="M4379" s="2"/>
    </row>
    <row r="4380" spans="2:13" ht="13" x14ac:dyDescent="0.15">
      <c r="B4380" s="2"/>
      <c r="C4380" s="2"/>
      <c r="D4380" s="2"/>
      <c r="E4380" s="2"/>
      <c r="F4380" s="2"/>
      <c r="G4380" s="2"/>
      <c r="H4380" s="26"/>
      <c r="I4380" s="2"/>
      <c r="J4380" s="2"/>
      <c r="K4380" s="2"/>
      <c r="L4380" s="2"/>
      <c r="M4380" s="2"/>
    </row>
    <row r="4381" spans="2:13" ht="13" x14ac:dyDescent="0.15">
      <c r="B4381" s="2"/>
      <c r="C4381" s="2"/>
      <c r="D4381" s="2"/>
      <c r="E4381" s="2"/>
      <c r="F4381" s="2"/>
      <c r="G4381" s="2"/>
      <c r="H4381" s="26"/>
      <c r="I4381" s="2"/>
      <c r="J4381" s="2"/>
      <c r="K4381" s="2"/>
      <c r="L4381" s="2"/>
      <c r="M4381" s="2"/>
    </row>
    <row r="4382" spans="2:13" ht="13" x14ac:dyDescent="0.15">
      <c r="B4382" s="2"/>
      <c r="C4382" s="2"/>
      <c r="D4382" s="2"/>
      <c r="E4382" s="2"/>
      <c r="F4382" s="2"/>
      <c r="G4382" s="2"/>
      <c r="H4382" s="26"/>
      <c r="I4382" s="2"/>
      <c r="J4382" s="2"/>
      <c r="K4382" s="2"/>
      <c r="L4382" s="2"/>
      <c r="M4382" s="2"/>
    </row>
    <row r="4383" spans="2:13" ht="13" x14ac:dyDescent="0.15">
      <c r="B4383" s="2"/>
      <c r="C4383" s="2"/>
      <c r="D4383" s="2"/>
      <c r="E4383" s="2"/>
      <c r="F4383" s="2"/>
      <c r="G4383" s="2"/>
      <c r="H4383" s="26"/>
      <c r="I4383" s="2"/>
      <c r="J4383" s="2"/>
      <c r="K4383" s="2"/>
      <c r="L4383" s="2"/>
      <c r="M4383" s="2"/>
    </row>
    <row r="4384" spans="2:13" ht="13" x14ac:dyDescent="0.15">
      <c r="B4384" s="2"/>
      <c r="C4384" s="2"/>
      <c r="D4384" s="2"/>
      <c r="E4384" s="2"/>
      <c r="F4384" s="2"/>
      <c r="G4384" s="2"/>
      <c r="H4384" s="26"/>
      <c r="I4384" s="2"/>
      <c r="J4384" s="2"/>
      <c r="K4384" s="2"/>
      <c r="L4384" s="2"/>
      <c r="M4384" s="2"/>
    </row>
    <row r="4385" spans="2:13" ht="13" x14ac:dyDescent="0.15">
      <c r="B4385" s="2"/>
      <c r="C4385" s="2"/>
      <c r="D4385" s="2"/>
      <c r="E4385" s="2"/>
      <c r="F4385" s="2"/>
      <c r="G4385" s="2"/>
      <c r="H4385" s="26"/>
      <c r="I4385" s="2"/>
      <c r="J4385" s="2"/>
      <c r="K4385" s="2"/>
      <c r="L4385" s="2"/>
      <c r="M4385" s="2"/>
    </row>
    <row r="4386" spans="2:13" ht="13" x14ac:dyDescent="0.15">
      <c r="B4386" s="2"/>
      <c r="C4386" s="2"/>
      <c r="D4386" s="2"/>
      <c r="E4386" s="2"/>
      <c r="F4386" s="2"/>
      <c r="G4386" s="2"/>
      <c r="H4386" s="26"/>
      <c r="I4386" s="2"/>
      <c r="J4386" s="2"/>
      <c r="K4386" s="2"/>
      <c r="L4386" s="2"/>
      <c r="M4386" s="2"/>
    </row>
    <row r="4387" spans="2:13" ht="13" x14ac:dyDescent="0.15">
      <c r="B4387" s="2"/>
      <c r="C4387" s="2"/>
      <c r="D4387" s="2"/>
      <c r="E4387" s="2"/>
      <c r="F4387" s="2"/>
      <c r="G4387" s="2"/>
      <c r="H4387" s="26"/>
      <c r="I4387" s="2"/>
      <c r="J4387" s="2"/>
      <c r="K4387" s="2"/>
      <c r="L4387" s="2"/>
      <c r="M4387" s="2"/>
    </row>
    <row r="4388" spans="2:13" ht="13" x14ac:dyDescent="0.15">
      <c r="B4388" s="2"/>
      <c r="C4388" s="2"/>
      <c r="D4388" s="2"/>
      <c r="E4388" s="2"/>
      <c r="F4388" s="2"/>
      <c r="G4388" s="2"/>
      <c r="H4388" s="26"/>
      <c r="I4388" s="2"/>
      <c r="J4388" s="2"/>
      <c r="K4388" s="2"/>
      <c r="L4388" s="2"/>
      <c r="M4388" s="2"/>
    </row>
    <row r="4389" spans="2:13" ht="13" x14ac:dyDescent="0.15">
      <c r="B4389" s="2"/>
      <c r="C4389" s="2"/>
      <c r="D4389" s="2"/>
      <c r="E4389" s="2"/>
      <c r="F4389" s="2"/>
      <c r="G4389" s="2"/>
      <c r="H4389" s="26"/>
      <c r="I4389" s="2"/>
      <c r="J4389" s="2"/>
      <c r="K4389" s="2"/>
      <c r="L4389" s="2"/>
      <c r="M4389" s="2"/>
    </row>
    <row r="4390" spans="2:13" ht="13" x14ac:dyDescent="0.15">
      <c r="B4390" s="2"/>
      <c r="C4390" s="2"/>
      <c r="D4390" s="2"/>
      <c r="E4390" s="2"/>
      <c r="F4390" s="2"/>
      <c r="G4390" s="2"/>
      <c r="H4390" s="26"/>
      <c r="I4390" s="2"/>
      <c r="J4390" s="2"/>
      <c r="K4390" s="2"/>
      <c r="L4390" s="2"/>
      <c r="M4390" s="2"/>
    </row>
    <row r="4391" spans="2:13" ht="13" x14ac:dyDescent="0.15">
      <c r="B4391" s="2"/>
      <c r="C4391" s="2"/>
      <c r="D4391" s="2"/>
      <c r="E4391" s="2"/>
      <c r="F4391" s="2"/>
      <c r="G4391" s="2"/>
      <c r="H4391" s="26"/>
      <c r="I4391" s="2"/>
      <c r="J4391" s="2"/>
      <c r="K4391" s="2"/>
      <c r="L4391" s="2"/>
      <c r="M4391" s="2"/>
    </row>
    <row r="4392" spans="2:13" ht="13" x14ac:dyDescent="0.15">
      <c r="B4392" s="2"/>
      <c r="C4392" s="2"/>
      <c r="D4392" s="2"/>
      <c r="E4392" s="2"/>
      <c r="F4392" s="2"/>
      <c r="G4392" s="2"/>
      <c r="H4392" s="26"/>
      <c r="I4392" s="2"/>
      <c r="J4392" s="2"/>
      <c r="K4392" s="2"/>
      <c r="L4392" s="2"/>
      <c r="M4392" s="2"/>
    </row>
    <row r="4393" spans="2:13" ht="13" x14ac:dyDescent="0.15">
      <c r="B4393" s="2"/>
      <c r="C4393" s="2"/>
      <c r="D4393" s="2"/>
      <c r="E4393" s="2"/>
      <c r="F4393" s="2"/>
      <c r="G4393" s="2"/>
      <c r="H4393" s="26"/>
      <c r="I4393" s="2"/>
      <c r="J4393" s="2"/>
      <c r="K4393" s="2"/>
      <c r="L4393" s="2"/>
      <c r="M4393" s="2"/>
    </row>
    <row r="4394" spans="2:13" ht="13" x14ac:dyDescent="0.15">
      <c r="B4394" s="2"/>
      <c r="C4394" s="2"/>
      <c r="D4394" s="2"/>
      <c r="E4394" s="2"/>
      <c r="F4394" s="2"/>
      <c r="G4394" s="2"/>
      <c r="H4394" s="26"/>
      <c r="I4394" s="2"/>
      <c r="J4394" s="2"/>
      <c r="K4394" s="2"/>
      <c r="L4394" s="2"/>
      <c r="M4394" s="2"/>
    </row>
    <row r="4395" spans="2:13" ht="13" x14ac:dyDescent="0.15">
      <c r="B4395" s="2"/>
      <c r="C4395" s="2"/>
      <c r="D4395" s="2"/>
      <c r="E4395" s="2"/>
      <c r="F4395" s="2"/>
      <c r="G4395" s="2"/>
      <c r="H4395" s="26"/>
      <c r="I4395" s="2"/>
      <c r="J4395" s="2"/>
      <c r="K4395" s="2"/>
      <c r="L4395" s="2"/>
      <c r="M4395" s="2"/>
    </row>
    <row r="4396" spans="2:13" ht="13" x14ac:dyDescent="0.15">
      <c r="B4396" s="2"/>
      <c r="C4396" s="2"/>
      <c r="D4396" s="2"/>
      <c r="E4396" s="2"/>
      <c r="F4396" s="2"/>
      <c r="G4396" s="2"/>
      <c r="H4396" s="26"/>
      <c r="I4396" s="2"/>
      <c r="J4396" s="2"/>
      <c r="K4396" s="2"/>
      <c r="L4396" s="2"/>
      <c r="M4396" s="2"/>
    </row>
    <row r="4397" spans="2:13" ht="13" x14ac:dyDescent="0.15">
      <c r="B4397" s="2"/>
      <c r="C4397" s="2"/>
      <c r="D4397" s="2"/>
      <c r="E4397" s="2"/>
      <c r="F4397" s="2"/>
      <c r="G4397" s="2"/>
      <c r="H4397" s="26"/>
      <c r="I4397" s="2"/>
      <c r="J4397" s="2"/>
      <c r="K4397" s="2"/>
      <c r="L4397" s="2"/>
      <c r="M4397" s="2"/>
    </row>
    <row r="4398" spans="2:13" ht="13" x14ac:dyDescent="0.15">
      <c r="B4398" s="2"/>
      <c r="C4398" s="2"/>
      <c r="D4398" s="2"/>
      <c r="E4398" s="2"/>
      <c r="F4398" s="2"/>
      <c r="G4398" s="2"/>
      <c r="H4398" s="26"/>
      <c r="I4398" s="2"/>
      <c r="J4398" s="2"/>
      <c r="K4398" s="2"/>
      <c r="L4398" s="2"/>
      <c r="M4398" s="2"/>
    </row>
    <row r="4399" spans="2:13" ht="13" x14ac:dyDescent="0.15">
      <c r="B4399" s="2"/>
      <c r="C4399" s="2"/>
      <c r="D4399" s="2"/>
      <c r="E4399" s="2"/>
      <c r="F4399" s="2"/>
      <c r="G4399" s="2"/>
      <c r="H4399" s="26"/>
      <c r="I4399" s="2"/>
      <c r="J4399" s="2"/>
      <c r="K4399" s="2"/>
      <c r="L4399" s="2"/>
      <c r="M4399" s="2"/>
    </row>
    <row r="4400" spans="2:13" ht="13" x14ac:dyDescent="0.15">
      <c r="B4400" s="2"/>
      <c r="C4400" s="2"/>
      <c r="D4400" s="2"/>
      <c r="E4400" s="2"/>
      <c r="F4400" s="2"/>
      <c r="G4400" s="2"/>
      <c r="H4400" s="26"/>
      <c r="I4400" s="2"/>
      <c r="J4400" s="2"/>
      <c r="K4400" s="2"/>
      <c r="L4400" s="2"/>
      <c r="M4400" s="2"/>
    </row>
    <row r="4401" spans="2:13" ht="13" x14ac:dyDescent="0.15">
      <c r="B4401" s="2"/>
      <c r="C4401" s="2"/>
      <c r="D4401" s="2"/>
      <c r="E4401" s="2"/>
      <c r="F4401" s="2"/>
      <c r="G4401" s="2"/>
      <c r="H4401" s="26"/>
      <c r="I4401" s="2"/>
      <c r="J4401" s="2"/>
      <c r="K4401" s="2"/>
      <c r="L4401" s="2"/>
      <c r="M4401" s="2"/>
    </row>
    <row r="4402" spans="2:13" ht="13" x14ac:dyDescent="0.15">
      <c r="B4402" s="2"/>
      <c r="C4402" s="2"/>
      <c r="D4402" s="2"/>
      <c r="E4402" s="2"/>
      <c r="F4402" s="2"/>
      <c r="G4402" s="2"/>
      <c r="H4402" s="26"/>
      <c r="I4402" s="2"/>
      <c r="J4402" s="2"/>
      <c r="K4402" s="2"/>
      <c r="L4402" s="2"/>
      <c r="M4402" s="2"/>
    </row>
    <row r="4403" spans="2:13" ht="13" x14ac:dyDescent="0.15">
      <c r="B4403" s="2"/>
      <c r="C4403" s="2"/>
      <c r="D4403" s="2"/>
      <c r="E4403" s="2"/>
      <c r="F4403" s="2"/>
      <c r="G4403" s="2"/>
      <c r="H4403" s="26"/>
      <c r="I4403" s="2"/>
      <c r="J4403" s="2"/>
      <c r="K4403" s="2"/>
      <c r="L4403" s="2"/>
      <c r="M4403" s="2"/>
    </row>
    <row r="4404" spans="2:13" ht="13" x14ac:dyDescent="0.15">
      <c r="B4404" s="2"/>
      <c r="C4404" s="2"/>
      <c r="D4404" s="2"/>
      <c r="E4404" s="2"/>
      <c r="F4404" s="2"/>
      <c r="G4404" s="2"/>
      <c r="H4404" s="26"/>
      <c r="I4404" s="2"/>
      <c r="J4404" s="2"/>
      <c r="K4404" s="2"/>
      <c r="L4404" s="2"/>
      <c r="M4404" s="2"/>
    </row>
    <row r="4405" spans="2:13" ht="13" x14ac:dyDescent="0.15">
      <c r="B4405" s="2"/>
      <c r="C4405" s="2"/>
      <c r="D4405" s="2"/>
      <c r="E4405" s="2"/>
      <c r="F4405" s="2"/>
      <c r="G4405" s="2"/>
      <c r="H4405" s="26"/>
      <c r="I4405" s="2"/>
      <c r="J4405" s="2"/>
      <c r="K4405" s="2"/>
      <c r="L4405" s="2"/>
      <c r="M4405" s="2"/>
    </row>
    <row r="4406" spans="2:13" ht="13" x14ac:dyDescent="0.15">
      <c r="B4406" s="2"/>
      <c r="C4406" s="2"/>
      <c r="D4406" s="2"/>
      <c r="E4406" s="2"/>
      <c r="F4406" s="2"/>
      <c r="G4406" s="2"/>
      <c r="H4406" s="26"/>
      <c r="I4406" s="2"/>
      <c r="J4406" s="2"/>
      <c r="K4406" s="2"/>
      <c r="L4406" s="2"/>
      <c r="M4406" s="2"/>
    </row>
    <row r="4407" spans="2:13" ht="13" x14ac:dyDescent="0.15">
      <c r="B4407" s="2"/>
      <c r="C4407" s="2"/>
      <c r="D4407" s="2"/>
      <c r="E4407" s="2"/>
      <c r="F4407" s="2"/>
      <c r="G4407" s="2"/>
      <c r="H4407" s="26"/>
      <c r="I4407" s="2"/>
      <c r="J4407" s="2"/>
      <c r="K4407" s="2"/>
      <c r="L4407" s="2"/>
      <c r="M4407" s="2"/>
    </row>
    <row r="4408" spans="2:13" ht="13" x14ac:dyDescent="0.15">
      <c r="B4408" s="2"/>
      <c r="C4408" s="2"/>
      <c r="D4408" s="2"/>
      <c r="E4408" s="2"/>
      <c r="F4408" s="2"/>
      <c r="G4408" s="2"/>
      <c r="H4408" s="26"/>
      <c r="I4408" s="2"/>
      <c r="J4408" s="2"/>
      <c r="K4408" s="2"/>
      <c r="L4408" s="2"/>
      <c r="M4408" s="2"/>
    </row>
    <row r="4409" spans="2:13" ht="13" x14ac:dyDescent="0.15">
      <c r="B4409" s="2"/>
      <c r="C4409" s="2"/>
      <c r="D4409" s="2"/>
      <c r="E4409" s="2"/>
      <c r="F4409" s="2"/>
      <c r="G4409" s="2"/>
      <c r="H4409" s="26"/>
      <c r="I4409" s="2"/>
      <c r="J4409" s="2"/>
      <c r="K4409" s="2"/>
      <c r="L4409" s="2"/>
      <c r="M4409" s="2"/>
    </row>
    <row r="4410" spans="2:13" ht="13" x14ac:dyDescent="0.15">
      <c r="B4410" s="2"/>
      <c r="C4410" s="2"/>
      <c r="D4410" s="2"/>
      <c r="E4410" s="2"/>
      <c r="F4410" s="2"/>
      <c r="G4410" s="2"/>
      <c r="H4410" s="26"/>
      <c r="I4410" s="2"/>
      <c r="J4410" s="2"/>
      <c r="K4410" s="2"/>
      <c r="L4410" s="2"/>
      <c r="M4410" s="2"/>
    </row>
    <row r="4411" spans="2:13" ht="13" x14ac:dyDescent="0.15">
      <c r="B4411" s="2"/>
      <c r="C4411" s="2"/>
      <c r="D4411" s="2"/>
      <c r="E4411" s="2"/>
      <c r="F4411" s="2"/>
      <c r="G4411" s="2"/>
      <c r="H4411" s="26"/>
      <c r="I4411" s="2"/>
      <c r="J4411" s="2"/>
      <c r="K4411" s="2"/>
      <c r="L4411" s="2"/>
      <c r="M4411" s="2"/>
    </row>
    <row r="4412" spans="2:13" ht="13" x14ac:dyDescent="0.15">
      <c r="B4412" s="2"/>
      <c r="C4412" s="2"/>
      <c r="D4412" s="2"/>
      <c r="E4412" s="2"/>
      <c r="F4412" s="2"/>
      <c r="G4412" s="2"/>
      <c r="H4412" s="26"/>
      <c r="I4412" s="2"/>
      <c r="J4412" s="2"/>
      <c r="K4412" s="2"/>
      <c r="L4412" s="2"/>
      <c r="M4412" s="2"/>
    </row>
    <row r="4413" spans="2:13" ht="13" x14ac:dyDescent="0.15">
      <c r="B4413" s="2"/>
      <c r="C4413" s="2"/>
      <c r="D4413" s="2"/>
      <c r="E4413" s="2"/>
      <c r="F4413" s="2"/>
      <c r="G4413" s="2"/>
      <c r="H4413" s="26"/>
      <c r="I4413" s="2"/>
      <c r="J4413" s="2"/>
      <c r="K4413" s="2"/>
      <c r="L4413" s="2"/>
      <c r="M4413" s="2"/>
    </row>
    <row r="4414" spans="2:13" ht="13" x14ac:dyDescent="0.15">
      <c r="B4414" s="2"/>
      <c r="C4414" s="2"/>
      <c r="D4414" s="2"/>
      <c r="E4414" s="2"/>
      <c r="F4414" s="2"/>
      <c r="G4414" s="2"/>
      <c r="H4414" s="26"/>
      <c r="I4414" s="2"/>
      <c r="J4414" s="2"/>
      <c r="K4414" s="2"/>
      <c r="L4414" s="2"/>
      <c r="M4414" s="2"/>
    </row>
    <row r="4415" spans="2:13" ht="13" x14ac:dyDescent="0.15">
      <c r="B4415" s="2"/>
      <c r="C4415" s="2"/>
      <c r="D4415" s="2"/>
      <c r="E4415" s="2"/>
      <c r="F4415" s="2"/>
      <c r="G4415" s="2"/>
      <c r="H4415" s="26"/>
      <c r="I4415" s="2"/>
      <c r="J4415" s="2"/>
      <c r="K4415" s="2"/>
      <c r="L4415" s="2"/>
      <c r="M4415" s="2"/>
    </row>
    <row r="4416" spans="2:13" ht="13" x14ac:dyDescent="0.15">
      <c r="B4416" s="2"/>
      <c r="C4416" s="2"/>
      <c r="D4416" s="2"/>
      <c r="E4416" s="2"/>
      <c r="F4416" s="2"/>
      <c r="G4416" s="2"/>
      <c r="H4416" s="26"/>
      <c r="I4416" s="2"/>
      <c r="J4416" s="2"/>
      <c r="K4416" s="2"/>
      <c r="L4416" s="2"/>
      <c r="M4416" s="2"/>
    </row>
    <row r="4417" spans="2:13" ht="13" x14ac:dyDescent="0.15">
      <c r="B4417" s="2"/>
      <c r="C4417" s="2"/>
      <c r="D4417" s="2"/>
      <c r="E4417" s="2"/>
      <c r="F4417" s="2"/>
      <c r="G4417" s="2"/>
      <c r="H4417" s="26"/>
      <c r="I4417" s="2"/>
      <c r="J4417" s="2"/>
      <c r="K4417" s="2"/>
      <c r="L4417" s="2"/>
      <c r="M4417" s="2"/>
    </row>
    <row r="4418" spans="2:13" ht="13" x14ac:dyDescent="0.15">
      <c r="B4418" s="2"/>
      <c r="C4418" s="2"/>
      <c r="D4418" s="2"/>
      <c r="E4418" s="2"/>
      <c r="F4418" s="2"/>
      <c r="G4418" s="2"/>
      <c r="H4418" s="26"/>
      <c r="I4418" s="2"/>
      <c r="J4418" s="2"/>
      <c r="K4418" s="2"/>
      <c r="L4418" s="2"/>
      <c r="M4418" s="2"/>
    </row>
    <row r="4419" spans="2:13" ht="13" x14ac:dyDescent="0.15">
      <c r="B4419" s="2"/>
      <c r="C4419" s="2"/>
      <c r="D4419" s="2"/>
      <c r="E4419" s="2"/>
      <c r="F4419" s="2"/>
      <c r="G4419" s="2"/>
      <c r="H4419" s="26"/>
      <c r="I4419" s="2"/>
      <c r="J4419" s="2"/>
      <c r="K4419" s="2"/>
      <c r="L4419" s="2"/>
      <c r="M4419" s="2"/>
    </row>
    <row r="4420" spans="2:13" ht="13" x14ac:dyDescent="0.15">
      <c r="B4420" s="2"/>
      <c r="C4420" s="2"/>
      <c r="D4420" s="2"/>
      <c r="E4420" s="2"/>
      <c r="F4420" s="2"/>
      <c r="G4420" s="2"/>
      <c r="H4420" s="26"/>
      <c r="I4420" s="2"/>
      <c r="J4420" s="2"/>
      <c r="K4420" s="2"/>
      <c r="L4420" s="2"/>
      <c r="M4420" s="2"/>
    </row>
    <row r="4421" spans="2:13" ht="13" x14ac:dyDescent="0.15">
      <c r="B4421" s="2"/>
      <c r="C4421" s="2"/>
      <c r="D4421" s="2"/>
      <c r="E4421" s="2"/>
      <c r="F4421" s="2"/>
      <c r="G4421" s="2"/>
      <c r="H4421" s="26"/>
      <c r="I4421" s="2"/>
      <c r="J4421" s="2"/>
      <c r="K4421" s="2"/>
      <c r="L4421" s="2"/>
      <c r="M4421" s="2"/>
    </row>
    <row r="4422" spans="2:13" ht="13" x14ac:dyDescent="0.15">
      <c r="B4422" s="2"/>
      <c r="C4422" s="2"/>
      <c r="D4422" s="2"/>
      <c r="E4422" s="2"/>
      <c r="F4422" s="2"/>
      <c r="G4422" s="2"/>
      <c r="H4422" s="26"/>
      <c r="I4422" s="2"/>
      <c r="J4422" s="2"/>
      <c r="K4422" s="2"/>
      <c r="L4422" s="2"/>
      <c r="M4422" s="2"/>
    </row>
    <row r="4423" spans="2:13" ht="13" x14ac:dyDescent="0.15">
      <c r="B4423" s="2"/>
      <c r="C4423" s="2"/>
      <c r="D4423" s="2"/>
      <c r="E4423" s="2"/>
      <c r="F4423" s="2"/>
      <c r="G4423" s="2"/>
      <c r="H4423" s="26"/>
      <c r="I4423" s="2"/>
      <c r="J4423" s="2"/>
      <c r="K4423" s="2"/>
      <c r="L4423" s="2"/>
      <c r="M4423" s="2"/>
    </row>
    <row r="4424" spans="2:13" ht="13" x14ac:dyDescent="0.15">
      <c r="B4424" s="2"/>
      <c r="C4424" s="2"/>
      <c r="D4424" s="2"/>
      <c r="E4424" s="2"/>
      <c r="F4424" s="2"/>
      <c r="G4424" s="2"/>
      <c r="H4424" s="26"/>
      <c r="I4424" s="2"/>
      <c r="J4424" s="2"/>
      <c r="K4424" s="2"/>
      <c r="L4424" s="2"/>
      <c r="M4424" s="2"/>
    </row>
    <row r="4425" spans="2:13" ht="13" x14ac:dyDescent="0.15">
      <c r="B4425" s="2"/>
      <c r="C4425" s="2"/>
      <c r="D4425" s="2"/>
      <c r="E4425" s="2"/>
      <c r="F4425" s="2"/>
      <c r="G4425" s="2"/>
      <c r="H4425" s="26"/>
      <c r="I4425" s="2"/>
      <c r="J4425" s="2"/>
      <c r="K4425" s="2"/>
      <c r="L4425" s="2"/>
      <c r="M4425" s="2"/>
    </row>
    <row r="4426" spans="2:13" ht="13" x14ac:dyDescent="0.15">
      <c r="B4426" s="2"/>
      <c r="C4426" s="2"/>
      <c r="D4426" s="2"/>
      <c r="E4426" s="2"/>
      <c r="F4426" s="2"/>
      <c r="G4426" s="2"/>
      <c r="H4426" s="26"/>
      <c r="I4426" s="2"/>
      <c r="J4426" s="2"/>
      <c r="K4426" s="2"/>
      <c r="L4426" s="2"/>
      <c r="M4426" s="2"/>
    </row>
    <row r="4427" spans="2:13" ht="13" x14ac:dyDescent="0.15">
      <c r="B4427" s="2"/>
      <c r="C4427" s="2"/>
      <c r="D4427" s="2"/>
      <c r="E4427" s="2"/>
      <c r="F4427" s="2"/>
      <c r="G4427" s="2"/>
      <c r="H4427" s="26"/>
      <c r="I4427" s="2"/>
      <c r="J4427" s="2"/>
      <c r="K4427" s="2"/>
      <c r="L4427" s="2"/>
      <c r="M4427" s="2"/>
    </row>
    <row r="4428" spans="2:13" ht="13" x14ac:dyDescent="0.15">
      <c r="B4428" s="2"/>
      <c r="C4428" s="2"/>
      <c r="D4428" s="2"/>
      <c r="E4428" s="2"/>
      <c r="F4428" s="2"/>
      <c r="G4428" s="2"/>
      <c r="H4428" s="26"/>
      <c r="I4428" s="2"/>
      <c r="J4428" s="2"/>
      <c r="K4428" s="2"/>
      <c r="L4428" s="2"/>
      <c r="M4428" s="2"/>
    </row>
    <row r="4429" spans="2:13" ht="13" x14ac:dyDescent="0.15">
      <c r="B4429" s="2"/>
      <c r="C4429" s="2"/>
      <c r="D4429" s="2"/>
      <c r="E4429" s="2"/>
      <c r="F4429" s="2"/>
      <c r="G4429" s="2"/>
      <c r="H4429" s="26"/>
      <c r="I4429" s="2"/>
      <c r="J4429" s="2"/>
      <c r="K4429" s="2"/>
      <c r="L4429" s="2"/>
      <c r="M4429" s="2"/>
    </row>
    <row r="4430" spans="2:13" ht="13" x14ac:dyDescent="0.15">
      <c r="B4430" s="2"/>
      <c r="C4430" s="2"/>
      <c r="D4430" s="2"/>
      <c r="E4430" s="2"/>
      <c r="F4430" s="2"/>
      <c r="G4430" s="2"/>
      <c r="H4430" s="26"/>
      <c r="I4430" s="2"/>
      <c r="J4430" s="2"/>
      <c r="K4430" s="2"/>
      <c r="L4430" s="2"/>
      <c r="M4430" s="2"/>
    </row>
    <row r="4431" spans="2:13" ht="13" x14ac:dyDescent="0.15">
      <c r="B4431" s="2"/>
      <c r="C4431" s="2"/>
      <c r="D4431" s="2"/>
      <c r="E4431" s="2"/>
      <c r="F4431" s="2"/>
      <c r="G4431" s="2"/>
      <c r="H4431" s="26"/>
      <c r="I4431" s="2"/>
      <c r="J4431" s="2"/>
      <c r="K4431" s="2"/>
      <c r="L4431" s="2"/>
      <c r="M4431" s="2"/>
    </row>
    <row r="4432" spans="2:13" ht="13" x14ac:dyDescent="0.15">
      <c r="B4432" s="2"/>
      <c r="C4432" s="2"/>
      <c r="D4432" s="2"/>
      <c r="E4432" s="2"/>
      <c r="F4432" s="2"/>
      <c r="G4432" s="2"/>
      <c r="H4432" s="26"/>
      <c r="I4432" s="2"/>
      <c r="J4432" s="2"/>
      <c r="K4432" s="2"/>
      <c r="L4432" s="2"/>
      <c r="M4432" s="2"/>
    </row>
    <row r="4433" spans="2:13" ht="13" x14ac:dyDescent="0.15">
      <c r="B4433" s="2"/>
      <c r="C4433" s="2"/>
      <c r="D4433" s="2"/>
      <c r="E4433" s="2"/>
      <c r="F4433" s="2"/>
      <c r="G4433" s="2"/>
      <c r="H4433" s="26"/>
      <c r="I4433" s="2"/>
      <c r="J4433" s="2"/>
      <c r="K4433" s="2"/>
      <c r="L4433" s="2"/>
      <c r="M4433" s="2"/>
    </row>
    <row r="4434" spans="2:13" ht="13" x14ac:dyDescent="0.15">
      <c r="B4434" s="2"/>
      <c r="C4434" s="2"/>
      <c r="D4434" s="2"/>
      <c r="E4434" s="2"/>
      <c r="F4434" s="2"/>
      <c r="G4434" s="2"/>
      <c r="H4434" s="26"/>
      <c r="I4434" s="2"/>
      <c r="J4434" s="2"/>
      <c r="K4434" s="2"/>
      <c r="L4434" s="2"/>
      <c r="M4434" s="2"/>
    </row>
    <row r="4435" spans="2:13" ht="13" x14ac:dyDescent="0.15">
      <c r="B4435" s="2"/>
      <c r="C4435" s="2"/>
      <c r="D4435" s="2"/>
      <c r="E4435" s="2"/>
      <c r="F4435" s="2"/>
      <c r="G4435" s="2"/>
      <c r="H4435" s="26"/>
      <c r="I4435" s="2"/>
      <c r="J4435" s="2"/>
      <c r="K4435" s="2"/>
      <c r="L4435" s="2"/>
      <c r="M4435" s="2"/>
    </row>
    <row r="4436" spans="2:13" ht="13" x14ac:dyDescent="0.15">
      <c r="B4436" s="2"/>
      <c r="C4436" s="2"/>
      <c r="D4436" s="2"/>
      <c r="E4436" s="2"/>
      <c r="F4436" s="2"/>
      <c r="G4436" s="2"/>
      <c r="H4436" s="26"/>
      <c r="I4436" s="2"/>
      <c r="J4436" s="2"/>
      <c r="K4436" s="2"/>
      <c r="L4436" s="2"/>
      <c r="M4436" s="2"/>
    </row>
    <row r="4437" spans="2:13" ht="13" x14ac:dyDescent="0.15">
      <c r="B4437" s="2"/>
      <c r="C4437" s="2"/>
      <c r="D4437" s="2"/>
      <c r="E4437" s="2"/>
      <c r="F4437" s="2"/>
      <c r="G4437" s="2"/>
      <c r="H4437" s="26"/>
      <c r="I4437" s="2"/>
      <c r="J4437" s="2"/>
      <c r="K4437" s="2"/>
      <c r="L4437" s="2"/>
      <c r="M4437" s="2"/>
    </row>
    <row r="4438" spans="2:13" ht="13" x14ac:dyDescent="0.15">
      <c r="B4438" s="2"/>
      <c r="C4438" s="2"/>
      <c r="D4438" s="2"/>
      <c r="E4438" s="2"/>
      <c r="F4438" s="2"/>
      <c r="G4438" s="2"/>
      <c r="H4438" s="26"/>
      <c r="I4438" s="2"/>
      <c r="J4438" s="2"/>
      <c r="K4438" s="2"/>
      <c r="L4438" s="2"/>
      <c r="M4438" s="2"/>
    </row>
    <row r="4439" spans="2:13" ht="13" x14ac:dyDescent="0.15">
      <c r="B4439" s="2"/>
      <c r="C4439" s="2"/>
      <c r="D4439" s="2"/>
      <c r="E4439" s="2"/>
      <c r="F4439" s="2"/>
      <c r="G4439" s="2"/>
      <c r="H4439" s="26"/>
      <c r="I4439" s="2"/>
      <c r="J4439" s="2"/>
      <c r="K4439" s="2"/>
      <c r="L4439" s="2"/>
      <c r="M4439" s="2"/>
    </row>
    <row r="4440" spans="2:13" ht="13" x14ac:dyDescent="0.15">
      <c r="B4440" s="2"/>
      <c r="C4440" s="2"/>
      <c r="D4440" s="2"/>
      <c r="E4440" s="2"/>
      <c r="F4440" s="2"/>
      <c r="G4440" s="2"/>
      <c r="H4440" s="26"/>
      <c r="I4440" s="2"/>
      <c r="J4440" s="2"/>
      <c r="K4440" s="2"/>
      <c r="L4440" s="2"/>
      <c r="M4440" s="2"/>
    </row>
    <row r="4441" spans="2:13" ht="13" x14ac:dyDescent="0.15">
      <c r="B4441" s="2"/>
      <c r="C4441" s="2"/>
      <c r="D4441" s="2"/>
      <c r="E4441" s="2"/>
      <c r="F4441" s="2"/>
      <c r="G4441" s="2"/>
      <c r="H4441" s="26"/>
      <c r="I4441" s="2"/>
      <c r="J4441" s="2"/>
      <c r="K4441" s="2"/>
      <c r="L4441" s="2"/>
      <c r="M4441" s="2"/>
    </row>
    <row r="4442" spans="2:13" ht="13" x14ac:dyDescent="0.15">
      <c r="B4442" s="2"/>
      <c r="C4442" s="2"/>
      <c r="D4442" s="2"/>
      <c r="E4442" s="2"/>
      <c r="F4442" s="2"/>
      <c r="G4442" s="2"/>
      <c r="H4442" s="26"/>
      <c r="I4442" s="2"/>
      <c r="J4442" s="2"/>
      <c r="K4442" s="2"/>
      <c r="L4442" s="2"/>
      <c r="M4442" s="2"/>
    </row>
    <row r="4443" spans="2:13" ht="13" x14ac:dyDescent="0.15">
      <c r="B4443" s="2"/>
      <c r="C4443" s="2"/>
      <c r="D4443" s="2"/>
      <c r="E4443" s="2"/>
      <c r="F4443" s="2"/>
      <c r="G4443" s="2"/>
      <c r="H4443" s="26"/>
      <c r="I4443" s="2"/>
      <c r="J4443" s="2"/>
      <c r="K4443" s="2"/>
      <c r="L4443" s="2"/>
      <c r="M4443" s="2"/>
    </row>
    <row r="4444" spans="2:13" ht="13" x14ac:dyDescent="0.15">
      <c r="B4444" s="2"/>
      <c r="C4444" s="2"/>
      <c r="D4444" s="2"/>
      <c r="E4444" s="2"/>
      <c r="F4444" s="2"/>
      <c r="G4444" s="2"/>
      <c r="H4444" s="26"/>
      <c r="I4444" s="2"/>
      <c r="J4444" s="2"/>
      <c r="K4444" s="2"/>
      <c r="L4444" s="2"/>
      <c r="M4444" s="2"/>
    </row>
    <row r="4445" spans="2:13" ht="13" x14ac:dyDescent="0.15">
      <c r="B4445" s="2"/>
      <c r="C4445" s="2"/>
      <c r="D4445" s="2"/>
      <c r="E4445" s="2"/>
      <c r="F4445" s="2"/>
      <c r="G4445" s="2"/>
      <c r="H4445" s="26"/>
      <c r="I4445" s="2"/>
      <c r="J4445" s="2"/>
      <c r="K4445" s="2"/>
      <c r="L4445" s="2"/>
      <c r="M4445" s="2"/>
    </row>
    <row r="4446" spans="2:13" ht="13" x14ac:dyDescent="0.15">
      <c r="B4446" s="2"/>
      <c r="C4446" s="2"/>
      <c r="D4446" s="2"/>
      <c r="E4446" s="2"/>
      <c r="F4446" s="2"/>
      <c r="G4446" s="2"/>
      <c r="H4446" s="26"/>
      <c r="I4446" s="2"/>
      <c r="J4446" s="2"/>
      <c r="K4446" s="2"/>
      <c r="L4446" s="2"/>
      <c r="M4446" s="2"/>
    </row>
    <row r="4447" spans="2:13" ht="13" x14ac:dyDescent="0.15">
      <c r="B4447" s="2"/>
      <c r="C4447" s="2"/>
      <c r="D4447" s="2"/>
      <c r="E4447" s="2"/>
      <c r="F4447" s="2"/>
      <c r="G4447" s="2"/>
      <c r="H4447" s="26"/>
      <c r="I4447" s="2"/>
      <c r="J4447" s="2"/>
      <c r="K4447" s="2"/>
      <c r="L4447" s="2"/>
      <c r="M4447" s="2"/>
    </row>
    <row r="4448" spans="2:13" ht="13" x14ac:dyDescent="0.15">
      <c r="B4448" s="2"/>
      <c r="C4448" s="2"/>
      <c r="D4448" s="2"/>
      <c r="E4448" s="2"/>
      <c r="F4448" s="2"/>
      <c r="G4448" s="2"/>
      <c r="H4448" s="26"/>
      <c r="I4448" s="2"/>
      <c r="J4448" s="2"/>
      <c r="K4448" s="2"/>
      <c r="L4448" s="2"/>
      <c r="M4448" s="2"/>
    </row>
    <row r="4449" spans="2:13" ht="13" x14ac:dyDescent="0.15">
      <c r="B4449" s="2"/>
      <c r="C4449" s="2"/>
      <c r="D4449" s="2"/>
      <c r="E4449" s="2"/>
      <c r="F4449" s="2"/>
      <c r="G4449" s="2"/>
      <c r="H4449" s="26"/>
      <c r="I4449" s="2"/>
      <c r="J4449" s="2"/>
      <c r="K4449" s="2"/>
      <c r="L4449" s="2"/>
      <c r="M4449" s="2"/>
    </row>
    <row r="4450" spans="2:13" ht="13" x14ac:dyDescent="0.15">
      <c r="B4450" s="2"/>
      <c r="C4450" s="2"/>
      <c r="D4450" s="2"/>
      <c r="E4450" s="2"/>
      <c r="F4450" s="2"/>
      <c r="G4450" s="2"/>
      <c r="H4450" s="26"/>
      <c r="I4450" s="2"/>
      <c r="J4450" s="2"/>
      <c r="K4450" s="2"/>
      <c r="L4450" s="2"/>
      <c r="M4450" s="2"/>
    </row>
    <row r="4451" spans="2:13" ht="13" x14ac:dyDescent="0.15">
      <c r="B4451" s="2"/>
      <c r="C4451" s="2"/>
      <c r="D4451" s="2"/>
      <c r="E4451" s="2"/>
      <c r="F4451" s="2"/>
      <c r="G4451" s="2"/>
      <c r="H4451" s="26"/>
      <c r="I4451" s="2"/>
      <c r="J4451" s="2"/>
      <c r="K4451" s="2"/>
      <c r="L4451" s="2"/>
      <c r="M4451" s="2"/>
    </row>
    <row r="4452" spans="2:13" ht="13" x14ac:dyDescent="0.15">
      <c r="B4452" s="2"/>
      <c r="C4452" s="2"/>
      <c r="D4452" s="2"/>
      <c r="E4452" s="2"/>
      <c r="F4452" s="2"/>
      <c r="G4452" s="2"/>
      <c r="H4452" s="26"/>
      <c r="I4452" s="2"/>
      <c r="J4452" s="2"/>
      <c r="K4452" s="2"/>
      <c r="L4452" s="2"/>
      <c r="M4452" s="2"/>
    </row>
    <row r="4453" spans="2:13" ht="13" x14ac:dyDescent="0.15">
      <c r="B4453" s="2"/>
      <c r="C4453" s="2"/>
      <c r="D4453" s="2"/>
      <c r="E4453" s="2"/>
      <c r="F4453" s="2"/>
      <c r="G4453" s="2"/>
      <c r="H4453" s="26"/>
      <c r="I4453" s="2"/>
      <c r="J4453" s="2"/>
      <c r="K4453" s="2"/>
      <c r="L4453" s="2"/>
      <c r="M4453" s="2"/>
    </row>
    <row r="4454" spans="2:13" ht="13" x14ac:dyDescent="0.15">
      <c r="B4454" s="2"/>
      <c r="C4454" s="2"/>
      <c r="D4454" s="2"/>
      <c r="E4454" s="2"/>
      <c r="F4454" s="2"/>
      <c r="G4454" s="2"/>
      <c r="H4454" s="26"/>
      <c r="I4454" s="2"/>
      <c r="J4454" s="2"/>
      <c r="K4454" s="2"/>
      <c r="L4454" s="2"/>
      <c r="M4454" s="2"/>
    </row>
    <row r="4455" spans="2:13" ht="13" x14ac:dyDescent="0.15">
      <c r="B4455" s="2"/>
      <c r="C4455" s="2"/>
      <c r="D4455" s="2"/>
      <c r="E4455" s="2"/>
      <c r="F4455" s="2"/>
      <c r="G4455" s="2"/>
      <c r="H4455" s="26"/>
      <c r="I4455" s="2"/>
      <c r="J4455" s="2"/>
      <c r="K4455" s="2"/>
      <c r="L4455" s="2"/>
      <c r="M4455" s="2"/>
    </row>
    <row r="4456" spans="2:13" ht="13" x14ac:dyDescent="0.15">
      <c r="B4456" s="2"/>
      <c r="C4456" s="2"/>
      <c r="D4456" s="2"/>
      <c r="E4456" s="2"/>
      <c r="F4456" s="2"/>
      <c r="G4456" s="2"/>
      <c r="H4456" s="26"/>
      <c r="I4456" s="2"/>
      <c r="J4456" s="2"/>
      <c r="K4456" s="2"/>
      <c r="L4456" s="2"/>
      <c r="M4456" s="2"/>
    </row>
    <row r="4457" spans="2:13" ht="13" x14ac:dyDescent="0.15">
      <c r="B4457" s="2"/>
      <c r="C4457" s="2"/>
      <c r="D4457" s="2"/>
      <c r="E4457" s="2"/>
      <c r="F4457" s="2"/>
      <c r="G4457" s="2"/>
      <c r="H4457" s="26"/>
      <c r="I4457" s="2"/>
      <c r="J4457" s="2"/>
      <c r="K4457" s="2"/>
      <c r="L4457" s="2"/>
      <c r="M4457" s="2"/>
    </row>
    <row r="4458" spans="2:13" ht="13" x14ac:dyDescent="0.15">
      <c r="B4458" s="2"/>
      <c r="C4458" s="2"/>
      <c r="D4458" s="2"/>
      <c r="E4458" s="2"/>
      <c r="F4458" s="2"/>
      <c r="G4458" s="2"/>
      <c r="H4458" s="26"/>
      <c r="I4458" s="2"/>
      <c r="J4458" s="2"/>
      <c r="K4458" s="2"/>
      <c r="L4458" s="2"/>
      <c r="M4458" s="2"/>
    </row>
    <row r="4459" spans="2:13" ht="13" x14ac:dyDescent="0.15">
      <c r="B4459" s="2"/>
      <c r="C4459" s="2"/>
      <c r="D4459" s="2"/>
      <c r="E4459" s="2"/>
      <c r="F4459" s="2"/>
      <c r="G4459" s="2"/>
      <c r="H4459" s="26"/>
      <c r="I4459" s="2"/>
      <c r="J4459" s="2"/>
      <c r="K4459" s="2"/>
      <c r="L4459" s="2"/>
      <c r="M4459" s="2"/>
    </row>
    <row r="4460" spans="2:13" ht="13" x14ac:dyDescent="0.15">
      <c r="B4460" s="2"/>
      <c r="C4460" s="2"/>
      <c r="D4460" s="2"/>
      <c r="E4460" s="2"/>
      <c r="F4460" s="2"/>
      <c r="G4460" s="2"/>
      <c r="H4460" s="26"/>
      <c r="I4460" s="2"/>
      <c r="J4460" s="2"/>
      <c r="K4460" s="2"/>
      <c r="L4460" s="2"/>
      <c r="M4460" s="2"/>
    </row>
    <row r="4461" spans="2:13" ht="13" x14ac:dyDescent="0.15">
      <c r="B4461" s="2"/>
      <c r="C4461" s="2"/>
      <c r="D4461" s="2"/>
      <c r="E4461" s="2"/>
      <c r="F4461" s="2"/>
      <c r="G4461" s="2"/>
      <c r="H4461" s="26"/>
      <c r="I4461" s="2"/>
      <c r="J4461" s="2"/>
      <c r="K4461" s="2"/>
      <c r="L4461" s="2"/>
      <c r="M4461" s="2"/>
    </row>
    <row r="4462" spans="2:13" ht="13" x14ac:dyDescent="0.15">
      <c r="B4462" s="2"/>
      <c r="C4462" s="2"/>
      <c r="D4462" s="2"/>
      <c r="E4462" s="2"/>
      <c r="F4462" s="2"/>
      <c r="G4462" s="2"/>
      <c r="H4462" s="26"/>
      <c r="I4462" s="2"/>
      <c r="J4462" s="2"/>
      <c r="K4462" s="2"/>
      <c r="L4462" s="2"/>
      <c r="M4462" s="2"/>
    </row>
    <row r="4463" spans="2:13" ht="13" x14ac:dyDescent="0.15">
      <c r="B4463" s="2"/>
      <c r="C4463" s="2"/>
      <c r="D4463" s="2"/>
      <c r="E4463" s="2"/>
      <c r="F4463" s="2"/>
      <c r="G4463" s="2"/>
      <c r="H4463" s="26"/>
      <c r="I4463" s="2"/>
      <c r="J4463" s="2"/>
      <c r="K4463" s="2"/>
      <c r="L4463" s="2"/>
      <c r="M4463" s="2"/>
    </row>
    <row r="4464" spans="2:13" ht="13" x14ac:dyDescent="0.15">
      <c r="B4464" s="2"/>
      <c r="C4464" s="2"/>
      <c r="D4464" s="2"/>
      <c r="E4464" s="2"/>
      <c r="F4464" s="2"/>
      <c r="G4464" s="2"/>
      <c r="H4464" s="26"/>
      <c r="I4464" s="2"/>
      <c r="J4464" s="2"/>
      <c r="K4464" s="2"/>
      <c r="L4464" s="2"/>
      <c r="M4464" s="2"/>
    </row>
    <row r="4465" spans="2:13" ht="13" x14ac:dyDescent="0.15">
      <c r="B4465" s="2"/>
      <c r="C4465" s="2"/>
      <c r="D4465" s="2"/>
      <c r="E4465" s="2"/>
      <c r="F4465" s="2"/>
      <c r="G4465" s="2"/>
      <c r="H4465" s="26"/>
      <c r="I4465" s="2"/>
      <c r="J4465" s="2"/>
      <c r="K4465" s="2"/>
      <c r="L4465" s="2"/>
      <c r="M4465" s="2"/>
    </row>
    <row r="4466" spans="2:13" ht="13" x14ac:dyDescent="0.15">
      <c r="B4466" s="2"/>
      <c r="C4466" s="2"/>
      <c r="D4466" s="2"/>
      <c r="E4466" s="2"/>
      <c r="F4466" s="2"/>
      <c r="G4466" s="2"/>
      <c r="H4466" s="26"/>
      <c r="I4466" s="2"/>
      <c r="J4466" s="2"/>
      <c r="K4466" s="2"/>
      <c r="L4466" s="2"/>
      <c r="M4466" s="2"/>
    </row>
    <row r="4467" spans="2:13" ht="13" x14ac:dyDescent="0.15">
      <c r="B4467" s="2"/>
      <c r="C4467" s="2"/>
      <c r="D4467" s="2"/>
      <c r="E4467" s="2"/>
      <c r="F4467" s="2"/>
      <c r="G4467" s="2"/>
      <c r="H4467" s="26"/>
      <c r="I4467" s="2"/>
      <c r="J4467" s="2"/>
      <c r="K4467" s="2"/>
      <c r="L4467" s="2"/>
      <c r="M4467" s="2"/>
    </row>
    <row r="4468" spans="2:13" ht="13" x14ac:dyDescent="0.15">
      <c r="B4468" s="2"/>
      <c r="C4468" s="2"/>
      <c r="D4468" s="2"/>
      <c r="E4468" s="2"/>
      <c r="F4468" s="2"/>
      <c r="G4468" s="2"/>
      <c r="H4468" s="26"/>
      <c r="I4468" s="2"/>
      <c r="J4468" s="2"/>
      <c r="K4468" s="2"/>
      <c r="L4468" s="2"/>
      <c r="M4468" s="2"/>
    </row>
    <row r="4469" spans="2:13" ht="13" x14ac:dyDescent="0.15">
      <c r="B4469" s="2"/>
      <c r="C4469" s="2"/>
      <c r="D4469" s="2"/>
      <c r="E4469" s="2"/>
      <c r="F4469" s="2"/>
      <c r="G4469" s="2"/>
      <c r="H4469" s="26"/>
      <c r="I4469" s="2"/>
      <c r="J4469" s="2"/>
      <c r="K4469" s="2"/>
      <c r="L4469" s="2"/>
      <c r="M4469" s="2"/>
    </row>
    <row r="4470" spans="2:13" ht="13" x14ac:dyDescent="0.15">
      <c r="B4470" s="2"/>
      <c r="C4470" s="2"/>
      <c r="D4470" s="2"/>
      <c r="E4470" s="2"/>
      <c r="F4470" s="2"/>
      <c r="G4470" s="2"/>
      <c r="H4470" s="26"/>
      <c r="I4470" s="2"/>
      <c r="J4470" s="2"/>
      <c r="K4470" s="2"/>
      <c r="L4470" s="2"/>
      <c r="M4470" s="2"/>
    </row>
    <row r="4471" spans="2:13" ht="13" x14ac:dyDescent="0.15">
      <c r="B4471" s="2"/>
      <c r="C4471" s="2"/>
      <c r="D4471" s="2"/>
      <c r="E4471" s="2"/>
      <c r="F4471" s="2"/>
      <c r="G4471" s="2"/>
      <c r="H4471" s="26"/>
      <c r="I4471" s="2"/>
      <c r="J4471" s="2"/>
      <c r="K4471" s="2"/>
      <c r="L4471" s="2"/>
      <c r="M4471" s="2"/>
    </row>
    <row r="4472" spans="2:13" ht="13" x14ac:dyDescent="0.15">
      <c r="B4472" s="2"/>
      <c r="C4472" s="2"/>
      <c r="D4472" s="2"/>
      <c r="E4472" s="2"/>
      <c r="F4472" s="2"/>
      <c r="G4472" s="2"/>
      <c r="H4472" s="26"/>
      <c r="I4472" s="2"/>
      <c r="J4472" s="2"/>
      <c r="K4472" s="2"/>
      <c r="L4472" s="2"/>
      <c r="M4472" s="2"/>
    </row>
    <row r="4473" spans="2:13" ht="13" x14ac:dyDescent="0.15">
      <c r="B4473" s="2"/>
      <c r="C4473" s="2"/>
      <c r="D4473" s="2"/>
      <c r="E4473" s="2"/>
      <c r="F4473" s="2"/>
      <c r="G4473" s="2"/>
      <c r="H4473" s="26"/>
      <c r="I4473" s="2"/>
      <c r="J4473" s="2"/>
      <c r="K4473" s="2"/>
      <c r="L4473" s="2"/>
      <c r="M4473" s="2"/>
    </row>
    <row r="4474" spans="2:13" ht="13" x14ac:dyDescent="0.15">
      <c r="B4474" s="2"/>
      <c r="C4474" s="2"/>
      <c r="D4474" s="2"/>
      <c r="E4474" s="2"/>
      <c r="F4474" s="2"/>
      <c r="G4474" s="2"/>
      <c r="H4474" s="26"/>
      <c r="I4474" s="2"/>
      <c r="J4474" s="2"/>
      <c r="K4474" s="2"/>
      <c r="L4474" s="2"/>
      <c r="M4474" s="2"/>
    </row>
    <row r="4475" spans="2:13" ht="13" x14ac:dyDescent="0.15">
      <c r="B4475" s="2"/>
      <c r="C4475" s="2"/>
      <c r="D4475" s="2"/>
      <c r="E4475" s="2"/>
      <c r="F4475" s="2"/>
      <c r="G4475" s="2"/>
      <c r="H4475" s="26"/>
      <c r="I4475" s="2"/>
      <c r="J4475" s="2"/>
      <c r="K4475" s="2"/>
      <c r="L4475" s="2"/>
      <c r="M4475" s="2"/>
    </row>
    <row r="4476" spans="2:13" ht="13" x14ac:dyDescent="0.15">
      <c r="B4476" s="2"/>
      <c r="C4476" s="2"/>
      <c r="D4476" s="2"/>
      <c r="E4476" s="2"/>
      <c r="F4476" s="2"/>
      <c r="G4476" s="2"/>
      <c r="H4476" s="26"/>
      <c r="I4476" s="2"/>
      <c r="J4476" s="2"/>
      <c r="K4476" s="2"/>
      <c r="L4476" s="2"/>
      <c r="M4476" s="2"/>
    </row>
    <row r="4477" spans="2:13" ht="13" x14ac:dyDescent="0.15">
      <c r="B4477" s="2"/>
      <c r="C4477" s="2"/>
      <c r="D4477" s="2"/>
      <c r="E4477" s="2"/>
      <c r="F4477" s="2"/>
      <c r="G4477" s="2"/>
      <c r="H4477" s="26"/>
      <c r="I4477" s="2"/>
      <c r="J4477" s="2"/>
      <c r="K4477" s="2"/>
      <c r="L4477" s="2"/>
      <c r="M4477" s="2"/>
    </row>
    <row r="4478" spans="2:13" ht="13" x14ac:dyDescent="0.15">
      <c r="B4478" s="2"/>
      <c r="C4478" s="2"/>
      <c r="D4478" s="2"/>
      <c r="E4478" s="2"/>
      <c r="F4478" s="2"/>
      <c r="G4478" s="2"/>
      <c r="H4478" s="26"/>
      <c r="I4478" s="2"/>
      <c r="J4478" s="2"/>
      <c r="K4478" s="2"/>
      <c r="L4478" s="2"/>
      <c r="M4478" s="2"/>
    </row>
    <row r="4479" spans="2:13" ht="13" x14ac:dyDescent="0.15">
      <c r="B4479" s="2"/>
      <c r="C4479" s="2"/>
      <c r="D4479" s="2"/>
      <c r="E4479" s="2"/>
      <c r="F4479" s="2"/>
      <c r="G4479" s="2"/>
      <c r="H4479" s="26"/>
      <c r="I4479" s="2"/>
      <c r="J4479" s="2"/>
      <c r="K4479" s="2"/>
      <c r="L4479" s="2"/>
      <c r="M4479" s="2"/>
    </row>
    <row r="4480" spans="2:13" ht="13" x14ac:dyDescent="0.15">
      <c r="B4480" s="2"/>
      <c r="C4480" s="2"/>
      <c r="D4480" s="2"/>
      <c r="E4480" s="2"/>
      <c r="F4480" s="2"/>
      <c r="G4480" s="2"/>
      <c r="H4480" s="26"/>
      <c r="I4480" s="2"/>
      <c r="J4480" s="2"/>
      <c r="K4480" s="2"/>
      <c r="L4480" s="2"/>
      <c r="M4480" s="2"/>
    </row>
    <row r="4481" spans="2:13" ht="13" x14ac:dyDescent="0.15">
      <c r="B4481" s="2"/>
      <c r="C4481" s="2"/>
      <c r="D4481" s="2"/>
      <c r="E4481" s="2"/>
      <c r="F4481" s="2"/>
      <c r="G4481" s="2"/>
      <c r="H4481" s="26"/>
      <c r="I4481" s="2"/>
      <c r="J4481" s="2"/>
      <c r="K4481" s="2"/>
      <c r="L4481" s="2"/>
      <c r="M4481" s="2"/>
    </row>
    <row r="4482" spans="2:13" ht="13" x14ac:dyDescent="0.15">
      <c r="B4482" s="2"/>
      <c r="C4482" s="2"/>
      <c r="D4482" s="2"/>
      <c r="E4482" s="2"/>
      <c r="F4482" s="2"/>
      <c r="G4482" s="2"/>
      <c r="H4482" s="26"/>
      <c r="I4482" s="2"/>
      <c r="J4482" s="2"/>
      <c r="K4482" s="2"/>
      <c r="L4482" s="2"/>
      <c r="M4482" s="2"/>
    </row>
    <row r="4483" spans="2:13" ht="13" x14ac:dyDescent="0.15">
      <c r="B4483" s="2"/>
      <c r="C4483" s="2"/>
      <c r="D4483" s="2"/>
      <c r="E4483" s="2"/>
      <c r="F4483" s="2"/>
      <c r="G4483" s="2"/>
      <c r="H4483" s="26"/>
      <c r="I4483" s="2"/>
      <c r="J4483" s="2"/>
      <c r="K4483" s="2"/>
      <c r="L4483" s="2"/>
      <c r="M4483" s="2"/>
    </row>
    <row r="4484" spans="2:13" ht="13" x14ac:dyDescent="0.15">
      <c r="B4484" s="2"/>
      <c r="C4484" s="2"/>
      <c r="D4484" s="2"/>
      <c r="E4484" s="2"/>
      <c r="F4484" s="2"/>
      <c r="G4484" s="2"/>
      <c r="H4484" s="26"/>
      <c r="I4484" s="2"/>
      <c r="J4484" s="2"/>
      <c r="K4484" s="2"/>
      <c r="L4484" s="2"/>
      <c r="M4484" s="2"/>
    </row>
    <row r="4485" spans="2:13" ht="13" x14ac:dyDescent="0.15">
      <c r="B4485" s="2"/>
      <c r="C4485" s="2"/>
      <c r="D4485" s="2"/>
      <c r="E4485" s="2"/>
      <c r="F4485" s="2"/>
      <c r="G4485" s="2"/>
      <c r="H4485" s="26"/>
      <c r="I4485" s="2"/>
      <c r="J4485" s="2"/>
      <c r="K4485" s="2"/>
      <c r="L4485" s="2"/>
      <c r="M4485" s="2"/>
    </row>
    <row r="4486" spans="2:13" ht="13" x14ac:dyDescent="0.15">
      <c r="B4486" s="2"/>
      <c r="C4486" s="2"/>
      <c r="D4486" s="2"/>
      <c r="E4486" s="2"/>
      <c r="F4486" s="2"/>
      <c r="G4486" s="2"/>
      <c r="H4486" s="26"/>
      <c r="I4486" s="2"/>
      <c r="J4486" s="2"/>
      <c r="K4486" s="2"/>
      <c r="L4486" s="2"/>
      <c r="M4486" s="2"/>
    </row>
    <row r="4487" spans="2:13" ht="13" x14ac:dyDescent="0.15">
      <c r="B4487" s="2"/>
      <c r="C4487" s="2"/>
      <c r="D4487" s="2"/>
      <c r="E4487" s="2"/>
      <c r="F4487" s="2"/>
      <c r="G4487" s="2"/>
      <c r="H4487" s="26"/>
      <c r="I4487" s="2"/>
      <c r="J4487" s="2"/>
      <c r="K4487" s="2"/>
      <c r="L4487" s="2"/>
      <c r="M4487" s="2"/>
    </row>
    <row r="4488" spans="2:13" ht="13" x14ac:dyDescent="0.15">
      <c r="B4488" s="2"/>
      <c r="C4488" s="2"/>
      <c r="D4488" s="2"/>
      <c r="E4488" s="2"/>
      <c r="F4488" s="2"/>
      <c r="G4488" s="2"/>
      <c r="H4488" s="26"/>
      <c r="I4488" s="2"/>
      <c r="J4488" s="2"/>
      <c r="K4488" s="2"/>
      <c r="L4488" s="2"/>
      <c r="M4488" s="2"/>
    </row>
    <row r="4489" spans="2:13" ht="13" x14ac:dyDescent="0.15">
      <c r="B4489" s="2"/>
      <c r="C4489" s="2"/>
      <c r="D4489" s="2"/>
      <c r="E4489" s="2"/>
      <c r="F4489" s="2"/>
      <c r="G4489" s="2"/>
      <c r="H4489" s="26"/>
      <c r="I4489" s="2"/>
      <c r="J4489" s="2"/>
      <c r="K4489" s="2"/>
      <c r="L4489" s="2"/>
      <c r="M4489" s="2"/>
    </row>
    <row r="4490" spans="2:13" ht="13" x14ac:dyDescent="0.15">
      <c r="B4490" s="2"/>
      <c r="C4490" s="2"/>
      <c r="D4490" s="2"/>
      <c r="E4490" s="2"/>
      <c r="F4490" s="2"/>
      <c r="G4490" s="2"/>
      <c r="H4490" s="26"/>
      <c r="I4490" s="2"/>
      <c r="J4490" s="2"/>
      <c r="K4490" s="2"/>
      <c r="L4490" s="2"/>
      <c r="M4490" s="2"/>
    </row>
    <row r="4491" spans="2:13" ht="13" x14ac:dyDescent="0.15">
      <c r="B4491" s="2"/>
      <c r="C4491" s="2"/>
      <c r="D4491" s="2"/>
      <c r="E4491" s="2"/>
      <c r="F4491" s="2"/>
      <c r="G4491" s="2"/>
      <c r="H4491" s="26"/>
      <c r="I4491" s="2"/>
      <c r="J4491" s="2"/>
      <c r="K4491" s="2"/>
      <c r="L4491" s="2"/>
      <c r="M4491" s="2"/>
    </row>
    <row r="4492" spans="2:13" ht="13" x14ac:dyDescent="0.15">
      <c r="B4492" s="2"/>
      <c r="C4492" s="2"/>
      <c r="D4492" s="2"/>
      <c r="E4492" s="2"/>
      <c r="F4492" s="2"/>
      <c r="G4492" s="2"/>
      <c r="H4492" s="26"/>
      <c r="I4492" s="2"/>
      <c r="J4492" s="2"/>
      <c r="K4492" s="2"/>
      <c r="L4492" s="2"/>
      <c r="M4492" s="2"/>
    </row>
    <row r="4493" spans="2:13" ht="13" x14ac:dyDescent="0.15">
      <c r="B4493" s="2"/>
      <c r="C4493" s="2"/>
      <c r="D4493" s="2"/>
      <c r="E4493" s="2"/>
      <c r="F4493" s="2"/>
      <c r="G4493" s="2"/>
      <c r="H4493" s="26"/>
      <c r="I4493" s="2"/>
      <c r="J4493" s="2"/>
      <c r="K4493" s="2"/>
      <c r="L4493" s="2"/>
      <c r="M4493" s="2"/>
    </row>
    <row r="4494" spans="2:13" ht="13" x14ac:dyDescent="0.15">
      <c r="B4494" s="2"/>
      <c r="C4494" s="2"/>
      <c r="D4494" s="2"/>
      <c r="E4494" s="2"/>
      <c r="F4494" s="2"/>
      <c r="G4494" s="2"/>
      <c r="H4494" s="26"/>
      <c r="I4494" s="2"/>
      <c r="J4494" s="2"/>
      <c r="K4494" s="2"/>
      <c r="L4494" s="2"/>
      <c r="M4494" s="2"/>
    </row>
    <row r="4495" spans="2:13" ht="13" x14ac:dyDescent="0.15">
      <c r="B4495" s="2"/>
      <c r="C4495" s="2"/>
      <c r="D4495" s="2"/>
      <c r="E4495" s="2"/>
      <c r="F4495" s="2"/>
      <c r="G4495" s="2"/>
      <c r="H4495" s="26"/>
      <c r="I4495" s="2"/>
      <c r="J4495" s="2"/>
      <c r="K4495" s="2"/>
      <c r="L4495" s="2"/>
      <c r="M4495" s="2"/>
    </row>
    <row r="4496" spans="2:13" ht="13" x14ac:dyDescent="0.15">
      <c r="B4496" s="2"/>
      <c r="C4496" s="2"/>
      <c r="D4496" s="2"/>
      <c r="E4496" s="2"/>
      <c r="F4496" s="2"/>
      <c r="G4496" s="2"/>
      <c r="H4496" s="26"/>
      <c r="I4496" s="2"/>
      <c r="J4496" s="2"/>
      <c r="K4496" s="2"/>
      <c r="L4496" s="2"/>
      <c r="M4496" s="2"/>
    </row>
    <row r="4497" spans="2:13" ht="13" x14ac:dyDescent="0.15">
      <c r="B4497" s="2"/>
      <c r="C4497" s="2"/>
      <c r="D4497" s="2"/>
      <c r="E4497" s="2"/>
      <c r="F4497" s="2"/>
      <c r="G4497" s="2"/>
      <c r="H4497" s="26"/>
      <c r="I4497" s="2"/>
      <c r="J4497" s="2"/>
      <c r="K4497" s="2"/>
      <c r="L4497" s="2"/>
      <c r="M4497" s="2"/>
    </row>
    <row r="4498" spans="2:13" ht="13" x14ac:dyDescent="0.15">
      <c r="B4498" s="2"/>
      <c r="C4498" s="2"/>
      <c r="D4498" s="2"/>
      <c r="E4498" s="2"/>
      <c r="F4498" s="2"/>
      <c r="G4498" s="2"/>
      <c r="H4498" s="26"/>
      <c r="I4498" s="2"/>
      <c r="J4498" s="2"/>
      <c r="K4498" s="2"/>
      <c r="L4498" s="2"/>
      <c r="M4498" s="2"/>
    </row>
    <row r="4499" spans="2:13" ht="13" x14ac:dyDescent="0.15">
      <c r="B4499" s="2"/>
      <c r="C4499" s="2"/>
      <c r="D4499" s="2"/>
      <c r="E4499" s="2"/>
      <c r="F4499" s="2"/>
      <c r="G4499" s="2"/>
      <c r="H4499" s="26"/>
      <c r="I4499" s="2"/>
      <c r="J4499" s="2"/>
      <c r="K4499" s="2"/>
      <c r="L4499" s="2"/>
      <c r="M4499" s="2"/>
    </row>
    <row r="4500" spans="2:13" ht="13" x14ac:dyDescent="0.15">
      <c r="B4500" s="2"/>
      <c r="C4500" s="2"/>
      <c r="D4500" s="2"/>
      <c r="E4500" s="2"/>
      <c r="F4500" s="2"/>
      <c r="G4500" s="2"/>
      <c r="H4500" s="26"/>
      <c r="I4500" s="2"/>
      <c r="J4500" s="2"/>
      <c r="K4500" s="2"/>
      <c r="L4500" s="2"/>
      <c r="M4500" s="2"/>
    </row>
    <row r="4501" spans="2:13" ht="13" x14ac:dyDescent="0.15">
      <c r="B4501" s="2"/>
      <c r="C4501" s="2"/>
      <c r="D4501" s="2"/>
      <c r="E4501" s="2"/>
      <c r="F4501" s="2"/>
      <c r="G4501" s="2"/>
      <c r="H4501" s="26"/>
      <c r="I4501" s="2"/>
      <c r="J4501" s="2"/>
      <c r="K4501" s="2"/>
      <c r="L4501" s="2"/>
      <c r="M4501" s="2"/>
    </row>
    <row r="4502" spans="2:13" ht="13" x14ac:dyDescent="0.15">
      <c r="B4502" s="2"/>
      <c r="C4502" s="2"/>
      <c r="D4502" s="2"/>
      <c r="E4502" s="2"/>
      <c r="F4502" s="2"/>
      <c r="G4502" s="2"/>
      <c r="H4502" s="26"/>
      <c r="I4502" s="2"/>
      <c r="J4502" s="2"/>
      <c r="K4502" s="2"/>
      <c r="L4502" s="2"/>
      <c r="M4502" s="2"/>
    </row>
    <row r="4503" spans="2:13" ht="13" x14ac:dyDescent="0.15">
      <c r="B4503" s="2"/>
      <c r="C4503" s="2"/>
      <c r="D4503" s="2"/>
      <c r="E4503" s="2"/>
      <c r="F4503" s="2"/>
      <c r="G4503" s="2"/>
      <c r="H4503" s="26"/>
      <c r="I4503" s="2"/>
      <c r="J4503" s="2"/>
      <c r="K4503" s="2"/>
      <c r="L4503" s="2"/>
      <c r="M4503" s="2"/>
    </row>
    <row r="4504" spans="2:13" ht="13" x14ac:dyDescent="0.15">
      <c r="B4504" s="2"/>
      <c r="C4504" s="2"/>
      <c r="D4504" s="2"/>
      <c r="E4504" s="2"/>
      <c r="F4504" s="2"/>
      <c r="G4504" s="2"/>
      <c r="H4504" s="26"/>
      <c r="I4504" s="2"/>
      <c r="J4504" s="2"/>
      <c r="K4504" s="2"/>
      <c r="L4504" s="2"/>
      <c r="M4504" s="2"/>
    </row>
    <row r="4505" spans="2:13" ht="13" x14ac:dyDescent="0.15">
      <c r="B4505" s="2"/>
      <c r="C4505" s="2"/>
      <c r="D4505" s="2"/>
      <c r="E4505" s="2"/>
      <c r="F4505" s="2"/>
      <c r="G4505" s="2"/>
      <c r="H4505" s="26"/>
      <c r="I4505" s="2"/>
      <c r="J4505" s="2"/>
      <c r="K4505" s="2"/>
      <c r="L4505" s="2"/>
      <c r="M4505" s="2"/>
    </row>
    <row r="4506" spans="2:13" ht="13" x14ac:dyDescent="0.15">
      <c r="B4506" s="2"/>
      <c r="C4506" s="2"/>
      <c r="D4506" s="2"/>
      <c r="E4506" s="2"/>
      <c r="F4506" s="2"/>
      <c r="G4506" s="2"/>
      <c r="H4506" s="26"/>
      <c r="I4506" s="2"/>
      <c r="J4506" s="2"/>
      <c r="K4506" s="2"/>
      <c r="L4506" s="2"/>
      <c r="M4506" s="2"/>
    </row>
    <row r="4507" spans="2:13" ht="13" x14ac:dyDescent="0.15">
      <c r="B4507" s="2"/>
      <c r="C4507" s="2"/>
      <c r="D4507" s="2"/>
      <c r="E4507" s="2"/>
      <c r="F4507" s="2"/>
      <c r="G4507" s="2"/>
      <c r="H4507" s="26"/>
      <c r="I4507" s="2"/>
      <c r="J4507" s="2"/>
      <c r="K4507" s="2"/>
      <c r="L4507" s="2"/>
      <c r="M4507" s="2"/>
    </row>
    <row r="4508" spans="2:13" ht="13" x14ac:dyDescent="0.15">
      <c r="B4508" s="2"/>
      <c r="C4508" s="2"/>
      <c r="D4508" s="2"/>
      <c r="E4508" s="2"/>
      <c r="F4508" s="2"/>
      <c r="G4508" s="2"/>
      <c r="H4508" s="26"/>
      <c r="I4508" s="2"/>
      <c r="J4508" s="2"/>
      <c r="K4508" s="2"/>
      <c r="L4508" s="2"/>
      <c r="M4508" s="2"/>
    </row>
    <row r="4509" spans="2:13" ht="13" x14ac:dyDescent="0.15">
      <c r="B4509" s="2"/>
      <c r="C4509" s="2"/>
      <c r="D4509" s="2"/>
      <c r="E4509" s="2"/>
      <c r="F4509" s="2"/>
      <c r="G4509" s="2"/>
      <c r="H4509" s="26"/>
      <c r="I4509" s="2"/>
      <c r="J4509" s="2"/>
      <c r="K4509" s="2"/>
      <c r="L4509" s="2"/>
      <c r="M4509" s="2"/>
    </row>
    <row r="4510" spans="2:13" ht="13" x14ac:dyDescent="0.15">
      <c r="B4510" s="2"/>
      <c r="C4510" s="2"/>
      <c r="D4510" s="2"/>
      <c r="E4510" s="2"/>
      <c r="F4510" s="2"/>
      <c r="G4510" s="2"/>
      <c r="H4510" s="26"/>
      <c r="I4510" s="2"/>
      <c r="J4510" s="2"/>
      <c r="K4510" s="2"/>
      <c r="L4510" s="2"/>
      <c r="M4510" s="2"/>
    </row>
    <row r="4511" spans="2:13" ht="13" x14ac:dyDescent="0.15">
      <c r="B4511" s="2"/>
      <c r="C4511" s="2"/>
      <c r="D4511" s="2"/>
      <c r="E4511" s="2"/>
      <c r="F4511" s="2"/>
      <c r="G4511" s="2"/>
      <c r="H4511" s="26"/>
      <c r="I4511" s="2"/>
      <c r="J4511" s="2"/>
      <c r="K4511" s="2"/>
      <c r="L4511" s="2"/>
      <c r="M4511" s="2"/>
    </row>
    <row r="4512" spans="2:13" ht="13" x14ac:dyDescent="0.15">
      <c r="B4512" s="2"/>
      <c r="C4512" s="2"/>
      <c r="D4512" s="2"/>
      <c r="E4512" s="2"/>
      <c r="F4512" s="2"/>
      <c r="G4512" s="2"/>
      <c r="H4512" s="26"/>
      <c r="I4512" s="2"/>
      <c r="J4512" s="2"/>
      <c r="K4512" s="2"/>
      <c r="L4512" s="2"/>
      <c r="M4512" s="2"/>
    </row>
    <row r="4513" spans="2:13" ht="13" x14ac:dyDescent="0.15">
      <c r="B4513" s="2"/>
      <c r="C4513" s="2"/>
      <c r="D4513" s="2"/>
      <c r="E4513" s="2"/>
      <c r="F4513" s="2"/>
      <c r="G4513" s="2"/>
      <c r="H4513" s="26"/>
      <c r="I4513" s="2"/>
      <c r="J4513" s="2"/>
      <c r="K4513" s="2"/>
      <c r="L4513" s="2"/>
      <c r="M4513" s="2"/>
    </row>
    <row r="4514" spans="2:13" ht="13" x14ac:dyDescent="0.15">
      <c r="B4514" s="2"/>
      <c r="C4514" s="2"/>
      <c r="D4514" s="2"/>
      <c r="E4514" s="2"/>
      <c r="F4514" s="2"/>
      <c r="G4514" s="2"/>
      <c r="H4514" s="26"/>
      <c r="I4514" s="2"/>
      <c r="J4514" s="2"/>
      <c r="K4514" s="2"/>
      <c r="L4514" s="2"/>
      <c r="M4514" s="2"/>
    </row>
    <row r="4515" spans="2:13" ht="13" x14ac:dyDescent="0.15">
      <c r="B4515" s="2"/>
      <c r="C4515" s="2"/>
      <c r="D4515" s="2"/>
      <c r="E4515" s="2"/>
      <c r="F4515" s="2"/>
      <c r="G4515" s="2"/>
      <c r="H4515" s="26"/>
      <c r="I4515" s="2"/>
      <c r="J4515" s="2"/>
      <c r="K4515" s="2"/>
      <c r="L4515" s="2"/>
      <c r="M4515" s="2"/>
    </row>
    <row r="4516" spans="2:13" ht="13" x14ac:dyDescent="0.15">
      <c r="B4516" s="2"/>
      <c r="C4516" s="2"/>
      <c r="D4516" s="2"/>
      <c r="E4516" s="2"/>
      <c r="F4516" s="2"/>
      <c r="G4516" s="2"/>
      <c r="H4516" s="26"/>
      <c r="I4516" s="2"/>
      <c r="J4516" s="2"/>
      <c r="K4516" s="2"/>
      <c r="L4516" s="2"/>
      <c r="M4516" s="2"/>
    </row>
    <row r="4517" spans="2:13" ht="13" x14ac:dyDescent="0.15">
      <c r="B4517" s="2"/>
      <c r="C4517" s="2"/>
      <c r="D4517" s="2"/>
      <c r="E4517" s="2"/>
      <c r="F4517" s="2"/>
      <c r="G4517" s="2"/>
      <c r="H4517" s="26"/>
      <c r="I4517" s="2"/>
      <c r="J4517" s="2"/>
      <c r="K4517" s="2"/>
      <c r="L4517" s="2"/>
      <c r="M4517" s="2"/>
    </row>
    <row r="4518" spans="2:13" ht="13" x14ac:dyDescent="0.15">
      <c r="B4518" s="2"/>
      <c r="C4518" s="2"/>
      <c r="D4518" s="2"/>
      <c r="E4518" s="2"/>
      <c r="F4518" s="2"/>
      <c r="G4518" s="2"/>
      <c r="H4518" s="26"/>
      <c r="I4518" s="2"/>
      <c r="J4518" s="2"/>
      <c r="K4518" s="2"/>
      <c r="L4518" s="2"/>
      <c r="M4518" s="2"/>
    </row>
    <row r="4519" spans="2:13" ht="13" x14ac:dyDescent="0.15">
      <c r="B4519" s="2"/>
      <c r="C4519" s="2"/>
      <c r="D4519" s="2"/>
      <c r="E4519" s="2"/>
      <c r="F4519" s="2"/>
      <c r="G4519" s="2"/>
      <c r="H4519" s="26"/>
      <c r="I4519" s="2"/>
      <c r="J4519" s="2"/>
      <c r="K4519" s="2"/>
      <c r="L4519" s="2"/>
      <c r="M4519" s="2"/>
    </row>
    <row r="4520" spans="2:13" ht="13" x14ac:dyDescent="0.15">
      <c r="B4520" s="2"/>
      <c r="C4520" s="2"/>
      <c r="D4520" s="2"/>
      <c r="E4520" s="2"/>
      <c r="F4520" s="2"/>
      <c r="G4520" s="2"/>
      <c r="H4520" s="26"/>
      <c r="I4520" s="2"/>
      <c r="J4520" s="2"/>
      <c r="K4520" s="2"/>
      <c r="L4520" s="2"/>
      <c r="M4520" s="2"/>
    </row>
    <row r="4521" spans="2:13" ht="13" x14ac:dyDescent="0.15">
      <c r="B4521" s="2"/>
      <c r="C4521" s="2"/>
      <c r="D4521" s="2"/>
      <c r="E4521" s="2"/>
      <c r="F4521" s="2"/>
      <c r="G4521" s="2"/>
      <c r="H4521" s="26"/>
      <c r="I4521" s="2"/>
      <c r="J4521" s="2"/>
      <c r="K4521" s="2"/>
      <c r="L4521" s="2"/>
      <c r="M4521" s="2"/>
    </row>
    <row r="4522" spans="2:13" ht="13" x14ac:dyDescent="0.15">
      <c r="B4522" s="2"/>
      <c r="C4522" s="2"/>
      <c r="D4522" s="2"/>
      <c r="E4522" s="2"/>
      <c r="F4522" s="2"/>
      <c r="G4522" s="2"/>
      <c r="H4522" s="26"/>
      <c r="I4522" s="2"/>
      <c r="J4522" s="2"/>
      <c r="K4522" s="2"/>
      <c r="L4522" s="2"/>
      <c r="M4522" s="2"/>
    </row>
    <row r="4523" spans="2:13" ht="13" x14ac:dyDescent="0.15">
      <c r="B4523" s="2"/>
      <c r="C4523" s="2"/>
      <c r="D4523" s="2"/>
      <c r="E4523" s="2"/>
      <c r="F4523" s="2"/>
      <c r="G4523" s="2"/>
      <c r="H4523" s="26"/>
      <c r="I4523" s="2"/>
      <c r="J4523" s="2"/>
      <c r="K4523" s="2"/>
      <c r="L4523" s="2"/>
      <c r="M4523" s="2"/>
    </row>
    <row r="4524" spans="2:13" ht="13" x14ac:dyDescent="0.15">
      <c r="B4524" s="2"/>
      <c r="C4524" s="2"/>
      <c r="D4524" s="2"/>
      <c r="E4524" s="2"/>
      <c r="F4524" s="2"/>
      <c r="G4524" s="2"/>
      <c r="H4524" s="26"/>
      <c r="I4524" s="2"/>
      <c r="J4524" s="2"/>
      <c r="K4524" s="2"/>
      <c r="L4524" s="2"/>
      <c r="M4524" s="2"/>
    </row>
    <row r="4525" spans="2:13" ht="13" x14ac:dyDescent="0.15">
      <c r="B4525" s="2"/>
      <c r="C4525" s="2"/>
      <c r="D4525" s="2"/>
      <c r="E4525" s="2"/>
      <c r="F4525" s="2"/>
      <c r="G4525" s="2"/>
      <c r="H4525" s="26"/>
      <c r="I4525" s="2"/>
      <c r="J4525" s="2"/>
      <c r="K4525" s="2"/>
      <c r="L4525" s="2"/>
      <c r="M4525" s="2"/>
    </row>
    <row r="4526" spans="2:13" ht="13" x14ac:dyDescent="0.15">
      <c r="B4526" s="2"/>
      <c r="C4526" s="2"/>
      <c r="D4526" s="2"/>
      <c r="E4526" s="2"/>
      <c r="F4526" s="2"/>
      <c r="G4526" s="2"/>
      <c r="H4526" s="26"/>
      <c r="I4526" s="2"/>
      <c r="J4526" s="2"/>
      <c r="K4526" s="2"/>
      <c r="L4526" s="2"/>
      <c r="M4526" s="2"/>
    </row>
    <row r="4527" spans="2:13" ht="13" x14ac:dyDescent="0.15">
      <c r="B4527" s="2"/>
      <c r="C4527" s="2"/>
      <c r="D4527" s="2"/>
      <c r="E4527" s="2"/>
      <c r="F4527" s="2"/>
      <c r="G4527" s="2"/>
      <c r="H4527" s="26"/>
      <c r="I4527" s="2"/>
      <c r="J4527" s="2"/>
      <c r="K4527" s="2"/>
      <c r="L4527" s="2"/>
      <c r="M4527" s="2"/>
    </row>
    <row r="4528" spans="2:13" ht="13" x14ac:dyDescent="0.15">
      <c r="B4528" s="2"/>
      <c r="C4528" s="2"/>
      <c r="D4528" s="2"/>
      <c r="E4528" s="2"/>
      <c r="F4528" s="2"/>
      <c r="G4528" s="2"/>
      <c r="H4528" s="26"/>
      <c r="I4528" s="2"/>
      <c r="J4528" s="2"/>
      <c r="K4528" s="2"/>
      <c r="L4528" s="2"/>
      <c r="M4528" s="2"/>
    </row>
    <row r="4529" spans="2:13" ht="13" x14ac:dyDescent="0.15">
      <c r="B4529" s="2"/>
      <c r="C4529" s="2"/>
      <c r="D4529" s="2"/>
      <c r="E4529" s="2"/>
      <c r="F4529" s="2"/>
      <c r="G4529" s="2"/>
      <c r="H4529" s="26"/>
      <c r="I4529" s="2"/>
      <c r="J4529" s="2"/>
      <c r="K4529" s="2"/>
      <c r="L4529" s="2"/>
      <c r="M4529" s="2"/>
    </row>
    <row r="4530" spans="2:13" ht="13" x14ac:dyDescent="0.15">
      <c r="B4530" s="2"/>
      <c r="C4530" s="2"/>
      <c r="D4530" s="2"/>
      <c r="E4530" s="2"/>
      <c r="F4530" s="2"/>
      <c r="G4530" s="2"/>
      <c r="H4530" s="26"/>
      <c r="I4530" s="2"/>
      <c r="J4530" s="2"/>
      <c r="K4530" s="2"/>
      <c r="L4530" s="2"/>
      <c r="M4530" s="2"/>
    </row>
    <row r="4531" spans="2:13" ht="13" x14ac:dyDescent="0.15">
      <c r="B4531" s="2"/>
      <c r="C4531" s="2"/>
      <c r="D4531" s="2"/>
      <c r="E4531" s="2"/>
      <c r="F4531" s="2"/>
      <c r="G4531" s="2"/>
      <c r="H4531" s="26"/>
      <c r="I4531" s="2"/>
      <c r="J4531" s="2"/>
      <c r="K4531" s="2"/>
      <c r="L4531" s="2"/>
      <c r="M4531" s="2"/>
    </row>
    <row r="4532" spans="2:13" ht="13" x14ac:dyDescent="0.15">
      <c r="B4532" s="2"/>
      <c r="C4532" s="2"/>
      <c r="D4532" s="2"/>
      <c r="E4532" s="2"/>
      <c r="F4532" s="2"/>
      <c r="G4532" s="2"/>
      <c r="H4532" s="26"/>
      <c r="I4532" s="2"/>
      <c r="J4532" s="2"/>
      <c r="K4532" s="2"/>
      <c r="L4532" s="2"/>
      <c r="M4532" s="2"/>
    </row>
    <row r="4533" spans="2:13" ht="13" x14ac:dyDescent="0.15">
      <c r="B4533" s="2"/>
      <c r="C4533" s="2"/>
      <c r="D4533" s="2"/>
      <c r="E4533" s="2"/>
      <c r="F4533" s="2"/>
      <c r="G4533" s="2"/>
      <c r="H4533" s="26"/>
      <c r="I4533" s="2"/>
      <c r="J4533" s="2"/>
      <c r="K4533" s="2"/>
      <c r="L4533" s="2"/>
      <c r="M4533" s="2"/>
    </row>
    <row r="4534" spans="2:13" ht="13" x14ac:dyDescent="0.15">
      <c r="B4534" s="2"/>
      <c r="C4534" s="2"/>
      <c r="D4534" s="2"/>
      <c r="E4534" s="2"/>
      <c r="F4534" s="2"/>
      <c r="G4534" s="2"/>
      <c r="H4534" s="26"/>
      <c r="I4534" s="2"/>
      <c r="J4534" s="2"/>
      <c r="K4534" s="2"/>
      <c r="L4534" s="2"/>
      <c r="M4534" s="2"/>
    </row>
    <row r="4535" spans="2:13" ht="13" x14ac:dyDescent="0.15">
      <c r="B4535" s="2"/>
      <c r="C4535" s="2"/>
      <c r="D4535" s="2"/>
      <c r="E4535" s="2"/>
      <c r="F4535" s="2"/>
      <c r="G4535" s="2"/>
      <c r="H4535" s="26"/>
      <c r="I4535" s="2"/>
      <c r="J4535" s="2"/>
      <c r="K4535" s="2"/>
      <c r="L4535" s="2"/>
      <c r="M4535" s="2"/>
    </row>
    <row r="4536" spans="2:13" ht="13" x14ac:dyDescent="0.15">
      <c r="B4536" s="2"/>
      <c r="C4536" s="2"/>
      <c r="D4536" s="2"/>
      <c r="E4536" s="2"/>
      <c r="F4536" s="2"/>
      <c r="G4536" s="2"/>
      <c r="H4536" s="26"/>
      <c r="I4536" s="2"/>
      <c r="J4536" s="2"/>
      <c r="K4536" s="2"/>
      <c r="L4536" s="2"/>
      <c r="M4536" s="2"/>
    </row>
    <row r="4537" spans="2:13" ht="13" x14ac:dyDescent="0.15">
      <c r="B4537" s="2"/>
      <c r="C4537" s="2"/>
      <c r="D4537" s="2"/>
      <c r="E4537" s="2"/>
      <c r="F4537" s="2"/>
      <c r="G4537" s="2"/>
      <c r="H4537" s="26"/>
      <c r="I4537" s="2"/>
      <c r="J4537" s="2"/>
      <c r="K4537" s="2"/>
      <c r="L4537" s="2"/>
      <c r="M4537" s="2"/>
    </row>
    <row r="4538" spans="2:13" ht="13" x14ac:dyDescent="0.15">
      <c r="B4538" s="2"/>
      <c r="C4538" s="2"/>
      <c r="D4538" s="2"/>
      <c r="E4538" s="2"/>
      <c r="F4538" s="2"/>
      <c r="G4538" s="2"/>
      <c r="H4538" s="26"/>
      <c r="I4538" s="2"/>
      <c r="J4538" s="2"/>
      <c r="K4538" s="2"/>
      <c r="L4538" s="2"/>
      <c r="M4538" s="2"/>
    </row>
    <row r="4539" spans="2:13" ht="13" x14ac:dyDescent="0.15">
      <c r="B4539" s="2"/>
      <c r="C4539" s="2"/>
      <c r="D4539" s="2"/>
      <c r="E4539" s="2"/>
      <c r="F4539" s="2"/>
      <c r="G4539" s="2"/>
      <c r="H4539" s="26"/>
      <c r="I4539" s="2"/>
      <c r="J4539" s="2"/>
      <c r="K4539" s="2"/>
      <c r="L4539" s="2"/>
      <c r="M4539" s="2"/>
    </row>
    <row r="4540" spans="2:13" ht="13" x14ac:dyDescent="0.15">
      <c r="B4540" s="2"/>
      <c r="C4540" s="2"/>
      <c r="D4540" s="2"/>
      <c r="E4540" s="2"/>
      <c r="F4540" s="2"/>
      <c r="G4540" s="2"/>
      <c r="H4540" s="26"/>
      <c r="I4540" s="2"/>
      <c r="J4540" s="2"/>
      <c r="K4540" s="2"/>
      <c r="L4540" s="2"/>
      <c r="M4540" s="2"/>
    </row>
    <row r="4541" spans="2:13" ht="13" x14ac:dyDescent="0.15">
      <c r="B4541" s="2"/>
      <c r="C4541" s="2"/>
      <c r="D4541" s="2"/>
      <c r="E4541" s="2"/>
      <c r="F4541" s="2"/>
      <c r="G4541" s="2"/>
      <c r="H4541" s="26"/>
      <c r="I4541" s="2"/>
      <c r="J4541" s="2"/>
      <c r="K4541" s="2"/>
      <c r="L4541" s="2"/>
      <c r="M4541" s="2"/>
    </row>
    <row r="4542" spans="2:13" ht="13" x14ac:dyDescent="0.15">
      <c r="B4542" s="2"/>
      <c r="C4542" s="2"/>
      <c r="D4542" s="2"/>
      <c r="E4542" s="2"/>
      <c r="F4542" s="2"/>
      <c r="G4542" s="2"/>
      <c r="H4542" s="26"/>
      <c r="I4542" s="2"/>
      <c r="J4542" s="2"/>
      <c r="K4542" s="2"/>
      <c r="L4542" s="2"/>
      <c r="M4542" s="2"/>
    </row>
    <row r="4543" spans="2:13" ht="13" x14ac:dyDescent="0.15">
      <c r="B4543" s="2"/>
      <c r="C4543" s="2"/>
      <c r="D4543" s="2"/>
      <c r="E4543" s="2"/>
      <c r="F4543" s="2"/>
      <c r="G4543" s="2"/>
      <c r="H4543" s="26"/>
      <c r="I4543" s="2"/>
      <c r="J4543" s="2"/>
      <c r="K4543" s="2"/>
      <c r="L4543" s="2"/>
      <c r="M4543" s="2"/>
    </row>
    <row r="4544" spans="2:13" ht="13" x14ac:dyDescent="0.15">
      <c r="B4544" s="2"/>
      <c r="C4544" s="2"/>
      <c r="D4544" s="2"/>
      <c r="E4544" s="2"/>
      <c r="F4544" s="2"/>
      <c r="G4544" s="2"/>
      <c r="H4544" s="26"/>
      <c r="I4544" s="2"/>
      <c r="J4544" s="2"/>
      <c r="K4544" s="2"/>
      <c r="L4544" s="2"/>
      <c r="M4544" s="2"/>
    </row>
    <row r="4545" spans="2:13" ht="13" x14ac:dyDescent="0.15">
      <c r="B4545" s="2"/>
      <c r="C4545" s="2"/>
      <c r="D4545" s="2"/>
      <c r="E4545" s="2"/>
      <c r="F4545" s="2"/>
      <c r="G4545" s="2"/>
      <c r="H4545" s="26"/>
      <c r="I4545" s="2"/>
      <c r="J4545" s="2"/>
      <c r="K4545" s="2"/>
      <c r="L4545" s="2"/>
      <c r="M4545" s="2"/>
    </row>
    <row r="4546" spans="2:13" ht="13" x14ac:dyDescent="0.15">
      <c r="B4546" s="2"/>
      <c r="C4546" s="2"/>
      <c r="D4546" s="2"/>
      <c r="E4546" s="2"/>
      <c r="F4546" s="2"/>
      <c r="G4546" s="2"/>
      <c r="H4546" s="26"/>
      <c r="I4546" s="2"/>
      <c r="J4546" s="2"/>
      <c r="K4546" s="2"/>
      <c r="L4546" s="2"/>
      <c r="M4546" s="2"/>
    </row>
    <row r="4547" spans="2:13" ht="13" x14ac:dyDescent="0.15">
      <c r="B4547" s="2"/>
      <c r="C4547" s="2"/>
      <c r="D4547" s="2"/>
      <c r="E4547" s="2"/>
      <c r="F4547" s="2"/>
      <c r="G4547" s="2"/>
      <c r="H4547" s="26"/>
      <c r="I4547" s="2"/>
      <c r="J4547" s="2"/>
      <c r="K4547" s="2"/>
      <c r="L4547" s="2"/>
      <c r="M4547" s="2"/>
    </row>
    <row r="4548" spans="2:13" ht="13" x14ac:dyDescent="0.15">
      <c r="B4548" s="2"/>
      <c r="C4548" s="2"/>
      <c r="D4548" s="2"/>
      <c r="E4548" s="2"/>
      <c r="F4548" s="2"/>
      <c r="G4548" s="2"/>
      <c r="H4548" s="26"/>
      <c r="I4548" s="2"/>
      <c r="J4548" s="2"/>
      <c r="K4548" s="2"/>
      <c r="L4548" s="2"/>
      <c r="M4548" s="2"/>
    </row>
    <row r="4549" spans="2:13" ht="13" x14ac:dyDescent="0.15">
      <c r="B4549" s="2"/>
      <c r="C4549" s="2"/>
      <c r="D4549" s="2"/>
      <c r="E4549" s="2"/>
      <c r="F4549" s="2"/>
      <c r="G4549" s="2"/>
      <c r="H4549" s="26"/>
      <c r="I4549" s="2"/>
      <c r="J4549" s="2"/>
      <c r="K4549" s="2"/>
      <c r="L4549" s="2"/>
      <c r="M4549" s="2"/>
    </row>
    <row r="4550" spans="2:13" ht="13" x14ac:dyDescent="0.15">
      <c r="B4550" s="2"/>
      <c r="C4550" s="2"/>
      <c r="D4550" s="2"/>
      <c r="E4550" s="2"/>
      <c r="F4550" s="2"/>
      <c r="G4550" s="2"/>
      <c r="H4550" s="26"/>
      <c r="I4550" s="2"/>
      <c r="J4550" s="2"/>
      <c r="K4550" s="2"/>
      <c r="L4550" s="2"/>
      <c r="M4550" s="2"/>
    </row>
    <row r="4551" spans="2:13" ht="13" x14ac:dyDescent="0.15">
      <c r="B4551" s="2"/>
      <c r="C4551" s="2"/>
      <c r="D4551" s="2"/>
      <c r="E4551" s="2"/>
      <c r="F4551" s="2"/>
      <c r="G4551" s="2"/>
      <c r="H4551" s="26"/>
      <c r="I4551" s="2"/>
      <c r="J4551" s="2"/>
      <c r="K4551" s="2"/>
      <c r="L4551" s="2"/>
      <c r="M4551" s="2"/>
    </row>
    <row r="4552" spans="2:13" ht="13" x14ac:dyDescent="0.15">
      <c r="B4552" s="2"/>
      <c r="C4552" s="2"/>
      <c r="D4552" s="2"/>
      <c r="E4552" s="2"/>
      <c r="F4552" s="2"/>
      <c r="G4552" s="2"/>
      <c r="H4552" s="26"/>
      <c r="I4552" s="2"/>
      <c r="J4552" s="2"/>
      <c r="K4552" s="2"/>
      <c r="L4552" s="2"/>
      <c r="M4552" s="2"/>
    </row>
    <row r="4553" spans="2:13" ht="13" x14ac:dyDescent="0.15">
      <c r="B4553" s="2"/>
      <c r="C4553" s="2"/>
      <c r="D4553" s="2"/>
      <c r="E4553" s="2"/>
      <c r="F4553" s="2"/>
      <c r="G4553" s="2"/>
      <c r="H4553" s="26"/>
      <c r="I4553" s="2"/>
      <c r="J4553" s="2"/>
      <c r="K4553" s="2"/>
      <c r="L4553" s="2"/>
      <c r="M4553" s="2"/>
    </row>
    <row r="4554" spans="2:13" ht="13" x14ac:dyDescent="0.15">
      <c r="B4554" s="2"/>
      <c r="C4554" s="2"/>
      <c r="D4554" s="2"/>
      <c r="E4554" s="2"/>
      <c r="F4554" s="2"/>
      <c r="G4554" s="2"/>
      <c r="H4554" s="26"/>
      <c r="I4554" s="2"/>
      <c r="J4554" s="2"/>
      <c r="K4554" s="2"/>
      <c r="L4554" s="2"/>
      <c r="M4554" s="2"/>
    </row>
    <row r="4555" spans="2:13" ht="13" x14ac:dyDescent="0.15">
      <c r="B4555" s="2"/>
      <c r="C4555" s="2"/>
      <c r="D4555" s="2"/>
      <c r="E4555" s="2"/>
      <c r="F4555" s="2"/>
      <c r="G4555" s="2"/>
      <c r="H4555" s="26"/>
      <c r="I4555" s="2"/>
      <c r="J4555" s="2"/>
      <c r="K4555" s="2"/>
      <c r="L4555" s="2"/>
      <c r="M4555" s="2"/>
    </row>
    <row r="4556" spans="2:13" ht="13" x14ac:dyDescent="0.15">
      <c r="B4556" s="2"/>
      <c r="C4556" s="2"/>
      <c r="D4556" s="2"/>
      <c r="E4556" s="2"/>
      <c r="F4556" s="2"/>
      <c r="G4556" s="2"/>
      <c r="H4556" s="26"/>
      <c r="I4556" s="2"/>
      <c r="J4556" s="2"/>
      <c r="K4556" s="2"/>
      <c r="L4556" s="2"/>
      <c r="M4556" s="2"/>
    </row>
    <row r="4557" spans="2:13" ht="13" x14ac:dyDescent="0.15">
      <c r="B4557" s="2"/>
      <c r="C4557" s="2"/>
      <c r="D4557" s="2"/>
      <c r="E4557" s="2"/>
      <c r="F4557" s="2"/>
      <c r="G4557" s="2"/>
      <c r="H4557" s="26"/>
      <c r="I4557" s="2"/>
      <c r="J4557" s="2"/>
      <c r="K4557" s="2"/>
      <c r="L4557" s="2"/>
      <c r="M4557" s="2"/>
    </row>
    <row r="4558" spans="2:13" ht="13" x14ac:dyDescent="0.15">
      <c r="B4558" s="2"/>
      <c r="C4558" s="2"/>
      <c r="D4558" s="2"/>
      <c r="E4558" s="2"/>
      <c r="F4558" s="2"/>
      <c r="G4558" s="2"/>
      <c r="H4558" s="26"/>
      <c r="I4558" s="2"/>
      <c r="J4558" s="2"/>
      <c r="K4558" s="2"/>
      <c r="L4558" s="2"/>
      <c r="M4558" s="2"/>
    </row>
    <row r="4559" spans="2:13" ht="13" x14ac:dyDescent="0.15">
      <c r="B4559" s="2"/>
      <c r="C4559" s="2"/>
      <c r="D4559" s="2"/>
      <c r="E4559" s="2"/>
      <c r="F4559" s="2"/>
      <c r="G4559" s="2"/>
      <c r="H4559" s="26"/>
      <c r="I4559" s="2"/>
      <c r="J4559" s="2"/>
      <c r="K4559" s="2"/>
      <c r="L4559" s="2"/>
      <c r="M4559" s="2"/>
    </row>
    <row r="4560" spans="2:13" ht="13" x14ac:dyDescent="0.15">
      <c r="B4560" s="2"/>
      <c r="C4560" s="2"/>
      <c r="D4560" s="2"/>
      <c r="E4560" s="2"/>
      <c r="F4560" s="2"/>
      <c r="G4560" s="2"/>
      <c r="H4560" s="26"/>
      <c r="I4560" s="2"/>
      <c r="J4560" s="2"/>
      <c r="K4560" s="2"/>
      <c r="L4560" s="2"/>
      <c r="M4560" s="2"/>
    </row>
    <row r="4561" spans="2:13" ht="13" x14ac:dyDescent="0.15">
      <c r="B4561" s="2"/>
      <c r="C4561" s="2"/>
      <c r="D4561" s="2"/>
      <c r="E4561" s="2"/>
      <c r="F4561" s="2"/>
      <c r="G4561" s="2"/>
      <c r="H4561" s="26"/>
      <c r="I4561" s="2"/>
      <c r="J4561" s="2"/>
      <c r="K4561" s="2"/>
      <c r="L4561" s="2"/>
      <c r="M4561" s="2"/>
    </row>
    <row r="4562" spans="2:13" ht="13" x14ac:dyDescent="0.15">
      <c r="B4562" s="2"/>
      <c r="C4562" s="2"/>
      <c r="D4562" s="2"/>
      <c r="E4562" s="2"/>
      <c r="F4562" s="2"/>
      <c r="G4562" s="2"/>
      <c r="H4562" s="26"/>
      <c r="I4562" s="2"/>
      <c r="J4562" s="2"/>
      <c r="K4562" s="2"/>
      <c r="L4562" s="2"/>
      <c r="M4562" s="2"/>
    </row>
    <row r="4563" spans="2:13" ht="13" x14ac:dyDescent="0.15">
      <c r="B4563" s="2"/>
      <c r="C4563" s="2"/>
      <c r="D4563" s="2"/>
      <c r="E4563" s="2"/>
      <c r="F4563" s="2"/>
      <c r="G4563" s="2"/>
      <c r="H4563" s="26"/>
      <c r="I4563" s="2"/>
      <c r="J4563" s="2"/>
      <c r="K4563" s="2"/>
      <c r="L4563" s="2"/>
      <c r="M4563" s="2"/>
    </row>
    <row r="4564" spans="2:13" ht="13" x14ac:dyDescent="0.15">
      <c r="B4564" s="2"/>
      <c r="C4564" s="2"/>
      <c r="D4564" s="2"/>
      <c r="E4564" s="2"/>
      <c r="F4564" s="2"/>
      <c r="G4564" s="2"/>
      <c r="H4564" s="26"/>
      <c r="I4564" s="2"/>
      <c r="J4564" s="2"/>
      <c r="K4564" s="2"/>
      <c r="L4564" s="2"/>
      <c r="M4564" s="2"/>
    </row>
    <row r="4565" spans="2:13" ht="13" x14ac:dyDescent="0.15">
      <c r="B4565" s="2"/>
      <c r="C4565" s="2"/>
      <c r="D4565" s="2"/>
      <c r="E4565" s="2"/>
      <c r="F4565" s="2"/>
      <c r="G4565" s="2"/>
      <c r="H4565" s="26"/>
      <c r="I4565" s="2"/>
      <c r="J4565" s="2"/>
      <c r="K4565" s="2"/>
      <c r="L4565" s="2"/>
      <c r="M4565" s="2"/>
    </row>
    <row r="4566" spans="2:13" ht="13" x14ac:dyDescent="0.15">
      <c r="B4566" s="2"/>
      <c r="C4566" s="2"/>
      <c r="D4566" s="2"/>
      <c r="E4566" s="2"/>
      <c r="F4566" s="2"/>
      <c r="G4566" s="2"/>
      <c r="H4566" s="26"/>
      <c r="I4566" s="2"/>
      <c r="J4566" s="2"/>
      <c r="K4566" s="2"/>
      <c r="L4566" s="2"/>
      <c r="M4566" s="2"/>
    </row>
    <row r="4567" spans="2:13" ht="13" x14ac:dyDescent="0.15">
      <c r="B4567" s="2"/>
      <c r="C4567" s="2"/>
      <c r="D4567" s="2"/>
      <c r="E4567" s="2"/>
      <c r="F4567" s="2"/>
      <c r="G4567" s="2"/>
      <c r="H4567" s="26"/>
      <c r="I4567" s="2"/>
      <c r="J4567" s="2"/>
      <c r="K4567" s="2"/>
      <c r="L4567" s="2"/>
      <c r="M4567" s="2"/>
    </row>
    <row r="4568" spans="2:13" ht="13" x14ac:dyDescent="0.15">
      <c r="B4568" s="2"/>
      <c r="C4568" s="2"/>
      <c r="D4568" s="2"/>
      <c r="E4568" s="2"/>
      <c r="F4568" s="2"/>
      <c r="G4568" s="2"/>
      <c r="H4568" s="26"/>
      <c r="I4568" s="2"/>
      <c r="J4568" s="2"/>
      <c r="K4568" s="2"/>
      <c r="L4568" s="2"/>
      <c r="M4568" s="2"/>
    </row>
    <row r="4569" spans="2:13" ht="13" x14ac:dyDescent="0.15">
      <c r="B4569" s="2"/>
      <c r="C4569" s="2"/>
      <c r="D4569" s="2"/>
      <c r="E4569" s="2"/>
      <c r="F4569" s="2"/>
      <c r="G4569" s="2"/>
      <c r="H4569" s="26"/>
      <c r="I4569" s="2"/>
      <c r="J4569" s="2"/>
      <c r="K4569" s="2"/>
      <c r="L4569" s="2"/>
      <c r="M4569" s="2"/>
    </row>
    <row r="4570" spans="2:13" ht="13" x14ac:dyDescent="0.15">
      <c r="B4570" s="2"/>
      <c r="C4570" s="2"/>
      <c r="D4570" s="2"/>
      <c r="E4570" s="2"/>
      <c r="F4570" s="2"/>
      <c r="G4570" s="2"/>
      <c r="H4570" s="26"/>
      <c r="I4570" s="2"/>
      <c r="J4570" s="2"/>
      <c r="K4570" s="2"/>
      <c r="L4570" s="2"/>
      <c r="M4570" s="2"/>
    </row>
    <row r="4571" spans="2:13" ht="13" x14ac:dyDescent="0.15">
      <c r="B4571" s="2"/>
      <c r="C4571" s="2"/>
      <c r="D4571" s="2"/>
      <c r="E4571" s="2"/>
      <c r="F4571" s="2"/>
      <c r="G4571" s="2"/>
      <c r="H4571" s="26"/>
      <c r="I4571" s="2"/>
      <c r="J4571" s="2"/>
      <c r="K4571" s="2"/>
      <c r="L4571" s="2"/>
      <c r="M4571" s="2"/>
    </row>
    <row r="4572" spans="2:13" ht="13" x14ac:dyDescent="0.15">
      <c r="B4572" s="2"/>
      <c r="C4572" s="2"/>
      <c r="D4572" s="2"/>
      <c r="E4572" s="2"/>
      <c r="F4572" s="2"/>
      <c r="G4572" s="2"/>
      <c r="H4572" s="26"/>
      <c r="I4572" s="2"/>
      <c r="J4572" s="2"/>
      <c r="K4572" s="2"/>
      <c r="L4572" s="2"/>
      <c r="M4572" s="2"/>
    </row>
    <row r="4573" spans="2:13" ht="13" x14ac:dyDescent="0.15">
      <c r="B4573" s="2"/>
      <c r="C4573" s="2"/>
      <c r="D4573" s="2"/>
      <c r="E4573" s="2"/>
      <c r="F4573" s="2"/>
      <c r="G4573" s="2"/>
      <c r="H4573" s="26"/>
      <c r="I4573" s="2"/>
      <c r="J4573" s="2"/>
      <c r="K4573" s="2"/>
      <c r="L4573" s="2"/>
      <c r="M4573" s="2"/>
    </row>
    <row r="4574" spans="2:13" ht="13" x14ac:dyDescent="0.15">
      <c r="B4574" s="2"/>
      <c r="C4574" s="2"/>
      <c r="D4574" s="2"/>
      <c r="E4574" s="2"/>
      <c r="F4574" s="2"/>
      <c r="G4574" s="2"/>
      <c r="H4574" s="26"/>
      <c r="I4574" s="2"/>
      <c r="J4574" s="2"/>
      <c r="K4574" s="2"/>
      <c r="L4574" s="2"/>
      <c r="M4574" s="2"/>
    </row>
    <row r="4575" spans="2:13" ht="13" x14ac:dyDescent="0.15">
      <c r="B4575" s="2"/>
      <c r="C4575" s="2"/>
      <c r="D4575" s="2"/>
      <c r="E4575" s="2"/>
      <c r="F4575" s="2"/>
      <c r="G4575" s="2"/>
      <c r="H4575" s="26"/>
      <c r="I4575" s="2"/>
      <c r="J4575" s="2"/>
      <c r="K4575" s="2"/>
      <c r="L4575" s="2"/>
      <c r="M4575" s="2"/>
    </row>
    <row r="4576" spans="2:13" ht="13" x14ac:dyDescent="0.15">
      <c r="B4576" s="2"/>
      <c r="C4576" s="2"/>
      <c r="D4576" s="2"/>
      <c r="E4576" s="2"/>
      <c r="F4576" s="2"/>
      <c r="G4576" s="2"/>
      <c r="H4576" s="26"/>
      <c r="I4576" s="2"/>
      <c r="J4576" s="2"/>
      <c r="K4576" s="2"/>
      <c r="L4576" s="2"/>
      <c r="M4576" s="2"/>
    </row>
    <row r="4577" spans="2:13" ht="13" x14ac:dyDescent="0.15">
      <c r="B4577" s="2"/>
      <c r="C4577" s="2"/>
      <c r="D4577" s="2"/>
      <c r="E4577" s="2"/>
      <c r="F4577" s="2"/>
      <c r="G4577" s="2"/>
      <c r="H4577" s="26"/>
      <c r="I4577" s="2"/>
      <c r="J4577" s="2"/>
      <c r="K4577" s="2"/>
      <c r="L4577" s="2"/>
      <c r="M4577" s="2"/>
    </row>
    <row r="4578" spans="2:13" ht="13" x14ac:dyDescent="0.15">
      <c r="B4578" s="2"/>
      <c r="C4578" s="2"/>
      <c r="D4578" s="2"/>
      <c r="E4578" s="2"/>
      <c r="F4578" s="2"/>
      <c r="G4578" s="2"/>
      <c r="H4578" s="26"/>
      <c r="I4578" s="2"/>
      <c r="J4578" s="2"/>
      <c r="K4578" s="2"/>
      <c r="L4578" s="2"/>
      <c r="M4578" s="2"/>
    </row>
    <row r="4579" spans="2:13" ht="13" x14ac:dyDescent="0.15">
      <c r="B4579" s="2"/>
      <c r="C4579" s="2"/>
      <c r="D4579" s="2"/>
      <c r="E4579" s="2"/>
      <c r="F4579" s="2"/>
      <c r="G4579" s="2"/>
      <c r="H4579" s="26"/>
      <c r="I4579" s="2"/>
      <c r="J4579" s="2"/>
      <c r="K4579" s="2"/>
      <c r="L4579" s="2"/>
      <c r="M4579" s="2"/>
    </row>
    <row r="4580" spans="2:13" ht="13" x14ac:dyDescent="0.15">
      <c r="B4580" s="2"/>
      <c r="C4580" s="2"/>
      <c r="D4580" s="2"/>
      <c r="E4580" s="2"/>
      <c r="F4580" s="2"/>
      <c r="G4580" s="2"/>
      <c r="H4580" s="26"/>
      <c r="I4580" s="2"/>
      <c r="J4580" s="2"/>
      <c r="K4580" s="2"/>
      <c r="L4580" s="2"/>
      <c r="M4580" s="2"/>
    </row>
    <row r="4581" spans="2:13" ht="13" x14ac:dyDescent="0.15">
      <c r="B4581" s="2"/>
      <c r="C4581" s="2"/>
      <c r="D4581" s="2"/>
      <c r="E4581" s="2"/>
      <c r="F4581" s="2"/>
      <c r="G4581" s="2"/>
      <c r="H4581" s="26"/>
      <c r="I4581" s="2"/>
      <c r="J4581" s="2"/>
      <c r="K4581" s="2"/>
      <c r="L4581" s="2"/>
      <c r="M4581" s="2"/>
    </row>
    <row r="4582" spans="2:13" ht="13" x14ac:dyDescent="0.15">
      <c r="B4582" s="2"/>
      <c r="C4582" s="2"/>
      <c r="D4582" s="2"/>
      <c r="E4582" s="2"/>
      <c r="F4582" s="2"/>
      <c r="G4582" s="2"/>
      <c r="H4582" s="26"/>
      <c r="I4582" s="2"/>
      <c r="J4582" s="2"/>
      <c r="K4582" s="2"/>
      <c r="L4582" s="2"/>
      <c r="M4582" s="2"/>
    </row>
    <row r="4583" spans="2:13" ht="13" x14ac:dyDescent="0.15">
      <c r="B4583" s="2"/>
      <c r="C4583" s="2"/>
      <c r="D4583" s="2"/>
      <c r="E4583" s="2"/>
      <c r="F4583" s="2"/>
      <c r="G4583" s="2"/>
      <c r="H4583" s="26"/>
      <c r="I4583" s="2"/>
      <c r="J4583" s="2"/>
      <c r="K4583" s="2"/>
      <c r="L4583" s="2"/>
      <c r="M4583" s="2"/>
    </row>
    <row r="4584" spans="2:13" ht="13" x14ac:dyDescent="0.15">
      <c r="B4584" s="2"/>
      <c r="C4584" s="2"/>
      <c r="D4584" s="2"/>
      <c r="E4584" s="2"/>
      <c r="F4584" s="2"/>
      <c r="G4584" s="2"/>
      <c r="H4584" s="26"/>
      <c r="I4584" s="2"/>
      <c r="J4584" s="2"/>
      <c r="K4584" s="2"/>
      <c r="L4584" s="2"/>
      <c r="M4584" s="2"/>
    </row>
    <row r="4585" spans="2:13" ht="13" x14ac:dyDescent="0.15">
      <c r="B4585" s="2"/>
      <c r="C4585" s="2"/>
      <c r="D4585" s="2"/>
      <c r="E4585" s="2"/>
      <c r="F4585" s="2"/>
      <c r="G4585" s="2"/>
      <c r="H4585" s="26"/>
      <c r="I4585" s="2"/>
      <c r="J4585" s="2"/>
      <c r="K4585" s="2"/>
      <c r="L4585" s="2"/>
      <c r="M4585" s="2"/>
    </row>
    <row r="4586" spans="2:13" ht="13" x14ac:dyDescent="0.15">
      <c r="B4586" s="2"/>
      <c r="C4586" s="2"/>
      <c r="D4586" s="2"/>
      <c r="E4586" s="2"/>
      <c r="F4586" s="2"/>
      <c r="G4586" s="2"/>
      <c r="H4586" s="26"/>
      <c r="I4586" s="2"/>
      <c r="J4586" s="2"/>
      <c r="K4586" s="2"/>
      <c r="L4586" s="2"/>
      <c r="M4586" s="2"/>
    </row>
    <row r="4587" spans="2:13" ht="13" x14ac:dyDescent="0.15">
      <c r="B4587" s="2"/>
      <c r="C4587" s="2"/>
      <c r="D4587" s="2"/>
      <c r="E4587" s="2"/>
      <c r="F4587" s="2"/>
      <c r="G4587" s="2"/>
      <c r="H4587" s="26"/>
      <c r="I4587" s="2"/>
      <c r="J4587" s="2"/>
      <c r="K4587" s="2"/>
      <c r="L4587" s="2"/>
      <c r="M4587" s="2"/>
    </row>
    <row r="4588" spans="2:13" ht="13" x14ac:dyDescent="0.15">
      <c r="B4588" s="2"/>
      <c r="C4588" s="2"/>
      <c r="D4588" s="2"/>
      <c r="E4588" s="2"/>
      <c r="F4588" s="2"/>
      <c r="G4588" s="2"/>
      <c r="H4588" s="26"/>
      <c r="I4588" s="2"/>
      <c r="J4588" s="2"/>
      <c r="K4588" s="2"/>
      <c r="L4588" s="2"/>
      <c r="M4588" s="2"/>
    </row>
    <row r="4589" spans="2:13" ht="13" x14ac:dyDescent="0.15">
      <c r="B4589" s="2"/>
      <c r="C4589" s="2"/>
      <c r="D4589" s="2"/>
      <c r="E4589" s="2"/>
      <c r="F4589" s="2"/>
      <c r="G4589" s="2"/>
      <c r="H4589" s="26"/>
      <c r="I4589" s="2"/>
      <c r="J4589" s="2"/>
      <c r="K4589" s="2"/>
      <c r="L4589" s="2"/>
      <c r="M4589" s="2"/>
    </row>
    <row r="4590" spans="2:13" ht="13" x14ac:dyDescent="0.15">
      <c r="B4590" s="2"/>
      <c r="C4590" s="2"/>
      <c r="D4590" s="2"/>
      <c r="E4590" s="2"/>
      <c r="F4590" s="2"/>
      <c r="G4590" s="2"/>
      <c r="H4590" s="26"/>
      <c r="I4590" s="2"/>
      <c r="J4590" s="2"/>
      <c r="K4590" s="2"/>
      <c r="L4590" s="2"/>
      <c r="M4590" s="2"/>
    </row>
    <row r="4591" spans="2:13" ht="13" x14ac:dyDescent="0.15">
      <c r="B4591" s="2"/>
      <c r="C4591" s="2"/>
      <c r="D4591" s="2"/>
      <c r="E4591" s="2"/>
      <c r="F4591" s="2"/>
      <c r="G4591" s="2"/>
      <c r="H4591" s="26"/>
      <c r="I4591" s="2"/>
      <c r="J4591" s="2"/>
      <c r="K4591" s="2"/>
      <c r="L4591" s="2"/>
      <c r="M4591" s="2"/>
    </row>
    <row r="4592" spans="2:13" ht="13" x14ac:dyDescent="0.15">
      <c r="B4592" s="2"/>
      <c r="C4592" s="2"/>
      <c r="D4592" s="2"/>
      <c r="E4592" s="2"/>
      <c r="F4592" s="2"/>
      <c r="G4592" s="2"/>
      <c r="H4592" s="26"/>
      <c r="I4592" s="2"/>
      <c r="J4592" s="2"/>
      <c r="K4592" s="2"/>
      <c r="L4592" s="2"/>
      <c r="M4592" s="2"/>
    </row>
    <row r="4593" spans="2:13" ht="13" x14ac:dyDescent="0.15">
      <c r="B4593" s="2"/>
      <c r="C4593" s="2"/>
      <c r="D4593" s="2"/>
      <c r="E4593" s="2"/>
      <c r="F4593" s="2"/>
      <c r="G4593" s="2"/>
      <c r="H4593" s="26"/>
      <c r="I4593" s="2"/>
      <c r="J4593" s="2"/>
      <c r="K4593" s="2"/>
      <c r="L4593" s="2"/>
      <c r="M4593" s="2"/>
    </row>
    <row r="4594" spans="2:13" ht="13" x14ac:dyDescent="0.15">
      <c r="B4594" s="2"/>
      <c r="C4594" s="2"/>
      <c r="D4594" s="2"/>
      <c r="E4594" s="2"/>
      <c r="F4594" s="2"/>
      <c r="G4594" s="2"/>
      <c r="H4594" s="26"/>
      <c r="I4594" s="2"/>
      <c r="J4594" s="2"/>
      <c r="K4594" s="2"/>
      <c r="L4594" s="2"/>
      <c r="M4594" s="2"/>
    </row>
    <row r="4595" spans="2:13" ht="13" x14ac:dyDescent="0.15">
      <c r="B4595" s="2"/>
      <c r="C4595" s="2"/>
      <c r="D4595" s="2"/>
      <c r="E4595" s="2"/>
      <c r="F4595" s="2"/>
      <c r="G4595" s="2"/>
      <c r="H4595" s="26"/>
      <c r="I4595" s="2"/>
      <c r="J4595" s="2"/>
      <c r="K4595" s="2"/>
      <c r="L4595" s="2"/>
      <c r="M4595" s="2"/>
    </row>
    <row r="4596" spans="2:13" ht="13" x14ac:dyDescent="0.15">
      <c r="B4596" s="2"/>
      <c r="C4596" s="2"/>
      <c r="D4596" s="2"/>
      <c r="E4596" s="2"/>
      <c r="F4596" s="2"/>
      <c r="G4596" s="2"/>
      <c r="H4596" s="26"/>
      <c r="I4596" s="2"/>
      <c r="J4596" s="2"/>
      <c r="K4596" s="2"/>
      <c r="L4596" s="2"/>
      <c r="M4596" s="2"/>
    </row>
    <row r="4597" spans="2:13" ht="13" x14ac:dyDescent="0.15">
      <c r="B4597" s="2"/>
      <c r="C4597" s="2"/>
      <c r="D4597" s="2"/>
      <c r="E4597" s="2"/>
      <c r="F4597" s="2"/>
      <c r="G4597" s="2"/>
      <c r="H4597" s="26"/>
      <c r="I4597" s="2"/>
      <c r="J4597" s="2"/>
      <c r="K4597" s="2"/>
      <c r="L4597" s="2"/>
      <c r="M4597" s="2"/>
    </row>
    <row r="4598" spans="2:13" ht="13" x14ac:dyDescent="0.15">
      <c r="B4598" s="2"/>
      <c r="C4598" s="2"/>
      <c r="D4598" s="2"/>
      <c r="E4598" s="2"/>
      <c r="F4598" s="2"/>
      <c r="G4598" s="2"/>
      <c r="H4598" s="26"/>
      <c r="I4598" s="2"/>
      <c r="J4598" s="2"/>
      <c r="K4598" s="2"/>
      <c r="L4598" s="2"/>
      <c r="M4598" s="2"/>
    </row>
    <row r="4599" spans="2:13" ht="13" x14ac:dyDescent="0.15">
      <c r="B4599" s="2"/>
      <c r="C4599" s="2"/>
      <c r="D4599" s="2"/>
      <c r="E4599" s="2"/>
      <c r="F4599" s="2"/>
      <c r="G4599" s="2"/>
      <c r="H4599" s="26"/>
      <c r="I4599" s="2"/>
      <c r="J4599" s="2"/>
      <c r="K4599" s="2"/>
      <c r="L4599" s="2"/>
      <c r="M4599" s="2"/>
    </row>
    <row r="4600" spans="2:13" ht="13" x14ac:dyDescent="0.15">
      <c r="B4600" s="2"/>
      <c r="C4600" s="2"/>
      <c r="D4600" s="2"/>
      <c r="E4600" s="2"/>
      <c r="F4600" s="2"/>
      <c r="G4600" s="2"/>
      <c r="H4600" s="26"/>
      <c r="I4600" s="2"/>
      <c r="J4600" s="2"/>
      <c r="K4600" s="2"/>
      <c r="L4600" s="2"/>
      <c r="M4600" s="2"/>
    </row>
    <row r="4601" spans="2:13" ht="13" x14ac:dyDescent="0.15">
      <c r="B4601" s="2"/>
      <c r="C4601" s="2"/>
      <c r="D4601" s="2"/>
      <c r="E4601" s="2"/>
      <c r="F4601" s="2"/>
      <c r="G4601" s="2"/>
      <c r="H4601" s="26"/>
      <c r="I4601" s="2"/>
      <c r="J4601" s="2"/>
      <c r="K4601" s="2"/>
      <c r="L4601" s="2"/>
      <c r="M4601" s="2"/>
    </row>
    <row r="4602" spans="2:13" ht="13" x14ac:dyDescent="0.15">
      <c r="B4602" s="2"/>
      <c r="C4602" s="2"/>
      <c r="D4602" s="2"/>
      <c r="E4602" s="2"/>
      <c r="F4602" s="2"/>
      <c r="G4602" s="2"/>
      <c r="H4602" s="26"/>
      <c r="I4602" s="2"/>
      <c r="J4602" s="2"/>
      <c r="K4602" s="2"/>
      <c r="L4602" s="2"/>
      <c r="M4602" s="2"/>
    </row>
    <row r="4603" spans="2:13" ht="13" x14ac:dyDescent="0.15">
      <c r="B4603" s="2"/>
      <c r="C4603" s="2"/>
      <c r="D4603" s="2"/>
      <c r="E4603" s="2"/>
      <c r="F4603" s="2"/>
      <c r="G4603" s="2"/>
      <c r="H4603" s="26"/>
      <c r="I4603" s="2"/>
      <c r="J4603" s="2"/>
      <c r="K4603" s="2"/>
      <c r="L4603" s="2"/>
      <c r="M4603" s="2"/>
    </row>
    <row r="4604" spans="2:13" ht="13" x14ac:dyDescent="0.15">
      <c r="B4604" s="2"/>
      <c r="C4604" s="2"/>
      <c r="D4604" s="2"/>
      <c r="E4604" s="2"/>
      <c r="F4604" s="2"/>
      <c r="G4604" s="2"/>
      <c r="H4604" s="26"/>
      <c r="I4604" s="2"/>
      <c r="J4604" s="2"/>
      <c r="K4604" s="2"/>
      <c r="L4604" s="2"/>
      <c r="M4604" s="2"/>
    </row>
    <row r="4605" spans="2:13" ht="13" x14ac:dyDescent="0.15">
      <c r="B4605" s="2"/>
      <c r="C4605" s="2"/>
      <c r="D4605" s="2"/>
      <c r="E4605" s="2"/>
      <c r="F4605" s="2"/>
      <c r="G4605" s="2"/>
      <c r="H4605" s="26"/>
      <c r="I4605" s="2"/>
      <c r="J4605" s="2"/>
      <c r="K4605" s="2"/>
      <c r="L4605" s="2"/>
      <c r="M4605" s="2"/>
    </row>
    <row r="4606" spans="2:13" ht="13" x14ac:dyDescent="0.15">
      <c r="B4606" s="2"/>
      <c r="C4606" s="2"/>
      <c r="D4606" s="2"/>
      <c r="E4606" s="2"/>
      <c r="F4606" s="2"/>
      <c r="G4606" s="2"/>
      <c r="H4606" s="26"/>
      <c r="I4606" s="2"/>
      <c r="J4606" s="2"/>
      <c r="K4606" s="2"/>
      <c r="L4606" s="2"/>
      <c r="M4606" s="2"/>
    </row>
    <row r="4607" spans="2:13" ht="13" x14ac:dyDescent="0.15">
      <c r="B4607" s="2"/>
      <c r="C4607" s="2"/>
      <c r="D4607" s="2"/>
      <c r="E4607" s="2"/>
      <c r="F4607" s="2"/>
      <c r="G4607" s="2"/>
      <c r="H4607" s="26"/>
      <c r="I4607" s="2"/>
      <c r="J4607" s="2"/>
      <c r="K4607" s="2"/>
      <c r="L4607" s="2"/>
      <c r="M4607" s="2"/>
    </row>
    <row r="4608" spans="2:13" ht="13" x14ac:dyDescent="0.15">
      <c r="B4608" s="2"/>
      <c r="C4608" s="2"/>
      <c r="D4608" s="2"/>
      <c r="E4608" s="2"/>
      <c r="F4608" s="2"/>
      <c r="G4608" s="2"/>
      <c r="H4608" s="26"/>
      <c r="I4608" s="2"/>
      <c r="J4608" s="2"/>
      <c r="K4608" s="2"/>
      <c r="L4608" s="2"/>
      <c r="M4608" s="2"/>
    </row>
    <row r="4609" spans="2:13" ht="13" x14ac:dyDescent="0.15">
      <c r="B4609" s="2"/>
      <c r="C4609" s="2"/>
      <c r="D4609" s="2"/>
      <c r="E4609" s="2"/>
      <c r="F4609" s="2"/>
      <c r="G4609" s="2"/>
      <c r="H4609" s="26"/>
      <c r="I4609" s="2"/>
      <c r="J4609" s="2"/>
      <c r="K4609" s="2"/>
      <c r="L4609" s="2"/>
      <c r="M4609" s="2"/>
    </row>
    <row r="4610" spans="2:13" ht="13" x14ac:dyDescent="0.15">
      <c r="B4610" s="2"/>
      <c r="C4610" s="2"/>
      <c r="D4610" s="2"/>
      <c r="E4610" s="2"/>
      <c r="F4610" s="2"/>
      <c r="G4610" s="2"/>
      <c r="H4610" s="26"/>
      <c r="I4610" s="2"/>
      <c r="J4610" s="2"/>
      <c r="K4610" s="2"/>
      <c r="L4610" s="2"/>
      <c r="M4610" s="2"/>
    </row>
    <row r="4611" spans="2:13" ht="13" x14ac:dyDescent="0.15">
      <c r="B4611" s="2"/>
      <c r="C4611" s="2"/>
      <c r="D4611" s="2"/>
      <c r="E4611" s="2"/>
      <c r="F4611" s="2"/>
      <c r="G4611" s="2"/>
      <c r="H4611" s="26"/>
      <c r="I4611" s="2"/>
      <c r="J4611" s="2"/>
      <c r="K4611" s="2"/>
      <c r="L4611" s="2"/>
      <c r="M4611" s="2"/>
    </row>
    <row r="4612" spans="2:13" ht="13" x14ac:dyDescent="0.15">
      <c r="B4612" s="2"/>
      <c r="C4612" s="2"/>
      <c r="D4612" s="2"/>
      <c r="E4612" s="2"/>
      <c r="F4612" s="2"/>
      <c r="G4612" s="2"/>
      <c r="H4612" s="26"/>
      <c r="I4612" s="2"/>
      <c r="J4612" s="2"/>
      <c r="K4612" s="2"/>
      <c r="L4612" s="2"/>
      <c r="M4612" s="2"/>
    </row>
    <row r="4613" spans="2:13" ht="13" x14ac:dyDescent="0.15">
      <c r="B4613" s="2"/>
      <c r="C4613" s="2"/>
      <c r="D4613" s="2"/>
      <c r="E4613" s="2"/>
      <c r="F4613" s="2"/>
      <c r="G4613" s="2"/>
      <c r="H4613" s="26"/>
      <c r="I4613" s="2"/>
      <c r="J4613" s="2"/>
      <c r="K4613" s="2"/>
      <c r="L4613" s="2"/>
      <c r="M4613" s="2"/>
    </row>
    <row r="4614" spans="2:13" ht="13" x14ac:dyDescent="0.15">
      <c r="B4614" s="2"/>
      <c r="C4614" s="2"/>
      <c r="D4614" s="2"/>
      <c r="E4614" s="2"/>
      <c r="F4614" s="2"/>
      <c r="G4614" s="2"/>
      <c r="H4614" s="26"/>
      <c r="I4614" s="2"/>
      <c r="J4614" s="2"/>
      <c r="K4614" s="2"/>
      <c r="L4614" s="2"/>
      <c r="M4614" s="2"/>
    </row>
    <row r="4615" spans="2:13" ht="13" x14ac:dyDescent="0.15">
      <c r="B4615" s="2"/>
      <c r="C4615" s="2"/>
      <c r="D4615" s="2"/>
      <c r="E4615" s="2"/>
      <c r="F4615" s="2"/>
      <c r="G4615" s="2"/>
      <c r="H4615" s="26"/>
      <c r="I4615" s="2"/>
      <c r="J4615" s="2"/>
      <c r="K4615" s="2"/>
      <c r="L4615" s="2"/>
      <c r="M4615" s="2"/>
    </row>
    <row r="4616" spans="2:13" ht="13" x14ac:dyDescent="0.15">
      <c r="B4616" s="2"/>
      <c r="C4616" s="2"/>
      <c r="D4616" s="2"/>
      <c r="E4616" s="2"/>
      <c r="F4616" s="2"/>
      <c r="G4616" s="2"/>
      <c r="H4616" s="26"/>
      <c r="I4616" s="2"/>
      <c r="J4616" s="2"/>
      <c r="K4616" s="2"/>
      <c r="L4616" s="2"/>
      <c r="M4616" s="2"/>
    </row>
    <row r="4617" spans="2:13" ht="13" x14ac:dyDescent="0.15">
      <c r="B4617" s="2"/>
      <c r="C4617" s="2"/>
      <c r="D4617" s="2"/>
      <c r="E4617" s="2"/>
      <c r="F4617" s="2"/>
      <c r="G4617" s="2"/>
      <c r="H4617" s="26"/>
      <c r="I4617" s="2"/>
      <c r="J4617" s="2"/>
      <c r="K4617" s="2"/>
      <c r="L4617" s="2"/>
      <c r="M4617" s="2"/>
    </row>
    <row r="4618" spans="2:13" ht="13" x14ac:dyDescent="0.15">
      <c r="B4618" s="2"/>
      <c r="C4618" s="2"/>
      <c r="D4618" s="2"/>
      <c r="E4618" s="2"/>
      <c r="F4618" s="2"/>
      <c r="G4618" s="2"/>
      <c r="H4618" s="26"/>
      <c r="I4618" s="2"/>
      <c r="J4618" s="2"/>
      <c r="K4618" s="2"/>
      <c r="L4618" s="2"/>
      <c r="M4618" s="2"/>
    </row>
    <row r="4619" spans="2:13" ht="13" x14ac:dyDescent="0.15">
      <c r="B4619" s="2"/>
      <c r="C4619" s="2"/>
      <c r="D4619" s="2"/>
      <c r="E4619" s="2"/>
      <c r="F4619" s="2"/>
      <c r="G4619" s="2"/>
      <c r="H4619" s="26"/>
      <c r="I4619" s="2"/>
      <c r="J4619" s="2"/>
      <c r="K4619" s="2"/>
      <c r="L4619" s="2"/>
      <c r="M4619" s="2"/>
    </row>
    <row r="4620" spans="2:13" ht="13" x14ac:dyDescent="0.15">
      <c r="B4620" s="2"/>
      <c r="C4620" s="2"/>
      <c r="D4620" s="2"/>
      <c r="E4620" s="2"/>
      <c r="F4620" s="2"/>
      <c r="G4620" s="2"/>
      <c r="H4620" s="26"/>
      <c r="I4620" s="2"/>
      <c r="J4620" s="2"/>
      <c r="K4620" s="2"/>
      <c r="L4620" s="2"/>
      <c r="M4620" s="2"/>
    </row>
    <row r="4621" spans="2:13" ht="13" x14ac:dyDescent="0.15">
      <c r="B4621" s="2"/>
      <c r="C4621" s="2"/>
      <c r="D4621" s="2"/>
      <c r="E4621" s="2"/>
      <c r="F4621" s="2"/>
      <c r="G4621" s="2"/>
      <c r="H4621" s="26"/>
      <c r="I4621" s="2"/>
      <c r="J4621" s="2"/>
      <c r="K4621" s="2"/>
      <c r="L4621" s="2"/>
      <c r="M4621" s="2"/>
    </row>
    <row r="4622" spans="2:13" ht="13" x14ac:dyDescent="0.15">
      <c r="B4622" s="2"/>
      <c r="C4622" s="2"/>
      <c r="D4622" s="2"/>
      <c r="E4622" s="2"/>
      <c r="F4622" s="2"/>
      <c r="G4622" s="2"/>
      <c r="H4622" s="26"/>
      <c r="I4622" s="2"/>
      <c r="J4622" s="2"/>
      <c r="K4622" s="2"/>
      <c r="L4622" s="2"/>
      <c r="M4622" s="2"/>
    </row>
    <row r="4623" spans="2:13" ht="13" x14ac:dyDescent="0.15">
      <c r="B4623" s="2"/>
      <c r="C4623" s="2"/>
      <c r="D4623" s="2"/>
      <c r="E4623" s="2"/>
      <c r="F4623" s="2"/>
      <c r="G4623" s="2"/>
      <c r="H4623" s="26"/>
      <c r="I4623" s="2"/>
      <c r="J4623" s="2"/>
      <c r="K4623" s="2"/>
      <c r="L4623" s="2"/>
      <c r="M4623" s="2"/>
    </row>
    <row r="4624" spans="2:13" ht="13" x14ac:dyDescent="0.15">
      <c r="B4624" s="2"/>
      <c r="C4624" s="2"/>
      <c r="D4624" s="2"/>
      <c r="E4624" s="2"/>
      <c r="F4624" s="2"/>
      <c r="G4624" s="2"/>
      <c r="H4624" s="26"/>
      <c r="I4624" s="2"/>
      <c r="J4624" s="2"/>
      <c r="K4624" s="2"/>
      <c r="L4624" s="2"/>
      <c r="M4624" s="2"/>
    </row>
    <row r="4625" spans="2:13" ht="13" x14ac:dyDescent="0.15">
      <c r="B4625" s="2"/>
      <c r="C4625" s="2"/>
      <c r="D4625" s="2"/>
      <c r="E4625" s="2"/>
      <c r="F4625" s="2"/>
      <c r="G4625" s="2"/>
      <c r="H4625" s="26"/>
      <c r="I4625" s="2"/>
      <c r="J4625" s="2"/>
      <c r="K4625" s="2"/>
      <c r="L4625" s="2"/>
      <c r="M4625" s="2"/>
    </row>
    <row r="4626" spans="2:13" ht="13" x14ac:dyDescent="0.15">
      <c r="B4626" s="2"/>
      <c r="C4626" s="2"/>
      <c r="D4626" s="2"/>
      <c r="E4626" s="2"/>
      <c r="F4626" s="2"/>
      <c r="G4626" s="2"/>
      <c r="H4626" s="26"/>
      <c r="I4626" s="2"/>
      <c r="J4626" s="2"/>
      <c r="K4626" s="2"/>
      <c r="L4626" s="2"/>
      <c r="M4626" s="2"/>
    </row>
    <row r="4627" spans="2:13" ht="13" x14ac:dyDescent="0.15">
      <c r="B4627" s="2"/>
      <c r="C4627" s="2"/>
      <c r="D4627" s="2"/>
      <c r="E4627" s="2"/>
      <c r="F4627" s="2"/>
      <c r="G4627" s="2"/>
      <c r="H4627" s="26"/>
      <c r="I4627" s="2"/>
      <c r="J4627" s="2"/>
      <c r="K4627" s="2"/>
      <c r="L4627" s="2"/>
      <c r="M4627" s="2"/>
    </row>
    <row r="4628" spans="2:13" ht="13" x14ac:dyDescent="0.15">
      <c r="B4628" s="2"/>
      <c r="C4628" s="2"/>
      <c r="D4628" s="2"/>
      <c r="E4628" s="2"/>
      <c r="F4628" s="2"/>
      <c r="G4628" s="2"/>
      <c r="H4628" s="26"/>
      <c r="I4628" s="2"/>
      <c r="J4628" s="2"/>
      <c r="K4628" s="2"/>
      <c r="L4628" s="2"/>
      <c r="M4628" s="2"/>
    </row>
    <row r="4629" spans="2:13" ht="13" x14ac:dyDescent="0.15">
      <c r="B4629" s="2"/>
      <c r="C4629" s="2"/>
      <c r="D4629" s="2"/>
      <c r="E4629" s="2"/>
      <c r="F4629" s="2"/>
      <c r="G4629" s="2"/>
      <c r="H4629" s="26"/>
      <c r="I4629" s="2"/>
      <c r="J4629" s="2"/>
      <c r="K4629" s="2"/>
      <c r="L4629" s="2"/>
      <c r="M4629" s="2"/>
    </row>
    <row r="4630" spans="2:13" ht="13" x14ac:dyDescent="0.15">
      <c r="B4630" s="2"/>
      <c r="C4630" s="2"/>
      <c r="D4630" s="2"/>
      <c r="E4630" s="2"/>
      <c r="F4630" s="2"/>
      <c r="G4630" s="2"/>
      <c r="H4630" s="26"/>
      <c r="I4630" s="2"/>
      <c r="J4630" s="2"/>
      <c r="K4630" s="2"/>
      <c r="L4630" s="2"/>
      <c r="M4630" s="2"/>
    </row>
    <row r="4631" spans="2:13" ht="13" x14ac:dyDescent="0.15">
      <c r="B4631" s="2"/>
      <c r="C4631" s="2"/>
      <c r="D4631" s="2"/>
      <c r="E4631" s="2"/>
      <c r="F4631" s="2"/>
      <c r="G4631" s="2"/>
      <c r="H4631" s="26"/>
      <c r="I4631" s="2"/>
      <c r="J4631" s="2"/>
      <c r="K4631" s="2"/>
      <c r="L4631" s="2"/>
      <c r="M4631" s="2"/>
    </row>
    <row r="4632" spans="2:13" ht="13" x14ac:dyDescent="0.15">
      <c r="B4632" s="2"/>
      <c r="C4632" s="2"/>
      <c r="D4632" s="2"/>
      <c r="E4632" s="2"/>
      <c r="F4632" s="2"/>
      <c r="G4632" s="2"/>
      <c r="H4632" s="26"/>
      <c r="I4632" s="2"/>
      <c r="J4632" s="2"/>
      <c r="K4632" s="2"/>
      <c r="L4632" s="2"/>
      <c r="M4632" s="2"/>
    </row>
    <row r="4633" spans="2:13" ht="13" x14ac:dyDescent="0.15">
      <c r="B4633" s="2"/>
      <c r="C4633" s="2"/>
      <c r="D4633" s="2"/>
      <c r="E4633" s="2"/>
      <c r="F4633" s="2"/>
      <c r="G4633" s="2"/>
      <c r="H4633" s="26"/>
      <c r="I4633" s="2"/>
      <c r="J4633" s="2"/>
      <c r="K4633" s="2"/>
      <c r="L4633" s="2"/>
      <c r="M4633" s="2"/>
    </row>
    <row r="4634" spans="2:13" ht="13" x14ac:dyDescent="0.15">
      <c r="B4634" s="2"/>
      <c r="C4634" s="2"/>
      <c r="D4634" s="2"/>
      <c r="E4634" s="2"/>
      <c r="F4634" s="2"/>
      <c r="G4634" s="2"/>
      <c r="H4634" s="26"/>
      <c r="I4634" s="2"/>
      <c r="J4634" s="2"/>
      <c r="K4634" s="2"/>
      <c r="L4634" s="2"/>
      <c r="M4634" s="2"/>
    </row>
    <row r="4635" spans="2:13" ht="13" x14ac:dyDescent="0.15">
      <c r="B4635" s="2"/>
      <c r="C4635" s="2"/>
      <c r="D4635" s="2"/>
      <c r="E4635" s="2"/>
      <c r="F4635" s="2"/>
      <c r="G4635" s="2"/>
      <c r="H4635" s="26"/>
      <c r="I4635" s="2"/>
      <c r="J4635" s="2"/>
      <c r="K4635" s="2"/>
      <c r="L4635" s="2"/>
      <c r="M4635" s="2"/>
    </row>
    <row r="4636" spans="2:13" ht="13" x14ac:dyDescent="0.15">
      <c r="B4636" s="2"/>
      <c r="C4636" s="2"/>
      <c r="D4636" s="2"/>
      <c r="E4636" s="2"/>
      <c r="F4636" s="2"/>
      <c r="G4636" s="2"/>
      <c r="H4636" s="26"/>
      <c r="I4636" s="2"/>
      <c r="J4636" s="2"/>
      <c r="K4636" s="2"/>
      <c r="L4636" s="2"/>
      <c r="M4636" s="2"/>
    </row>
    <row r="4637" spans="2:13" ht="13" x14ac:dyDescent="0.15">
      <c r="B4637" s="2"/>
      <c r="C4637" s="2"/>
      <c r="D4637" s="2"/>
      <c r="E4637" s="2"/>
      <c r="F4637" s="2"/>
      <c r="G4637" s="2"/>
      <c r="H4637" s="26"/>
      <c r="I4637" s="2"/>
      <c r="J4637" s="2"/>
      <c r="K4637" s="2"/>
      <c r="L4637" s="2"/>
      <c r="M4637" s="2"/>
    </row>
    <row r="4638" spans="2:13" ht="13" x14ac:dyDescent="0.15">
      <c r="B4638" s="2"/>
      <c r="C4638" s="2"/>
      <c r="D4638" s="2"/>
      <c r="E4638" s="2"/>
      <c r="F4638" s="2"/>
      <c r="G4638" s="2"/>
      <c r="H4638" s="26"/>
      <c r="I4638" s="2"/>
      <c r="J4638" s="2"/>
      <c r="K4638" s="2"/>
      <c r="L4638" s="2"/>
      <c r="M4638" s="2"/>
    </row>
    <row r="4639" spans="2:13" ht="13" x14ac:dyDescent="0.15">
      <c r="B4639" s="2"/>
      <c r="C4639" s="2"/>
      <c r="D4639" s="2"/>
      <c r="E4639" s="2"/>
      <c r="F4639" s="2"/>
      <c r="G4639" s="2"/>
      <c r="H4639" s="26"/>
      <c r="I4639" s="2"/>
      <c r="J4639" s="2"/>
      <c r="K4639" s="2"/>
      <c r="L4639" s="2"/>
      <c r="M4639" s="2"/>
    </row>
    <row r="4640" spans="2:13" ht="13" x14ac:dyDescent="0.15">
      <c r="B4640" s="2"/>
      <c r="C4640" s="2"/>
      <c r="D4640" s="2"/>
      <c r="E4640" s="2"/>
      <c r="F4640" s="2"/>
      <c r="G4640" s="2"/>
      <c r="H4640" s="26"/>
      <c r="I4640" s="2"/>
      <c r="J4640" s="2"/>
      <c r="K4640" s="2"/>
      <c r="L4640" s="2"/>
      <c r="M4640" s="2"/>
    </row>
    <row r="4641" spans="2:13" ht="13" x14ac:dyDescent="0.15">
      <c r="B4641" s="2"/>
      <c r="C4641" s="2"/>
      <c r="D4641" s="2"/>
      <c r="E4641" s="2"/>
      <c r="F4641" s="2"/>
      <c r="G4641" s="2"/>
      <c r="H4641" s="26"/>
      <c r="I4641" s="2"/>
      <c r="J4641" s="2"/>
      <c r="K4641" s="2"/>
      <c r="L4641" s="2"/>
      <c r="M4641" s="2"/>
    </row>
    <row r="4642" spans="2:13" ht="13" x14ac:dyDescent="0.15">
      <c r="B4642" s="2"/>
      <c r="C4642" s="2"/>
      <c r="D4642" s="2"/>
      <c r="E4642" s="2"/>
      <c r="F4642" s="2"/>
      <c r="G4642" s="2"/>
      <c r="H4642" s="26"/>
      <c r="I4642" s="2"/>
      <c r="J4642" s="2"/>
      <c r="K4642" s="2"/>
      <c r="L4642" s="2"/>
      <c r="M4642" s="2"/>
    </row>
    <row r="4643" spans="2:13" ht="13" x14ac:dyDescent="0.15">
      <c r="B4643" s="2"/>
      <c r="C4643" s="2"/>
      <c r="D4643" s="2"/>
      <c r="E4643" s="2"/>
      <c r="F4643" s="2"/>
      <c r="G4643" s="2"/>
      <c r="H4643" s="26"/>
      <c r="I4643" s="2"/>
      <c r="J4643" s="2"/>
      <c r="K4643" s="2"/>
      <c r="L4643" s="2"/>
      <c r="M4643" s="2"/>
    </row>
    <row r="4644" spans="2:13" ht="13" x14ac:dyDescent="0.15">
      <c r="B4644" s="2"/>
      <c r="C4644" s="2"/>
      <c r="D4644" s="2"/>
      <c r="E4644" s="2"/>
      <c r="F4644" s="2"/>
      <c r="G4644" s="2"/>
      <c r="H4644" s="26"/>
      <c r="I4644" s="2"/>
      <c r="J4644" s="2"/>
      <c r="K4644" s="2"/>
      <c r="L4644" s="2"/>
      <c r="M4644" s="2"/>
    </row>
    <row r="4645" spans="2:13" ht="13" x14ac:dyDescent="0.15">
      <c r="B4645" s="2"/>
      <c r="C4645" s="2"/>
      <c r="D4645" s="2"/>
      <c r="E4645" s="2"/>
      <c r="F4645" s="2"/>
      <c r="G4645" s="2"/>
      <c r="H4645" s="26"/>
      <c r="I4645" s="2"/>
      <c r="J4645" s="2"/>
      <c r="K4645" s="2"/>
      <c r="L4645" s="2"/>
      <c r="M4645" s="2"/>
    </row>
    <row r="4646" spans="2:13" ht="13" x14ac:dyDescent="0.15">
      <c r="B4646" s="2"/>
      <c r="C4646" s="2"/>
      <c r="D4646" s="2"/>
      <c r="E4646" s="2"/>
      <c r="F4646" s="2"/>
      <c r="G4646" s="2"/>
      <c r="H4646" s="26"/>
      <c r="I4646" s="2"/>
      <c r="J4646" s="2"/>
      <c r="K4646" s="2"/>
      <c r="L4646" s="2"/>
      <c r="M4646" s="2"/>
    </row>
    <row r="4647" spans="2:13" ht="13" x14ac:dyDescent="0.15">
      <c r="B4647" s="2"/>
      <c r="C4647" s="2"/>
      <c r="D4647" s="2"/>
      <c r="E4647" s="2"/>
      <c r="F4647" s="2"/>
      <c r="G4647" s="2"/>
      <c r="H4647" s="26"/>
      <c r="I4647" s="2"/>
      <c r="J4647" s="2"/>
      <c r="K4647" s="2"/>
      <c r="L4647" s="2"/>
      <c r="M4647" s="2"/>
    </row>
    <row r="4648" spans="2:13" ht="13" x14ac:dyDescent="0.15">
      <c r="B4648" s="2"/>
      <c r="C4648" s="2"/>
      <c r="D4648" s="2"/>
      <c r="E4648" s="2"/>
      <c r="F4648" s="2"/>
      <c r="G4648" s="2"/>
      <c r="H4648" s="26"/>
      <c r="I4648" s="2"/>
      <c r="J4648" s="2"/>
      <c r="K4648" s="2"/>
      <c r="L4648" s="2"/>
      <c r="M4648" s="2"/>
    </row>
    <row r="4649" spans="2:13" ht="13" x14ac:dyDescent="0.15">
      <c r="B4649" s="2"/>
      <c r="C4649" s="2"/>
      <c r="D4649" s="2"/>
      <c r="E4649" s="2"/>
      <c r="F4649" s="2"/>
      <c r="G4649" s="2"/>
      <c r="H4649" s="26"/>
      <c r="I4649" s="2"/>
      <c r="J4649" s="2"/>
      <c r="K4649" s="2"/>
      <c r="L4649" s="2"/>
      <c r="M4649" s="2"/>
    </row>
    <row r="4650" spans="2:13" ht="13" x14ac:dyDescent="0.15">
      <c r="B4650" s="2"/>
      <c r="C4650" s="2"/>
      <c r="D4650" s="2"/>
      <c r="E4650" s="2"/>
      <c r="F4650" s="2"/>
      <c r="G4650" s="2"/>
      <c r="H4650" s="26"/>
      <c r="I4650" s="2"/>
      <c r="J4650" s="2"/>
      <c r="K4650" s="2"/>
      <c r="L4650" s="2"/>
      <c r="M4650" s="2"/>
    </row>
    <row r="4651" spans="2:13" ht="13" x14ac:dyDescent="0.15">
      <c r="B4651" s="2"/>
      <c r="C4651" s="2"/>
      <c r="D4651" s="2"/>
      <c r="E4651" s="2"/>
      <c r="F4651" s="2"/>
      <c r="G4651" s="2"/>
      <c r="H4651" s="26"/>
      <c r="I4651" s="2"/>
      <c r="J4651" s="2"/>
      <c r="K4651" s="2"/>
      <c r="L4651" s="2"/>
      <c r="M4651" s="2"/>
    </row>
    <row r="4652" spans="2:13" ht="13" x14ac:dyDescent="0.15">
      <c r="B4652" s="2"/>
      <c r="C4652" s="2"/>
      <c r="D4652" s="2"/>
      <c r="E4652" s="2"/>
      <c r="F4652" s="2"/>
      <c r="G4652" s="2"/>
      <c r="H4652" s="26"/>
      <c r="I4652" s="2"/>
      <c r="J4652" s="2"/>
      <c r="K4652" s="2"/>
      <c r="L4652" s="2"/>
      <c r="M4652" s="2"/>
    </row>
    <row r="4653" spans="2:13" ht="13" x14ac:dyDescent="0.15">
      <c r="B4653" s="2"/>
      <c r="C4653" s="2"/>
      <c r="D4653" s="2"/>
      <c r="E4653" s="2"/>
      <c r="F4653" s="2"/>
      <c r="G4653" s="2"/>
      <c r="H4653" s="26"/>
      <c r="I4653" s="2"/>
      <c r="J4653" s="2"/>
      <c r="K4653" s="2"/>
      <c r="L4653" s="2"/>
      <c r="M4653" s="2"/>
    </row>
    <row r="4654" spans="2:13" ht="13" x14ac:dyDescent="0.15">
      <c r="B4654" s="2"/>
      <c r="C4654" s="2"/>
      <c r="D4654" s="2"/>
      <c r="E4654" s="2"/>
      <c r="F4654" s="2"/>
      <c r="G4654" s="2"/>
      <c r="H4654" s="26"/>
      <c r="I4654" s="2"/>
      <c r="J4654" s="2"/>
      <c r="K4654" s="2"/>
      <c r="L4654" s="2"/>
      <c r="M4654" s="2"/>
    </row>
    <row r="4655" spans="2:13" ht="13" x14ac:dyDescent="0.15">
      <c r="B4655" s="2"/>
      <c r="C4655" s="2"/>
      <c r="D4655" s="2"/>
      <c r="E4655" s="2"/>
      <c r="F4655" s="2"/>
      <c r="G4655" s="2"/>
      <c r="H4655" s="26"/>
      <c r="I4655" s="2"/>
      <c r="J4655" s="2"/>
      <c r="K4655" s="2"/>
      <c r="L4655" s="2"/>
      <c r="M4655" s="2"/>
    </row>
    <row r="4656" spans="2:13" ht="13" x14ac:dyDescent="0.15">
      <c r="B4656" s="2"/>
      <c r="C4656" s="2"/>
      <c r="D4656" s="2"/>
      <c r="E4656" s="2"/>
      <c r="F4656" s="2"/>
      <c r="G4656" s="2"/>
      <c r="H4656" s="26"/>
      <c r="I4656" s="2"/>
      <c r="J4656" s="2"/>
      <c r="K4656" s="2"/>
      <c r="L4656" s="2"/>
      <c r="M4656" s="2"/>
    </row>
    <row r="4657" spans="2:13" ht="13" x14ac:dyDescent="0.15">
      <c r="B4657" s="2"/>
      <c r="C4657" s="2"/>
      <c r="D4657" s="2"/>
      <c r="E4657" s="2"/>
      <c r="F4657" s="2"/>
      <c r="G4657" s="2"/>
      <c r="H4657" s="26"/>
      <c r="I4657" s="2"/>
      <c r="J4657" s="2"/>
      <c r="K4657" s="2"/>
      <c r="L4657" s="2"/>
      <c r="M4657" s="2"/>
    </row>
    <row r="4658" spans="2:13" ht="13" x14ac:dyDescent="0.15">
      <c r="B4658" s="2"/>
      <c r="C4658" s="2"/>
      <c r="D4658" s="2"/>
      <c r="E4658" s="2"/>
      <c r="F4658" s="2"/>
      <c r="G4658" s="2"/>
      <c r="H4658" s="26"/>
      <c r="I4658" s="2"/>
      <c r="J4658" s="2"/>
      <c r="K4658" s="2"/>
      <c r="L4658" s="2"/>
      <c r="M4658" s="2"/>
    </row>
    <row r="4659" spans="2:13" ht="13" x14ac:dyDescent="0.15">
      <c r="B4659" s="2"/>
      <c r="C4659" s="2"/>
      <c r="D4659" s="2"/>
      <c r="E4659" s="2"/>
      <c r="F4659" s="2"/>
      <c r="G4659" s="2"/>
      <c r="H4659" s="26"/>
      <c r="I4659" s="2"/>
      <c r="J4659" s="2"/>
      <c r="K4659" s="2"/>
      <c r="L4659" s="2"/>
      <c r="M4659" s="2"/>
    </row>
    <row r="4660" spans="2:13" ht="13" x14ac:dyDescent="0.15">
      <c r="B4660" s="2"/>
      <c r="C4660" s="2"/>
      <c r="D4660" s="2"/>
      <c r="E4660" s="2"/>
      <c r="F4660" s="2"/>
      <c r="G4660" s="2"/>
      <c r="H4660" s="26"/>
      <c r="I4660" s="2"/>
      <c r="J4660" s="2"/>
      <c r="K4660" s="2"/>
      <c r="L4660" s="2"/>
      <c r="M4660" s="2"/>
    </row>
    <row r="4661" spans="2:13" ht="13" x14ac:dyDescent="0.15">
      <c r="B4661" s="2"/>
      <c r="C4661" s="2"/>
      <c r="D4661" s="2"/>
      <c r="E4661" s="2"/>
      <c r="F4661" s="2"/>
      <c r="G4661" s="2"/>
      <c r="H4661" s="26"/>
      <c r="I4661" s="2"/>
      <c r="J4661" s="2"/>
      <c r="K4661" s="2"/>
      <c r="L4661" s="2"/>
      <c r="M4661" s="2"/>
    </row>
    <row r="4662" spans="2:13" ht="13" x14ac:dyDescent="0.15">
      <c r="B4662" s="2"/>
      <c r="C4662" s="2"/>
      <c r="D4662" s="2"/>
      <c r="E4662" s="2"/>
      <c r="F4662" s="2"/>
      <c r="G4662" s="2"/>
      <c r="H4662" s="26"/>
      <c r="I4662" s="2"/>
      <c r="J4662" s="2"/>
      <c r="K4662" s="2"/>
      <c r="L4662" s="2"/>
      <c r="M4662" s="2"/>
    </row>
    <row r="4663" spans="2:13" ht="13" x14ac:dyDescent="0.15">
      <c r="B4663" s="2"/>
      <c r="C4663" s="2"/>
      <c r="D4663" s="2"/>
      <c r="E4663" s="2"/>
      <c r="F4663" s="2"/>
      <c r="G4663" s="2"/>
      <c r="H4663" s="26"/>
      <c r="I4663" s="2"/>
      <c r="J4663" s="2"/>
      <c r="K4663" s="2"/>
      <c r="L4663" s="2"/>
      <c r="M4663" s="2"/>
    </row>
    <row r="4664" spans="2:13" ht="13" x14ac:dyDescent="0.15">
      <c r="B4664" s="2"/>
      <c r="C4664" s="2"/>
      <c r="D4664" s="2"/>
      <c r="E4664" s="2"/>
      <c r="F4664" s="2"/>
      <c r="G4664" s="2"/>
      <c r="H4664" s="26"/>
      <c r="I4664" s="2"/>
      <c r="J4664" s="2"/>
      <c r="K4664" s="2"/>
      <c r="L4664" s="2"/>
      <c r="M4664" s="2"/>
    </row>
    <row r="4665" spans="2:13" ht="13" x14ac:dyDescent="0.15">
      <c r="B4665" s="2"/>
      <c r="C4665" s="2"/>
      <c r="D4665" s="2"/>
      <c r="E4665" s="2"/>
      <c r="F4665" s="2"/>
      <c r="G4665" s="2"/>
      <c r="H4665" s="26"/>
      <c r="I4665" s="2"/>
      <c r="J4665" s="2"/>
      <c r="K4665" s="2"/>
      <c r="L4665" s="2"/>
      <c r="M4665" s="2"/>
    </row>
    <row r="4666" spans="2:13" ht="13" x14ac:dyDescent="0.15">
      <c r="B4666" s="2"/>
      <c r="C4666" s="2"/>
      <c r="D4666" s="2"/>
      <c r="E4666" s="2"/>
      <c r="F4666" s="2"/>
      <c r="G4666" s="2"/>
      <c r="H4666" s="26"/>
      <c r="I4666" s="2"/>
      <c r="J4666" s="2"/>
      <c r="K4666" s="2"/>
      <c r="L4666" s="2"/>
      <c r="M4666" s="2"/>
    </row>
    <row r="4667" spans="2:13" ht="13" x14ac:dyDescent="0.15">
      <c r="B4667" s="2"/>
      <c r="C4667" s="2"/>
      <c r="D4667" s="2"/>
      <c r="E4667" s="2"/>
      <c r="F4667" s="2"/>
      <c r="G4667" s="2"/>
      <c r="H4667" s="26"/>
      <c r="I4667" s="2"/>
      <c r="J4667" s="2"/>
      <c r="K4667" s="2"/>
      <c r="L4667" s="2"/>
      <c r="M4667" s="2"/>
    </row>
    <row r="4668" spans="2:13" ht="13" x14ac:dyDescent="0.15">
      <c r="B4668" s="2"/>
      <c r="C4668" s="2"/>
      <c r="D4668" s="2"/>
      <c r="E4668" s="2"/>
      <c r="F4668" s="2"/>
      <c r="G4668" s="2"/>
      <c r="H4668" s="26"/>
      <c r="I4668" s="2"/>
      <c r="J4668" s="2"/>
      <c r="K4668" s="2"/>
      <c r="L4668" s="2"/>
      <c r="M4668" s="2"/>
    </row>
    <row r="4669" spans="2:13" ht="13" x14ac:dyDescent="0.15">
      <c r="B4669" s="2"/>
      <c r="C4669" s="2"/>
      <c r="D4669" s="2"/>
      <c r="E4669" s="2"/>
      <c r="F4669" s="2"/>
      <c r="G4669" s="2"/>
      <c r="H4669" s="26"/>
      <c r="I4669" s="2"/>
      <c r="J4669" s="2"/>
      <c r="K4669" s="2"/>
      <c r="L4669" s="2"/>
      <c r="M4669" s="2"/>
    </row>
    <row r="4670" spans="2:13" ht="13" x14ac:dyDescent="0.15">
      <c r="B4670" s="2"/>
      <c r="C4670" s="2"/>
      <c r="D4670" s="2"/>
      <c r="E4670" s="2"/>
      <c r="F4670" s="2"/>
      <c r="G4670" s="2"/>
      <c r="H4670" s="26"/>
      <c r="I4670" s="2"/>
      <c r="J4670" s="2"/>
      <c r="K4670" s="2"/>
      <c r="L4670" s="2"/>
      <c r="M4670" s="2"/>
    </row>
  </sheetData>
  <autoFilter ref="A1:M4120" xr:uid="{00000000-0009-0000-0000-000000000000}"/>
  <hyperlinks>
    <hyperlink ref="C2318" r:id="rId1" xr:uid="{00000000-0004-0000-0000-000000000000}"/>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K561"/>
  <sheetViews>
    <sheetView workbookViewId="0"/>
  </sheetViews>
  <sheetFormatPr baseColWidth="10" defaultColWidth="12.6640625" defaultRowHeight="15.75" customHeight="1" x14ac:dyDescent="0.15"/>
  <cols>
    <col min="1" max="1" width="15" customWidth="1"/>
    <col min="2" max="2" width="5.33203125" customWidth="1"/>
    <col min="3" max="3" width="5.6640625" customWidth="1"/>
    <col min="4" max="4" width="15.83203125" customWidth="1"/>
    <col min="5" max="5" width="33.5" customWidth="1"/>
    <col min="6" max="6" width="6.1640625" customWidth="1"/>
    <col min="7" max="7" width="9.33203125" customWidth="1"/>
    <col min="8" max="8" width="5.1640625" customWidth="1"/>
    <col min="9" max="10" width="4.6640625" customWidth="1"/>
    <col min="11" max="11" width="14" customWidth="1"/>
    <col min="12" max="12" width="11.5" customWidth="1"/>
    <col min="13" max="13" width="13" customWidth="1"/>
    <col min="14" max="14" width="14" customWidth="1"/>
    <col min="15" max="15" width="12.83203125" customWidth="1"/>
    <col min="16" max="16" width="15.1640625" customWidth="1"/>
    <col min="17" max="17" width="12.1640625" customWidth="1"/>
    <col min="18" max="18" width="12.5" customWidth="1"/>
    <col min="19" max="19" width="12.83203125" customWidth="1"/>
    <col min="20" max="21" width="4.6640625" customWidth="1"/>
    <col min="22" max="22" width="10.83203125" customWidth="1"/>
    <col min="23" max="24" width="4.6640625" customWidth="1"/>
    <col min="25" max="25" width="12.83203125" customWidth="1"/>
    <col min="26" max="26" width="13.33203125" customWidth="1"/>
    <col min="27" max="27" width="13.1640625" customWidth="1"/>
    <col min="28" max="28" width="12.1640625" customWidth="1"/>
    <col min="29" max="30" width="12.6640625" customWidth="1"/>
    <col min="31" max="31" width="9.6640625" customWidth="1"/>
    <col min="32" max="32" width="10.33203125" customWidth="1"/>
    <col min="33" max="33" width="13" customWidth="1"/>
    <col min="34" max="34" width="10.83203125" customWidth="1"/>
    <col min="35" max="35" width="13" customWidth="1"/>
    <col min="36" max="36" width="11.6640625" customWidth="1"/>
    <col min="37" max="37" width="4.6640625" customWidth="1"/>
  </cols>
  <sheetData>
    <row r="1" spans="1:37" ht="15.75" customHeight="1" x14ac:dyDescent="0.15">
      <c r="A1" s="30" t="s">
        <v>0</v>
      </c>
      <c r="B1" s="29"/>
      <c r="D1" s="30" t="s">
        <v>1</v>
      </c>
      <c r="E1" s="28"/>
      <c r="F1" s="28"/>
      <c r="G1" s="28"/>
      <c r="H1" s="28"/>
      <c r="I1" s="29"/>
      <c r="J1" s="2"/>
      <c r="K1" s="30" t="s">
        <v>3</v>
      </c>
      <c r="L1" s="28"/>
      <c r="M1" s="28"/>
      <c r="N1" s="29"/>
      <c r="O1" s="2"/>
      <c r="P1" s="2"/>
      <c r="Q1" s="2"/>
      <c r="R1" s="2"/>
      <c r="S1" s="2"/>
      <c r="T1" s="2"/>
      <c r="U1" s="2"/>
      <c r="V1" s="2"/>
    </row>
    <row r="2" spans="1:37" ht="15.75" customHeight="1" x14ac:dyDescent="0.15">
      <c r="A2" s="4" t="s">
        <v>6</v>
      </c>
      <c r="B2" s="4" t="s">
        <v>16</v>
      </c>
      <c r="D2" s="4" t="s">
        <v>13</v>
      </c>
      <c r="E2" s="4" t="s">
        <v>14</v>
      </c>
      <c r="F2" s="4" t="s">
        <v>17</v>
      </c>
      <c r="G2" s="4" t="s">
        <v>18</v>
      </c>
      <c r="H2" s="4" t="s">
        <v>19</v>
      </c>
      <c r="I2" s="4" t="s">
        <v>20</v>
      </c>
      <c r="J2" s="2"/>
      <c r="K2" s="4" t="s">
        <v>8</v>
      </c>
      <c r="L2" s="4" t="s">
        <v>18</v>
      </c>
      <c r="M2" s="4" t="s">
        <v>19</v>
      </c>
      <c r="N2" s="4" t="s">
        <v>20</v>
      </c>
      <c r="O2" s="2"/>
      <c r="P2" s="2"/>
      <c r="Q2" s="2"/>
      <c r="R2" s="2"/>
      <c r="S2" s="2"/>
      <c r="T2" s="2"/>
      <c r="U2" s="2"/>
      <c r="V2" s="2"/>
    </row>
    <row r="3" spans="1:37" ht="15.75" customHeight="1" x14ac:dyDescent="0.15">
      <c r="A3" s="7" t="s">
        <v>17</v>
      </c>
      <c r="B3" s="9">
        <v>4093</v>
      </c>
      <c r="D3" s="11" t="s">
        <v>20</v>
      </c>
      <c r="E3" s="11"/>
      <c r="F3" s="12">
        <v>4093</v>
      </c>
      <c r="G3" s="12">
        <v>3</v>
      </c>
      <c r="H3" s="12">
        <v>23</v>
      </c>
      <c r="I3" s="12">
        <v>4119</v>
      </c>
      <c r="J3" s="13"/>
      <c r="K3" s="9" t="s">
        <v>31</v>
      </c>
      <c r="L3" s="9">
        <v>0</v>
      </c>
      <c r="M3" s="9">
        <v>1</v>
      </c>
      <c r="N3" s="12">
        <v>1</v>
      </c>
      <c r="O3" s="13"/>
      <c r="P3" s="13"/>
      <c r="Q3" s="13"/>
      <c r="R3" s="13"/>
      <c r="S3" s="13"/>
      <c r="T3" s="13"/>
      <c r="U3" s="13"/>
      <c r="V3" s="13"/>
    </row>
    <row r="4" spans="1:37" ht="15.75" customHeight="1" x14ac:dyDescent="0.15">
      <c r="A4" s="7" t="s">
        <v>19</v>
      </c>
      <c r="B4" s="9">
        <v>23</v>
      </c>
      <c r="D4" s="31" t="s">
        <v>38</v>
      </c>
      <c r="E4" s="7" t="s">
        <v>39</v>
      </c>
      <c r="F4" s="9">
        <v>1</v>
      </c>
      <c r="G4" s="9">
        <v>0</v>
      </c>
      <c r="H4" s="9">
        <v>0</v>
      </c>
      <c r="I4" s="12">
        <v>1</v>
      </c>
      <c r="J4" s="13"/>
      <c r="K4" s="9" t="s">
        <v>24</v>
      </c>
      <c r="L4" s="9">
        <v>2</v>
      </c>
      <c r="M4" s="9">
        <v>1</v>
      </c>
      <c r="N4" s="12">
        <v>3</v>
      </c>
      <c r="O4" s="13"/>
      <c r="P4" s="13"/>
      <c r="Q4" s="13"/>
      <c r="R4" s="13"/>
      <c r="S4" s="13"/>
      <c r="T4" s="13"/>
      <c r="U4" s="13"/>
      <c r="V4" s="13"/>
    </row>
    <row r="5" spans="1:37" ht="15.75" customHeight="1" x14ac:dyDescent="0.15">
      <c r="A5" s="7" t="s">
        <v>18</v>
      </c>
      <c r="B5" s="9">
        <v>3</v>
      </c>
      <c r="D5" s="33"/>
      <c r="E5" s="7" t="s">
        <v>49</v>
      </c>
      <c r="F5" s="9">
        <v>4</v>
      </c>
      <c r="G5" s="9">
        <v>0</v>
      </c>
      <c r="H5" s="9">
        <v>0</v>
      </c>
      <c r="I5" s="12">
        <v>4</v>
      </c>
      <c r="J5" s="13"/>
      <c r="K5" s="9" t="s">
        <v>41</v>
      </c>
      <c r="L5" s="9">
        <v>1</v>
      </c>
      <c r="M5" s="9">
        <v>21</v>
      </c>
      <c r="N5" s="12">
        <v>22</v>
      </c>
      <c r="O5" s="13"/>
      <c r="P5" s="13"/>
      <c r="Q5" s="13"/>
      <c r="R5" s="13"/>
      <c r="S5" s="13"/>
      <c r="T5" s="13"/>
      <c r="U5" s="13"/>
      <c r="V5" s="13"/>
    </row>
    <row r="6" spans="1:37" ht="15.75" customHeight="1" x14ac:dyDescent="0.15">
      <c r="A6" s="2"/>
      <c r="B6" s="13"/>
      <c r="D6" s="11" t="s">
        <v>50</v>
      </c>
      <c r="E6" s="11"/>
      <c r="F6" s="12">
        <v>5</v>
      </c>
      <c r="G6" s="12">
        <v>0</v>
      </c>
      <c r="H6" s="12">
        <v>0</v>
      </c>
      <c r="I6" s="12">
        <v>5</v>
      </c>
      <c r="J6" s="13"/>
      <c r="K6" s="13"/>
      <c r="L6" s="13"/>
      <c r="M6" s="13"/>
      <c r="N6" s="13"/>
      <c r="O6" s="13"/>
      <c r="P6" s="13"/>
      <c r="Q6" s="13"/>
      <c r="R6" s="13"/>
      <c r="S6" s="13"/>
      <c r="T6" s="13"/>
      <c r="U6" s="13"/>
      <c r="V6" s="13"/>
    </row>
    <row r="7" spans="1:37" ht="15.75" customHeight="1" x14ac:dyDescent="0.15">
      <c r="A7" s="30" t="s">
        <v>58</v>
      </c>
      <c r="B7" s="29"/>
      <c r="D7" s="31" t="s">
        <v>59</v>
      </c>
      <c r="E7" s="7" t="s">
        <v>61</v>
      </c>
      <c r="F7" s="9">
        <v>1</v>
      </c>
      <c r="G7" s="9">
        <v>0</v>
      </c>
      <c r="H7" s="9">
        <v>0</v>
      </c>
      <c r="I7" s="12">
        <v>1</v>
      </c>
      <c r="J7" s="13"/>
      <c r="K7" s="13"/>
      <c r="L7" s="13"/>
      <c r="M7" s="13"/>
      <c r="N7" s="13"/>
      <c r="O7" s="13"/>
      <c r="P7" s="13"/>
      <c r="Q7" s="13"/>
      <c r="R7" s="13"/>
      <c r="S7" s="13"/>
      <c r="T7" s="13"/>
      <c r="U7" s="13"/>
      <c r="V7" s="13"/>
    </row>
    <row r="8" spans="1:37" ht="15.75" customHeight="1" x14ac:dyDescent="0.15">
      <c r="A8" s="4" t="s">
        <v>8</v>
      </c>
      <c r="B8" s="4" t="s">
        <v>16</v>
      </c>
      <c r="D8" s="32"/>
      <c r="E8" s="7" t="s">
        <v>65</v>
      </c>
      <c r="F8" s="9">
        <v>2</v>
      </c>
      <c r="G8" s="9">
        <v>0</v>
      </c>
      <c r="H8" s="9">
        <v>0</v>
      </c>
      <c r="I8" s="12">
        <v>2</v>
      </c>
      <c r="J8" s="13"/>
      <c r="K8" s="13"/>
      <c r="L8" s="13"/>
      <c r="M8" s="13"/>
      <c r="N8" s="13"/>
      <c r="O8" s="13"/>
      <c r="P8" s="13"/>
      <c r="Q8" s="13"/>
      <c r="R8" s="13"/>
      <c r="S8" s="13"/>
      <c r="T8" s="13"/>
      <c r="U8" s="13"/>
      <c r="V8" s="13"/>
    </row>
    <row r="9" spans="1:37" ht="15.75" customHeight="1" x14ac:dyDescent="0.15">
      <c r="A9" s="7" t="s">
        <v>24</v>
      </c>
      <c r="B9" s="9">
        <v>1141</v>
      </c>
      <c r="D9" s="32"/>
      <c r="E9" s="7" t="s">
        <v>67</v>
      </c>
      <c r="F9" s="9">
        <v>6</v>
      </c>
      <c r="G9" s="9">
        <v>0</v>
      </c>
      <c r="H9" s="9">
        <v>0</v>
      </c>
      <c r="I9" s="12">
        <v>6</v>
      </c>
      <c r="J9" s="13"/>
      <c r="K9" s="13"/>
      <c r="L9" s="13"/>
      <c r="M9" s="13"/>
      <c r="N9" s="13"/>
      <c r="O9" s="13"/>
      <c r="P9" s="13"/>
      <c r="Q9" s="13"/>
      <c r="R9" s="13"/>
      <c r="S9" s="13"/>
      <c r="T9" s="13"/>
      <c r="U9" s="13"/>
      <c r="V9" s="13"/>
    </row>
    <row r="10" spans="1:37" ht="15.75" customHeight="1" x14ac:dyDescent="0.15">
      <c r="A10" s="7" t="s">
        <v>31</v>
      </c>
      <c r="B10" s="9">
        <v>1247</v>
      </c>
      <c r="D10" s="32"/>
      <c r="E10" s="7" t="s">
        <v>59</v>
      </c>
      <c r="F10" s="9">
        <v>1</v>
      </c>
      <c r="G10" s="9">
        <v>0</v>
      </c>
      <c r="H10" s="9">
        <v>0</v>
      </c>
      <c r="I10" s="12">
        <v>1</v>
      </c>
      <c r="J10" s="13"/>
      <c r="K10" s="13"/>
      <c r="L10" s="13"/>
      <c r="M10" s="13"/>
      <c r="N10" s="13"/>
      <c r="O10" s="13"/>
      <c r="P10" s="13"/>
      <c r="Q10" s="13"/>
      <c r="R10" s="13"/>
      <c r="S10" s="13"/>
      <c r="T10" s="13"/>
      <c r="U10" s="13"/>
      <c r="V10" s="13"/>
    </row>
    <row r="11" spans="1:37" ht="15.75" customHeight="1" x14ac:dyDescent="0.15">
      <c r="A11" s="7" t="s">
        <v>41</v>
      </c>
      <c r="B11" s="9">
        <v>298</v>
      </c>
      <c r="D11" s="32"/>
      <c r="E11" s="7" t="s">
        <v>72</v>
      </c>
      <c r="F11" s="9">
        <v>4</v>
      </c>
      <c r="G11" s="9">
        <v>0</v>
      </c>
      <c r="H11" s="9">
        <v>0</v>
      </c>
      <c r="I11" s="12">
        <v>4</v>
      </c>
      <c r="J11" s="13"/>
      <c r="K11" s="13"/>
      <c r="L11" s="13"/>
      <c r="M11" s="13"/>
      <c r="N11" s="13"/>
      <c r="O11" s="13"/>
      <c r="P11" s="13"/>
      <c r="Q11" s="13"/>
      <c r="R11" s="13"/>
      <c r="S11" s="13"/>
      <c r="T11" s="13"/>
      <c r="U11" s="13"/>
      <c r="V11" s="13"/>
      <c r="W11" s="13"/>
      <c r="X11" s="2"/>
      <c r="Y11" s="2"/>
      <c r="Z11" s="2"/>
      <c r="AA11" s="2"/>
      <c r="AB11" s="2"/>
      <c r="AC11" s="2"/>
      <c r="AD11" s="2"/>
      <c r="AE11" s="2"/>
      <c r="AF11" s="2"/>
      <c r="AG11" s="2"/>
      <c r="AH11" s="2"/>
      <c r="AI11" s="2"/>
      <c r="AJ11" s="2"/>
      <c r="AK11" s="2"/>
    </row>
    <row r="12" spans="1:37" ht="15.75" customHeight="1" x14ac:dyDescent="0.15">
      <c r="A12" s="7" t="s">
        <v>52</v>
      </c>
      <c r="B12" s="9">
        <v>566</v>
      </c>
      <c r="D12" s="32"/>
      <c r="E12" s="7" t="s">
        <v>47</v>
      </c>
      <c r="F12" s="9">
        <v>2</v>
      </c>
      <c r="G12" s="9">
        <v>0</v>
      </c>
      <c r="H12" s="9">
        <v>0</v>
      </c>
      <c r="I12" s="12">
        <v>2</v>
      </c>
      <c r="J12" s="13"/>
      <c r="K12" s="13"/>
      <c r="L12" s="13"/>
      <c r="M12" s="13"/>
      <c r="N12" s="13"/>
      <c r="O12" s="13"/>
      <c r="P12" s="13"/>
      <c r="Q12" s="13"/>
      <c r="R12" s="13"/>
      <c r="S12" s="13"/>
      <c r="T12" s="13"/>
      <c r="U12" s="13"/>
      <c r="V12" s="13"/>
      <c r="W12" s="2"/>
      <c r="X12" s="2"/>
      <c r="Y12" s="2"/>
      <c r="Z12" s="2"/>
      <c r="AA12" s="2"/>
      <c r="AB12" s="2"/>
      <c r="AC12" s="2"/>
      <c r="AD12" s="2"/>
      <c r="AE12" s="2"/>
      <c r="AF12" s="2"/>
      <c r="AG12" s="2"/>
      <c r="AH12" s="2"/>
      <c r="AI12" s="2"/>
      <c r="AJ12" s="2"/>
      <c r="AK12" s="2"/>
    </row>
    <row r="13" spans="1:37" ht="15.75" customHeight="1" x14ac:dyDescent="0.15">
      <c r="A13" s="7" t="s">
        <v>78</v>
      </c>
      <c r="B13" s="9">
        <v>45</v>
      </c>
      <c r="D13" s="32"/>
      <c r="E13" s="7" t="s">
        <v>79</v>
      </c>
      <c r="F13" s="9">
        <v>1</v>
      </c>
      <c r="G13" s="9">
        <v>0</v>
      </c>
      <c r="H13" s="9">
        <v>0</v>
      </c>
      <c r="I13" s="12">
        <v>1</v>
      </c>
      <c r="J13" s="13"/>
      <c r="K13" s="27" t="s">
        <v>81</v>
      </c>
      <c r="L13" s="28"/>
      <c r="M13" s="28"/>
      <c r="N13" s="28"/>
      <c r="O13" s="28"/>
      <c r="P13" s="28"/>
      <c r="Q13" s="28"/>
      <c r="R13" s="28"/>
      <c r="S13" s="28"/>
      <c r="T13" s="29"/>
      <c r="U13" s="15"/>
      <c r="V13" s="15"/>
      <c r="W13" s="15"/>
      <c r="X13" s="15"/>
      <c r="Y13" s="13"/>
      <c r="Z13" s="13"/>
      <c r="AA13" s="13"/>
      <c r="AB13" s="13"/>
      <c r="AC13" s="13"/>
      <c r="AD13" s="13"/>
      <c r="AE13" s="13"/>
      <c r="AF13" s="13"/>
      <c r="AG13" s="13"/>
      <c r="AH13" s="13"/>
      <c r="AI13" s="13"/>
      <c r="AJ13" s="13"/>
      <c r="AK13" s="13"/>
    </row>
    <row r="14" spans="1:37" ht="15.75" customHeight="1" x14ac:dyDescent="0.15">
      <c r="A14" s="7" t="s">
        <v>87</v>
      </c>
      <c r="B14" s="9">
        <v>143</v>
      </c>
      <c r="D14" s="32"/>
      <c r="E14" s="7" t="s">
        <v>88</v>
      </c>
      <c r="F14" s="9">
        <v>62</v>
      </c>
      <c r="G14" s="9">
        <v>0</v>
      </c>
      <c r="H14" s="9">
        <v>0</v>
      </c>
      <c r="I14" s="12">
        <v>62</v>
      </c>
      <c r="J14" s="13"/>
      <c r="K14" s="16" t="s">
        <v>89</v>
      </c>
      <c r="L14" s="17" t="s">
        <v>87</v>
      </c>
      <c r="M14" s="17" t="s">
        <v>94</v>
      </c>
      <c r="N14" s="17" t="s">
        <v>31</v>
      </c>
      <c r="O14" s="17" t="s">
        <v>24</v>
      </c>
      <c r="P14" s="17" t="s">
        <v>96</v>
      </c>
      <c r="Q14" s="17" t="s">
        <v>78</v>
      </c>
      <c r="R14" s="17" t="s">
        <v>41</v>
      </c>
      <c r="S14" s="17" t="s">
        <v>52</v>
      </c>
      <c r="T14" s="17" t="s">
        <v>20</v>
      </c>
      <c r="U14" s="13"/>
      <c r="V14" s="13"/>
      <c r="W14" s="13"/>
      <c r="X14" s="13"/>
      <c r="Y14" s="13"/>
      <c r="Z14" s="13"/>
      <c r="AA14" s="13"/>
      <c r="AB14" s="13"/>
      <c r="AC14" s="13"/>
      <c r="AD14" s="13"/>
      <c r="AE14" s="13"/>
      <c r="AF14" s="13"/>
      <c r="AG14" s="13"/>
      <c r="AH14" s="13"/>
      <c r="AI14" s="13"/>
      <c r="AJ14" s="13"/>
      <c r="AK14" s="13"/>
    </row>
    <row r="15" spans="1:37" ht="15.75" customHeight="1" x14ac:dyDescent="0.15">
      <c r="A15" s="7" t="s">
        <v>94</v>
      </c>
      <c r="B15" s="9">
        <v>14</v>
      </c>
      <c r="D15" s="32"/>
      <c r="E15" s="7" t="s">
        <v>99</v>
      </c>
      <c r="F15" s="9">
        <v>12</v>
      </c>
      <c r="G15" s="9">
        <v>0</v>
      </c>
      <c r="H15" s="9">
        <v>0</v>
      </c>
      <c r="I15" s="12">
        <v>12</v>
      </c>
      <c r="J15" s="13"/>
      <c r="K15" s="18" t="s">
        <v>101</v>
      </c>
      <c r="L15" s="12">
        <v>143</v>
      </c>
      <c r="M15" s="12">
        <v>14</v>
      </c>
      <c r="N15" s="12">
        <v>1247</v>
      </c>
      <c r="O15" s="12">
        <v>1141</v>
      </c>
      <c r="P15" s="12">
        <v>665</v>
      </c>
      <c r="Q15" s="12">
        <v>45</v>
      </c>
      <c r="R15" s="12">
        <v>298</v>
      </c>
      <c r="S15" s="12">
        <v>566</v>
      </c>
      <c r="T15" s="12">
        <v>4119</v>
      </c>
      <c r="U15" s="13"/>
      <c r="V15" s="13"/>
      <c r="W15" s="13"/>
      <c r="X15" s="13"/>
      <c r="Y15" s="13"/>
      <c r="Z15" s="13"/>
      <c r="AA15" s="13"/>
      <c r="AB15" s="13"/>
      <c r="AC15" s="13"/>
      <c r="AD15" s="13"/>
      <c r="AE15" s="13"/>
      <c r="AF15" s="13"/>
      <c r="AG15" s="13"/>
      <c r="AH15" s="13"/>
      <c r="AI15" s="13"/>
      <c r="AJ15" s="13"/>
      <c r="AK15" s="13"/>
    </row>
    <row r="16" spans="1:37" ht="15.75" customHeight="1" x14ac:dyDescent="0.15">
      <c r="A16" s="7" t="s">
        <v>96</v>
      </c>
      <c r="B16" s="9">
        <v>665</v>
      </c>
      <c r="D16" s="32"/>
      <c r="E16" s="7" t="s">
        <v>103</v>
      </c>
      <c r="F16" s="9">
        <v>2</v>
      </c>
      <c r="G16" s="9">
        <v>0</v>
      </c>
      <c r="H16" s="9">
        <v>0</v>
      </c>
      <c r="I16" s="12">
        <v>2</v>
      </c>
      <c r="J16" s="13"/>
      <c r="K16" s="18" t="s">
        <v>104</v>
      </c>
      <c r="L16" s="12">
        <v>0</v>
      </c>
      <c r="M16" s="12">
        <v>0</v>
      </c>
      <c r="N16" s="12">
        <v>1</v>
      </c>
      <c r="O16" s="12">
        <v>1</v>
      </c>
      <c r="P16" s="12">
        <v>0</v>
      </c>
      <c r="Q16" s="12">
        <v>0</v>
      </c>
      <c r="R16" s="12">
        <v>1</v>
      </c>
      <c r="S16" s="12">
        <v>0</v>
      </c>
      <c r="T16" s="12">
        <v>3</v>
      </c>
      <c r="U16" s="13"/>
      <c r="V16" s="13"/>
      <c r="W16" s="13"/>
      <c r="X16" s="13"/>
      <c r="Y16" s="13"/>
      <c r="Z16" s="13"/>
      <c r="AA16" s="13"/>
      <c r="AB16" s="13"/>
      <c r="AC16" s="13"/>
      <c r="AD16" s="13"/>
      <c r="AE16" s="13"/>
      <c r="AF16" s="13"/>
      <c r="AG16" s="13"/>
      <c r="AH16" s="13"/>
      <c r="AI16" s="13"/>
      <c r="AJ16" s="13"/>
      <c r="AK16" s="13"/>
    </row>
    <row r="17" spans="1:37" ht="15.75" customHeight="1" x14ac:dyDescent="0.15">
      <c r="A17" s="2"/>
      <c r="B17" s="13"/>
      <c r="D17" s="33"/>
      <c r="E17" s="7" t="s">
        <v>109</v>
      </c>
      <c r="F17" s="9">
        <v>0</v>
      </c>
      <c r="G17" s="9">
        <v>0</v>
      </c>
      <c r="H17" s="9">
        <v>1</v>
      </c>
      <c r="I17" s="12">
        <v>1</v>
      </c>
      <c r="J17" s="13"/>
      <c r="K17" s="19" t="s">
        <v>112</v>
      </c>
      <c r="L17" s="9">
        <v>0</v>
      </c>
      <c r="M17" s="9">
        <v>0</v>
      </c>
      <c r="N17" s="9">
        <v>1</v>
      </c>
      <c r="O17" s="9">
        <v>1</v>
      </c>
      <c r="P17" s="9">
        <v>0</v>
      </c>
      <c r="Q17" s="9">
        <v>0</v>
      </c>
      <c r="R17" s="9">
        <v>1</v>
      </c>
      <c r="S17" s="9">
        <v>0</v>
      </c>
      <c r="T17" s="12">
        <v>3</v>
      </c>
      <c r="U17" s="13"/>
      <c r="V17" s="13"/>
      <c r="W17" s="13"/>
      <c r="X17" s="13"/>
      <c r="Y17" s="13"/>
      <c r="Z17" s="13"/>
      <c r="AA17" s="13"/>
      <c r="AB17" s="13"/>
      <c r="AC17" s="13"/>
      <c r="AD17" s="13"/>
      <c r="AE17" s="13"/>
      <c r="AF17" s="13"/>
      <c r="AG17" s="13"/>
      <c r="AH17" s="13"/>
      <c r="AI17" s="13"/>
      <c r="AJ17" s="13"/>
      <c r="AK17" s="13"/>
    </row>
    <row r="18" spans="1:37" ht="15.75" customHeight="1" x14ac:dyDescent="0.15">
      <c r="A18" s="30" t="s">
        <v>120</v>
      </c>
      <c r="B18" s="29"/>
      <c r="D18" s="11" t="s">
        <v>121</v>
      </c>
      <c r="E18" s="11"/>
      <c r="F18" s="12">
        <v>93</v>
      </c>
      <c r="G18" s="12">
        <v>0</v>
      </c>
      <c r="H18" s="12">
        <v>1</v>
      </c>
      <c r="I18" s="12">
        <v>94</v>
      </c>
      <c r="J18" s="13"/>
      <c r="K18" s="18" t="s">
        <v>122</v>
      </c>
      <c r="L18" s="12">
        <v>0</v>
      </c>
      <c r="M18" s="12">
        <v>0</v>
      </c>
      <c r="N18" s="12">
        <v>44</v>
      </c>
      <c r="O18" s="12">
        <v>68</v>
      </c>
      <c r="P18" s="12">
        <v>0</v>
      </c>
      <c r="Q18" s="12">
        <v>9</v>
      </c>
      <c r="R18" s="12">
        <v>25</v>
      </c>
      <c r="S18" s="12">
        <v>68</v>
      </c>
      <c r="T18" s="12">
        <v>214</v>
      </c>
      <c r="U18" s="13"/>
      <c r="V18" s="13"/>
      <c r="W18" s="13"/>
      <c r="X18" s="13"/>
      <c r="Y18" s="13"/>
      <c r="Z18" s="13"/>
      <c r="AA18" s="13"/>
      <c r="AB18" s="13"/>
      <c r="AC18" s="13"/>
      <c r="AD18" s="13"/>
      <c r="AE18" s="13"/>
      <c r="AF18" s="13"/>
      <c r="AG18" s="13"/>
      <c r="AH18" s="13"/>
      <c r="AI18" s="13"/>
      <c r="AJ18" s="13"/>
      <c r="AK18" s="13"/>
    </row>
    <row r="19" spans="1:37" ht="15.75" customHeight="1" x14ac:dyDescent="0.15">
      <c r="A19" s="4" t="s">
        <v>13</v>
      </c>
      <c r="B19" s="4" t="s">
        <v>16</v>
      </c>
      <c r="D19" s="31" t="s">
        <v>124</v>
      </c>
      <c r="E19" s="7" t="s">
        <v>127</v>
      </c>
      <c r="F19" s="9">
        <v>1</v>
      </c>
      <c r="G19" s="9">
        <v>0</v>
      </c>
      <c r="H19" s="9">
        <v>0</v>
      </c>
      <c r="I19" s="12">
        <v>1</v>
      </c>
      <c r="J19" s="13"/>
      <c r="K19" s="19" t="s">
        <v>130</v>
      </c>
      <c r="L19" s="9">
        <v>0</v>
      </c>
      <c r="M19" s="9">
        <v>0</v>
      </c>
      <c r="N19" s="9">
        <v>2</v>
      </c>
      <c r="O19" s="9">
        <v>6</v>
      </c>
      <c r="P19" s="9">
        <v>0</v>
      </c>
      <c r="Q19" s="9">
        <v>0</v>
      </c>
      <c r="R19" s="9">
        <v>3</v>
      </c>
      <c r="S19" s="9">
        <v>10</v>
      </c>
      <c r="T19" s="12">
        <v>21</v>
      </c>
      <c r="U19" s="13"/>
      <c r="V19" s="13"/>
      <c r="W19" s="13"/>
      <c r="X19" s="13"/>
      <c r="Y19" s="13"/>
      <c r="Z19" s="13"/>
      <c r="AA19" s="13"/>
      <c r="AB19" s="13"/>
      <c r="AC19" s="13"/>
      <c r="AD19" s="13"/>
      <c r="AE19" s="13"/>
      <c r="AF19" s="13"/>
      <c r="AG19" s="13"/>
      <c r="AH19" s="13"/>
      <c r="AI19" s="13"/>
      <c r="AJ19" s="13"/>
      <c r="AK19" s="13"/>
    </row>
    <row r="20" spans="1:37" ht="15.75" customHeight="1" x14ac:dyDescent="0.15">
      <c r="A20" s="7" t="s">
        <v>28</v>
      </c>
      <c r="B20" s="9">
        <v>267</v>
      </c>
      <c r="D20" s="32"/>
      <c r="E20" s="7" t="s">
        <v>132</v>
      </c>
      <c r="F20" s="9">
        <v>5</v>
      </c>
      <c r="G20" s="9">
        <v>0</v>
      </c>
      <c r="H20" s="9">
        <v>0</v>
      </c>
      <c r="I20" s="12">
        <v>5</v>
      </c>
      <c r="J20" s="13"/>
      <c r="K20" s="19" t="s">
        <v>133</v>
      </c>
      <c r="L20" s="9">
        <v>0</v>
      </c>
      <c r="M20" s="9">
        <v>0</v>
      </c>
      <c r="N20" s="9">
        <v>3</v>
      </c>
      <c r="O20" s="9">
        <v>4</v>
      </c>
      <c r="P20" s="9">
        <v>0</v>
      </c>
      <c r="Q20" s="9">
        <v>0</v>
      </c>
      <c r="R20" s="9">
        <v>0</v>
      </c>
      <c r="S20" s="9">
        <v>4</v>
      </c>
      <c r="T20" s="12">
        <v>11</v>
      </c>
      <c r="U20" s="13"/>
      <c r="V20" s="13"/>
      <c r="W20" s="13"/>
      <c r="X20" s="13"/>
      <c r="Y20" s="13"/>
      <c r="Z20" s="13"/>
      <c r="AA20" s="13"/>
      <c r="AB20" s="13"/>
      <c r="AC20" s="13"/>
      <c r="AD20" s="13"/>
      <c r="AE20" s="13"/>
      <c r="AF20" s="13"/>
      <c r="AG20" s="13"/>
      <c r="AH20" s="13"/>
      <c r="AI20" s="13"/>
      <c r="AJ20" s="13"/>
      <c r="AK20" s="13"/>
    </row>
    <row r="21" spans="1:37" ht="15.75" customHeight="1" x14ac:dyDescent="0.15">
      <c r="A21" s="7" t="s">
        <v>35</v>
      </c>
      <c r="B21" s="9">
        <v>728</v>
      </c>
      <c r="D21" s="32"/>
      <c r="E21" s="7" t="s">
        <v>139</v>
      </c>
      <c r="F21" s="9">
        <v>2</v>
      </c>
      <c r="G21" s="9">
        <v>0</v>
      </c>
      <c r="H21" s="9">
        <v>0</v>
      </c>
      <c r="I21" s="12">
        <v>2</v>
      </c>
      <c r="J21" s="13"/>
      <c r="K21" s="19" t="s">
        <v>140</v>
      </c>
      <c r="L21" s="9">
        <v>0</v>
      </c>
      <c r="M21" s="9">
        <v>0</v>
      </c>
      <c r="N21" s="9">
        <v>2</v>
      </c>
      <c r="O21" s="9">
        <v>2</v>
      </c>
      <c r="P21" s="9">
        <v>0</v>
      </c>
      <c r="Q21" s="9">
        <v>0</v>
      </c>
      <c r="R21" s="9">
        <v>0</v>
      </c>
      <c r="S21" s="9">
        <v>4</v>
      </c>
      <c r="T21" s="12">
        <v>8</v>
      </c>
      <c r="U21" s="13"/>
      <c r="V21" s="13"/>
      <c r="W21" s="13"/>
      <c r="X21" s="13"/>
      <c r="Y21" s="13"/>
      <c r="Z21" s="13"/>
      <c r="AA21" s="13"/>
      <c r="AB21" s="13"/>
      <c r="AC21" s="13"/>
      <c r="AD21" s="13"/>
      <c r="AE21" s="13"/>
      <c r="AF21" s="13"/>
      <c r="AG21" s="13"/>
      <c r="AH21" s="13"/>
      <c r="AI21" s="13"/>
      <c r="AJ21" s="13"/>
      <c r="AK21" s="13"/>
    </row>
    <row r="22" spans="1:37" ht="15.75" customHeight="1" x14ac:dyDescent="0.15">
      <c r="A22" s="7" t="s">
        <v>46</v>
      </c>
      <c r="B22" s="9">
        <v>441</v>
      </c>
      <c r="D22" s="33"/>
      <c r="E22" s="7" t="s">
        <v>146</v>
      </c>
      <c r="F22" s="9">
        <v>1</v>
      </c>
      <c r="G22" s="9">
        <v>0</v>
      </c>
      <c r="H22" s="9">
        <v>0</v>
      </c>
      <c r="I22" s="12">
        <v>1</v>
      </c>
      <c r="J22" s="13"/>
      <c r="K22" s="19" t="s">
        <v>147</v>
      </c>
      <c r="L22" s="9">
        <v>0</v>
      </c>
      <c r="M22" s="9">
        <v>0</v>
      </c>
      <c r="N22" s="9">
        <v>0</v>
      </c>
      <c r="O22" s="9">
        <v>1</v>
      </c>
      <c r="P22" s="9">
        <v>0</v>
      </c>
      <c r="Q22" s="9">
        <v>0</v>
      </c>
      <c r="R22" s="9">
        <v>0</v>
      </c>
      <c r="S22" s="9">
        <v>1</v>
      </c>
      <c r="T22" s="12">
        <v>2</v>
      </c>
      <c r="U22" s="13"/>
      <c r="V22" s="13"/>
      <c r="W22" s="13"/>
      <c r="X22" s="13"/>
      <c r="Y22" s="13"/>
      <c r="Z22" s="13"/>
      <c r="AA22" s="13"/>
      <c r="AB22" s="13"/>
      <c r="AC22" s="13"/>
      <c r="AD22" s="13"/>
      <c r="AE22" s="13"/>
      <c r="AF22" s="13"/>
      <c r="AG22" s="13"/>
      <c r="AH22" s="13"/>
      <c r="AI22" s="13"/>
      <c r="AJ22" s="13"/>
      <c r="AK22" s="13"/>
    </row>
    <row r="23" spans="1:37" ht="15.75" customHeight="1" x14ac:dyDescent="0.15">
      <c r="A23" s="7" t="s">
        <v>55</v>
      </c>
      <c r="B23" s="9">
        <v>1518</v>
      </c>
      <c r="D23" s="11" t="s">
        <v>148</v>
      </c>
      <c r="E23" s="11"/>
      <c r="F23" s="12">
        <v>9</v>
      </c>
      <c r="G23" s="12">
        <v>0</v>
      </c>
      <c r="H23" s="12">
        <v>0</v>
      </c>
      <c r="I23" s="12">
        <v>9</v>
      </c>
      <c r="J23" s="13"/>
      <c r="K23" s="19" t="s">
        <v>149</v>
      </c>
      <c r="L23" s="9">
        <v>0</v>
      </c>
      <c r="M23" s="9">
        <v>0</v>
      </c>
      <c r="N23" s="9">
        <v>3</v>
      </c>
      <c r="O23" s="9">
        <v>2</v>
      </c>
      <c r="P23" s="9">
        <v>0</v>
      </c>
      <c r="Q23" s="9">
        <v>2</v>
      </c>
      <c r="R23" s="9">
        <v>3</v>
      </c>
      <c r="S23" s="9">
        <v>6</v>
      </c>
      <c r="T23" s="12">
        <v>16</v>
      </c>
      <c r="U23" s="13"/>
      <c r="V23" s="13"/>
      <c r="W23" s="13"/>
      <c r="X23" s="13"/>
      <c r="Y23" s="13"/>
      <c r="Z23" s="13"/>
      <c r="AA23" s="13"/>
      <c r="AB23" s="13"/>
      <c r="AC23" s="13"/>
      <c r="AD23" s="13"/>
      <c r="AE23" s="13"/>
      <c r="AF23" s="13"/>
      <c r="AG23" s="13"/>
      <c r="AH23" s="13"/>
      <c r="AI23" s="13"/>
      <c r="AJ23" s="13"/>
      <c r="AK23" s="13"/>
    </row>
    <row r="24" spans="1:37" ht="15.75" customHeight="1" x14ac:dyDescent="0.15">
      <c r="A24" s="7" t="s">
        <v>59</v>
      </c>
      <c r="B24" s="9">
        <v>94</v>
      </c>
      <c r="D24" s="31" t="s">
        <v>72</v>
      </c>
      <c r="E24" s="7" t="s">
        <v>151</v>
      </c>
      <c r="F24" s="9">
        <v>4</v>
      </c>
      <c r="G24" s="9">
        <v>0</v>
      </c>
      <c r="H24" s="9">
        <v>0</v>
      </c>
      <c r="I24" s="12">
        <v>4</v>
      </c>
      <c r="J24" s="13"/>
      <c r="K24" s="19" t="s">
        <v>152</v>
      </c>
      <c r="L24" s="9">
        <v>0</v>
      </c>
      <c r="M24" s="9">
        <v>0</v>
      </c>
      <c r="N24" s="9">
        <v>3</v>
      </c>
      <c r="O24" s="9">
        <v>2</v>
      </c>
      <c r="P24" s="9">
        <v>0</v>
      </c>
      <c r="Q24" s="9">
        <v>0</v>
      </c>
      <c r="R24" s="9">
        <v>0</v>
      </c>
      <c r="S24" s="9">
        <v>2</v>
      </c>
      <c r="T24" s="12">
        <v>7</v>
      </c>
      <c r="U24" s="13"/>
      <c r="V24" s="13"/>
      <c r="W24" s="13"/>
      <c r="X24" s="13"/>
      <c r="Y24" s="13"/>
      <c r="Z24" s="13"/>
      <c r="AA24" s="13"/>
      <c r="AB24" s="13"/>
      <c r="AC24" s="13"/>
      <c r="AD24" s="13"/>
      <c r="AE24" s="13"/>
      <c r="AF24" s="13"/>
      <c r="AG24" s="13"/>
      <c r="AH24" s="13"/>
      <c r="AI24" s="13"/>
      <c r="AJ24" s="13"/>
      <c r="AK24" s="13"/>
    </row>
    <row r="25" spans="1:37" ht="15.75" customHeight="1" x14ac:dyDescent="0.15">
      <c r="A25" s="7" t="s">
        <v>137</v>
      </c>
      <c r="B25" s="9">
        <v>61</v>
      </c>
      <c r="D25" s="32"/>
      <c r="E25" s="7" t="s">
        <v>157</v>
      </c>
      <c r="F25" s="9">
        <v>1</v>
      </c>
      <c r="G25" s="9">
        <v>0</v>
      </c>
      <c r="H25" s="9">
        <v>0</v>
      </c>
      <c r="I25" s="12">
        <v>1</v>
      </c>
      <c r="J25" s="13"/>
      <c r="K25" s="19" t="s">
        <v>158</v>
      </c>
      <c r="L25" s="9">
        <v>0</v>
      </c>
      <c r="M25" s="9">
        <v>0</v>
      </c>
      <c r="N25" s="9">
        <v>0</v>
      </c>
      <c r="O25" s="9">
        <v>5</v>
      </c>
      <c r="P25" s="9">
        <v>0</v>
      </c>
      <c r="Q25" s="9">
        <v>0</v>
      </c>
      <c r="R25" s="9">
        <v>3</v>
      </c>
      <c r="S25" s="9">
        <v>0</v>
      </c>
      <c r="T25" s="12">
        <v>8</v>
      </c>
      <c r="U25" s="13"/>
      <c r="V25" s="13"/>
      <c r="W25" s="13"/>
      <c r="X25" s="13"/>
      <c r="Y25" s="13"/>
      <c r="Z25" s="13"/>
      <c r="AA25" s="13"/>
      <c r="AB25" s="13"/>
      <c r="AC25" s="13"/>
      <c r="AD25" s="13"/>
      <c r="AE25" s="13"/>
      <c r="AF25" s="13"/>
      <c r="AG25" s="13"/>
      <c r="AH25" s="13"/>
      <c r="AI25" s="13"/>
      <c r="AJ25" s="13"/>
      <c r="AK25" s="13"/>
    </row>
    <row r="26" spans="1:37" ht="15.75" customHeight="1" x14ac:dyDescent="0.15">
      <c r="A26" s="7" t="s">
        <v>72</v>
      </c>
      <c r="B26" s="9">
        <v>186</v>
      </c>
      <c r="D26" s="32"/>
      <c r="E26" s="7" t="s">
        <v>160</v>
      </c>
      <c r="F26" s="9">
        <v>1</v>
      </c>
      <c r="G26" s="9">
        <v>0</v>
      </c>
      <c r="H26" s="9">
        <v>0</v>
      </c>
      <c r="I26" s="12">
        <v>1</v>
      </c>
      <c r="J26" s="13"/>
      <c r="K26" s="19" t="s">
        <v>161</v>
      </c>
      <c r="L26" s="9">
        <v>0</v>
      </c>
      <c r="M26" s="9">
        <v>0</v>
      </c>
      <c r="N26" s="9">
        <v>2</v>
      </c>
      <c r="O26" s="9">
        <v>4</v>
      </c>
      <c r="P26" s="9">
        <v>0</v>
      </c>
      <c r="Q26" s="9">
        <v>0</v>
      </c>
      <c r="R26" s="9">
        <v>0</v>
      </c>
      <c r="S26" s="9">
        <v>7</v>
      </c>
      <c r="T26" s="12">
        <v>13</v>
      </c>
      <c r="U26" s="13"/>
      <c r="V26" s="13"/>
      <c r="W26" s="13"/>
      <c r="X26" s="13"/>
      <c r="Y26" s="13"/>
      <c r="Z26" s="13"/>
      <c r="AA26" s="13"/>
      <c r="AB26" s="13"/>
      <c r="AC26" s="13"/>
      <c r="AD26" s="13"/>
      <c r="AE26" s="13"/>
      <c r="AF26" s="13"/>
      <c r="AG26" s="13"/>
      <c r="AH26" s="13"/>
      <c r="AI26" s="13"/>
      <c r="AJ26" s="13"/>
      <c r="AK26" s="13"/>
    </row>
    <row r="27" spans="1:37" ht="15.75" customHeight="1" x14ac:dyDescent="0.15">
      <c r="A27" s="7" t="s">
        <v>165</v>
      </c>
      <c r="B27" s="9">
        <v>784</v>
      </c>
      <c r="D27" s="32"/>
      <c r="E27" s="7" t="s">
        <v>166</v>
      </c>
      <c r="F27" s="9">
        <v>1</v>
      </c>
      <c r="G27" s="9">
        <v>0</v>
      </c>
      <c r="H27" s="9">
        <v>0</v>
      </c>
      <c r="I27" s="12">
        <v>1</v>
      </c>
      <c r="J27" s="13"/>
      <c r="K27" s="19" t="s">
        <v>167</v>
      </c>
      <c r="L27" s="9">
        <v>0</v>
      </c>
      <c r="M27" s="9">
        <v>0</v>
      </c>
      <c r="N27" s="9">
        <v>3</v>
      </c>
      <c r="O27" s="9">
        <v>4</v>
      </c>
      <c r="P27" s="9">
        <v>0</v>
      </c>
      <c r="Q27" s="9">
        <v>1</v>
      </c>
      <c r="R27" s="9">
        <v>1</v>
      </c>
      <c r="S27" s="9">
        <v>3</v>
      </c>
      <c r="T27" s="12">
        <v>12</v>
      </c>
      <c r="U27" s="13"/>
      <c r="V27" s="13"/>
      <c r="W27" s="13"/>
      <c r="X27" s="13"/>
      <c r="Y27" s="13"/>
      <c r="Z27" s="13"/>
      <c r="AA27" s="13"/>
      <c r="AB27" s="13"/>
      <c r="AC27" s="13"/>
      <c r="AD27" s="13"/>
      <c r="AE27" s="13"/>
      <c r="AF27" s="13"/>
      <c r="AG27" s="13"/>
      <c r="AH27" s="13"/>
      <c r="AI27" s="13"/>
      <c r="AJ27" s="13"/>
      <c r="AK27" s="13"/>
    </row>
    <row r="28" spans="1:37" ht="15.75" customHeight="1" x14ac:dyDescent="0.15">
      <c r="A28" s="7" t="s">
        <v>168</v>
      </c>
      <c r="B28" s="9">
        <v>17</v>
      </c>
      <c r="D28" s="32"/>
      <c r="E28" s="7" t="s">
        <v>169</v>
      </c>
      <c r="F28" s="9">
        <v>0</v>
      </c>
      <c r="G28" s="9">
        <v>0</v>
      </c>
      <c r="H28" s="9">
        <v>1</v>
      </c>
      <c r="I28" s="12">
        <v>1</v>
      </c>
      <c r="J28" s="13"/>
      <c r="K28" s="19" t="s">
        <v>170</v>
      </c>
      <c r="L28" s="9">
        <v>0</v>
      </c>
      <c r="M28" s="9">
        <v>0</v>
      </c>
      <c r="N28" s="9">
        <v>1</v>
      </c>
      <c r="O28" s="9">
        <v>1</v>
      </c>
      <c r="P28" s="9">
        <v>0</v>
      </c>
      <c r="Q28" s="9">
        <v>0</v>
      </c>
      <c r="R28" s="9">
        <v>0</v>
      </c>
      <c r="S28" s="9">
        <v>2</v>
      </c>
      <c r="T28" s="12">
        <v>4</v>
      </c>
      <c r="U28" s="13"/>
      <c r="V28" s="13"/>
      <c r="W28" s="13"/>
      <c r="X28" s="13"/>
      <c r="Y28" s="13"/>
      <c r="Z28" s="13"/>
      <c r="AA28" s="13"/>
      <c r="AB28" s="13"/>
      <c r="AC28" s="13"/>
      <c r="AD28" s="13"/>
      <c r="AE28" s="13"/>
      <c r="AF28" s="13"/>
      <c r="AG28" s="13"/>
      <c r="AH28" s="13"/>
      <c r="AI28" s="13"/>
      <c r="AJ28" s="13"/>
      <c r="AK28" s="13"/>
    </row>
    <row r="29" spans="1:37" ht="15.75" customHeight="1" x14ac:dyDescent="0.15">
      <c r="A29" s="7" t="s">
        <v>172</v>
      </c>
      <c r="B29" s="9">
        <v>9</v>
      </c>
      <c r="D29" s="32"/>
      <c r="E29" s="7" t="s">
        <v>72</v>
      </c>
      <c r="F29" s="9">
        <v>97</v>
      </c>
      <c r="G29" s="9">
        <v>0</v>
      </c>
      <c r="H29" s="9">
        <v>4</v>
      </c>
      <c r="I29" s="12">
        <v>101</v>
      </c>
      <c r="J29" s="13"/>
      <c r="K29" s="19" t="s">
        <v>177</v>
      </c>
      <c r="L29" s="9">
        <v>0</v>
      </c>
      <c r="M29" s="9">
        <v>0</v>
      </c>
      <c r="N29" s="9">
        <v>2</v>
      </c>
      <c r="O29" s="9">
        <v>4</v>
      </c>
      <c r="P29" s="9">
        <v>0</v>
      </c>
      <c r="Q29" s="9">
        <v>0</v>
      </c>
      <c r="R29" s="9">
        <v>1</v>
      </c>
      <c r="S29" s="9">
        <v>3</v>
      </c>
      <c r="T29" s="12">
        <v>10</v>
      </c>
      <c r="U29" s="13"/>
      <c r="V29" s="13"/>
      <c r="W29" s="13"/>
      <c r="X29" s="13"/>
      <c r="Y29" s="13"/>
      <c r="Z29" s="13"/>
      <c r="AA29" s="13"/>
      <c r="AB29" s="13"/>
      <c r="AC29" s="13"/>
      <c r="AD29" s="13"/>
      <c r="AE29" s="13"/>
      <c r="AF29" s="13"/>
      <c r="AG29" s="13"/>
      <c r="AH29" s="13"/>
      <c r="AI29" s="13"/>
      <c r="AJ29" s="13"/>
      <c r="AK29" s="13"/>
    </row>
    <row r="30" spans="1:37" ht="15.75" customHeight="1" x14ac:dyDescent="0.15">
      <c r="A30" s="7" t="s">
        <v>38</v>
      </c>
      <c r="B30" s="9">
        <v>5</v>
      </c>
      <c r="D30" s="32"/>
      <c r="E30" s="7" t="s">
        <v>182</v>
      </c>
      <c r="F30" s="9">
        <v>1</v>
      </c>
      <c r="G30" s="9">
        <v>0</v>
      </c>
      <c r="H30" s="9">
        <v>1</v>
      </c>
      <c r="I30" s="12">
        <v>2</v>
      </c>
      <c r="J30" s="13"/>
      <c r="K30" s="19" t="s">
        <v>183</v>
      </c>
      <c r="L30" s="9">
        <v>0</v>
      </c>
      <c r="M30" s="9">
        <v>0</v>
      </c>
      <c r="N30" s="9">
        <v>1</v>
      </c>
      <c r="O30" s="9">
        <v>5</v>
      </c>
      <c r="P30" s="9">
        <v>0</v>
      </c>
      <c r="Q30" s="9">
        <v>0</v>
      </c>
      <c r="R30" s="9">
        <v>0</v>
      </c>
      <c r="S30" s="9">
        <v>1</v>
      </c>
      <c r="T30" s="12">
        <v>7</v>
      </c>
      <c r="U30" s="13"/>
      <c r="V30" s="13"/>
      <c r="W30" s="13"/>
      <c r="X30" s="13"/>
      <c r="Y30" s="13"/>
      <c r="Z30" s="13"/>
      <c r="AA30" s="13"/>
      <c r="AB30" s="13"/>
      <c r="AC30" s="13"/>
      <c r="AD30" s="13"/>
      <c r="AE30" s="13"/>
      <c r="AF30" s="13"/>
      <c r="AG30" s="13"/>
      <c r="AH30" s="13"/>
      <c r="AI30" s="13"/>
      <c r="AJ30" s="13"/>
      <c r="AK30" s="13"/>
    </row>
    <row r="31" spans="1:37" ht="15.75" customHeight="1" x14ac:dyDescent="0.15">
      <c r="A31" s="7" t="s">
        <v>124</v>
      </c>
      <c r="B31" s="9">
        <v>9</v>
      </c>
      <c r="D31" s="32"/>
      <c r="E31" s="7" t="s">
        <v>136</v>
      </c>
      <c r="F31" s="9">
        <v>5</v>
      </c>
      <c r="G31" s="9">
        <v>0</v>
      </c>
      <c r="H31" s="9">
        <v>0</v>
      </c>
      <c r="I31" s="12">
        <v>5</v>
      </c>
      <c r="J31" s="13"/>
      <c r="K31" s="19" t="s">
        <v>184</v>
      </c>
      <c r="L31" s="9">
        <v>0</v>
      </c>
      <c r="M31" s="9">
        <v>0</v>
      </c>
      <c r="N31" s="9">
        <v>1</v>
      </c>
      <c r="O31" s="9">
        <v>2</v>
      </c>
      <c r="P31" s="9">
        <v>0</v>
      </c>
      <c r="Q31" s="9">
        <v>0</v>
      </c>
      <c r="R31" s="9">
        <v>0</v>
      </c>
      <c r="S31" s="9">
        <v>3</v>
      </c>
      <c r="T31" s="12">
        <v>6</v>
      </c>
      <c r="U31" s="13"/>
      <c r="V31" s="13"/>
      <c r="W31" s="13"/>
      <c r="X31" s="13"/>
      <c r="Y31" s="13"/>
      <c r="Z31" s="13"/>
      <c r="AA31" s="13"/>
      <c r="AB31" s="13"/>
      <c r="AC31" s="13"/>
      <c r="AD31" s="13"/>
      <c r="AE31" s="13"/>
      <c r="AF31" s="13"/>
      <c r="AG31" s="13"/>
      <c r="AH31" s="13"/>
      <c r="AI31" s="13"/>
      <c r="AJ31" s="13"/>
      <c r="AK31" s="13"/>
    </row>
    <row r="32" spans="1:37" ht="15.75" customHeight="1" x14ac:dyDescent="0.15">
      <c r="A32" s="2"/>
      <c r="B32" s="13"/>
      <c r="D32" s="32"/>
      <c r="E32" s="7" t="s">
        <v>185</v>
      </c>
      <c r="F32" s="9">
        <v>1</v>
      </c>
      <c r="G32" s="9">
        <v>0</v>
      </c>
      <c r="H32" s="9">
        <v>0</v>
      </c>
      <c r="I32" s="12">
        <v>1</v>
      </c>
      <c r="J32" s="13"/>
      <c r="K32" s="19" t="s">
        <v>187</v>
      </c>
      <c r="L32" s="9">
        <v>0</v>
      </c>
      <c r="M32" s="9">
        <v>0</v>
      </c>
      <c r="N32" s="9">
        <v>1</v>
      </c>
      <c r="O32" s="9">
        <v>5</v>
      </c>
      <c r="P32" s="9">
        <v>0</v>
      </c>
      <c r="Q32" s="9">
        <v>0</v>
      </c>
      <c r="R32" s="9">
        <v>7</v>
      </c>
      <c r="S32" s="9">
        <v>3</v>
      </c>
      <c r="T32" s="12">
        <v>16</v>
      </c>
      <c r="U32" s="13"/>
      <c r="V32" s="13"/>
      <c r="W32" s="13"/>
      <c r="X32" s="13"/>
      <c r="Y32" s="13"/>
      <c r="Z32" s="13"/>
      <c r="AA32" s="13"/>
      <c r="AB32" s="13"/>
      <c r="AC32" s="13"/>
      <c r="AD32" s="13"/>
      <c r="AE32" s="13"/>
      <c r="AF32" s="13"/>
      <c r="AG32" s="13"/>
      <c r="AH32" s="13"/>
      <c r="AI32" s="13"/>
      <c r="AJ32" s="13"/>
      <c r="AK32" s="13"/>
    </row>
    <row r="33" spans="1:37" ht="15.75" customHeight="1" x14ac:dyDescent="0.15">
      <c r="A33" s="2"/>
      <c r="B33" s="13"/>
      <c r="D33" s="32"/>
      <c r="E33" s="7" t="s">
        <v>188</v>
      </c>
      <c r="F33" s="9">
        <v>21</v>
      </c>
      <c r="G33" s="9">
        <v>0</v>
      </c>
      <c r="H33" s="9">
        <v>0</v>
      </c>
      <c r="I33" s="12">
        <v>21</v>
      </c>
      <c r="J33" s="13"/>
      <c r="K33" s="19" t="s">
        <v>190</v>
      </c>
      <c r="L33" s="9">
        <v>0</v>
      </c>
      <c r="M33" s="9">
        <v>0</v>
      </c>
      <c r="N33" s="9">
        <v>3</v>
      </c>
      <c r="O33" s="9">
        <v>0</v>
      </c>
      <c r="P33" s="9">
        <v>0</v>
      </c>
      <c r="Q33" s="9">
        <v>0</v>
      </c>
      <c r="R33" s="9">
        <v>0</v>
      </c>
      <c r="S33" s="9">
        <v>1</v>
      </c>
      <c r="T33" s="12">
        <v>4</v>
      </c>
      <c r="U33" s="13"/>
      <c r="V33" s="13"/>
      <c r="W33" s="13"/>
      <c r="X33" s="13"/>
      <c r="Y33" s="13"/>
      <c r="Z33" s="13"/>
      <c r="AA33" s="13"/>
      <c r="AB33" s="13"/>
      <c r="AC33" s="13"/>
      <c r="AD33" s="13"/>
      <c r="AE33" s="13"/>
      <c r="AF33" s="13"/>
      <c r="AG33" s="13"/>
      <c r="AH33" s="13"/>
      <c r="AI33" s="13"/>
      <c r="AJ33" s="13"/>
      <c r="AK33" s="13"/>
    </row>
    <row r="34" spans="1:37" ht="15.75" customHeight="1" x14ac:dyDescent="0.15">
      <c r="A34" s="2"/>
      <c r="B34" s="13"/>
      <c r="D34" s="32"/>
      <c r="E34" s="7" t="s">
        <v>194</v>
      </c>
      <c r="F34" s="9">
        <v>1</v>
      </c>
      <c r="G34" s="9">
        <v>0</v>
      </c>
      <c r="H34" s="9">
        <v>0</v>
      </c>
      <c r="I34" s="12">
        <v>1</v>
      </c>
      <c r="J34" s="13"/>
      <c r="K34" s="19" t="s">
        <v>195</v>
      </c>
      <c r="L34" s="9">
        <v>0</v>
      </c>
      <c r="M34" s="9">
        <v>0</v>
      </c>
      <c r="N34" s="9">
        <v>0</v>
      </c>
      <c r="O34" s="9">
        <v>1</v>
      </c>
      <c r="P34" s="9">
        <v>0</v>
      </c>
      <c r="Q34" s="9">
        <v>0</v>
      </c>
      <c r="R34" s="9">
        <v>0</v>
      </c>
      <c r="S34" s="9">
        <v>0</v>
      </c>
      <c r="T34" s="12">
        <v>1</v>
      </c>
      <c r="U34" s="13"/>
      <c r="V34" s="13"/>
      <c r="W34" s="13"/>
      <c r="X34" s="13"/>
      <c r="Y34" s="13"/>
      <c r="Z34" s="13"/>
      <c r="AA34" s="13"/>
      <c r="AB34" s="13"/>
      <c r="AC34" s="13"/>
      <c r="AD34" s="13"/>
      <c r="AE34" s="13"/>
      <c r="AF34" s="13"/>
      <c r="AG34" s="13"/>
      <c r="AH34" s="13"/>
      <c r="AI34" s="13"/>
      <c r="AJ34" s="13"/>
      <c r="AK34" s="13"/>
    </row>
    <row r="35" spans="1:37" ht="15.75" customHeight="1" x14ac:dyDescent="0.15">
      <c r="A35" s="2"/>
      <c r="B35" s="13"/>
      <c r="D35" s="32"/>
      <c r="E35" s="7" t="s">
        <v>88</v>
      </c>
      <c r="F35" s="9">
        <v>1</v>
      </c>
      <c r="G35" s="9">
        <v>0</v>
      </c>
      <c r="H35" s="9">
        <v>1</v>
      </c>
      <c r="I35" s="12">
        <v>2</v>
      </c>
      <c r="J35" s="13"/>
      <c r="K35" s="19" t="s">
        <v>198</v>
      </c>
      <c r="L35" s="9">
        <v>0</v>
      </c>
      <c r="M35" s="9">
        <v>0</v>
      </c>
      <c r="N35" s="9">
        <v>0</v>
      </c>
      <c r="O35" s="9">
        <v>2</v>
      </c>
      <c r="P35" s="9">
        <v>0</v>
      </c>
      <c r="Q35" s="9">
        <v>0</v>
      </c>
      <c r="R35" s="9">
        <v>0</v>
      </c>
      <c r="S35" s="9">
        <v>0</v>
      </c>
      <c r="T35" s="12">
        <v>2</v>
      </c>
      <c r="U35" s="13"/>
      <c r="V35" s="13"/>
      <c r="W35" s="13"/>
      <c r="X35" s="13"/>
      <c r="Y35" s="13"/>
      <c r="Z35" s="13"/>
      <c r="AA35" s="13"/>
      <c r="AB35" s="13"/>
      <c r="AC35" s="13"/>
      <c r="AD35" s="13"/>
      <c r="AE35" s="13"/>
      <c r="AF35" s="13"/>
      <c r="AG35" s="13"/>
      <c r="AH35" s="13"/>
      <c r="AI35" s="13"/>
      <c r="AJ35" s="13"/>
      <c r="AK35" s="13"/>
    </row>
    <row r="36" spans="1:37" ht="15.75" customHeight="1" x14ac:dyDescent="0.15">
      <c r="A36" s="2"/>
      <c r="B36" s="2"/>
      <c r="D36" s="32"/>
      <c r="E36" s="7" t="s">
        <v>201</v>
      </c>
      <c r="F36" s="9">
        <v>7</v>
      </c>
      <c r="G36" s="9">
        <v>0</v>
      </c>
      <c r="H36" s="9">
        <v>0</v>
      </c>
      <c r="I36" s="12">
        <v>7</v>
      </c>
      <c r="J36" s="13"/>
      <c r="K36" s="19" t="s">
        <v>202</v>
      </c>
      <c r="L36" s="9">
        <v>0</v>
      </c>
      <c r="M36" s="9">
        <v>0</v>
      </c>
      <c r="N36" s="9">
        <v>5</v>
      </c>
      <c r="O36" s="9">
        <v>0</v>
      </c>
      <c r="P36" s="9">
        <v>0</v>
      </c>
      <c r="Q36" s="9">
        <v>6</v>
      </c>
      <c r="R36" s="9">
        <v>1</v>
      </c>
      <c r="S36" s="9">
        <v>2</v>
      </c>
      <c r="T36" s="12">
        <v>14</v>
      </c>
      <c r="U36" s="13"/>
      <c r="V36" s="13"/>
      <c r="W36" s="13"/>
      <c r="X36" s="13"/>
      <c r="Y36" s="13"/>
      <c r="Z36" s="13"/>
      <c r="AA36" s="13"/>
      <c r="AB36" s="13"/>
      <c r="AC36" s="13"/>
      <c r="AD36" s="13"/>
      <c r="AE36" s="13"/>
      <c r="AF36" s="13"/>
      <c r="AG36" s="13"/>
      <c r="AH36" s="13"/>
      <c r="AI36" s="13"/>
      <c r="AJ36" s="13"/>
      <c r="AK36" s="13"/>
    </row>
    <row r="37" spans="1:37" ht="15.75" customHeight="1" x14ac:dyDescent="0.15">
      <c r="A37" s="2"/>
      <c r="B37" s="13"/>
      <c r="D37" s="32"/>
      <c r="E37" s="7" t="s">
        <v>208</v>
      </c>
      <c r="F37" s="9">
        <v>4</v>
      </c>
      <c r="G37" s="9">
        <v>0</v>
      </c>
      <c r="H37" s="9">
        <v>0</v>
      </c>
      <c r="I37" s="12">
        <v>4</v>
      </c>
      <c r="J37" s="13"/>
      <c r="K37" s="19" t="s">
        <v>209</v>
      </c>
      <c r="L37" s="9">
        <v>0</v>
      </c>
      <c r="M37" s="9">
        <v>0</v>
      </c>
      <c r="N37" s="9">
        <v>1</v>
      </c>
      <c r="O37" s="9">
        <v>2</v>
      </c>
      <c r="P37" s="9">
        <v>0</v>
      </c>
      <c r="Q37" s="9">
        <v>0</v>
      </c>
      <c r="R37" s="9">
        <v>1</v>
      </c>
      <c r="S37" s="9">
        <v>3</v>
      </c>
      <c r="T37" s="12">
        <v>7</v>
      </c>
      <c r="U37" s="13"/>
      <c r="V37" s="13"/>
      <c r="W37" s="13"/>
      <c r="X37" s="13"/>
      <c r="Y37" s="13"/>
      <c r="Z37" s="13"/>
      <c r="AA37" s="13"/>
      <c r="AB37" s="13"/>
      <c r="AC37" s="13"/>
      <c r="AD37" s="13"/>
      <c r="AE37" s="13"/>
      <c r="AF37" s="13"/>
      <c r="AG37" s="13"/>
      <c r="AH37" s="13"/>
      <c r="AI37" s="13"/>
      <c r="AJ37" s="13"/>
      <c r="AK37" s="13"/>
    </row>
    <row r="38" spans="1:37" ht="15.75" customHeight="1" x14ac:dyDescent="0.15">
      <c r="A38" s="2"/>
      <c r="B38" s="13"/>
      <c r="D38" s="32"/>
      <c r="E38" s="7" t="s">
        <v>99</v>
      </c>
      <c r="F38" s="9">
        <v>4</v>
      </c>
      <c r="G38" s="9">
        <v>0</v>
      </c>
      <c r="H38" s="9">
        <v>0</v>
      </c>
      <c r="I38" s="12">
        <v>4</v>
      </c>
      <c r="J38" s="13"/>
      <c r="K38" s="19" t="s">
        <v>213</v>
      </c>
      <c r="L38" s="9">
        <v>0</v>
      </c>
      <c r="M38" s="9">
        <v>0</v>
      </c>
      <c r="N38" s="9">
        <v>3</v>
      </c>
      <c r="O38" s="9">
        <v>2</v>
      </c>
      <c r="P38" s="9">
        <v>0</v>
      </c>
      <c r="Q38" s="9">
        <v>0</v>
      </c>
      <c r="R38" s="9">
        <v>1</v>
      </c>
      <c r="S38" s="9">
        <v>3</v>
      </c>
      <c r="T38" s="12">
        <v>9</v>
      </c>
      <c r="U38" s="13"/>
      <c r="V38" s="13"/>
      <c r="W38" s="13"/>
      <c r="X38" s="13"/>
      <c r="Y38" s="13"/>
      <c r="Z38" s="13"/>
      <c r="AA38" s="13"/>
      <c r="AB38" s="13"/>
      <c r="AC38" s="13"/>
      <c r="AD38" s="13"/>
      <c r="AE38" s="13"/>
      <c r="AF38" s="13"/>
      <c r="AG38" s="13"/>
      <c r="AH38" s="13"/>
      <c r="AI38" s="13"/>
      <c r="AJ38" s="13"/>
      <c r="AK38" s="13"/>
    </row>
    <row r="39" spans="1:37" ht="15.75" customHeight="1" x14ac:dyDescent="0.15">
      <c r="A39" s="2"/>
      <c r="B39" s="13"/>
      <c r="D39" s="32"/>
      <c r="E39" s="7" t="s">
        <v>216</v>
      </c>
      <c r="F39" s="9">
        <v>8</v>
      </c>
      <c r="G39" s="9">
        <v>0</v>
      </c>
      <c r="H39" s="9">
        <v>1</v>
      </c>
      <c r="I39" s="12">
        <v>9</v>
      </c>
      <c r="J39" s="13"/>
      <c r="K39" s="19" t="s">
        <v>217</v>
      </c>
      <c r="L39" s="9">
        <v>0</v>
      </c>
      <c r="M39" s="9">
        <v>0</v>
      </c>
      <c r="N39" s="9">
        <v>2</v>
      </c>
      <c r="O39" s="9">
        <v>3</v>
      </c>
      <c r="P39" s="9">
        <v>0</v>
      </c>
      <c r="Q39" s="9">
        <v>0</v>
      </c>
      <c r="R39" s="9">
        <v>1</v>
      </c>
      <c r="S39" s="9">
        <v>2</v>
      </c>
      <c r="T39" s="12">
        <v>8</v>
      </c>
      <c r="U39" s="13"/>
      <c r="V39" s="13"/>
      <c r="W39" s="13"/>
      <c r="X39" s="13"/>
      <c r="Y39" s="13"/>
      <c r="Z39" s="13"/>
      <c r="AA39" s="13"/>
      <c r="AB39" s="13"/>
      <c r="AC39" s="13"/>
      <c r="AD39" s="13"/>
      <c r="AE39" s="13"/>
      <c r="AF39" s="13"/>
      <c r="AG39" s="13"/>
      <c r="AH39" s="13"/>
      <c r="AI39" s="13"/>
      <c r="AJ39" s="13"/>
      <c r="AK39" s="13"/>
    </row>
    <row r="40" spans="1:37" ht="15.75" customHeight="1" x14ac:dyDescent="0.15">
      <c r="A40" s="2"/>
      <c r="B40" s="13"/>
      <c r="D40" s="32"/>
      <c r="E40" s="7" t="s">
        <v>224</v>
      </c>
      <c r="F40" s="9">
        <v>5</v>
      </c>
      <c r="G40" s="9">
        <v>0</v>
      </c>
      <c r="H40" s="9">
        <v>0</v>
      </c>
      <c r="I40" s="12">
        <v>5</v>
      </c>
      <c r="J40" s="13"/>
      <c r="K40" s="19" t="s">
        <v>225</v>
      </c>
      <c r="L40" s="9">
        <v>0</v>
      </c>
      <c r="M40" s="9">
        <v>0</v>
      </c>
      <c r="N40" s="9">
        <v>1</v>
      </c>
      <c r="O40" s="9">
        <v>1</v>
      </c>
      <c r="P40" s="9">
        <v>0</v>
      </c>
      <c r="Q40" s="9">
        <v>0</v>
      </c>
      <c r="R40" s="9">
        <v>0</v>
      </c>
      <c r="S40" s="9">
        <v>3</v>
      </c>
      <c r="T40" s="12">
        <v>5</v>
      </c>
      <c r="U40" s="13"/>
      <c r="V40" s="13"/>
      <c r="W40" s="13"/>
      <c r="X40" s="13"/>
      <c r="Y40" s="13"/>
      <c r="Z40" s="13"/>
      <c r="AA40" s="13"/>
      <c r="AB40" s="13"/>
      <c r="AC40" s="13"/>
      <c r="AD40" s="13"/>
      <c r="AE40" s="13"/>
      <c r="AF40" s="13"/>
      <c r="AG40" s="13"/>
      <c r="AH40" s="13"/>
      <c r="AI40" s="13"/>
      <c r="AJ40" s="13"/>
      <c r="AK40" s="13"/>
    </row>
    <row r="41" spans="1:37" ht="15.75" customHeight="1" x14ac:dyDescent="0.15">
      <c r="A41" s="2"/>
      <c r="B41" s="13"/>
      <c r="D41" s="32"/>
      <c r="E41" s="7" t="s">
        <v>103</v>
      </c>
      <c r="F41" s="9">
        <v>1</v>
      </c>
      <c r="G41" s="9">
        <v>0</v>
      </c>
      <c r="H41" s="9">
        <v>0</v>
      </c>
      <c r="I41" s="12">
        <v>1</v>
      </c>
      <c r="J41" s="13"/>
      <c r="K41" s="19" t="s">
        <v>230</v>
      </c>
      <c r="L41" s="9">
        <v>0</v>
      </c>
      <c r="M41" s="9">
        <v>0</v>
      </c>
      <c r="N41" s="9">
        <v>2</v>
      </c>
      <c r="O41" s="9">
        <v>5</v>
      </c>
      <c r="P41" s="9">
        <v>0</v>
      </c>
      <c r="Q41" s="9">
        <v>0</v>
      </c>
      <c r="R41" s="9">
        <v>2</v>
      </c>
      <c r="S41" s="9">
        <v>0</v>
      </c>
      <c r="T41" s="12">
        <v>9</v>
      </c>
      <c r="U41" s="13"/>
      <c r="V41" s="13"/>
      <c r="W41" s="13"/>
      <c r="X41" s="13"/>
      <c r="Y41" s="13"/>
      <c r="Z41" s="13"/>
      <c r="AA41" s="13"/>
      <c r="AB41" s="13"/>
      <c r="AC41" s="13"/>
      <c r="AD41" s="13"/>
      <c r="AE41" s="13"/>
      <c r="AF41" s="13"/>
      <c r="AG41" s="13"/>
      <c r="AH41" s="13"/>
      <c r="AI41" s="13"/>
      <c r="AJ41" s="13"/>
      <c r="AK41" s="13"/>
    </row>
    <row r="42" spans="1:37" ht="15.75" customHeight="1" x14ac:dyDescent="0.15">
      <c r="A42" s="2"/>
      <c r="B42" s="13"/>
      <c r="D42" s="32"/>
      <c r="E42" s="7" t="s">
        <v>233</v>
      </c>
      <c r="F42" s="9">
        <v>1</v>
      </c>
      <c r="G42" s="9">
        <v>0</v>
      </c>
      <c r="H42" s="9">
        <v>0</v>
      </c>
      <c r="I42" s="12">
        <v>1</v>
      </c>
      <c r="J42" s="13"/>
      <c r="K42" s="19" t="s">
        <v>235</v>
      </c>
      <c r="L42" s="9">
        <v>0</v>
      </c>
      <c r="M42" s="9">
        <v>0</v>
      </c>
      <c r="N42" s="9">
        <v>3</v>
      </c>
      <c r="O42" s="9">
        <v>3</v>
      </c>
      <c r="P42" s="9">
        <v>0</v>
      </c>
      <c r="Q42" s="9">
        <v>0</v>
      </c>
      <c r="R42" s="9">
        <v>1</v>
      </c>
      <c r="S42" s="9">
        <v>3</v>
      </c>
      <c r="T42" s="12">
        <v>10</v>
      </c>
      <c r="U42" s="13"/>
      <c r="V42" s="13"/>
      <c r="W42" s="13"/>
      <c r="X42" s="13"/>
      <c r="Y42" s="13"/>
      <c r="Z42" s="13"/>
      <c r="AA42" s="13"/>
      <c r="AB42" s="13"/>
      <c r="AC42" s="13"/>
      <c r="AD42" s="13"/>
      <c r="AE42" s="13"/>
      <c r="AF42" s="13"/>
      <c r="AG42" s="13"/>
      <c r="AH42" s="13"/>
      <c r="AI42" s="13"/>
      <c r="AJ42" s="13"/>
      <c r="AK42" s="13"/>
    </row>
    <row r="43" spans="1:37" ht="15.75" customHeight="1" x14ac:dyDescent="0.15">
      <c r="A43" s="2"/>
      <c r="B43" s="13"/>
      <c r="D43" s="32"/>
      <c r="E43" s="7" t="s">
        <v>109</v>
      </c>
      <c r="F43" s="9">
        <v>9</v>
      </c>
      <c r="G43" s="9">
        <v>0</v>
      </c>
      <c r="H43" s="9">
        <v>0</v>
      </c>
      <c r="I43" s="12">
        <v>9</v>
      </c>
      <c r="J43" s="13"/>
      <c r="K43" s="19" t="s">
        <v>238</v>
      </c>
      <c r="L43" s="9">
        <v>0</v>
      </c>
      <c r="M43" s="9">
        <v>0</v>
      </c>
      <c r="N43" s="9">
        <v>0</v>
      </c>
      <c r="O43" s="9">
        <v>2</v>
      </c>
      <c r="P43" s="9">
        <v>0</v>
      </c>
      <c r="Q43" s="9">
        <v>0</v>
      </c>
      <c r="R43" s="9">
        <v>0</v>
      </c>
      <c r="S43" s="9">
        <v>2</v>
      </c>
      <c r="T43" s="12">
        <v>4</v>
      </c>
      <c r="U43" s="13"/>
      <c r="V43" s="13"/>
      <c r="W43" s="13"/>
      <c r="X43" s="13"/>
      <c r="Y43" s="13"/>
      <c r="Z43" s="13"/>
      <c r="AA43" s="13"/>
      <c r="AB43" s="13"/>
      <c r="AC43" s="13"/>
      <c r="AD43" s="13"/>
      <c r="AE43" s="13"/>
      <c r="AF43" s="13"/>
      <c r="AG43" s="13"/>
      <c r="AH43" s="13"/>
      <c r="AI43" s="13"/>
      <c r="AJ43" s="13"/>
      <c r="AK43" s="13"/>
    </row>
    <row r="44" spans="1:37" ht="15.75" customHeight="1" x14ac:dyDescent="0.15">
      <c r="A44" s="2"/>
      <c r="B44" s="13"/>
      <c r="D44" s="33"/>
      <c r="E44" s="7" t="s">
        <v>145</v>
      </c>
      <c r="F44" s="9">
        <v>5</v>
      </c>
      <c r="G44" s="9">
        <v>0</v>
      </c>
      <c r="H44" s="9">
        <v>0</v>
      </c>
      <c r="I44" s="12">
        <v>5</v>
      </c>
      <c r="J44" s="13"/>
      <c r="K44" s="18" t="s">
        <v>242</v>
      </c>
      <c r="L44" s="12">
        <v>0</v>
      </c>
      <c r="M44" s="12">
        <v>0</v>
      </c>
      <c r="N44" s="12">
        <v>49</v>
      </c>
      <c r="O44" s="12">
        <v>62</v>
      </c>
      <c r="P44" s="12">
        <v>0</v>
      </c>
      <c r="Q44" s="12">
        <v>8</v>
      </c>
      <c r="R44" s="12">
        <v>27</v>
      </c>
      <c r="S44" s="12">
        <v>55</v>
      </c>
      <c r="T44" s="12">
        <v>201</v>
      </c>
      <c r="U44" s="13"/>
      <c r="V44" s="13"/>
      <c r="W44" s="13"/>
      <c r="X44" s="13"/>
      <c r="Y44" s="13"/>
      <c r="Z44" s="13"/>
      <c r="AA44" s="13"/>
      <c r="AB44" s="13"/>
      <c r="AC44" s="13"/>
      <c r="AD44" s="13"/>
      <c r="AE44" s="13"/>
      <c r="AF44" s="13"/>
      <c r="AG44" s="13"/>
      <c r="AH44" s="13"/>
      <c r="AI44" s="13"/>
      <c r="AJ44" s="13"/>
      <c r="AK44" s="13"/>
    </row>
    <row r="45" spans="1:37" ht="15.75" customHeight="1" x14ac:dyDescent="0.15">
      <c r="A45" s="2"/>
      <c r="B45" s="13"/>
      <c r="D45" s="11" t="s">
        <v>247</v>
      </c>
      <c r="E45" s="11"/>
      <c r="F45" s="12">
        <v>178</v>
      </c>
      <c r="G45" s="12">
        <v>0</v>
      </c>
      <c r="H45" s="12">
        <v>8</v>
      </c>
      <c r="I45" s="12">
        <v>186</v>
      </c>
      <c r="J45" s="13"/>
      <c r="K45" s="19" t="s">
        <v>249</v>
      </c>
      <c r="L45" s="9">
        <v>0</v>
      </c>
      <c r="M45" s="9">
        <v>0</v>
      </c>
      <c r="N45" s="9">
        <v>3</v>
      </c>
      <c r="O45" s="9">
        <v>0</v>
      </c>
      <c r="P45" s="9">
        <v>0</v>
      </c>
      <c r="Q45" s="9">
        <v>0</v>
      </c>
      <c r="R45" s="9">
        <v>0</v>
      </c>
      <c r="S45" s="9">
        <v>1</v>
      </c>
      <c r="T45" s="12">
        <v>4</v>
      </c>
      <c r="U45" s="13"/>
      <c r="V45" s="13"/>
      <c r="W45" s="13"/>
      <c r="X45" s="13"/>
      <c r="Y45" s="13"/>
      <c r="Z45" s="13"/>
      <c r="AA45" s="13"/>
      <c r="AB45" s="13"/>
      <c r="AC45" s="13"/>
      <c r="AD45" s="13"/>
      <c r="AE45" s="13"/>
      <c r="AF45" s="13"/>
      <c r="AG45" s="13"/>
      <c r="AH45" s="13"/>
      <c r="AI45" s="13"/>
      <c r="AJ45" s="13"/>
      <c r="AK45" s="13"/>
    </row>
    <row r="46" spans="1:37" ht="15.75" customHeight="1" x14ac:dyDescent="0.15">
      <c r="A46" s="2"/>
      <c r="B46" s="13"/>
      <c r="D46" s="7" t="s">
        <v>172</v>
      </c>
      <c r="E46" s="7" t="s">
        <v>172</v>
      </c>
      <c r="F46" s="9">
        <v>7</v>
      </c>
      <c r="G46" s="9">
        <v>1</v>
      </c>
      <c r="H46" s="9">
        <v>1</v>
      </c>
      <c r="I46" s="12">
        <v>9</v>
      </c>
      <c r="J46" s="13"/>
      <c r="K46" s="19" t="s">
        <v>252</v>
      </c>
      <c r="L46" s="9">
        <v>0</v>
      </c>
      <c r="M46" s="9">
        <v>0</v>
      </c>
      <c r="N46" s="9">
        <v>1</v>
      </c>
      <c r="O46" s="9">
        <v>2</v>
      </c>
      <c r="P46" s="9">
        <v>0</v>
      </c>
      <c r="Q46" s="9">
        <v>6</v>
      </c>
      <c r="R46" s="9">
        <v>9</v>
      </c>
      <c r="S46" s="9">
        <v>5</v>
      </c>
      <c r="T46" s="12">
        <v>23</v>
      </c>
      <c r="U46" s="13"/>
      <c r="V46" s="13"/>
      <c r="W46" s="13"/>
      <c r="X46" s="13"/>
      <c r="Y46" s="13"/>
      <c r="Z46" s="13"/>
      <c r="AA46" s="13"/>
      <c r="AB46" s="13"/>
      <c r="AC46" s="13"/>
      <c r="AD46" s="13"/>
      <c r="AE46" s="13"/>
      <c r="AF46" s="13"/>
      <c r="AG46" s="13"/>
      <c r="AH46" s="13"/>
      <c r="AI46" s="13"/>
      <c r="AJ46" s="13"/>
      <c r="AK46" s="13"/>
    </row>
    <row r="47" spans="1:37" ht="15.75" customHeight="1" x14ac:dyDescent="0.15">
      <c r="D47" s="11" t="s">
        <v>255</v>
      </c>
      <c r="E47" s="11"/>
      <c r="F47" s="12">
        <v>7</v>
      </c>
      <c r="G47" s="12">
        <v>1</v>
      </c>
      <c r="H47" s="12">
        <v>1</v>
      </c>
      <c r="I47" s="12">
        <v>9</v>
      </c>
      <c r="J47" s="13"/>
      <c r="K47" s="19" t="s">
        <v>257</v>
      </c>
      <c r="L47" s="9">
        <v>0</v>
      </c>
      <c r="M47" s="9">
        <v>0</v>
      </c>
      <c r="N47" s="9">
        <v>2</v>
      </c>
      <c r="O47" s="9">
        <v>7</v>
      </c>
      <c r="P47" s="9">
        <v>0</v>
      </c>
      <c r="Q47" s="9">
        <v>0</v>
      </c>
      <c r="R47" s="9">
        <v>2</v>
      </c>
      <c r="S47" s="9">
        <v>2</v>
      </c>
      <c r="T47" s="12">
        <v>13</v>
      </c>
      <c r="U47" s="13"/>
      <c r="V47" s="13"/>
      <c r="W47" s="13"/>
      <c r="X47" s="13"/>
      <c r="Y47" s="13"/>
      <c r="Z47" s="13"/>
      <c r="AA47" s="13"/>
      <c r="AB47" s="13"/>
      <c r="AC47" s="13"/>
      <c r="AD47" s="13"/>
      <c r="AE47" s="13"/>
      <c r="AF47" s="13"/>
      <c r="AG47" s="13"/>
      <c r="AH47" s="13"/>
      <c r="AI47" s="13"/>
      <c r="AJ47" s="13"/>
      <c r="AK47" s="13"/>
    </row>
    <row r="48" spans="1:37" ht="15.75" customHeight="1" x14ac:dyDescent="0.15">
      <c r="D48" s="31" t="s">
        <v>46</v>
      </c>
      <c r="E48" s="7" t="s">
        <v>151</v>
      </c>
      <c r="F48" s="9">
        <v>2</v>
      </c>
      <c r="G48" s="9">
        <v>0</v>
      </c>
      <c r="H48" s="9">
        <v>0</v>
      </c>
      <c r="I48" s="12">
        <v>2</v>
      </c>
      <c r="J48" s="13"/>
      <c r="K48" s="19" t="s">
        <v>272</v>
      </c>
      <c r="L48" s="9">
        <v>0</v>
      </c>
      <c r="M48" s="9">
        <v>0</v>
      </c>
      <c r="N48" s="9">
        <v>2</v>
      </c>
      <c r="O48" s="9">
        <v>0</v>
      </c>
      <c r="P48" s="9">
        <v>0</v>
      </c>
      <c r="Q48" s="9">
        <v>0</v>
      </c>
      <c r="R48" s="9">
        <v>1</v>
      </c>
      <c r="S48" s="9">
        <v>1</v>
      </c>
      <c r="T48" s="12">
        <v>4</v>
      </c>
      <c r="U48" s="13"/>
      <c r="V48" s="13"/>
      <c r="W48" s="13"/>
      <c r="X48" s="13"/>
      <c r="Y48" s="13"/>
      <c r="Z48" s="13"/>
      <c r="AA48" s="13"/>
      <c r="AB48" s="13"/>
      <c r="AC48" s="13"/>
      <c r="AD48" s="13"/>
      <c r="AE48" s="13"/>
      <c r="AF48" s="13"/>
      <c r="AG48" s="13"/>
      <c r="AH48" s="13"/>
      <c r="AI48" s="13"/>
      <c r="AJ48" s="13"/>
      <c r="AK48" s="13"/>
    </row>
    <row r="49" spans="4:37" ht="15.75" customHeight="1" x14ac:dyDescent="0.15">
      <c r="D49" s="32"/>
      <c r="E49" s="7" t="s">
        <v>278</v>
      </c>
      <c r="F49" s="9">
        <v>6</v>
      </c>
      <c r="G49" s="9">
        <v>0</v>
      </c>
      <c r="H49" s="9">
        <v>0</v>
      </c>
      <c r="I49" s="12">
        <v>6</v>
      </c>
      <c r="J49" s="13"/>
      <c r="K49" s="19" t="s">
        <v>279</v>
      </c>
      <c r="L49" s="9">
        <v>0</v>
      </c>
      <c r="M49" s="9">
        <v>0</v>
      </c>
      <c r="N49" s="9">
        <v>5</v>
      </c>
      <c r="O49" s="9">
        <v>4</v>
      </c>
      <c r="P49" s="9">
        <v>0</v>
      </c>
      <c r="Q49" s="9">
        <v>0</v>
      </c>
      <c r="R49" s="9">
        <v>0</v>
      </c>
      <c r="S49" s="9">
        <v>0</v>
      </c>
      <c r="T49" s="12">
        <v>9</v>
      </c>
      <c r="U49" s="13"/>
      <c r="V49" s="13"/>
      <c r="W49" s="13"/>
      <c r="X49" s="13"/>
      <c r="Y49" s="13"/>
      <c r="Z49" s="13"/>
      <c r="AA49" s="13"/>
      <c r="AB49" s="13"/>
      <c r="AC49" s="13"/>
      <c r="AD49" s="13"/>
      <c r="AE49" s="13"/>
      <c r="AF49" s="13"/>
      <c r="AG49" s="13"/>
      <c r="AH49" s="13"/>
      <c r="AI49" s="13"/>
      <c r="AJ49" s="13"/>
      <c r="AK49" s="13"/>
    </row>
    <row r="50" spans="4:37" ht="15.75" customHeight="1" x14ac:dyDescent="0.15">
      <c r="D50" s="32"/>
      <c r="E50" s="7" t="s">
        <v>283</v>
      </c>
      <c r="F50" s="9">
        <v>1</v>
      </c>
      <c r="G50" s="9">
        <v>0</v>
      </c>
      <c r="H50" s="9">
        <v>0</v>
      </c>
      <c r="I50" s="12">
        <v>1</v>
      </c>
      <c r="J50" s="13"/>
      <c r="K50" s="19" t="s">
        <v>284</v>
      </c>
      <c r="L50" s="9">
        <v>0</v>
      </c>
      <c r="M50" s="9">
        <v>0</v>
      </c>
      <c r="N50" s="9">
        <v>0</v>
      </c>
      <c r="O50" s="9">
        <v>1</v>
      </c>
      <c r="P50" s="9">
        <v>0</v>
      </c>
      <c r="Q50" s="9">
        <v>0</v>
      </c>
      <c r="R50" s="9">
        <v>0</v>
      </c>
      <c r="S50" s="9">
        <v>4</v>
      </c>
      <c r="T50" s="12">
        <v>5</v>
      </c>
      <c r="U50" s="13"/>
      <c r="V50" s="13"/>
      <c r="W50" s="13"/>
      <c r="X50" s="13"/>
      <c r="Y50" s="13"/>
      <c r="Z50" s="13"/>
      <c r="AA50" s="13"/>
      <c r="AB50" s="13"/>
      <c r="AC50" s="13"/>
      <c r="AD50" s="13"/>
      <c r="AE50" s="13"/>
      <c r="AF50" s="13"/>
      <c r="AG50" s="13"/>
      <c r="AH50" s="13"/>
      <c r="AI50" s="13"/>
      <c r="AJ50" s="13"/>
      <c r="AK50" s="13"/>
    </row>
    <row r="51" spans="4:37" ht="15.75" customHeight="1" x14ac:dyDescent="0.15">
      <c r="D51" s="32"/>
      <c r="E51" s="7" t="s">
        <v>285</v>
      </c>
      <c r="F51" s="9">
        <v>1</v>
      </c>
      <c r="G51" s="9">
        <v>0</v>
      </c>
      <c r="H51" s="9">
        <v>0</v>
      </c>
      <c r="I51" s="12">
        <v>1</v>
      </c>
      <c r="J51" s="13"/>
      <c r="K51" s="19" t="s">
        <v>286</v>
      </c>
      <c r="L51" s="9">
        <v>0</v>
      </c>
      <c r="M51" s="9">
        <v>0</v>
      </c>
      <c r="N51" s="9">
        <v>2</v>
      </c>
      <c r="O51" s="9">
        <v>1</v>
      </c>
      <c r="P51" s="9">
        <v>0</v>
      </c>
      <c r="Q51" s="9">
        <v>0</v>
      </c>
      <c r="R51" s="9">
        <v>0</v>
      </c>
      <c r="S51" s="9">
        <v>2</v>
      </c>
      <c r="T51" s="12">
        <v>5</v>
      </c>
      <c r="U51" s="13"/>
      <c r="V51" s="13"/>
      <c r="W51" s="13"/>
      <c r="X51" s="13"/>
      <c r="Y51" s="13"/>
      <c r="Z51" s="13"/>
      <c r="AA51" s="13"/>
      <c r="AB51" s="13"/>
      <c r="AC51" s="13"/>
      <c r="AD51" s="13"/>
      <c r="AE51" s="13"/>
      <c r="AF51" s="13"/>
      <c r="AG51" s="13"/>
      <c r="AH51" s="13"/>
      <c r="AI51" s="13"/>
      <c r="AJ51" s="13"/>
      <c r="AK51" s="13"/>
    </row>
    <row r="52" spans="4:37" ht="15.75" customHeight="1" x14ac:dyDescent="0.15">
      <c r="D52" s="32"/>
      <c r="E52" s="7" t="s">
        <v>288</v>
      </c>
      <c r="F52" s="9">
        <v>1</v>
      </c>
      <c r="G52" s="9">
        <v>0</v>
      </c>
      <c r="H52" s="9">
        <v>0</v>
      </c>
      <c r="I52" s="12">
        <v>1</v>
      </c>
      <c r="J52" s="13"/>
      <c r="K52" s="19" t="s">
        <v>290</v>
      </c>
      <c r="L52" s="9">
        <v>0</v>
      </c>
      <c r="M52" s="9">
        <v>0</v>
      </c>
      <c r="N52" s="9">
        <v>5</v>
      </c>
      <c r="O52" s="9">
        <v>2</v>
      </c>
      <c r="P52" s="9">
        <v>0</v>
      </c>
      <c r="Q52" s="9">
        <v>0</v>
      </c>
      <c r="R52" s="9">
        <v>0</v>
      </c>
      <c r="S52" s="9">
        <v>5</v>
      </c>
      <c r="T52" s="12">
        <v>12</v>
      </c>
      <c r="U52" s="13"/>
      <c r="V52" s="13"/>
      <c r="W52" s="13"/>
      <c r="X52" s="13"/>
      <c r="Y52" s="13"/>
      <c r="Z52" s="13"/>
      <c r="AA52" s="13"/>
      <c r="AB52" s="13"/>
      <c r="AC52" s="13"/>
      <c r="AD52" s="13"/>
      <c r="AE52" s="13"/>
      <c r="AF52" s="13"/>
      <c r="AG52" s="13"/>
      <c r="AH52" s="13"/>
      <c r="AI52" s="13"/>
      <c r="AJ52" s="13"/>
      <c r="AK52" s="13"/>
    </row>
    <row r="53" spans="4:37" ht="15.75" customHeight="1" x14ac:dyDescent="0.15">
      <c r="D53" s="32"/>
      <c r="E53" s="7" t="s">
        <v>295</v>
      </c>
      <c r="F53" s="9">
        <v>1</v>
      </c>
      <c r="G53" s="9">
        <v>0</v>
      </c>
      <c r="H53" s="9">
        <v>0</v>
      </c>
      <c r="I53" s="12">
        <v>1</v>
      </c>
      <c r="J53" s="13"/>
      <c r="K53" s="19" t="s">
        <v>296</v>
      </c>
      <c r="L53" s="9">
        <v>0</v>
      </c>
      <c r="M53" s="9">
        <v>0</v>
      </c>
      <c r="N53" s="9">
        <v>1</v>
      </c>
      <c r="O53" s="9">
        <v>3</v>
      </c>
      <c r="P53" s="9">
        <v>0</v>
      </c>
      <c r="Q53" s="9">
        <v>0</v>
      </c>
      <c r="R53" s="9">
        <v>0</v>
      </c>
      <c r="S53" s="9">
        <v>5</v>
      </c>
      <c r="T53" s="12">
        <v>9</v>
      </c>
      <c r="U53" s="13"/>
      <c r="V53" s="13"/>
      <c r="W53" s="13"/>
      <c r="X53" s="13"/>
      <c r="Y53" s="13"/>
      <c r="Z53" s="13"/>
      <c r="AA53" s="13"/>
      <c r="AB53" s="13"/>
      <c r="AC53" s="13"/>
      <c r="AD53" s="13"/>
      <c r="AE53" s="13"/>
      <c r="AF53" s="13"/>
      <c r="AG53" s="13"/>
      <c r="AH53" s="13"/>
      <c r="AI53" s="13"/>
      <c r="AJ53" s="13"/>
      <c r="AK53" s="13"/>
    </row>
    <row r="54" spans="4:37" ht="15.75" customHeight="1" x14ac:dyDescent="0.15">
      <c r="D54" s="32"/>
      <c r="E54" s="7" t="s">
        <v>303</v>
      </c>
      <c r="F54" s="9">
        <v>1</v>
      </c>
      <c r="G54" s="9">
        <v>0</v>
      </c>
      <c r="H54" s="9">
        <v>0</v>
      </c>
      <c r="I54" s="12">
        <v>1</v>
      </c>
      <c r="J54" s="13"/>
      <c r="K54" s="19" t="s">
        <v>304</v>
      </c>
      <c r="L54" s="9">
        <v>0</v>
      </c>
      <c r="M54" s="9">
        <v>0</v>
      </c>
      <c r="N54" s="9">
        <v>2</v>
      </c>
      <c r="O54" s="9">
        <v>0</v>
      </c>
      <c r="P54" s="9">
        <v>0</v>
      </c>
      <c r="Q54" s="9">
        <v>0</v>
      </c>
      <c r="R54" s="9">
        <v>0</v>
      </c>
      <c r="S54" s="9">
        <v>2</v>
      </c>
      <c r="T54" s="12">
        <v>4</v>
      </c>
      <c r="U54" s="13"/>
      <c r="V54" s="13"/>
      <c r="W54" s="13"/>
      <c r="X54" s="13"/>
      <c r="Y54" s="13"/>
      <c r="Z54" s="13"/>
      <c r="AA54" s="13"/>
      <c r="AB54" s="13"/>
      <c r="AC54" s="13"/>
      <c r="AD54" s="13"/>
      <c r="AE54" s="13"/>
      <c r="AF54" s="13"/>
      <c r="AG54" s="13"/>
      <c r="AH54" s="13"/>
      <c r="AI54" s="13"/>
      <c r="AJ54" s="13"/>
      <c r="AK54" s="13"/>
    </row>
    <row r="55" spans="4:37" ht="15.75" customHeight="1" x14ac:dyDescent="0.15">
      <c r="D55" s="32"/>
      <c r="E55" s="7" t="s">
        <v>127</v>
      </c>
      <c r="F55" s="9">
        <v>2</v>
      </c>
      <c r="G55" s="9">
        <v>0</v>
      </c>
      <c r="H55" s="9">
        <v>1</v>
      </c>
      <c r="I55" s="12">
        <v>3</v>
      </c>
      <c r="J55" s="13"/>
      <c r="K55" s="19" t="s">
        <v>310</v>
      </c>
      <c r="L55" s="9">
        <v>0</v>
      </c>
      <c r="M55" s="9">
        <v>0</v>
      </c>
      <c r="N55" s="9">
        <v>6</v>
      </c>
      <c r="O55" s="9">
        <v>4</v>
      </c>
      <c r="P55" s="9">
        <v>0</v>
      </c>
      <c r="Q55" s="9">
        <v>0</v>
      </c>
      <c r="R55" s="9">
        <v>2</v>
      </c>
      <c r="S55" s="9">
        <v>0</v>
      </c>
      <c r="T55" s="12">
        <v>12</v>
      </c>
      <c r="U55" s="13"/>
      <c r="V55" s="13"/>
      <c r="W55" s="13"/>
      <c r="X55" s="13"/>
      <c r="Y55" s="13"/>
      <c r="Z55" s="13"/>
      <c r="AA55" s="13"/>
      <c r="AB55" s="13"/>
      <c r="AC55" s="13"/>
      <c r="AD55" s="13"/>
      <c r="AE55" s="13"/>
      <c r="AF55" s="13"/>
      <c r="AG55" s="13"/>
      <c r="AH55" s="13"/>
      <c r="AI55" s="13"/>
      <c r="AJ55" s="13"/>
      <c r="AK55" s="13"/>
    </row>
    <row r="56" spans="4:37" ht="15.75" customHeight="1" x14ac:dyDescent="0.15">
      <c r="D56" s="32"/>
      <c r="E56" s="7" t="s">
        <v>316</v>
      </c>
      <c r="F56" s="9">
        <v>2</v>
      </c>
      <c r="G56" s="9">
        <v>0</v>
      </c>
      <c r="H56" s="9">
        <v>0</v>
      </c>
      <c r="I56" s="12">
        <v>2</v>
      </c>
      <c r="J56" s="13"/>
      <c r="K56" s="19" t="s">
        <v>317</v>
      </c>
      <c r="L56" s="9">
        <v>0</v>
      </c>
      <c r="M56" s="9">
        <v>0</v>
      </c>
      <c r="N56" s="9">
        <v>1</v>
      </c>
      <c r="O56" s="9">
        <v>3</v>
      </c>
      <c r="P56" s="9">
        <v>0</v>
      </c>
      <c r="Q56" s="9">
        <v>0</v>
      </c>
      <c r="R56" s="9">
        <v>1</v>
      </c>
      <c r="S56" s="9">
        <v>2</v>
      </c>
      <c r="T56" s="12">
        <v>7</v>
      </c>
      <c r="U56" s="13"/>
      <c r="V56" s="13"/>
      <c r="W56" s="13"/>
      <c r="X56" s="13"/>
      <c r="Y56" s="13"/>
      <c r="Z56" s="13"/>
      <c r="AA56" s="13"/>
      <c r="AB56" s="13"/>
      <c r="AC56" s="13"/>
      <c r="AD56" s="13"/>
      <c r="AE56" s="13"/>
      <c r="AF56" s="13"/>
      <c r="AG56" s="13"/>
      <c r="AH56" s="13"/>
      <c r="AI56" s="13"/>
      <c r="AJ56" s="13"/>
      <c r="AK56" s="13"/>
    </row>
    <row r="57" spans="4:37" ht="15.75" customHeight="1" x14ac:dyDescent="0.15">
      <c r="D57" s="32"/>
      <c r="E57" s="7" t="s">
        <v>319</v>
      </c>
      <c r="F57" s="9">
        <v>1</v>
      </c>
      <c r="G57" s="9">
        <v>0</v>
      </c>
      <c r="H57" s="9">
        <v>0</v>
      </c>
      <c r="I57" s="12">
        <v>1</v>
      </c>
      <c r="J57" s="13"/>
      <c r="K57" s="19" t="s">
        <v>322</v>
      </c>
      <c r="L57" s="9">
        <v>0</v>
      </c>
      <c r="M57" s="9">
        <v>0</v>
      </c>
      <c r="N57" s="9">
        <v>0</v>
      </c>
      <c r="O57" s="9">
        <v>0</v>
      </c>
      <c r="P57" s="9">
        <v>0</v>
      </c>
      <c r="Q57" s="9">
        <v>0</v>
      </c>
      <c r="R57" s="9">
        <v>0</v>
      </c>
      <c r="S57" s="9">
        <v>5</v>
      </c>
      <c r="T57" s="12">
        <v>5</v>
      </c>
      <c r="U57" s="13"/>
      <c r="V57" s="13"/>
      <c r="W57" s="13"/>
      <c r="X57" s="13"/>
      <c r="Y57" s="13"/>
      <c r="Z57" s="13"/>
      <c r="AA57" s="13"/>
      <c r="AB57" s="13"/>
      <c r="AC57" s="13"/>
      <c r="AD57" s="13"/>
      <c r="AE57" s="13"/>
      <c r="AF57" s="13"/>
      <c r="AG57" s="13"/>
      <c r="AH57" s="13"/>
      <c r="AI57" s="13"/>
      <c r="AJ57" s="13"/>
      <c r="AK57" s="13"/>
    </row>
    <row r="58" spans="4:37" ht="15.75" customHeight="1" x14ac:dyDescent="0.15">
      <c r="D58" s="32"/>
      <c r="E58" s="7" t="s">
        <v>323</v>
      </c>
      <c r="F58" s="9">
        <v>3</v>
      </c>
      <c r="G58" s="9">
        <v>0</v>
      </c>
      <c r="H58" s="9">
        <v>0</v>
      </c>
      <c r="I58" s="12">
        <v>3</v>
      </c>
      <c r="J58" s="13"/>
      <c r="K58" s="19" t="s">
        <v>324</v>
      </c>
      <c r="L58" s="9">
        <v>0</v>
      </c>
      <c r="M58" s="9">
        <v>0</v>
      </c>
      <c r="N58" s="9">
        <v>4</v>
      </c>
      <c r="O58" s="9">
        <v>3</v>
      </c>
      <c r="P58" s="9">
        <v>0</v>
      </c>
      <c r="Q58" s="9">
        <v>2</v>
      </c>
      <c r="R58" s="9">
        <v>3</v>
      </c>
      <c r="S58" s="9">
        <v>1</v>
      </c>
      <c r="T58" s="12">
        <v>13</v>
      </c>
      <c r="U58" s="13"/>
      <c r="V58" s="13"/>
      <c r="W58" s="13"/>
      <c r="X58" s="13"/>
      <c r="Y58" s="13"/>
      <c r="Z58" s="13"/>
      <c r="AA58" s="13"/>
      <c r="AB58" s="13"/>
      <c r="AC58" s="13"/>
      <c r="AD58" s="13"/>
      <c r="AE58" s="13"/>
      <c r="AF58" s="13"/>
      <c r="AG58" s="13"/>
      <c r="AH58" s="13"/>
      <c r="AI58" s="13"/>
      <c r="AJ58" s="13"/>
      <c r="AK58" s="13"/>
    </row>
    <row r="59" spans="4:37" ht="15.75" customHeight="1" x14ac:dyDescent="0.15">
      <c r="D59" s="32"/>
      <c r="E59" s="7" t="s">
        <v>326</v>
      </c>
      <c r="F59" s="9">
        <v>5</v>
      </c>
      <c r="G59" s="9">
        <v>0</v>
      </c>
      <c r="H59" s="9">
        <v>0</v>
      </c>
      <c r="I59" s="12">
        <v>5</v>
      </c>
      <c r="J59" s="13"/>
      <c r="K59" s="19" t="s">
        <v>327</v>
      </c>
      <c r="L59" s="9">
        <v>0</v>
      </c>
      <c r="M59" s="9">
        <v>0</v>
      </c>
      <c r="N59" s="9">
        <v>1</v>
      </c>
      <c r="O59" s="9">
        <v>0</v>
      </c>
      <c r="P59" s="9">
        <v>0</v>
      </c>
      <c r="Q59" s="9">
        <v>0</v>
      </c>
      <c r="R59" s="9">
        <v>0</v>
      </c>
      <c r="S59" s="9">
        <v>1</v>
      </c>
      <c r="T59" s="12">
        <v>2</v>
      </c>
      <c r="U59" s="13"/>
      <c r="V59" s="13"/>
      <c r="W59" s="13"/>
      <c r="X59" s="13"/>
      <c r="Y59" s="13"/>
      <c r="Z59" s="13"/>
      <c r="AA59" s="13"/>
      <c r="AB59" s="13"/>
      <c r="AC59" s="13"/>
      <c r="AD59" s="13"/>
      <c r="AE59" s="13"/>
      <c r="AF59" s="13"/>
      <c r="AG59" s="13"/>
      <c r="AH59" s="13"/>
      <c r="AI59" s="13"/>
      <c r="AJ59" s="13"/>
      <c r="AK59" s="13"/>
    </row>
    <row r="60" spans="4:37" ht="15.75" customHeight="1" x14ac:dyDescent="0.15">
      <c r="D60" s="32"/>
      <c r="E60" s="7" t="s">
        <v>328</v>
      </c>
      <c r="F60" s="9">
        <v>1</v>
      </c>
      <c r="G60" s="9">
        <v>0</v>
      </c>
      <c r="H60" s="9">
        <v>0</v>
      </c>
      <c r="I60" s="12">
        <v>1</v>
      </c>
      <c r="J60" s="13"/>
      <c r="K60" s="19" t="s">
        <v>332</v>
      </c>
      <c r="L60" s="9">
        <v>0</v>
      </c>
      <c r="M60" s="9">
        <v>0</v>
      </c>
      <c r="N60" s="9">
        <v>4</v>
      </c>
      <c r="O60" s="9">
        <v>0</v>
      </c>
      <c r="P60" s="9">
        <v>0</v>
      </c>
      <c r="Q60" s="9">
        <v>0</v>
      </c>
      <c r="R60" s="9">
        <v>2</v>
      </c>
      <c r="S60" s="9">
        <v>3</v>
      </c>
      <c r="T60" s="12">
        <v>9</v>
      </c>
      <c r="U60" s="13"/>
      <c r="V60" s="13"/>
      <c r="W60" s="13"/>
      <c r="X60" s="13"/>
      <c r="Y60" s="13"/>
      <c r="Z60" s="13"/>
      <c r="AA60" s="13"/>
      <c r="AB60" s="13"/>
      <c r="AC60" s="13"/>
      <c r="AD60" s="13"/>
      <c r="AE60" s="13"/>
      <c r="AF60" s="13"/>
      <c r="AG60" s="13"/>
      <c r="AH60" s="13"/>
      <c r="AI60" s="13"/>
      <c r="AJ60" s="13"/>
      <c r="AK60" s="13"/>
    </row>
    <row r="61" spans="4:37" ht="15.75" customHeight="1" x14ac:dyDescent="0.15">
      <c r="D61" s="32"/>
      <c r="E61" s="7" t="s">
        <v>335</v>
      </c>
      <c r="F61" s="9">
        <v>2</v>
      </c>
      <c r="G61" s="9">
        <v>0</v>
      </c>
      <c r="H61" s="9">
        <v>0</v>
      </c>
      <c r="I61" s="12">
        <v>2</v>
      </c>
      <c r="J61" s="13"/>
      <c r="K61" s="19" t="s">
        <v>339</v>
      </c>
      <c r="L61" s="9">
        <v>0</v>
      </c>
      <c r="M61" s="9">
        <v>0</v>
      </c>
      <c r="N61" s="9">
        <v>1</v>
      </c>
      <c r="O61" s="9">
        <v>1</v>
      </c>
      <c r="P61" s="9">
        <v>0</v>
      </c>
      <c r="Q61" s="9">
        <v>0</v>
      </c>
      <c r="R61" s="9">
        <v>0</v>
      </c>
      <c r="S61" s="9">
        <v>1</v>
      </c>
      <c r="T61" s="12">
        <v>3</v>
      </c>
      <c r="U61" s="13"/>
      <c r="V61" s="13"/>
      <c r="W61" s="13"/>
      <c r="X61" s="13"/>
      <c r="Y61" s="13"/>
      <c r="Z61" s="13"/>
      <c r="AA61" s="13"/>
      <c r="AB61" s="13"/>
      <c r="AC61" s="13"/>
      <c r="AD61" s="13"/>
      <c r="AE61" s="13"/>
      <c r="AF61" s="13"/>
      <c r="AG61" s="13"/>
      <c r="AH61" s="13"/>
      <c r="AI61" s="13"/>
      <c r="AJ61" s="13"/>
      <c r="AK61" s="13"/>
    </row>
    <row r="62" spans="4:37" ht="15.75" customHeight="1" x14ac:dyDescent="0.15">
      <c r="D62" s="32"/>
      <c r="E62" s="7" t="s">
        <v>61</v>
      </c>
      <c r="F62" s="9">
        <v>1</v>
      </c>
      <c r="G62" s="9">
        <v>0</v>
      </c>
      <c r="H62" s="9">
        <v>1</v>
      </c>
      <c r="I62" s="12">
        <v>2</v>
      </c>
      <c r="J62" s="13"/>
      <c r="K62" s="19" t="s">
        <v>345</v>
      </c>
      <c r="L62" s="9">
        <v>0</v>
      </c>
      <c r="M62" s="9">
        <v>0</v>
      </c>
      <c r="N62" s="9">
        <v>3</v>
      </c>
      <c r="O62" s="9">
        <v>1</v>
      </c>
      <c r="P62" s="9">
        <v>0</v>
      </c>
      <c r="Q62" s="9">
        <v>0</v>
      </c>
      <c r="R62" s="9">
        <v>0</v>
      </c>
      <c r="S62" s="9">
        <v>1</v>
      </c>
      <c r="T62" s="12">
        <v>5</v>
      </c>
      <c r="U62" s="13"/>
      <c r="V62" s="13"/>
      <c r="W62" s="13"/>
      <c r="X62" s="13"/>
      <c r="Y62" s="13"/>
      <c r="Z62" s="13"/>
      <c r="AA62" s="13"/>
      <c r="AB62" s="13"/>
      <c r="AC62" s="13"/>
      <c r="AD62" s="13"/>
      <c r="AE62" s="13"/>
      <c r="AF62" s="13"/>
      <c r="AG62" s="13"/>
      <c r="AH62" s="13"/>
      <c r="AI62" s="13"/>
      <c r="AJ62" s="13"/>
      <c r="AK62" s="13"/>
    </row>
    <row r="63" spans="4:37" ht="15.75" customHeight="1" x14ac:dyDescent="0.15">
      <c r="D63" s="32"/>
      <c r="E63" s="7" t="s">
        <v>160</v>
      </c>
      <c r="F63" s="9">
        <v>9</v>
      </c>
      <c r="G63" s="9">
        <v>0</v>
      </c>
      <c r="H63" s="9">
        <v>0</v>
      </c>
      <c r="I63" s="12">
        <v>9</v>
      </c>
      <c r="J63" s="13"/>
      <c r="K63" s="19" t="s">
        <v>349</v>
      </c>
      <c r="L63" s="9">
        <v>0</v>
      </c>
      <c r="M63" s="9">
        <v>0</v>
      </c>
      <c r="N63" s="9">
        <v>0</v>
      </c>
      <c r="O63" s="9">
        <v>3</v>
      </c>
      <c r="P63" s="9">
        <v>0</v>
      </c>
      <c r="Q63" s="9">
        <v>0</v>
      </c>
      <c r="R63" s="9">
        <v>0</v>
      </c>
      <c r="S63" s="9">
        <v>0</v>
      </c>
      <c r="T63" s="12">
        <v>3</v>
      </c>
      <c r="U63" s="13"/>
      <c r="V63" s="13"/>
      <c r="W63" s="13"/>
      <c r="X63" s="13"/>
      <c r="Y63" s="13"/>
      <c r="Z63" s="13"/>
      <c r="AA63" s="13"/>
      <c r="AB63" s="13"/>
      <c r="AC63" s="13"/>
      <c r="AD63" s="13"/>
      <c r="AE63" s="13"/>
      <c r="AF63" s="13"/>
      <c r="AG63" s="13"/>
      <c r="AH63" s="13"/>
      <c r="AI63" s="13"/>
      <c r="AJ63" s="13"/>
      <c r="AK63" s="13"/>
    </row>
    <row r="64" spans="4:37" ht="15.75" customHeight="1" x14ac:dyDescent="0.15">
      <c r="D64" s="32"/>
      <c r="E64" s="7" t="s">
        <v>350</v>
      </c>
      <c r="F64" s="9">
        <v>1</v>
      </c>
      <c r="G64" s="9">
        <v>0</v>
      </c>
      <c r="H64" s="9">
        <v>0</v>
      </c>
      <c r="I64" s="12">
        <v>1</v>
      </c>
      <c r="J64" s="13"/>
      <c r="K64" s="19" t="s">
        <v>351</v>
      </c>
      <c r="L64" s="9">
        <v>0</v>
      </c>
      <c r="M64" s="9">
        <v>0</v>
      </c>
      <c r="N64" s="9">
        <v>0</v>
      </c>
      <c r="O64" s="9">
        <v>3</v>
      </c>
      <c r="P64" s="9">
        <v>0</v>
      </c>
      <c r="Q64" s="9">
        <v>0</v>
      </c>
      <c r="R64" s="9">
        <v>0</v>
      </c>
      <c r="S64" s="9">
        <v>4</v>
      </c>
      <c r="T64" s="12">
        <v>7</v>
      </c>
      <c r="U64" s="13"/>
      <c r="V64" s="13"/>
      <c r="W64" s="13"/>
      <c r="X64" s="13"/>
      <c r="Y64" s="13"/>
      <c r="Z64" s="13"/>
      <c r="AA64" s="13"/>
      <c r="AB64" s="13"/>
      <c r="AC64" s="13"/>
      <c r="AD64" s="13"/>
      <c r="AE64" s="13"/>
      <c r="AF64" s="13"/>
      <c r="AG64" s="13"/>
      <c r="AH64" s="13"/>
      <c r="AI64" s="13"/>
      <c r="AJ64" s="13"/>
      <c r="AK64" s="13"/>
    </row>
    <row r="65" spans="4:37" ht="15.75" customHeight="1" x14ac:dyDescent="0.15">
      <c r="D65" s="32"/>
      <c r="E65" s="7" t="s">
        <v>353</v>
      </c>
      <c r="F65" s="9">
        <v>2</v>
      </c>
      <c r="G65" s="9">
        <v>0</v>
      </c>
      <c r="H65" s="9">
        <v>0</v>
      </c>
      <c r="I65" s="12">
        <v>2</v>
      </c>
      <c r="J65" s="13"/>
      <c r="K65" s="19" t="s">
        <v>354</v>
      </c>
      <c r="L65" s="9">
        <v>0</v>
      </c>
      <c r="M65" s="9">
        <v>0</v>
      </c>
      <c r="N65" s="9">
        <v>1</v>
      </c>
      <c r="O65" s="9">
        <v>1</v>
      </c>
      <c r="P65" s="9">
        <v>0</v>
      </c>
      <c r="Q65" s="9">
        <v>0</v>
      </c>
      <c r="R65" s="9">
        <v>2</v>
      </c>
      <c r="S65" s="9">
        <v>1</v>
      </c>
      <c r="T65" s="12">
        <v>5</v>
      </c>
      <c r="U65" s="13"/>
      <c r="V65" s="13"/>
      <c r="W65" s="13"/>
      <c r="X65" s="13"/>
      <c r="Y65" s="13"/>
      <c r="Z65" s="13"/>
      <c r="AA65" s="13"/>
      <c r="AB65" s="13"/>
      <c r="AC65" s="13"/>
      <c r="AD65" s="13"/>
      <c r="AE65" s="13"/>
      <c r="AF65" s="13"/>
      <c r="AG65" s="13"/>
      <c r="AH65" s="13"/>
      <c r="AI65" s="13"/>
      <c r="AJ65" s="13"/>
      <c r="AK65" s="13"/>
    </row>
    <row r="66" spans="4:37" ht="15.75" customHeight="1" x14ac:dyDescent="0.15">
      <c r="D66" s="32"/>
      <c r="E66" s="7" t="s">
        <v>358</v>
      </c>
      <c r="F66" s="9">
        <v>10</v>
      </c>
      <c r="G66" s="9">
        <v>0</v>
      </c>
      <c r="H66" s="9">
        <v>0</v>
      </c>
      <c r="I66" s="12">
        <v>10</v>
      </c>
      <c r="J66" s="13"/>
      <c r="K66" s="19" t="s">
        <v>360</v>
      </c>
      <c r="L66" s="9">
        <v>0</v>
      </c>
      <c r="M66" s="9">
        <v>0</v>
      </c>
      <c r="N66" s="9">
        <v>2</v>
      </c>
      <c r="O66" s="9">
        <v>8</v>
      </c>
      <c r="P66" s="9">
        <v>0</v>
      </c>
      <c r="Q66" s="9">
        <v>0</v>
      </c>
      <c r="R66" s="9">
        <v>2</v>
      </c>
      <c r="S66" s="9">
        <v>6</v>
      </c>
      <c r="T66" s="12">
        <v>18</v>
      </c>
      <c r="U66" s="13"/>
      <c r="V66" s="13"/>
      <c r="W66" s="13"/>
      <c r="X66" s="13"/>
      <c r="Y66" s="13"/>
      <c r="Z66" s="13"/>
      <c r="AA66" s="13"/>
      <c r="AB66" s="13"/>
      <c r="AC66" s="13"/>
      <c r="AD66" s="13"/>
      <c r="AE66" s="13"/>
      <c r="AF66" s="13"/>
      <c r="AG66" s="13"/>
      <c r="AH66" s="13"/>
      <c r="AI66" s="13"/>
      <c r="AJ66" s="13"/>
      <c r="AK66" s="13"/>
    </row>
    <row r="67" spans="4:37" ht="15.75" customHeight="1" x14ac:dyDescent="0.15">
      <c r="D67" s="32"/>
      <c r="E67" s="7" t="s">
        <v>39</v>
      </c>
      <c r="F67" s="9">
        <v>30</v>
      </c>
      <c r="G67" s="9">
        <v>0</v>
      </c>
      <c r="H67" s="9">
        <v>0</v>
      </c>
      <c r="I67" s="12">
        <v>30</v>
      </c>
      <c r="J67" s="13"/>
      <c r="K67" s="19" t="s">
        <v>363</v>
      </c>
      <c r="L67" s="9">
        <v>0</v>
      </c>
      <c r="M67" s="9">
        <v>0</v>
      </c>
      <c r="N67" s="9">
        <v>0</v>
      </c>
      <c r="O67" s="9">
        <v>6</v>
      </c>
      <c r="P67" s="9">
        <v>0</v>
      </c>
      <c r="Q67" s="9">
        <v>0</v>
      </c>
      <c r="R67" s="9">
        <v>0</v>
      </c>
      <c r="S67" s="9">
        <v>1</v>
      </c>
      <c r="T67" s="12">
        <v>7</v>
      </c>
      <c r="U67" s="13"/>
      <c r="V67" s="13"/>
      <c r="W67" s="13"/>
      <c r="X67" s="13"/>
      <c r="Y67" s="13"/>
      <c r="Z67" s="13"/>
      <c r="AA67" s="13"/>
      <c r="AB67" s="13"/>
      <c r="AC67" s="13"/>
      <c r="AD67" s="13"/>
      <c r="AE67" s="13"/>
      <c r="AF67" s="13"/>
      <c r="AG67" s="13"/>
      <c r="AH67" s="13"/>
      <c r="AI67" s="13"/>
      <c r="AJ67" s="13"/>
      <c r="AK67" s="13"/>
    </row>
    <row r="68" spans="4:37" ht="15.75" customHeight="1" x14ac:dyDescent="0.15">
      <c r="D68" s="32"/>
      <c r="E68" s="7" t="s">
        <v>367</v>
      </c>
      <c r="F68" s="9">
        <v>2</v>
      </c>
      <c r="G68" s="9">
        <v>0</v>
      </c>
      <c r="H68" s="9">
        <v>0</v>
      </c>
      <c r="I68" s="12">
        <v>2</v>
      </c>
      <c r="J68" s="13"/>
      <c r="K68" s="19" t="s">
        <v>369</v>
      </c>
      <c r="L68" s="9">
        <v>0</v>
      </c>
      <c r="M68" s="9">
        <v>0</v>
      </c>
      <c r="N68" s="9">
        <v>2</v>
      </c>
      <c r="O68" s="9">
        <v>6</v>
      </c>
      <c r="P68" s="9">
        <v>0</v>
      </c>
      <c r="Q68" s="9">
        <v>0</v>
      </c>
      <c r="R68" s="9">
        <v>0</v>
      </c>
      <c r="S68" s="9">
        <v>1</v>
      </c>
      <c r="T68" s="12">
        <v>9</v>
      </c>
      <c r="U68" s="13"/>
      <c r="V68" s="13"/>
      <c r="W68" s="13"/>
      <c r="X68" s="13"/>
      <c r="Y68" s="13"/>
      <c r="Z68" s="13"/>
      <c r="AA68" s="13"/>
      <c r="AB68" s="13"/>
      <c r="AC68" s="13"/>
      <c r="AD68" s="13"/>
      <c r="AE68" s="13"/>
      <c r="AF68" s="13"/>
      <c r="AG68" s="13"/>
      <c r="AH68" s="13"/>
      <c r="AI68" s="13"/>
      <c r="AJ68" s="13"/>
      <c r="AK68" s="13"/>
    </row>
    <row r="69" spans="4:37" ht="15.75" customHeight="1" x14ac:dyDescent="0.15">
      <c r="D69" s="32"/>
      <c r="E69" s="7" t="s">
        <v>375</v>
      </c>
      <c r="F69" s="9">
        <v>1</v>
      </c>
      <c r="G69" s="9">
        <v>0</v>
      </c>
      <c r="H69" s="9">
        <v>0</v>
      </c>
      <c r="I69" s="12">
        <v>1</v>
      </c>
      <c r="J69" s="13"/>
      <c r="K69" s="19" t="s">
        <v>377</v>
      </c>
      <c r="L69" s="9">
        <v>0</v>
      </c>
      <c r="M69" s="9">
        <v>0</v>
      </c>
      <c r="N69" s="9">
        <v>1</v>
      </c>
      <c r="O69" s="9">
        <v>3</v>
      </c>
      <c r="P69" s="9">
        <v>0</v>
      </c>
      <c r="Q69" s="9">
        <v>0</v>
      </c>
      <c r="R69" s="9">
        <v>3</v>
      </c>
      <c r="S69" s="9">
        <v>0</v>
      </c>
      <c r="T69" s="12">
        <v>7</v>
      </c>
      <c r="U69" s="13"/>
      <c r="V69" s="13"/>
      <c r="W69" s="13"/>
      <c r="X69" s="13"/>
      <c r="Y69" s="13"/>
      <c r="Z69" s="13"/>
      <c r="AA69" s="13"/>
      <c r="AB69" s="13"/>
      <c r="AC69" s="13"/>
      <c r="AD69" s="13"/>
      <c r="AE69" s="13"/>
      <c r="AF69" s="13"/>
      <c r="AG69" s="13"/>
      <c r="AH69" s="13"/>
      <c r="AI69" s="13"/>
      <c r="AJ69" s="13"/>
      <c r="AK69" s="13"/>
    </row>
    <row r="70" spans="4:37" ht="15.75" customHeight="1" x14ac:dyDescent="0.15">
      <c r="D70" s="32"/>
      <c r="E70" s="7" t="s">
        <v>381</v>
      </c>
      <c r="F70" s="9">
        <v>7</v>
      </c>
      <c r="G70" s="9">
        <v>0</v>
      </c>
      <c r="H70" s="9">
        <v>0</v>
      </c>
      <c r="I70" s="12">
        <v>7</v>
      </c>
      <c r="J70" s="13"/>
      <c r="K70" s="19" t="s">
        <v>382</v>
      </c>
      <c r="L70" s="9">
        <v>0</v>
      </c>
      <c r="M70" s="9">
        <v>0</v>
      </c>
      <c r="N70" s="9">
        <v>0</v>
      </c>
      <c r="O70" s="9">
        <v>0</v>
      </c>
      <c r="P70" s="9">
        <v>0</v>
      </c>
      <c r="Q70" s="9">
        <v>0</v>
      </c>
      <c r="R70" s="9">
        <v>0</v>
      </c>
      <c r="S70" s="9">
        <v>1</v>
      </c>
      <c r="T70" s="12">
        <v>1</v>
      </c>
      <c r="U70" s="13"/>
      <c r="V70" s="13"/>
      <c r="W70" s="13"/>
      <c r="X70" s="13"/>
      <c r="Y70" s="13"/>
      <c r="Z70" s="13"/>
      <c r="AA70" s="13"/>
      <c r="AB70" s="13"/>
      <c r="AC70" s="13"/>
      <c r="AD70" s="13"/>
      <c r="AE70" s="13"/>
      <c r="AF70" s="13"/>
      <c r="AG70" s="13"/>
      <c r="AH70" s="13"/>
      <c r="AI70" s="13"/>
      <c r="AJ70" s="13"/>
      <c r="AK70" s="13"/>
    </row>
    <row r="71" spans="4:37" ht="15.75" customHeight="1" x14ac:dyDescent="0.15">
      <c r="D71" s="32"/>
      <c r="E71" s="7" t="s">
        <v>214</v>
      </c>
      <c r="F71" s="9">
        <v>7</v>
      </c>
      <c r="G71" s="9">
        <v>0</v>
      </c>
      <c r="H71" s="9">
        <v>0</v>
      </c>
      <c r="I71" s="12">
        <v>7</v>
      </c>
      <c r="J71" s="13"/>
      <c r="K71" s="18" t="s">
        <v>385</v>
      </c>
      <c r="L71" s="12">
        <v>9</v>
      </c>
      <c r="M71" s="12">
        <v>0</v>
      </c>
      <c r="N71" s="12">
        <v>34</v>
      </c>
      <c r="O71" s="12">
        <v>61</v>
      </c>
      <c r="P71" s="12">
        <v>0</v>
      </c>
      <c r="Q71" s="12">
        <v>8</v>
      </c>
      <c r="R71" s="12">
        <v>12</v>
      </c>
      <c r="S71" s="12">
        <v>71</v>
      </c>
      <c r="T71" s="12">
        <v>195</v>
      </c>
      <c r="U71" s="13"/>
      <c r="V71" s="13"/>
      <c r="W71" s="13"/>
      <c r="X71" s="13"/>
      <c r="Y71" s="13"/>
      <c r="Z71" s="13"/>
      <c r="AA71" s="13"/>
      <c r="AB71" s="13"/>
      <c r="AC71" s="13"/>
      <c r="AD71" s="13"/>
      <c r="AE71" s="13"/>
      <c r="AF71" s="13"/>
      <c r="AG71" s="13"/>
      <c r="AH71" s="13"/>
      <c r="AI71" s="13"/>
      <c r="AJ71" s="13"/>
      <c r="AK71" s="13"/>
    </row>
    <row r="72" spans="4:37" ht="15.75" customHeight="1" x14ac:dyDescent="0.15">
      <c r="D72" s="32"/>
      <c r="E72" s="7" t="s">
        <v>389</v>
      </c>
      <c r="F72" s="9">
        <v>1</v>
      </c>
      <c r="G72" s="9">
        <v>0</v>
      </c>
      <c r="H72" s="9">
        <v>0</v>
      </c>
      <c r="I72" s="12">
        <v>1</v>
      </c>
      <c r="J72" s="13"/>
      <c r="K72" s="19" t="s">
        <v>391</v>
      </c>
      <c r="L72" s="9">
        <v>0</v>
      </c>
      <c r="M72" s="9">
        <v>0</v>
      </c>
      <c r="N72" s="9">
        <v>1</v>
      </c>
      <c r="O72" s="9">
        <v>0</v>
      </c>
      <c r="P72" s="9">
        <v>0</v>
      </c>
      <c r="Q72" s="9">
        <v>5</v>
      </c>
      <c r="R72" s="9">
        <v>0</v>
      </c>
      <c r="S72" s="9">
        <v>3</v>
      </c>
      <c r="T72" s="12">
        <v>9</v>
      </c>
      <c r="U72" s="13"/>
      <c r="V72" s="13"/>
      <c r="W72" s="13"/>
      <c r="X72" s="13"/>
      <c r="Y72" s="13"/>
      <c r="Z72" s="13"/>
      <c r="AA72" s="13"/>
      <c r="AB72" s="13"/>
      <c r="AC72" s="13"/>
      <c r="AD72" s="13"/>
      <c r="AE72" s="13"/>
      <c r="AF72" s="13"/>
      <c r="AG72" s="13"/>
      <c r="AH72" s="13"/>
      <c r="AI72" s="13"/>
      <c r="AJ72" s="13"/>
      <c r="AK72" s="13"/>
    </row>
    <row r="73" spans="4:37" ht="15.75" customHeight="1" x14ac:dyDescent="0.15">
      <c r="D73" s="32"/>
      <c r="E73" s="7" t="s">
        <v>222</v>
      </c>
      <c r="F73" s="9">
        <v>1</v>
      </c>
      <c r="G73" s="9">
        <v>0</v>
      </c>
      <c r="H73" s="9">
        <v>0</v>
      </c>
      <c r="I73" s="12">
        <v>1</v>
      </c>
      <c r="J73" s="13"/>
      <c r="K73" s="19" t="s">
        <v>394</v>
      </c>
      <c r="L73" s="9">
        <v>0</v>
      </c>
      <c r="M73" s="9">
        <v>0</v>
      </c>
      <c r="N73" s="9">
        <v>2</v>
      </c>
      <c r="O73" s="9">
        <v>4</v>
      </c>
      <c r="P73" s="9">
        <v>0</v>
      </c>
      <c r="Q73" s="9">
        <v>0</v>
      </c>
      <c r="R73" s="9">
        <v>0</v>
      </c>
      <c r="S73" s="9">
        <v>0</v>
      </c>
      <c r="T73" s="12">
        <v>6</v>
      </c>
      <c r="U73" s="13"/>
      <c r="V73" s="13"/>
      <c r="W73" s="13"/>
      <c r="X73" s="13"/>
      <c r="Y73" s="13"/>
      <c r="Z73" s="13"/>
      <c r="AA73" s="13"/>
      <c r="AB73" s="13"/>
      <c r="AC73" s="13"/>
      <c r="AD73" s="13"/>
      <c r="AE73" s="13"/>
      <c r="AF73" s="13"/>
      <c r="AG73" s="13"/>
      <c r="AH73" s="13"/>
      <c r="AI73" s="13"/>
      <c r="AJ73" s="13"/>
      <c r="AK73" s="13"/>
    </row>
    <row r="74" spans="4:37" ht="15.75" customHeight="1" x14ac:dyDescent="0.15">
      <c r="D74" s="32"/>
      <c r="E74" s="7" t="s">
        <v>395</v>
      </c>
      <c r="F74" s="9">
        <v>6</v>
      </c>
      <c r="G74" s="9">
        <v>0</v>
      </c>
      <c r="H74" s="9">
        <v>0</v>
      </c>
      <c r="I74" s="12">
        <v>6</v>
      </c>
      <c r="J74" s="13"/>
      <c r="K74" s="19" t="s">
        <v>397</v>
      </c>
      <c r="L74" s="9">
        <v>0</v>
      </c>
      <c r="M74" s="9">
        <v>0</v>
      </c>
      <c r="N74" s="9">
        <v>2</v>
      </c>
      <c r="O74" s="9">
        <v>2</v>
      </c>
      <c r="P74" s="9">
        <v>0</v>
      </c>
      <c r="Q74" s="9">
        <v>0</v>
      </c>
      <c r="R74" s="9">
        <v>0</v>
      </c>
      <c r="S74" s="9">
        <v>3</v>
      </c>
      <c r="T74" s="12">
        <v>7</v>
      </c>
      <c r="U74" s="13"/>
      <c r="V74" s="13"/>
      <c r="W74" s="13"/>
      <c r="X74" s="13"/>
      <c r="Y74" s="13"/>
      <c r="Z74" s="13"/>
      <c r="AA74" s="13"/>
      <c r="AB74" s="13"/>
      <c r="AC74" s="13"/>
      <c r="AD74" s="13"/>
      <c r="AE74" s="13"/>
      <c r="AF74" s="13"/>
      <c r="AG74" s="13"/>
      <c r="AH74" s="13"/>
      <c r="AI74" s="13"/>
      <c r="AJ74" s="13"/>
      <c r="AK74" s="13"/>
    </row>
    <row r="75" spans="4:37" ht="15.75" customHeight="1" x14ac:dyDescent="0.15">
      <c r="D75" s="32"/>
      <c r="E75" s="7" t="s">
        <v>400</v>
      </c>
      <c r="F75" s="9">
        <v>6</v>
      </c>
      <c r="G75" s="9">
        <v>0</v>
      </c>
      <c r="H75" s="9">
        <v>0</v>
      </c>
      <c r="I75" s="12">
        <v>6</v>
      </c>
      <c r="J75" s="13"/>
      <c r="K75" s="19" t="s">
        <v>402</v>
      </c>
      <c r="L75" s="9">
        <v>0</v>
      </c>
      <c r="M75" s="9">
        <v>0</v>
      </c>
      <c r="N75" s="9">
        <v>0</v>
      </c>
      <c r="O75" s="9">
        <v>1</v>
      </c>
      <c r="P75" s="9">
        <v>0</v>
      </c>
      <c r="Q75" s="9">
        <v>0</v>
      </c>
      <c r="R75" s="9">
        <v>1</v>
      </c>
      <c r="S75" s="9">
        <v>1</v>
      </c>
      <c r="T75" s="12">
        <v>3</v>
      </c>
      <c r="U75" s="13"/>
      <c r="V75" s="13"/>
      <c r="W75" s="13"/>
      <c r="X75" s="13"/>
      <c r="Y75" s="13"/>
      <c r="Z75" s="13"/>
      <c r="AA75" s="13"/>
      <c r="AB75" s="13"/>
      <c r="AC75" s="13"/>
      <c r="AD75" s="13"/>
      <c r="AE75" s="13"/>
      <c r="AF75" s="13"/>
      <c r="AG75" s="13"/>
      <c r="AH75" s="13"/>
      <c r="AI75" s="13"/>
      <c r="AJ75" s="13"/>
      <c r="AK75" s="13"/>
    </row>
    <row r="76" spans="4:37" ht="15.75" customHeight="1" x14ac:dyDescent="0.15">
      <c r="D76" s="32"/>
      <c r="E76" s="7" t="s">
        <v>404</v>
      </c>
      <c r="F76" s="9">
        <v>22</v>
      </c>
      <c r="G76" s="9">
        <v>0</v>
      </c>
      <c r="H76" s="9">
        <v>0</v>
      </c>
      <c r="I76" s="12">
        <v>22</v>
      </c>
      <c r="J76" s="13"/>
      <c r="K76" s="19" t="s">
        <v>405</v>
      </c>
      <c r="L76" s="9">
        <v>0</v>
      </c>
      <c r="M76" s="9">
        <v>0</v>
      </c>
      <c r="N76" s="9">
        <v>1</v>
      </c>
      <c r="O76" s="9">
        <v>6</v>
      </c>
      <c r="P76" s="9">
        <v>0</v>
      </c>
      <c r="Q76" s="9">
        <v>0</v>
      </c>
      <c r="R76" s="9">
        <v>0</v>
      </c>
      <c r="S76" s="9">
        <v>1</v>
      </c>
      <c r="T76" s="12">
        <v>8</v>
      </c>
      <c r="U76" s="13"/>
      <c r="V76" s="13"/>
      <c r="W76" s="13"/>
      <c r="X76" s="13"/>
      <c r="Y76" s="13"/>
      <c r="Z76" s="13"/>
      <c r="AA76" s="13"/>
      <c r="AB76" s="13"/>
      <c r="AC76" s="13"/>
      <c r="AD76" s="13"/>
      <c r="AE76" s="13"/>
      <c r="AF76" s="13"/>
      <c r="AG76" s="13"/>
      <c r="AH76" s="13"/>
      <c r="AI76" s="13"/>
      <c r="AJ76" s="13"/>
      <c r="AK76" s="13"/>
    </row>
    <row r="77" spans="4:37" ht="15.75" customHeight="1" x14ac:dyDescent="0.15">
      <c r="D77" s="32"/>
      <c r="E77" s="7" t="s">
        <v>408</v>
      </c>
      <c r="F77" s="9">
        <v>1</v>
      </c>
      <c r="G77" s="9">
        <v>0</v>
      </c>
      <c r="H77" s="9">
        <v>0</v>
      </c>
      <c r="I77" s="12">
        <v>1</v>
      </c>
      <c r="J77" s="13"/>
      <c r="K77" s="19" t="s">
        <v>409</v>
      </c>
      <c r="L77" s="9">
        <v>0</v>
      </c>
      <c r="M77" s="9">
        <v>0</v>
      </c>
      <c r="N77" s="9">
        <v>0</v>
      </c>
      <c r="O77" s="9">
        <v>1</v>
      </c>
      <c r="P77" s="9">
        <v>0</v>
      </c>
      <c r="Q77" s="9">
        <v>0</v>
      </c>
      <c r="R77" s="9">
        <v>0</v>
      </c>
      <c r="S77" s="9">
        <v>1</v>
      </c>
      <c r="T77" s="12">
        <v>2</v>
      </c>
      <c r="U77" s="13"/>
      <c r="V77" s="13"/>
      <c r="W77" s="13"/>
      <c r="X77" s="13"/>
      <c r="Y77" s="13"/>
      <c r="Z77" s="13"/>
      <c r="AA77" s="13"/>
      <c r="AB77" s="13"/>
      <c r="AC77" s="13"/>
      <c r="AD77" s="13"/>
      <c r="AE77" s="13"/>
      <c r="AF77" s="13"/>
      <c r="AG77" s="13"/>
      <c r="AH77" s="13"/>
      <c r="AI77" s="13"/>
      <c r="AJ77" s="13"/>
      <c r="AK77" s="13"/>
    </row>
    <row r="78" spans="4:37" ht="15.75" customHeight="1" x14ac:dyDescent="0.15">
      <c r="D78" s="32"/>
      <c r="E78" s="7" t="s">
        <v>414</v>
      </c>
      <c r="F78" s="9">
        <v>2</v>
      </c>
      <c r="G78" s="9">
        <v>0</v>
      </c>
      <c r="H78" s="9">
        <v>0</v>
      </c>
      <c r="I78" s="12">
        <v>2</v>
      </c>
      <c r="J78" s="13"/>
      <c r="K78" s="19" t="s">
        <v>416</v>
      </c>
      <c r="L78" s="9">
        <v>0</v>
      </c>
      <c r="M78" s="9">
        <v>0</v>
      </c>
      <c r="N78" s="9">
        <v>1</v>
      </c>
      <c r="O78" s="9">
        <v>3</v>
      </c>
      <c r="P78" s="9">
        <v>0</v>
      </c>
      <c r="Q78" s="9">
        <v>0</v>
      </c>
      <c r="R78" s="9">
        <v>0</v>
      </c>
      <c r="S78" s="9">
        <v>0</v>
      </c>
      <c r="T78" s="12">
        <v>4</v>
      </c>
      <c r="U78" s="13"/>
      <c r="V78" s="13"/>
      <c r="W78" s="13"/>
      <c r="X78" s="13"/>
      <c r="Y78" s="13"/>
      <c r="Z78" s="13"/>
      <c r="AA78" s="13"/>
      <c r="AB78" s="13"/>
      <c r="AC78" s="13"/>
      <c r="AD78" s="13"/>
      <c r="AE78" s="13"/>
      <c r="AF78" s="13"/>
      <c r="AG78" s="13"/>
      <c r="AH78" s="13"/>
      <c r="AI78" s="13"/>
      <c r="AJ78" s="13"/>
      <c r="AK78" s="13"/>
    </row>
    <row r="79" spans="4:37" ht="15.75" customHeight="1" x14ac:dyDescent="0.15">
      <c r="D79" s="32"/>
      <c r="E79" s="7" t="s">
        <v>270</v>
      </c>
      <c r="F79" s="9">
        <v>3</v>
      </c>
      <c r="G79" s="9">
        <v>0</v>
      </c>
      <c r="H79" s="9">
        <v>0</v>
      </c>
      <c r="I79" s="12">
        <v>3</v>
      </c>
      <c r="J79" s="13"/>
      <c r="K79" s="19" t="s">
        <v>421</v>
      </c>
      <c r="L79" s="9">
        <v>0</v>
      </c>
      <c r="M79" s="9">
        <v>0</v>
      </c>
      <c r="N79" s="9">
        <v>2</v>
      </c>
      <c r="O79" s="9">
        <v>3</v>
      </c>
      <c r="P79" s="9">
        <v>0</v>
      </c>
      <c r="Q79" s="9">
        <v>0</v>
      </c>
      <c r="R79" s="9">
        <v>0</v>
      </c>
      <c r="S79" s="9">
        <v>2</v>
      </c>
      <c r="T79" s="12">
        <v>7</v>
      </c>
      <c r="U79" s="13"/>
      <c r="V79" s="13"/>
      <c r="W79" s="13"/>
      <c r="X79" s="13"/>
      <c r="Y79" s="13"/>
      <c r="Z79" s="13"/>
      <c r="AA79" s="13"/>
      <c r="AB79" s="13"/>
      <c r="AC79" s="13"/>
      <c r="AD79" s="13"/>
      <c r="AE79" s="13"/>
      <c r="AF79" s="13"/>
      <c r="AG79" s="13"/>
      <c r="AH79" s="13"/>
      <c r="AI79" s="13"/>
      <c r="AJ79" s="13"/>
      <c r="AK79" s="13"/>
    </row>
    <row r="80" spans="4:37" ht="15.75" customHeight="1" x14ac:dyDescent="0.15">
      <c r="D80" s="32"/>
      <c r="E80" s="7" t="s">
        <v>425</v>
      </c>
      <c r="F80" s="9">
        <v>1</v>
      </c>
      <c r="G80" s="9">
        <v>0</v>
      </c>
      <c r="H80" s="9">
        <v>0</v>
      </c>
      <c r="I80" s="12">
        <v>1</v>
      </c>
      <c r="J80" s="13"/>
      <c r="K80" s="19" t="s">
        <v>426</v>
      </c>
      <c r="L80" s="9">
        <v>0</v>
      </c>
      <c r="M80" s="9">
        <v>0</v>
      </c>
      <c r="N80" s="9">
        <v>1</v>
      </c>
      <c r="O80" s="9">
        <v>5</v>
      </c>
      <c r="P80" s="9">
        <v>0</v>
      </c>
      <c r="Q80" s="9">
        <v>0</v>
      </c>
      <c r="R80" s="9">
        <v>2</v>
      </c>
      <c r="S80" s="9">
        <v>3</v>
      </c>
      <c r="T80" s="12">
        <v>11</v>
      </c>
      <c r="U80" s="13"/>
      <c r="V80" s="13"/>
      <c r="W80" s="13"/>
      <c r="X80" s="13"/>
      <c r="Y80" s="13"/>
      <c r="Z80" s="13"/>
      <c r="AA80" s="13"/>
      <c r="AB80" s="13"/>
      <c r="AC80" s="13"/>
      <c r="AD80" s="13"/>
      <c r="AE80" s="13"/>
      <c r="AF80" s="13"/>
      <c r="AG80" s="13"/>
      <c r="AH80" s="13"/>
      <c r="AI80" s="13"/>
      <c r="AJ80" s="13"/>
      <c r="AK80" s="13"/>
    </row>
    <row r="81" spans="4:37" ht="15.75" customHeight="1" x14ac:dyDescent="0.15">
      <c r="D81" s="32"/>
      <c r="E81" s="7" t="s">
        <v>72</v>
      </c>
      <c r="F81" s="9">
        <v>7</v>
      </c>
      <c r="G81" s="9">
        <v>0</v>
      </c>
      <c r="H81" s="9">
        <v>0</v>
      </c>
      <c r="I81" s="12">
        <v>7</v>
      </c>
      <c r="J81" s="13"/>
      <c r="K81" s="19" t="s">
        <v>433</v>
      </c>
      <c r="L81" s="9">
        <v>3</v>
      </c>
      <c r="M81" s="9">
        <v>0</v>
      </c>
      <c r="N81" s="9">
        <v>4</v>
      </c>
      <c r="O81" s="9">
        <v>8</v>
      </c>
      <c r="P81" s="9">
        <v>0</v>
      </c>
      <c r="Q81" s="9">
        <v>0</v>
      </c>
      <c r="R81" s="9">
        <v>0</v>
      </c>
      <c r="S81" s="9">
        <v>1</v>
      </c>
      <c r="T81" s="12">
        <v>16</v>
      </c>
      <c r="U81" s="13"/>
      <c r="V81" s="13"/>
      <c r="W81" s="13"/>
      <c r="X81" s="13"/>
      <c r="Y81" s="13"/>
      <c r="Z81" s="13"/>
      <c r="AA81" s="13"/>
      <c r="AB81" s="13"/>
      <c r="AC81" s="13"/>
      <c r="AD81" s="13"/>
      <c r="AE81" s="13"/>
      <c r="AF81" s="13"/>
      <c r="AG81" s="13"/>
      <c r="AH81" s="13"/>
      <c r="AI81" s="13"/>
      <c r="AJ81" s="13"/>
      <c r="AK81" s="13"/>
    </row>
    <row r="82" spans="4:37" ht="15.75" customHeight="1" x14ac:dyDescent="0.15">
      <c r="D82" s="32"/>
      <c r="E82" s="7" t="s">
        <v>47</v>
      </c>
      <c r="F82" s="9">
        <v>0</v>
      </c>
      <c r="G82" s="9">
        <v>0</v>
      </c>
      <c r="H82" s="9">
        <v>1</v>
      </c>
      <c r="I82" s="12">
        <v>1</v>
      </c>
      <c r="J82" s="13"/>
      <c r="K82" s="19" t="s">
        <v>438</v>
      </c>
      <c r="L82" s="9">
        <v>0</v>
      </c>
      <c r="M82" s="9">
        <v>0</v>
      </c>
      <c r="N82" s="9">
        <v>3</v>
      </c>
      <c r="O82" s="9">
        <v>4</v>
      </c>
      <c r="P82" s="9">
        <v>0</v>
      </c>
      <c r="Q82" s="9">
        <v>0</v>
      </c>
      <c r="R82" s="9">
        <v>0</v>
      </c>
      <c r="S82" s="9">
        <v>5</v>
      </c>
      <c r="T82" s="12">
        <v>12</v>
      </c>
      <c r="U82" s="13"/>
      <c r="V82" s="13"/>
      <c r="W82" s="13"/>
      <c r="X82" s="13"/>
      <c r="Y82" s="13"/>
      <c r="Z82" s="13"/>
      <c r="AA82" s="13"/>
      <c r="AB82" s="13"/>
      <c r="AC82" s="13"/>
      <c r="AD82" s="13"/>
      <c r="AE82" s="13"/>
      <c r="AF82" s="13"/>
      <c r="AG82" s="13"/>
      <c r="AH82" s="13"/>
      <c r="AI82" s="13"/>
      <c r="AJ82" s="13"/>
      <c r="AK82" s="13"/>
    </row>
    <row r="83" spans="4:37" ht="15.75" customHeight="1" x14ac:dyDescent="0.15">
      <c r="D83" s="32"/>
      <c r="E83" s="7" t="s">
        <v>136</v>
      </c>
      <c r="F83" s="9">
        <v>2</v>
      </c>
      <c r="G83" s="9">
        <v>0</v>
      </c>
      <c r="H83" s="9">
        <v>1</v>
      </c>
      <c r="I83" s="12">
        <v>3</v>
      </c>
      <c r="J83" s="13"/>
      <c r="K83" s="19" t="s">
        <v>442</v>
      </c>
      <c r="L83" s="9">
        <v>0</v>
      </c>
      <c r="M83" s="9">
        <v>0</v>
      </c>
      <c r="N83" s="9">
        <v>0</v>
      </c>
      <c r="O83" s="9">
        <v>0</v>
      </c>
      <c r="P83" s="9">
        <v>0</v>
      </c>
      <c r="Q83" s="9">
        <v>0</v>
      </c>
      <c r="R83" s="9">
        <v>0</v>
      </c>
      <c r="S83" s="9">
        <v>1</v>
      </c>
      <c r="T83" s="12">
        <v>1</v>
      </c>
      <c r="U83" s="13"/>
      <c r="V83" s="13"/>
      <c r="W83" s="13"/>
      <c r="X83" s="13"/>
      <c r="Y83" s="13"/>
      <c r="Z83" s="13"/>
      <c r="AA83" s="13"/>
      <c r="AB83" s="13"/>
      <c r="AC83" s="13"/>
      <c r="AD83" s="13"/>
      <c r="AE83" s="13"/>
      <c r="AF83" s="13"/>
      <c r="AG83" s="13"/>
      <c r="AH83" s="13"/>
      <c r="AI83" s="13"/>
      <c r="AJ83" s="13"/>
      <c r="AK83" s="13"/>
    </row>
    <row r="84" spans="4:37" ht="15.75" customHeight="1" x14ac:dyDescent="0.15">
      <c r="D84" s="32"/>
      <c r="E84" s="7" t="s">
        <v>188</v>
      </c>
      <c r="F84" s="9">
        <v>1</v>
      </c>
      <c r="G84" s="9">
        <v>0</v>
      </c>
      <c r="H84" s="9">
        <v>0</v>
      </c>
      <c r="I84" s="12">
        <v>1</v>
      </c>
      <c r="J84" s="13"/>
      <c r="K84" s="19" t="s">
        <v>447</v>
      </c>
      <c r="L84" s="9">
        <v>0</v>
      </c>
      <c r="M84" s="9">
        <v>0</v>
      </c>
      <c r="N84" s="9">
        <v>0</v>
      </c>
      <c r="O84" s="9">
        <v>2</v>
      </c>
      <c r="P84" s="9">
        <v>0</v>
      </c>
      <c r="Q84" s="9">
        <v>0</v>
      </c>
      <c r="R84" s="9">
        <v>0</v>
      </c>
      <c r="S84" s="9">
        <v>0</v>
      </c>
      <c r="T84" s="12">
        <v>2</v>
      </c>
      <c r="U84" s="13"/>
      <c r="V84" s="13"/>
      <c r="W84" s="13"/>
      <c r="X84" s="13"/>
      <c r="Y84" s="13"/>
      <c r="Z84" s="13"/>
      <c r="AA84" s="13"/>
      <c r="AB84" s="13"/>
      <c r="AC84" s="13"/>
      <c r="AD84" s="13"/>
      <c r="AE84" s="13"/>
      <c r="AF84" s="13"/>
      <c r="AG84" s="13"/>
      <c r="AH84" s="13"/>
      <c r="AI84" s="13"/>
      <c r="AJ84" s="13"/>
      <c r="AK84" s="13"/>
    </row>
    <row r="85" spans="4:37" ht="15.75" customHeight="1" x14ac:dyDescent="0.15">
      <c r="D85" s="32"/>
      <c r="E85" s="7" t="s">
        <v>88</v>
      </c>
      <c r="F85" s="9">
        <v>1</v>
      </c>
      <c r="G85" s="9">
        <v>0</v>
      </c>
      <c r="H85" s="9">
        <v>0</v>
      </c>
      <c r="I85" s="12">
        <v>1</v>
      </c>
      <c r="J85" s="13"/>
      <c r="K85" s="19" t="s">
        <v>452</v>
      </c>
      <c r="L85" s="9">
        <v>0</v>
      </c>
      <c r="M85" s="9">
        <v>0</v>
      </c>
      <c r="N85" s="9">
        <v>5</v>
      </c>
      <c r="O85" s="9">
        <v>0</v>
      </c>
      <c r="P85" s="9">
        <v>0</v>
      </c>
      <c r="Q85" s="9">
        <v>0</v>
      </c>
      <c r="R85" s="9">
        <v>1</v>
      </c>
      <c r="S85" s="9">
        <v>3</v>
      </c>
      <c r="T85" s="12">
        <v>9</v>
      </c>
      <c r="U85" s="13"/>
      <c r="V85" s="13"/>
      <c r="W85" s="13"/>
      <c r="X85" s="13"/>
      <c r="Y85" s="13"/>
      <c r="Z85" s="13"/>
      <c r="AA85" s="13"/>
      <c r="AB85" s="13"/>
      <c r="AC85" s="13"/>
      <c r="AD85" s="13"/>
      <c r="AE85" s="13"/>
      <c r="AF85" s="13"/>
      <c r="AG85" s="13"/>
      <c r="AH85" s="13"/>
      <c r="AI85" s="13"/>
      <c r="AJ85" s="13"/>
      <c r="AK85" s="13"/>
    </row>
    <row r="86" spans="4:37" ht="15.75" customHeight="1" x14ac:dyDescent="0.15">
      <c r="D86" s="32"/>
      <c r="E86" s="7" t="s">
        <v>455</v>
      </c>
      <c r="F86" s="9">
        <v>1</v>
      </c>
      <c r="G86" s="9">
        <v>0</v>
      </c>
      <c r="H86" s="9">
        <v>0</v>
      </c>
      <c r="I86" s="12">
        <v>1</v>
      </c>
      <c r="J86" s="13"/>
      <c r="K86" s="19" t="s">
        <v>457</v>
      </c>
      <c r="L86" s="9">
        <v>0</v>
      </c>
      <c r="M86" s="9">
        <v>0</v>
      </c>
      <c r="N86" s="9">
        <v>2</v>
      </c>
      <c r="O86" s="9">
        <v>3</v>
      </c>
      <c r="P86" s="9">
        <v>0</v>
      </c>
      <c r="Q86" s="9">
        <v>0</v>
      </c>
      <c r="R86" s="9">
        <v>0</v>
      </c>
      <c r="S86" s="9">
        <v>3</v>
      </c>
      <c r="T86" s="12">
        <v>8</v>
      </c>
      <c r="U86" s="13"/>
      <c r="V86" s="13"/>
      <c r="W86" s="13"/>
      <c r="X86" s="13"/>
      <c r="Y86" s="13"/>
      <c r="Z86" s="13"/>
      <c r="AA86" s="13"/>
      <c r="AB86" s="13"/>
      <c r="AC86" s="13"/>
      <c r="AD86" s="13"/>
      <c r="AE86" s="13"/>
      <c r="AF86" s="13"/>
      <c r="AG86" s="13"/>
      <c r="AH86" s="13"/>
      <c r="AI86" s="13"/>
      <c r="AJ86" s="13"/>
      <c r="AK86" s="13"/>
    </row>
    <row r="87" spans="4:37" ht="15.75" customHeight="1" x14ac:dyDescent="0.15">
      <c r="D87" s="32"/>
      <c r="E87" s="7" t="s">
        <v>132</v>
      </c>
      <c r="F87" s="9">
        <v>2</v>
      </c>
      <c r="G87" s="9">
        <v>0</v>
      </c>
      <c r="H87" s="9">
        <v>0</v>
      </c>
      <c r="I87" s="12">
        <v>2</v>
      </c>
      <c r="J87" s="13"/>
      <c r="K87" s="19" t="s">
        <v>461</v>
      </c>
      <c r="L87" s="9">
        <v>2</v>
      </c>
      <c r="M87" s="9">
        <v>0</v>
      </c>
      <c r="N87" s="9">
        <v>2</v>
      </c>
      <c r="O87" s="9">
        <v>2</v>
      </c>
      <c r="P87" s="9">
        <v>0</v>
      </c>
      <c r="Q87" s="9">
        <v>0</v>
      </c>
      <c r="R87" s="9">
        <v>2</v>
      </c>
      <c r="S87" s="9">
        <v>2</v>
      </c>
      <c r="T87" s="12">
        <v>10</v>
      </c>
      <c r="U87" s="13"/>
      <c r="V87" s="13"/>
      <c r="W87" s="13"/>
      <c r="X87" s="13"/>
      <c r="Y87" s="13"/>
      <c r="Z87" s="13"/>
      <c r="AA87" s="13"/>
      <c r="AB87" s="13"/>
      <c r="AC87" s="13"/>
      <c r="AD87" s="13"/>
      <c r="AE87" s="13"/>
      <c r="AF87" s="13"/>
      <c r="AG87" s="13"/>
      <c r="AH87" s="13"/>
      <c r="AI87" s="13"/>
      <c r="AJ87" s="13"/>
      <c r="AK87" s="13"/>
    </row>
    <row r="88" spans="4:37" ht="15.75" customHeight="1" x14ac:dyDescent="0.15">
      <c r="D88" s="32"/>
      <c r="E88" s="7" t="s">
        <v>119</v>
      </c>
      <c r="F88" s="9">
        <v>12</v>
      </c>
      <c r="G88" s="9">
        <v>0</v>
      </c>
      <c r="H88" s="9">
        <v>0</v>
      </c>
      <c r="I88" s="12">
        <v>12</v>
      </c>
      <c r="J88" s="13"/>
      <c r="K88" s="19" t="s">
        <v>468</v>
      </c>
      <c r="L88" s="9">
        <v>2</v>
      </c>
      <c r="M88" s="9">
        <v>0</v>
      </c>
      <c r="N88" s="9">
        <v>1</v>
      </c>
      <c r="O88" s="9">
        <v>5</v>
      </c>
      <c r="P88" s="9">
        <v>0</v>
      </c>
      <c r="Q88" s="9">
        <v>0</v>
      </c>
      <c r="R88" s="9">
        <v>0</v>
      </c>
      <c r="S88" s="9">
        <v>5</v>
      </c>
      <c r="T88" s="12">
        <v>13</v>
      </c>
      <c r="U88" s="13"/>
      <c r="V88" s="13"/>
      <c r="W88" s="13"/>
      <c r="X88" s="13"/>
      <c r="Y88" s="13"/>
      <c r="Z88" s="13"/>
      <c r="AA88" s="13"/>
      <c r="AB88" s="13"/>
      <c r="AC88" s="13"/>
      <c r="AD88" s="13"/>
      <c r="AE88" s="13"/>
      <c r="AF88" s="13"/>
      <c r="AG88" s="13"/>
      <c r="AH88" s="13"/>
      <c r="AI88" s="13"/>
      <c r="AJ88" s="13"/>
      <c r="AK88" s="13"/>
    </row>
    <row r="89" spans="4:37" ht="15.75" customHeight="1" x14ac:dyDescent="0.15">
      <c r="D89" s="32"/>
      <c r="E89" s="7" t="s">
        <v>77</v>
      </c>
      <c r="F89" s="9">
        <v>18</v>
      </c>
      <c r="G89" s="9">
        <v>0</v>
      </c>
      <c r="H89" s="9">
        <v>0</v>
      </c>
      <c r="I89" s="12">
        <v>18</v>
      </c>
      <c r="J89" s="13"/>
      <c r="K89" s="19" t="s">
        <v>473</v>
      </c>
      <c r="L89" s="9">
        <v>1</v>
      </c>
      <c r="M89" s="9">
        <v>0</v>
      </c>
      <c r="N89" s="9">
        <v>1</v>
      </c>
      <c r="O89" s="9">
        <v>0</v>
      </c>
      <c r="P89" s="9">
        <v>0</v>
      </c>
      <c r="Q89" s="9">
        <v>0</v>
      </c>
      <c r="R89" s="9">
        <v>1</v>
      </c>
      <c r="S89" s="9">
        <v>2</v>
      </c>
      <c r="T89" s="12">
        <v>5</v>
      </c>
      <c r="U89" s="13"/>
      <c r="V89" s="13"/>
      <c r="W89" s="13"/>
      <c r="X89" s="13"/>
      <c r="Y89" s="13"/>
      <c r="Z89" s="13"/>
      <c r="AA89" s="13"/>
      <c r="AB89" s="13"/>
      <c r="AC89" s="13"/>
      <c r="AD89" s="13"/>
      <c r="AE89" s="13"/>
      <c r="AF89" s="13"/>
      <c r="AG89" s="13"/>
      <c r="AH89" s="13"/>
      <c r="AI89" s="13"/>
      <c r="AJ89" s="13"/>
      <c r="AK89" s="13"/>
    </row>
    <row r="90" spans="4:37" ht="15.75" customHeight="1" x14ac:dyDescent="0.15">
      <c r="D90" s="32"/>
      <c r="E90" s="7" t="s">
        <v>201</v>
      </c>
      <c r="F90" s="9">
        <v>2</v>
      </c>
      <c r="G90" s="9">
        <v>0</v>
      </c>
      <c r="H90" s="9">
        <v>0</v>
      </c>
      <c r="I90" s="12">
        <v>2</v>
      </c>
      <c r="J90" s="13"/>
      <c r="K90" s="19" t="s">
        <v>479</v>
      </c>
      <c r="L90" s="9">
        <v>0</v>
      </c>
      <c r="M90" s="9">
        <v>0</v>
      </c>
      <c r="N90" s="9">
        <v>1</v>
      </c>
      <c r="O90" s="9">
        <v>2</v>
      </c>
      <c r="P90" s="9">
        <v>0</v>
      </c>
      <c r="Q90" s="9">
        <v>0</v>
      </c>
      <c r="R90" s="9">
        <v>1</v>
      </c>
      <c r="S90" s="9">
        <v>2</v>
      </c>
      <c r="T90" s="12">
        <v>6</v>
      </c>
      <c r="U90" s="13"/>
      <c r="V90" s="13"/>
      <c r="W90" s="13"/>
      <c r="X90" s="13"/>
      <c r="Y90" s="13"/>
      <c r="Z90" s="13"/>
      <c r="AA90" s="13"/>
      <c r="AB90" s="13"/>
      <c r="AC90" s="13"/>
      <c r="AD90" s="13"/>
      <c r="AE90" s="13"/>
      <c r="AF90" s="13"/>
      <c r="AG90" s="13"/>
      <c r="AH90" s="13"/>
      <c r="AI90" s="13"/>
      <c r="AJ90" s="13"/>
      <c r="AK90" s="13"/>
    </row>
    <row r="91" spans="4:37" ht="15.75" customHeight="1" x14ac:dyDescent="0.15">
      <c r="D91" s="32"/>
      <c r="E91" s="7" t="s">
        <v>99</v>
      </c>
      <c r="F91" s="9">
        <v>2</v>
      </c>
      <c r="G91" s="9">
        <v>0</v>
      </c>
      <c r="H91" s="9">
        <v>0</v>
      </c>
      <c r="I91" s="12">
        <v>2</v>
      </c>
      <c r="J91" s="13"/>
      <c r="K91" s="19" t="s">
        <v>484</v>
      </c>
      <c r="L91" s="9">
        <v>0</v>
      </c>
      <c r="M91" s="9">
        <v>0</v>
      </c>
      <c r="N91" s="9">
        <v>0</v>
      </c>
      <c r="O91" s="9">
        <v>0</v>
      </c>
      <c r="P91" s="9">
        <v>0</v>
      </c>
      <c r="Q91" s="9">
        <v>0</v>
      </c>
      <c r="R91" s="9">
        <v>0</v>
      </c>
      <c r="S91" s="9">
        <v>9</v>
      </c>
      <c r="T91" s="12">
        <v>9</v>
      </c>
      <c r="U91" s="13"/>
      <c r="V91" s="13"/>
      <c r="W91" s="13"/>
      <c r="X91" s="13"/>
      <c r="Y91" s="13"/>
      <c r="Z91" s="13"/>
      <c r="AA91" s="13"/>
      <c r="AB91" s="13"/>
      <c r="AC91" s="13"/>
      <c r="AD91" s="13"/>
      <c r="AE91" s="13"/>
      <c r="AF91" s="13"/>
      <c r="AG91" s="13"/>
      <c r="AH91" s="13"/>
      <c r="AI91" s="13"/>
      <c r="AJ91" s="13"/>
      <c r="AK91" s="13"/>
    </row>
    <row r="92" spans="4:37" ht="15.75" customHeight="1" x14ac:dyDescent="0.15">
      <c r="D92" s="32"/>
      <c r="E92" s="7" t="s">
        <v>254</v>
      </c>
      <c r="F92" s="9">
        <v>2</v>
      </c>
      <c r="G92" s="9">
        <v>0</v>
      </c>
      <c r="H92" s="9">
        <v>0</v>
      </c>
      <c r="I92" s="12">
        <v>2</v>
      </c>
      <c r="J92" s="13"/>
      <c r="K92" s="19" t="s">
        <v>490</v>
      </c>
      <c r="L92" s="9">
        <v>0</v>
      </c>
      <c r="M92" s="9">
        <v>0</v>
      </c>
      <c r="N92" s="9">
        <v>0</v>
      </c>
      <c r="O92" s="9">
        <v>1</v>
      </c>
      <c r="P92" s="9">
        <v>0</v>
      </c>
      <c r="Q92" s="9">
        <v>0</v>
      </c>
      <c r="R92" s="9">
        <v>0</v>
      </c>
      <c r="S92" s="9">
        <v>9</v>
      </c>
      <c r="T92" s="12">
        <v>10</v>
      </c>
      <c r="U92" s="13"/>
      <c r="V92" s="13"/>
      <c r="W92" s="13"/>
      <c r="X92" s="13"/>
      <c r="Y92" s="13"/>
      <c r="Z92" s="13"/>
      <c r="AA92" s="13"/>
      <c r="AB92" s="13"/>
      <c r="AC92" s="13"/>
      <c r="AD92" s="13"/>
      <c r="AE92" s="13"/>
      <c r="AF92" s="13"/>
      <c r="AG92" s="13"/>
      <c r="AH92" s="13"/>
      <c r="AI92" s="13"/>
      <c r="AJ92" s="13"/>
      <c r="AK92" s="13"/>
    </row>
    <row r="93" spans="4:37" ht="15.75" customHeight="1" x14ac:dyDescent="0.15">
      <c r="D93" s="32"/>
      <c r="E93" s="7" t="s">
        <v>146</v>
      </c>
      <c r="F93" s="9">
        <v>25</v>
      </c>
      <c r="G93" s="9">
        <v>0</v>
      </c>
      <c r="H93" s="9">
        <v>0</v>
      </c>
      <c r="I93" s="12">
        <v>25</v>
      </c>
      <c r="J93" s="13"/>
      <c r="K93" s="19" t="s">
        <v>495</v>
      </c>
      <c r="L93" s="9">
        <v>1</v>
      </c>
      <c r="M93" s="9">
        <v>0</v>
      </c>
      <c r="N93" s="9">
        <v>3</v>
      </c>
      <c r="O93" s="9">
        <v>0</v>
      </c>
      <c r="P93" s="9">
        <v>0</v>
      </c>
      <c r="Q93" s="9">
        <v>0</v>
      </c>
      <c r="R93" s="9">
        <v>1</v>
      </c>
      <c r="S93" s="9">
        <v>3</v>
      </c>
      <c r="T93" s="12">
        <v>8</v>
      </c>
      <c r="U93" s="13"/>
      <c r="V93" s="13"/>
      <c r="W93" s="13"/>
      <c r="X93" s="13"/>
      <c r="Y93" s="13"/>
      <c r="Z93" s="13"/>
      <c r="AA93" s="13"/>
      <c r="AB93" s="13"/>
      <c r="AC93" s="13"/>
      <c r="AD93" s="13"/>
      <c r="AE93" s="13"/>
      <c r="AF93" s="13"/>
      <c r="AG93" s="13"/>
      <c r="AH93" s="13"/>
      <c r="AI93" s="13"/>
      <c r="AJ93" s="13"/>
      <c r="AK93" s="13"/>
    </row>
    <row r="94" spans="4:37" ht="15.75" customHeight="1" x14ac:dyDescent="0.15">
      <c r="D94" s="32"/>
      <c r="E94" s="7" t="s">
        <v>499</v>
      </c>
      <c r="F94" s="9">
        <v>1</v>
      </c>
      <c r="G94" s="9">
        <v>0</v>
      </c>
      <c r="H94" s="9">
        <v>0</v>
      </c>
      <c r="I94" s="12">
        <v>1</v>
      </c>
      <c r="J94" s="13"/>
      <c r="K94" s="19" t="s">
        <v>501</v>
      </c>
      <c r="L94" s="9">
        <v>0</v>
      </c>
      <c r="M94" s="9">
        <v>0</v>
      </c>
      <c r="N94" s="9">
        <v>1</v>
      </c>
      <c r="O94" s="9">
        <v>3</v>
      </c>
      <c r="P94" s="9">
        <v>0</v>
      </c>
      <c r="Q94" s="9">
        <v>0</v>
      </c>
      <c r="R94" s="9">
        <v>1</v>
      </c>
      <c r="S94" s="9">
        <v>2</v>
      </c>
      <c r="T94" s="12">
        <v>7</v>
      </c>
      <c r="U94" s="13"/>
      <c r="V94" s="13"/>
      <c r="W94" s="13"/>
      <c r="X94" s="13"/>
      <c r="Y94" s="13"/>
      <c r="Z94" s="13"/>
      <c r="AA94" s="13"/>
      <c r="AB94" s="13"/>
      <c r="AC94" s="13"/>
      <c r="AD94" s="13"/>
      <c r="AE94" s="13"/>
      <c r="AF94" s="13"/>
      <c r="AG94" s="13"/>
      <c r="AH94" s="13"/>
      <c r="AI94" s="13"/>
      <c r="AJ94" s="13"/>
      <c r="AK94" s="13"/>
    </row>
    <row r="95" spans="4:37" ht="15.75" customHeight="1" x14ac:dyDescent="0.15">
      <c r="D95" s="32"/>
      <c r="E95" s="7" t="s">
        <v>502</v>
      </c>
      <c r="F95" s="9">
        <v>1</v>
      </c>
      <c r="G95" s="9">
        <v>0</v>
      </c>
      <c r="H95" s="9">
        <v>0</v>
      </c>
      <c r="I95" s="12">
        <v>1</v>
      </c>
      <c r="J95" s="13"/>
      <c r="K95" s="19" t="s">
        <v>503</v>
      </c>
      <c r="L95" s="9">
        <v>0</v>
      </c>
      <c r="M95" s="9">
        <v>0</v>
      </c>
      <c r="N95" s="9">
        <v>1</v>
      </c>
      <c r="O95" s="9">
        <v>0</v>
      </c>
      <c r="P95" s="9">
        <v>0</v>
      </c>
      <c r="Q95" s="9">
        <v>0</v>
      </c>
      <c r="R95" s="9">
        <v>0</v>
      </c>
      <c r="S95" s="9">
        <v>1</v>
      </c>
      <c r="T95" s="12">
        <v>2</v>
      </c>
      <c r="U95" s="13"/>
      <c r="V95" s="13"/>
      <c r="W95" s="13"/>
      <c r="X95" s="13"/>
      <c r="Y95" s="13"/>
      <c r="Z95" s="13"/>
      <c r="AA95" s="13"/>
      <c r="AB95" s="13"/>
      <c r="AC95" s="13"/>
      <c r="AD95" s="13"/>
      <c r="AE95" s="13"/>
      <c r="AF95" s="13"/>
      <c r="AG95" s="13"/>
      <c r="AH95" s="13"/>
      <c r="AI95" s="13"/>
      <c r="AJ95" s="13"/>
      <c r="AK95" s="13"/>
    </row>
    <row r="96" spans="4:37" ht="15.75" customHeight="1" x14ac:dyDescent="0.15">
      <c r="D96" s="32"/>
      <c r="E96" s="7" t="s">
        <v>505</v>
      </c>
      <c r="F96" s="9">
        <v>1</v>
      </c>
      <c r="G96" s="9">
        <v>0</v>
      </c>
      <c r="H96" s="9">
        <v>0</v>
      </c>
      <c r="I96" s="12">
        <v>1</v>
      </c>
      <c r="J96" s="13"/>
      <c r="K96" s="19" t="s">
        <v>506</v>
      </c>
      <c r="L96" s="9">
        <v>0</v>
      </c>
      <c r="M96" s="9">
        <v>0</v>
      </c>
      <c r="N96" s="9">
        <v>0</v>
      </c>
      <c r="O96" s="9">
        <v>1</v>
      </c>
      <c r="P96" s="9">
        <v>0</v>
      </c>
      <c r="Q96" s="9">
        <v>0</v>
      </c>
      <c r="R96" s="9">
        <v>0</v>
      </c>
      <c r="S96" s="9">
        <v>2</v>
      </c>
      <c r="T96" s="12">
        <v>3</v>
      </c>
      <c r="U96" s="13"/>
      <c r="V96" s="13"/>
      <c r="W96" s="13"/>
      <c r="X96" s="13"/>
      <c r="Y96" s="13"/>
      <c r="Z96" s="13"/>
      <c r="AA96" s="13"/>
      <c r="AB96" s="13"/>
      <c r="AC96" s="13"/>
      <c r="AD96" s="13"/>
      <c r="AE96" s="13"/>
      <c r="AF96" s="13"/>
      <c r="AG96" s="13"/>
      <c r="AH96" s="13"/>
      <c r="AI96" s="13"/>
      <c r="AJ96" s="13"/>
      <c r="AK96" s="13"/>
    </row>
    <row r="97" spans="4:37" ht="13" x14ac:dyDescent="0.15">
      <c r="D97" s="32"/>
      <c r="E97" s="7" t="s">
        <v>338</v>
      </c>
      <c r="F97" s="9">
        <v>2</v>
      </c>
      <c r="G97" s="9">
        <v>0</v>
      </c>
      <c r="H97" s="9">
        <v>0</v>
      </c>
      <c r="I97" s="12">
        <v>2</v>
      </c>
      <c r="J97" s="13"/>
      <c r="K97" s="19" t="s">
        <v>512</v>
      </c>
      <c r="L97" s="9">
        <v>0</v>
      </c>
      <c r="M97" s="9">
        <v>0</v>
      </c>
      <c r="N97" s="9">
        <v>0</v>
      </c>
      <c r="O97" s="9">
        <v>3</v>
      </c>
      <c r="P97" s="9">
        <v>0</v>
      </c>
      <c r="Q97" s="9">
        <v>3</v>
      </c>
      <c r="R97" s="9">
        <v>1</v>
      </c>
      <c r="S97" s="9">
        <v>2</v>
      </c>
      <c r="T97" s="12">
        <v>9</v>
      </c>
      <c r="U97" s="13"/>
      <c r="V97" s="13"/>
      <c r="W97" s="13"/>
      <c r="X97" s="13"/>
      <c r="Y97" s="13"/>
      <c r="Z97" s="13"/>
      <c r="AA97" s="13"/>
      <c r="AB97" s="13"/>
      <c r="AC97" s="13"/>
      <c r="AD97" s="13"/>
      <c r="AE97" s="13"/>
      <c r="AF97" s="13"/>
      <c r="AG97" s="13"/>
      <c r="AH97" s="13"/>
      <c r="AI97" s="13"/>
      <c r="AJ97" s="13"/>
      <c r="AK97" s="13"/>
    </row>
    <row r="98" spans="4:37" ht="13" x14ac:dyDescent="0.15">
      <c r="D98" s="32"/>
      <c r="E98" s="7" t="s">
        <v>517</v>
      </c>
      <c r="F98" s="9">
        <v>1</v>
      </c>
      <c r="G98" s="9">
        <v>0</v>
      </c>
      <c r="H98" s="9">
        <v>0</v>
      </c>
      <c r="I98" s="12">
        <v>1</v>
      </c>
      <c r="J98" s="13"/>
      <c r="K98" s="19" t="s">
        <v>518</v>
      </c>
      <c r="L98" s="9">
        <v>0</v>
      </c>
      <c r="M98" s="9">
        <v>0</v>
      </c>
      <c r="N98" s="9">
        <v>0</v>
      </c>
      <c r="O98" s="9">
        <v>1</v>
      </c>
      <c r="P98" s="9">
        <v>0</v>
      </c>
      <c r="Q98" s="9">
        <v>0</v>
      </c>
      <c r="R98" s="9">
        <v>0</v>
      </c>
      <c r="S98" s="9">
        <v>3</v>
      </c>
      <c r="T98" s="12">
        <v>4</v>
      </c>
      <c r="U98" s="13"/>
      <c r="V98" s="13"/>
      <c r="W98" s="13"/>
      <c r="X98" s="13"/>
      <c r="Y98" s="13"/>
      <c r="Z98" s="13"/>
      <c r="AA98" s="13"/>
      <c r="AB98" s="13"/>
      <c r="AC98" s="13"/>
      <c r="AD98" s="13"/>
      <c r="AE98" s="13"/>
      <c r="AF98" s="13"/>
      <c r="AG98" s="13"/>
      <c r="AH98" s="13"/>
      <c r="AI98" s="13"/>
      <c r="AJ98" s="13"/>
      <c r="AK98" s="13"/>
    </row>
    <row r="99" spans="4:37" ht="13" x14ac:dyDescent="0.15">
      <c r="D99" s="32"/>
      <c r="E99" s="7" t="s">
        <v>46</v>
      </c>
      <c r="F99" s="9">
        <v>25</v>
      </c>
      <c r="G99" s="9">
        <v>0</v>
      </c>
      <c r="H99" s="9">
        <v>0</v>
      </c>
      <c r="I99" s="12">
        <v>25</v>
      </c>
      <c r="J99" s="13"/>
      <c r="K99" s="19" t="s">
        <v>519</v>
      </c>
      <c r="L99" s="9">
        <v>0</v>
      </c>
      <c r="M99" s="9">
        <v>0</v>
      </c>
      <c r="N99" s="9">
        <v>0</v>
      </c>
      <c r="O99" s="9">
        <v>1</v>
      </c>
      <c r="P99" s="9">
        <v>0</v>
      </c>
      <c r="Q99" s="9">
        <v>0</v>
      </c>
      <c r="R99" s="9">
        <v>1</v>
      </c>
      <c r="S99" s="9">
        <v>2</v>
      </c>
      <c r="T99" s="12">
        <v>4</v>
      </c>
      <c r="U99" s="13"/>
      <c r="V99" s="13"/>
      <c r="W99" s="13"/>
      <c r="X99" s="13"/>
      <c r="Y99" s="13"/>
      <c r="Z99" s="13"/>
      <c r="AA99" s="13"/>
      <c r="AB99" s="13"/>
      <c r="AC99" s="13"/>
      <c r="AD99" s="13"/>
      <c r="AE99" s="13"/>
      <c r="AF99" s="13"/>
      <c r="AG99" s="13"/>
      <c r="AH99" s="13"/>
      <c r="AI99" s="13"/>
      <c r="AJ99" s="13"/>
      <c r="AK99" s="13"/>
    </row>
    <row r="100" spans="4:37" ht="13" x14ac:dyDescent="0.15">
      <c r="D100" s="32"/>
      <c r="E100" s="7" t="s">
        <v>156</v>
      </c>
      <c r="F100" s="9">
        <v>2</v>
      </c>
      <c r="G100" s="9">
        <v>0</v>
      </c>
      <c r="H100" s="9">
        <v>0</v>
      </c>
      <c r="I100" s="12">
        <v>2</v>
      </c>
      <c r="J100" s="13"/>
      <c r="K100" s="18" t="s">
        <v>524</v>
      </c>
      <c r="L100" s="12">
        <v>13</v>
      </c>
      <c r="M100" s="12">
        <v>0</v>
      </c>
      <c r="N100" s="12">
        <v>29</v>
      </c>
      <c r="O100" s="12">
        <v>51</v>
      </c>
      <c r="P100" s="12">
        <v>0</v>
      </c>
      <c r="Q100" s="12">
        <v>8</v>
      </c>
      <c r="R100" s="12">
        <v>17</v>
      </c>
      <c r="S100" s="12">
        <v>79</v>
      </c>
      <c r="T100" s="12">
        <v>197</v>
      </c>
      <c r="U100" s="13"/>
      <c r="V100" s="13"/>
      <c r="W100" s="13"/>
      <c r="X100" s="13"/>
      <c r="Y100" s="13"/>
      <c r="Z100" s="13"/>
      <c r="AA100" s="13"/>
      <c r="AB100" s="13"/>
      <c r="AC100" s="13"/>
      <c r="AD100" s="13"/>
      <c r="AE100" s="13"/>
      <c r="AF100" s="13"/>
      <c r="AG100" s="13"/>
      <c r="AH100" s="13"/>
      <c r="AI100" s="13"/>
      <c r="AJ100" s="13"/>
      <c r="AK100" s="13"/>
    </row>
    <row r="101" spans="4:37" ht="13" x14ac:dyDescent="0.15">
      <c r="D101" s="32"/>
      <c r="E101" s="7" t="s">
        <v>529</v>
      </c>
      <c r="F101" s="9">
        <v>2</v>
      </c>
      <c r="G101" s="9">
        <v>0</v>
      </c>
      <c r="H101" s="9">
        <v>0</v>
      </c>
      <c r="I101" s="12">
        <v>2</v>
      </c>
      <c r="J101" s="13"/>
      <c r="K101" s="19" t="s">
        <v>530</v>
      </c>
      <c r="L101" s="9">
        <v>0</v>
      </c>
      <c r="M101" s="9">
        <v>0</v>
      </c>
      <c r="N101" s="9">
        <v>1</v>
      </c>
      <c r="O101" s="9">
        <v>4</v>
      </c>
      <c r="P101" s="9">
        <v>0</v>
      </c>
      <c r="Q101" s="9">
        <v>0</v>
      </c>
      <c r="R101" s="9">
        <v>0</v>
      </c>
      <c r="S101" s="9">
        <v>5</v>
      </c>
      <c r="T101" s="12">
        <v>10</v>
      </c>
      <c r="U101" s="13"/>
      <c r="V101" s="13"/>
      <c r="W101" s="13"/>
      <c r="X101" s="13"/>
      <c r="Y101" s="13"/>
      <c r="Z101" s="13"/>
      <c r="AA101" s="13"/>
      <c r="AB101" s="13"/>
      <c r="AC101" s="13"/>
      <c r="AD101" s="13"/>
      <c r="AE101" s="13"/>
      <c r="AF101" s="13"/>
      <c r="AG101" s="13"/>
      <c r="AH101" s="13"/>
      <c r="AI101" s="13"/>
      <c r="AJ101" s="13"/>
      <c r="AK101" s="13"/>
    </row>
    <row r="102" spans="4:37" ht="13" x14ac:dyDescent="0.15">
      <c r="D102" s="32"/>
      <c r="E102" s="7" t="s">
        <v>534</v>
      </c>
      <c r="F102" s="9">
        <v>1</v>
      </c>
      <c r="G102" s="9">
        <v>0</v>
      </c>
      <c r="H102" s="9">
        <v>0</v>
      </c>
      <c r="I102" s="12">
        <v>1</v>
      </c>
      <c r="J102" s="13"/>
      <c r="K102" s="19" t="s">
        <v>536</v>
      </c>
      <c r="L102" s="9">
        <v>0</v>
      </c>
      <c r="M102" s="9">
        <v>0</v>
      </c>
      <c r="N102" s="9">
        <v>1</v>
      </c>
      <c r="O102" s="9">
        <v>0</v>
      </c>
      <c r="P102" s="9">
        <v>0</v>
      </c>
      <c r="Q102" s="9">
        <v>0</v>
      </c>
      <c r="R102" s="9">
        <v>2</v>
      </c>
      <c r="S102" s="9">
        <v>8</v>
      </c>
      <c r="T102" s="12">
        <v>11</v>
      </c>
      <c r="U102" s="13"/>
      <c r="V102" s="13"/>
      <c r="W102" s="13"/>
      <c r="X102" s="13"/>
      <c r="Y102" s="13"/>
      <c r="Z102" s="13"/>
      <c r="AA102" s="13"/>
      <c r="AB102" s="13"/>
      <c r="AC102" s="13"/>
      <c r="AD102" s="13"/>
      <c r="AE102" s="13"/>
      <c r="AF102" s="13"/>
      <c r="AG102" s="13"/>
      <c r="AH102" s="13"/>
      <c r="AI102" s="13"/>
      <c r="AJ102" s="13"/>
      <c r="AK102" s="13"/>
    </row>
    <row r="103" spans="4:37" ht="13" x14ac:dyDescent="0.15">
      <c r="D103" s="32"/>
      <c r="E103" s="7" t="s">
        <v>55</v>
      </c>
      <c r="F103" s="9">
        <v>3</v>
      </c>
      <c r="G103" s="9">
        <v>0</v>
      </c>
      <c r="H103" s="9">
        <v>0</v>
      </c>
      <c r="I103" s="12">
        <v>3</v>
      </c>
      <c r="J103" s="13"/>
      <c r="K103" s="19" t="s">
        <v>539</v>
      </c>
      <c r="L103" s="9">
        <v>0</v>
      </c>
      <c r="M103" s="9">
        <v>0</v>
      </c>
      <c r="N103" s="9">
        <v>0</v>
      </c>
      <c r="O103" s="9">
        <v>1</v>
      </c>
      <c r="P103" s="9">
        <v>0</v>
      </c>
      <c r="Q103" s="9">
        <v>0</v>
      </c>
      <c r="R103" s="9">
        <v>0</v>
      </c>
      <c r="S103" s="9">
        <v>0</v>
      </c>
      <c r="T103" s="12">
        <v>1</v>
      </c>
      <c r="U103" s="13"/>
      <c r="V103" s="13"/>
      <c r="W103" s="13"/>
      <c r="X103" s="13"/>
      <c r="Y103" s="13"/>
      <c r="Z103" s="13"/>
      <c r="AA103" s="13"/>
      <c r="AB103" s="13"/>
      <c r="AC103" s="13"/>
      <c r="AD103" s="13"/>
      <c r="AE103" s="13"/>
      <c r="AF103" s="13"/>
      <c r="AG103" s="13"/>
      <c r="AH103" s="13"/>
      <c r="AI103" s="13"/>
      <c r="AJ103" s="13"/>
      <c r="AK103" s="13"/>
    </row>
    <row r="104" spans="4:37" ht="13" x14ac:dyDescent="0.15">
      <c r="D104" s="32"/>
      <c r="E104" s="7" t="s">
        <v>541</v>
      </c>
      <c r="F104" s="9">
        <v>2</v>
      </c>
      <c r="G104" s="9">
        <v>0</v>
      </c>
      <c r="H104" s="9">
        <v>0</v>
      </c>
      <c r="I104" s="12">
        <v>2</v>
      </c>
      <c r="J104" s="13"/>
      <c r="K104" s="19" t="s">
        <v>543</v>
      </c>
      <c r="L104" s="9">
        <v>2</v>
      </c>
      <c r="M104" s="9">
        <v>0</v>
      </c>
      <c r="N104" s="9">
        <v>0</v>
      </c>
      <c r="O104" s="9">
        <v>6</v>
      </c>
      <c r="P104" s="9">
        <v>0</v>
      </c>
      <c r="Q104" s="9">
        <v>0</v>
      </c>
      <c r="R104" s="9">
        <v>0</v>
      </c>
      <c r="S104" s="9">
        <v>2</v>
      </c>
      <c r="T104" s="12">
        <v>10</v>
      </c>
      <c r="U104" s="13"/>
      <c r="V104" s="13"/>
      <c r="W104" s="13"/>
      <c r="X104" s="13"/>
      <c r="Y104" s="13"/>
      <c r="Z104" s="13"/>
      <c r="AA104" s="13"/>
      <c r="AB104" s="13"/>
      <c r="AC104" s="13"/>
      <c r="AD104" s="13"/>
      <c r="AE104" s="13"/>
      <c r="AF104" s="13"/>
      <c r="AG104" s="13"/>
      <c r="AH104" s="13"/>
      <c r="AI104" s="13"/>
      <c r="AJ104" s="13"/>
      <c r="AK104" s="13"/>
    </row>
    <row r="105" spans="4:37" ht="13" x14ac:dyDescent="0.15">
      <c r="D105" s="32"/>
      <c r="E105" s="7" t="s">
        <v>547</v>
      </c>
      <c r="F105" s="9">
        <v>1</v>
      </c>
      <c r="G105" s="9">
        <v>0</v>
      </c>
      <c r="H105" s="9">
        <v>0</v>
      </c>
      <c r="I105" s="12">
        <v>1</v>
      </c>
      <c r="J105" s="13"/>
      <c r="K105" s="19" t="s">
        <v>549</v>
      </c>
      <c r="L105" s="9">
        <v>0</v>
      </c>
      <c r="M105" s="9">
        <v>0</v>
      </c>
      <c r="N105" s="9">
        <v>1</v>
      </c>
      <c r="O105" s="9">
        <v>2</v>
      </c>
      <c r="P105" s="9">
        <v>0</v>
      </c>
      <c r="Q105" s="9">
        <v>0</v>
      </c>
      <c r="R105" s="9">
        <v>1</v>
      </c>
      <c r="S105" s="9">
        <v>1</v>
      </c>
      <c r="T105" s="12">
        <v>5</v>
      </c>
      <c r="U105" s="13"/>
      <c r="V105" s="13"/>
      <c r="W105" s="13"/>
      <c r="X105" s="13"/>
      <c r="Y105" s="13"/>
      <c r="Z105" s="13"/>
      <c r="AA105" s="13"/>
      <c r="AB105" s="13"/>
      <c r="AC105" s="13"/>
      <c r="AD105" s="13"/>
      <c r="AE105" s="13"/>
      <c r="AF105" s="13"/>
      <c r="AG105" s="13"/>
      <c r="AH105" s="13"/>
      <c r="AI105" s="13"/>
      <c r="AJ105" s="13"/>
      <c r="AK105" s="13"/>
    </row>
    <row r="106" spans="4:37" ht="13" x14ac:dyDescent="0.15">
      <c r="D106" s="32"/>
      <c r="E106" s="7" t="s">
        <v>553</v>
      </c>
      <c r="F106" s="9">
        <v>1</v>
      </c>
      <c r="G106" s="9">
        <v>0</v>
      </c>
      <c r="H106" s="9">
        <v>0</v>
      </c>
      <c r="I106" s="12">
        <v>1</v>
      </c>
      <c r="J106" s="13"/>
      <c r="K106" s="19" t="s">
        <v>554</v>
      </c>
      <c r="L106" s="9">
        <v>0</v>
      </c>
      <c r="M106" s="9">
        <v>0</v>
      </c>
      <c r="N106" s="9">
        <v>1</v>
      </c>
      <c r="O106" s="9">
        <v>2</v>
      </c>
      <c r="P106" s="9">
        <v>0</v>
      </c>
      <c r="Q106" s="9">
        <v>0</v>
      </c>
      <c r="R106" s="9">
        <v>3</v>
      </c>
      <c r="S106" s="9">
        <v>4</v>
      </c>
      <c r="T106" s="12">
        <v>10</v>
      </c>
      <c r="U106" s="13"/>
      <c r="V106" s="13"/>
      <c r="W106" s="13"/>
      <c r="X106" s="13"/>
      <c r="Y106" s="13"/>
      <c r="Z106" s="13"/>
      <c r="AA106" s="13"/>
      <c r="AB106" s="13"/>
      <c r="AC106" s="13"/>
      <c r="AD106" s="13"/>
      <c r="AE106" s="13"/>
      <c r="AF106" s="13"/>
      <c r="AG106" s="13"/>
      <c r="AH106" s="13"/>
      <c r="AI106" s="13"/>
      <c r="AJ106" s="13"/>
      <c r="AK106" s="13"/>
    </row>
    <row r="107" spans="4:37" ht="13" x14ac:dyDescent="0.15">
      <c r="D107" s="32"/>
      <c r="E107" s="7" t="s">
        <v>165</v>
      </c>
      <c r="F107" s="9">
        <v>1</v>
      </c>
      <c r="G107" s="9">
        <v>0</v>
      </c>
      <c r="H107" s="9">
        <v>0</v>
      </c>
      <c r="I107" s="12">
        <v>1</v>
      </c>
      <c r="J107" s="13"/>
      <c r="K107" s="19" t="s">
        <v>559</v>
      </c>
      <c r="L107" s="9">
        <v>0</v>
      </c>
      <c r="M107" s="9">
        <v>0</v>
      </c>
      <c r="N107" s="9">
        <v>2</v>
      </c>
      <c r="O107" s="9">
        <v>4</v>
      </c>
      <c r="P107" s="9">
        <v>0</v>
      </c>
      <c r="Q107" s="9">
        <v>0</v>
      </c>
      <c r="R107" s="9">
        <v>1</v>
      </c>
      <c r="S107" s="9">
        <v>1</v>
      </c>
      <c r="T107" s="12">
        <v>8</v>
      </c>
      <c r="U107" s="13"/>
      <c r="V107" s="13"/>
      <c r="W107" s="13"/>
      <c r="X107" s="13"/>
      <c r="Y107" s="13"/>
      <c r="Z107" s="13"/>
      <c r="AA107" s="13"/>
      <c r="AB107" s="13"/>
      <c r="AC107" s="13"/>
      <c r="AD107" s="13"/>
      <c r="AE107" s="13"/>
      <c r="AF107" s="13"/>
      <c r="AG107" s="13"/>
      <c r="AH107" s="13"/>
      <c r="AI107" s="13"/>
      <c r="AJ107" s="13"/>
      <c r="AK107" s="13"/>
    </row>
    <row r="108" spans="4:37" ht="13" x14ac:dyDescent="0.15">
      <c r="D108" s="32"/>
      <c r="E108" s="7" t="s">
        <v>562</v>
      </c>
      <c r="F108" s="9">
        <v>6</v>
      </c>
      <c r="G108" s="9">
        <v>0</v>
      </c>
      <c r="H108" s="9">
        <v>0</v>
      </c>
      <c r="I108" s="12">
        <v>6</v>
      </c>
      <c r="J108" s="13"/>
      <c r="K108" s="19" t="s">
        <v>564</v>
      </c>
      <c r="L108" s="9">
        <v>0</v>
      </c>
      <c r="M108" s="9">
        <v>0</v>
      </c>
      <c r="N108" s="9">
        <v>0</v>
      </c>
      <c r="O108" s="9">
        <v>0</v>
      </c>
      <c r="P108" s="9">
        <v>0</v>
      </c>
      <c r="Q108" s="9">
        <v>0</v>
      </c>
      <c r="R108" s="9">
        <v>0</v>
      </c>
      <c r="S108" s="9">
        <v>5</v>
      </c>
      <c r="T108" s="12">
        <v>5</v>
      </c>
      <c r="U108" s="13"/>
      <c r="V108" s="13"/>
      <c r="W108" s="13"/>
      <c r="X108" s="13"/>
      <c r="Y108" s="13"/>
      <c r="Z108" s="13"/>
      <c r="AA108" s="13"/>
      <c r="AB108" s="13"/>
      <c r="AC108" s="13"/>
      <c r="AD108" s="13"/>
      <c r="AE108" s="13"/>
      <c r="AF108" s="13"/>
      <c r="AG108" s="13"/>
      <c r="AH108" s="13"/>
      <c r="AI108" s="13"/>
      <c r="AJ108" s="13"/>
      <c r="AK108" s="13"/>
    </row>
    <row r="109" spans="4:37" ht="13" x14ac:dyDescent="0.15">
      <c r="D109" s="32"/>
      <c r="E109" s="7" t="s">
        <v>431</v>
      </c>
      <c r="F109" s="9">
        <v>1</v>
      </c>
      <c r="G109" s="9">
        <v>0</v>
      </c>
      <c r="H109" s="9">
        <v>0</v>
      </c>
      <c r="I109" s="12">
        <v>1</v>
      </c>
      <c r="J109" s="13"/>
      <c r="K109" s="19" t="s">
        <v>567</v>
      </c>
      <c r="L109" s="9">
        <v>0</v>
      </c>
      <c r="M109" s="9">
        <v>0</v>
      </c>
      <c r="N109" s="9">
        <v>1</v>
      </c>
      <c r="O109" s="9">
        <v>3</v>
      </c>
      <c r="P109" s="9">
        <v>0</v>
      </c>
      <c r="Q109" s="9">
        <v>0</v>
      </c>
      <c r="R109" s="9">
        <v>0</v>
      </c>
      <c r="S109" s="9">
        <v>3</v>
      </c>
      <c r="T109" s="12">
        <v>7</v>
      </c>
      <c r="U109" s="13"/>
      <c r="V109" s="13"/>
      <c r="W109" s="13"/>
      <c r="X109" s="13"/>
      <c r="Y109" s="13"/>
      <c r="Z109" s="13"/>
      <c r="AA109" s="13"/>
      <c r="AB109" s="13"/>
      <c r="AC109" s="13"/>
      <c r="AD109" s="13"/>
      <c r="AE109" s="13"/>
      <c r="AF109" s="13"/>
      <c r="AG109" s="13"/>
      <c r="AH109" s="13"/>
      <c r="AI109" s="13"/>
      <c r="AJ109" s="13"/>
      <c r="AK109" s="13"/>
    </row>
    <row r="110" spans="4:37" ht="13" x14ac:dyDescent="0.15">
      <c r="D110" s="32"/>
      <c r="E110" s="7" t="s">
        <v>571</v>
      </c>
      <c r="F110" s="9">
        <v>7</v>
      </c>
      <c r="G110" s="9">
        <v>0</v>
      </c>
      <c r="H110" s="9">
        <v>0</v>
      </c>
      <c r="I110" s="12">
        <v>7</v>
      </c>
      <c r="J110" s="13"/>
      <c r="K110" s="19" t="s">
        <v>573</v>
      </c>
      <c r="L110" s="9">
        <v>0</v>
      </c>
      <c r="M110" s="9">
        <v>0</v>
      </c>
      <c r="N110" s="9">
        <v>0</v>
      </c>
      <c r="O110" s="9">
        <v>2</v>
      </c>
      <c r="P110" s="9">
        <v>0</v>
      </c>
      <c r="Q110" s="9">
        <v>8</v>
      </c>
      <c r="R110" s="9">
        <v>0</v>
      </c>
      <c r="S110" s="9">
        <v>4</v>
      </c>
      <c r="T110" s="12">
        <v>14</v>
      </c>
      <c r="U110" s="13"/>
      <c r="V110" s="13"/>
      <c r="W110" s="13"/>
      <c r="X110" s="13"/>
      <c r="Y110" s="13"/>
      <c r="Z110" s="13"/>
      <c r="AA110" s="13"/>
      <c r="AB110" s="13"/>
      <c r="AC110" s="13"/>
      <c r="AD110" s="13"/>
      <c r="AE110" s="13"/>
      <c r="AF110" s="13"/>
      <c r="AG110" s="13"/>
      <c r="AH110" s="13"/>
      <c r="AI110" s="13"/>
      <c r="AJ110" s="13"/>
      <c r="AK110" s="13"/>
    </row>
    <row r="111" spans="4:37" ht="13" x14ac:dyDescent="0.15">
      <c r="D111" s="32"/>
      <c r="E111" s="7" t="s">
        <v>164</v>
      </c>
      <c r="F111" s="9">
        <v>21</v>
      </c>
      <c r="G111" s="9">
        <v>0</v>
      </c>
      <c r="H111" s="9">
        <v>1</v>
      </c>
      <c r="I111" s="12">
        <v>22</v>
      </c>
      <c r="J111" s="13"/>
      <c r="K111" s="19" t="s">
        <v>576</v>
      </c>
      <c r="L111" s="9">
        <v>0</v>
      </c>
      <c r="M111" s="9">
        <v>0</v>
      </c>
      <c r="N111" s="9">
        <v>0</v>
      </c>
      <c r="O111" s="9">
        <v>3</v>
      </c>
      <c r="P111" s="9">
        <v>0</v>
      </c>
      <c r="Q111" s="9">
        <v>0</v>
      </c>
      <c r="R111" s="9">
        <v>0</v>
      </c>
      <c r="S111" s="9">
        <v>3</v>
      </c>
      <c r="T111" s="12">
        <v>6</v>
      </c>
      <c r="U111" s="13"/>
      <c r="V111" s="13"/>
      <c r="W111" s="13"/>
      <c r="X111" s="13"/>
      <c r="Y111" s="13"/>
      <c r="Z111" s="13"/>
      <c r="AA111" s="13"/>
      <c r="AB111" s="13"/>
      <c r="AC111" s="13"/>
      <c r="AD111" s="13"/>
      <c r="AE111" s="13"/>
      <c r="AF111" s="13"/>
      <c r="AG111" s="13"/>
      <c r="AH111" s="13"/>
      <c r="AI111" s="13"/>
      <c r="AJ111" s="13"/>
      <c r="AK111" s="13"/>
    </row>
    <row r="112" spans="4:37" ht="13" x14ac:dyDescent="0.15">
      <c r="D112" s="32"/>
      <c r="E112" s="7" t="s">
        <v>577</v>
      </c>
      <c r="F112" s="9">
        <v>3</v>
      </c>
      <c r="G112" s="9">
        <v>0</v>
      </c>
      <c r="H112" s="9">
        <v>0</v>
      </c>
      <c r="I112" s="12">
        <v>3</v>
      </c>
      <c r="J112" s="13"/>
      <c r="K112" s="19" t="s">
        <v>579</v>
      </c>
      <c r="L112" s="9">
        <v>1</v>
      </c>
      <c r="M112" s="9">
        <v>0</v>
      </c>
      <c r="N112" s="9">
        <v>1</v>
      </c>
      <c r="O112" s="9">
        <v>6</v>
      </c>
      <c r="P112" s="9">
        <v>0</v>
      </c>
      <c r="Q112" s="9">
        <v>0</v>
      </c>
      <c r="R112" s="9">
        <v>2</v>
      </c>
      <c r="S112" s="9">
        <v>3</v>
      </c>
      <c r="T112" s="12">
        <v>13</v>
      </c>
      <c r="U112" s="13"/>
      <c r="V112" s="13"/>
      <c r="W112" s="13"/>
      <c r="X112" s="13"/>
      <c r="Y112" s="13"/>
      <c r="Z112" s="13"/>
      <c r="AA112" s="13"/>
      <c r="AB112" s="13"/>
      <c r="AC112" s="13"/>
      <c r="AD112" s="13"/>
      <c r="AE112" s="13"/>
      <c r="AF112" s="13"/>
      <c r="AG112" s="13"/>
      <c r="AH112" s="13"/>
      <c r="AI112" s="13"/>
      <c r="AJ112" s="13"/>
      <c r="AK112" s="13"/>
    </row>
    <row r="113" spans="4:37" ht="13" x14ac:dyDescent="0.15">
      <c r="D113" s="32"/>
      <c r="E113" s="7" t="s">
        <v>580</v>
      </c>
      <c r="F113" s="9">
        <v>2</v>
      </c>
      <c r="G113" s="9">
        <v>0</v>
      </c>
      <c r="H113" s="9">
        <v>0</v>
      </c>
      <c r="I113" s="12">
        <v>2</v>
      </c>
      <c r="J113" s="13"/>
      <c r="K113" s="19" t="s">
        <v>581</v>
      </c>
      <c r="L113" s="9">
        <v>0</v>
      </c>
      <c r="M113" s="9">
        <v>0</v>
      </c>
      <c r="N113" s="9">
        <v>1</v>
      </c>
      <c r="O113" s="9">
        <v>4</v>
      </c>
      <c r="P113" s="9">
        <v>0</v>
      </c>
      <c r="Q113" s="9">
        <v>0</v>
      </c>
      <c r="R113" s="9">
        <v>0</v>
      </c>
      <c r="S113" s="9">
        <v>3</v>
      </c>
      <c r="T113" s="12">
        <v>8</v>
      </c>
      <c r="U113" s="13"/>
      <c r="V113" s="13"/>
      <c r="W113" s="13"/>
      <c r="X113" s="13"/>
      <c r="Y113" s="13"/>
      <c r="Z113" s="13"/>
      <c r="AA113" s="13"/>
      <c r="AB113" s="13"/>
      <c r="AC113" s="13"/>
      <c r="AD113" s="13"/>
      <c r="AE113" s="13"/>
      <c r="AF113" s="13"/>
      <c r="AG113" s="13"/>
      <c r="AH113" s="13"/>
      <c r="AI113" s="13"/>
      <c r="AJ113" s="13"/>
      <c r="AK113" s="13"/>
    </row>
    <row r="114" spans="4:37" ht="13" x14ac:dyDescent="0.15">
      <c r="D114" s="32"/>
      <c r="E114" s="7" t="s">
        <v>582</v>
      </c>
      <c r="F114" s="9">
        <v>1</v>
      </c>
      <c r="G114" s="9">
        <v>0</v>
      </c>
      <c r="H114" s="9">
        <v>0</v>
      </c>
      <c r="I114" s="12">
        <v>1</v>
      </c>
      <c r="J114" s="13"/>
      <c r="K114" s="19" t="s">
        <v>583</v>
      </c>
      <c r="L114" s="9">
        <v>1</v>
      </c>
      <c r="M114" s="9">
        <v>0</v>
      </c>
      <c r="N114" s="9">
        <v>1</v>
      </c>
      <c r="O114" s="9">
        <v>2</v>
      </c>
      <c r="P114" s="9">
        <v>0</v>
      </c>
      <c r="Q114" s="9">
        <v>0</v>
      </c>
      <c r="R114" s="9">
        <v>1</v>
      </c>
      <c r="S114" s="9">
        <v>8</v>
      </c>
      <c r="T114" s="12">
        <v>13</v>
      </c>
      <c r="U114" s="13"/>
      <c r="V114" s="13"/>
      <c r="W114" s="13"/>
      <c r="X114" s="13"/>
      <c r="Y114" s="13"/>
      <c r="Z114" s="13"/>
      <c r="AA114" s="13"/>
      <c r="AB114" s="13"/>
      <c r="AC114" s="13"/>
      <c r="AD114" s="13"/>
      <c r="AE114" s="13"/>
      <c r="AF114" s="13"/>
      <c r="AG114" s="13"/>
      <c r="AH114" s="13"/>
      <c r="AI114" s="13"/>
      <c r="AJ114" s="13"/>
      <c r="AK114" s="13"/>
    </row>
    <row r="115" spans="4:37" ht="13" x14ac:dyDescent="0.15">
      <c r="D115" s="32"/>
      <c r="E115" s="7" t="s">
        <v>56</v>
      </c>
      <c r="F115" s="9">
        <v>2</v>
      </c>
      <c r="G115" s="9">
        <v>0</v>
      </c>
      <c r="H115" s="9">
        <v>0</v>
      </c>
      <c r="I115" s="12">
        <v>2</v>
      </c>
      <c r="J115" s="13"/>
      <c r="K115" s="19" t="s">
        <v>585</v>
      </c>
      <c r="L115" s="9">
        <v>0</v>
      </c>
      <c r="M115" s="9">
        <v>0</v>
      </c>
      <c r="N115" s="9">
        <v>1</v>
      </c>
      <c r="O115" s="9">
        <v>0</v>
      </c>
      <c r="P115" s="9">
        <v>0</v>
      </c>
      <c r="Q115" s="9">
        <v>0</v>
      </c>
      <c r="R115" s="9">
        <v>0</v>
      </c>
      <c r="S115" s="9">
        <v>0</v>
      </c>
      <c r="T115" s="12">
        <v>1</v>
      </c>
      <c r="U115" s="13"/>
      <c r="V115" s="13"/>
      <c r="W115" s="13"/>
      <c r="X115" s="13"/>
      <c r="Y115" s="13"/>
      <c r="Z115" s="13"/>
      <c r="AA115" s="13"/>
      <c r="AB115" s="13"/>
      <c r="AC115" s="13"/>
      <c r="AD115" s="13"/>
      <c r="AE115" s="13"/>
      <c r="AF115" s="13"/>
      <c r="AG115" s="13"/>
      <c r="AH115" s="13"/>
      <c r="AI115" s="13"/>
      <c r="AJ115" s="13"/>
      <c r="AK115" s="13"/>
    </row>
    <row r="116" spans="4:37" ht="13" x14ac:dyDescent="0.15">
      <c r="D116" s="32"/>
      <c r="E116" s="7" t="s">
        <v>586</v>
      </c>
      <c r="F116" s="9">
        <v>1</v>
      </c>
      <c r="G116" s="9">
        <v>0</v>
      </c>
      <c r="H116" s="9">
        <v>0</v>
      </c>
      <c r="I116" s="12">
        <v>1</v>
      </c>
      <c r="J116" s="13"/>
      <c r="K116" s="19" t="s">
        <v>588</v>
      </c>
      <c r="L116" s="9">
        <v>1</v>
      </c>
      <c r="M116" s="9">
        <v>0</v>
      </c>
      <c r="N116" s="9">
        <v>1</v>
      </c>
      <c r="O116" s="9">
        <v>1</v>
      </c>
      <c r="P116" s="9">
        <v>0</v>
      </c>
      <c r="Q116" s="9">
        <v>0</v>
      </c>
      <c r="R116" s="9">
        <v>0</v>
      </c>
      <c r="S116" s="9">
        <v>1</v>
      </c>
      <c r="T116" s="12">
        <v>4</v>
      </c>
      <c r="U116" s="13"/>
      <c r="V116" s="13"/>
      <c r="W116" s="13"/>
      <c r="X116" s="13"/>
      <c r="Y116" s="13"/>
      <c r="Z116" s="13"/>
      <c r="AA116" s="13"/>
      <c r="AB116" s="13"/>
      <c r="AC116" s="13"/>
      <c r="AD116" s="13"/>
      <c r="AE116" s="13"/>
      <c r="AF116" s="13"/>
      <c r="AG116" s="13"/>
      <c r="AH116" s="13"/>
      <c r="AI116" s="13"/>
      <c r="AJ116" s="13"/>
      <c r="AK116" s="13"/>
    </row>
    <row r="117" spans="4:37" ht="13" x14ac:dyDescent="0.15">
      <c r="D117" s="32"/>
      <c r="E117" s="7" t="s">
        <v>591</v>
      </c>
      <c r="F117" s="9">
        <v>1</v>
      </c>
      <c r="G117" s="9">
        <v>0</v>
      </c>
      <c r="H117" s="9">
        <v>0</v>
      </c>
      <c r="I117" s="12">
        <v>1</v>
      </c>
      <c r="J117" s="13"/>
      <c r="K117" s="19" t="s">
        <v>592</v>
      </c>
      <c r="L117" s="9">
        <v>1</v>
      </c>
      <c r="M117" s="9">
        <v>0</v>
      </c>
      <c r="N117" s="9">
        <v>0</v>
      </c>
      <c r="O117" s="9">
        <v>1</v>
      </c>
      <c r="P117" s="9">
        <v>0</v>
      </c>
      <c r="Q117" s="9">
        <v>0</v>
      </c>
      <c r="R117" s="9">
        <v>2</v>
      </c>
      <c r="S117" s="9">
        <v>4</v>
      </c>
      <c r="T117" s="12">
        <v>8</v>
      </c>
      <c r="U117" s="13"/>
      <c r="V117" s="13"/>
      <c r="W117" s="13"/>
      <c r="X117" s="13"/>
      <c r="Y117" s="13"/>
      <c r="Z117" s="13"/>
      <c r="AA117" s="13"/>
      <c r="AB117" s="13"/>
      <c r="AC117" s="13"/>
      <c r="AD117" s="13"/>
      <c r="AE117" s="13"/>
      <c r="AF117" s="13"/>
      <c r="AG117" s="13"/>
      <c r="AH117" s="13"/>
      <c r="AI117" s="13"/>
      <c r="AJ117" s="13"/>
      <c r="AK117" s="13"/>
    </row>
    <row r="118" spans="4:37" ht="13" x14ac:dyDescent="0.15">
      <c r="D118" s="32"/>
      <c r="E118" s="7" t="s">
        <v>593</v>
      </c>
      <c r="F118" s="9">
        <v>1</v>
      </c>
      <c r="G118" s="9">
        <v>0</v>
      </c>
      <c r="H118" s="9">
        <v>0</v>
      </c>
      <c r="I118" s="12">
        <v>1</v>
      </c>
      <c r="J118" s="13"/>
      <c r="K118" s="19" t="s">
        <v>594</v>
      </c>
      <c r="L118" s="9">
        <v>1</v>
      </c>
      <c r="M118" s="9">
        <v>0</v>
      </c>
      <c r="N118" s="9">
        <v>1</v>
      </c>
      <c r="O118" s="9">
        <v>1</v>
      </c>
      <c r="P118" s="9">
        <v>0</v>
      </c>
      <c r="Q118" s="9">
        <v>0</v>
      </c>
      <c r="R118" s="9">
        <v>2</v>
      </c>
      <c r="S118" s="9">
        <v>5</v>
      </c>
      <c r="T118" s="12">
        <v>10</v>
      </c>
      <c r="U118" s="13"/>
      <c r="V118" s="13"/>
      <c r="W118" s="13"/>
      <c r="X118" s="13"/>
      <c r="Y118" s="13"/>
      <c r="Z118" s="13"/>
      <c r="AA118" s="13"/>
      <c r="AB118" s="13"/>
      <c r="AC118" s="13"/>
      <c r="AD118" s="13"/>
      <c r="AE118" s="13"/>
      <c r="AF118" s="13"/>
      <c r="AG118" s="13"/>
      <c r="AH118" s="13"/>
      <c r="AI118" s="13"/>
      <c r="AJ118" s="13"/>
      <c r="AK118" s="13"/>
    </row>
    <row r="119" spans="4:37" ht="13" x14ac:dyDescent="0.15">
      <c r="D119" s="32"/>
      <c r="E119" s="7" t="s">
        <v>595</v>
      </c>
      <c r="F119" s="9">
        <v>1</v>
      </c>
      <c r="G119" s="9">
        <v>0</v>
      </c>
      <c r="H119" s="9">
        <v>0</v>
      </c>
      <c r="I119" s="12">
        <v>1</v>
      </c>
      <c r="J119" s="13"/>
      <c r="K119" s="19" t="s">
        <v>596</v>
      </c>
      <c r="L119" s="9">
        <v>1</v>
      </c>
      <c r="M119" s="9">
        <v>0</v>
      </c>
      <c r="N119" s="9">
        <v>4</v>
      </c>
      <c r="O119" s="9">
        <v>0</v>
      </c>
      <c r="P119" s="9">
        <v>0</v>
      </c>
      <c r="Q119" s="9">
        <v>0</v>
      </c>
      <c r="R119" s="9">
        <v>0</v>
      </c>
      <c r="S119" s="9">
        <v>1</v>
      </c>
      <c r="T119" s="12">
        <v>6</v>
      </c>
      <c r="U119" s="13"/>
      <c r="V119" s="13"/>
      <c r="W119" s="13"/>
      <c r="X119" s="13"/>
      <c r="Y119" s="13"/>
      <c r="Z119" s="13"/>
      <c r="AA119" s="13"/>
      <c r="AB119" s="13"/>
      <c r="AC119" s="13"/>
      <c r="AD119" s="13"/>
      <c r="AE119" s="13"/>
      <c r="AF119" s="13"/>
      <c r="AG119" s="13"/>
      <c r="AH119" s="13"/>
      <c r="AI119" s="13"/>
      <c r="AJ119" s="13"/>
      <c r="AK119" s="13"/>
    </row>
    <row r="120" spans="4:37" ht="13" x14ac:dyDescent="0.15">
      <c r="D120" s="32"/>
      <c r="E120" s="7" t="s">
        <v>597</v>
      </c>
      <c r="F120" s="9">
        <v>4</v>
      </c>
      <c r="G120" s="9">
        <v>0</v>
      </c>
      <c r="H120" s="9">
        <v>0</v>
      </c>
      <c r="I120" s="12">
        <v>4</v>
      </c>
      <c r="J120" s="13"/>
      <c r="K120" s="19" t="s">
        <v>598</v>
      </c>
      <c r="L120" s="9">
        <v>1</v>
      </c>
      <c r="M120" s="9">
        <v>0</v>
      </c>
      <c r="N120" s="9">
        <v>0</v>
      </c>
      <c r="O120" s="9">
        <v>4</v>
      </c>
      <c r="P120" s="9">
        <v>0</v>
      </c>
      <c r="Q120" s="9">
        <v>0</v>
      </c>
      <c r="R120" s="9">
        <v>1</v>
      </c>
      <c r="S120" s="9">
        <v>1</v>
      </c>
      <c r="T120" s="12">
        <v>7</v>
      </c>
      <c r="U120" s="13"/>
      <c r="V120" s="13"/>
      <c r="W120" s="13"/>
      <c r="X120" s="13"/>
      <c r="Y120" s="13"/>
      <c r="Z120" s="13"/>
      <c r="AA120" s="13"/>
      <c r="AB120" s="13"/>
      <c r="AC120" s="13"/>
      <c r="AD120" s="13"/>
      <c r="AE120" s="13"/>
      <c r="AF120" s="13"/>
      <c r="AG120" s="13"/>
      <c r="AH120" s="13"/>
      <c r="AI120" s="13"/>
      <c r="AJ120" s="13"/>
      <c r="AK120" s="13"/>
    </row>
    <row r="121" spans="4:37" ht="13" x14ac:dyDescent="0.15">
      <c r="D121" s="32"/>
      <c r="E121" s="7" t="s">
        <v>109</v>
      </c>
      <c r="F121" s="9">
        <v>45</v>
      </c>
      <c r="G121" s="9">
        <v>0</v>
      </c>
      <c r="H121" s="9">
        <v>0</v>
      </c>
      <c r="I121" s="12">
        <v>45</v>
      </c>
      <c r="J121" s="13"/>
      <c r="K121" s="19" t="s">
        <v>599</v>
      </c>
      <c r="L121" s="9">
        <v>0</v>
      </c>
      <c r="M121" s="9">
        <v>0</v>
      </c>
      <c r="N121" s="9">
        <v>3</v>
      </c>
      <c r="O121" s="9">
        <v>1</v>
      </c>
      <c r="P121" s="9">
        <v>0</v>
      </c>
      <c r="Q121" s="9">
        <v>0</v>
      </c>
      <c r="R121" s="9">
        <v>0</v>
      </c>
      <c r="S121" s="9">
        <v>6</v>
      </c>
      <c r="T121" s="12">
        <v>10</v>
      </c>
      <c r="U121" s="13"/>
      <c r="V121" s="13"/>
      <c r="W121" s="13"/>
      <c r="X121" s="13"/>
      <c r="Y121" s="13"/>
      <c r="Z121" s="13"/>
      <c r="AA121" s="13"/>
      <c r="AB121" s="13"/>
      <c r="AC121" s="13"/>
      <c r="AD121" s="13"/>
      <c r="AE121" s="13"/>
      <c r="AF121" s="13"/>
      <c r="AG121" s="13"/>
      <c r="AH121" s="13"/>
      <c r="AI121" s="13"/>
      <c r="AJ121" s="13"/>
      <c r="AK121" s="13"/>
    </row>
    <row r="122" spans="4:37" ht="13" x14ac:dyDescent="0.15">
      <c r="D122" s="32"/>
      <c r="E122" s="7" t="s">
        <v>600</v>
      </c>
      <c r="F122" s="9">
        <v>9</v>
      </c>
      <c r="G122" s="9">
        <v>0</v>
      </c>
      <c r="H122" s="9">
        <v>0</v>
      </c>
      <c r="I122" s="12">
        <v>9</v>
      </c>
      <c r="J122" s="13"/>
      <c r="K122" s="19" t="s">
        <v>602</v>
      </c>
      <c r="L122" s="9">
        <v>0</v>
      </c>
      <c r="M122" s="9">
        <v>0</v>
      </c>
      <c r="N122" s="9">
        <v>1</v>
      </c>
      <c r="O122" s="9">
        <v>0</v>
      </c>
      <c r="P122" s="9">
        <v>0</v>
      </c>
      <c r="Q122" s="9">
        <v>0</v>
      </c>
      <c r="R122" s="9">
        <v>0</v>
      </c>
      <c r="S122" s="9">
        <v>0</v>
      </c>
      <c r="T122" s="12">
        <v>1</v>
      </c>
      <c r="U122" s="13"/>
      <c r="V122" s="13"/>
      <c r="W122" s="13"/>
      <c r="X122" s="13"/>
      <c r="Y122" s="13"/>
      <c r="Z122" s="13"/>
      <c r="AA122" s="13"/>
      <c r="AB122" s="13"/>
      <c r="AC122" s="13"/>
      <c r="AD122" s="13"/>
      <c r="AE122" s="13"/>
      <c r="AF122" s="13"/>
      <c r="AG122" s="13"/>
      <c r="AH122" s="13"/>
      <c r="AI122" s="13"/>
      <c r="AJ122" s="13"/>
      <c r="AK122" s="13"/>
    </row>
    <row r="123" spans="4:37" ht="13" x14ac:dyDescent="0.15">
      <c r="D123" s="32"/>
      <c r="E123" s="7" t="s">
        <v>603</v>
      </c>
      <c r="F123" s="9">
        <v>5</v>
      </c>
      <c r="G123" s="9">
        <v>0</v>
      </c>
      <c r="H123" s="9">
        <v>0</v>
      </c>
      <c r="I123" s="12">
        <v>5</v>
      </c>
      <c r="J123" s="13"/>
      <c r="K123" s="19" t="s">
        <v>605</v>
      </c>
      <c r="L123" s="9">
        <v>1</v>
      </c>
      <c r="M123" s="9">
        <v>0</v>
      </c>
      <c r="N123" s="9">
        <v>0</v>
      </c>
      <c r="O123" s="9">
        <v>2</v>
      </c>
      <c r="P123" s="9">
        <v>0</v>
      </c>
      <c r="Q123" s="9">
        <v>0</v>
      </c>
      <c r="R123" s="9">
        <v>1</v>
      </c>
      <c r="S123" s="9">
        <v>1</v>
      </c>
      <c r="T123" s="12">
        <v>5</v>
      </c>
      <c r="U123" s="13"/>
      <c r="V123" s="13"/>
      <c r="W123" s="13"/>
      <c r="X123" s="13"/>
      <c r="Y123" s="13"/>
      <c r="Z123" s="13"/>
      <c r="AA123" s="13"/>
      <c r="AB123" s="13"/>
      <c r="AC123" s="13"/>
      <c r="AD123" s="13"/>
      <c r="AE123" s="13"/>
      <c r="AF123" s="13"/>
      <c r="AG123" s="13"/>
      <c r="AH123" s="13"/>
      <c r="AI123" s="13"/>
      <c r="AJ123" s="13"/>
      <c r="AK123" s="13"/>
    </row>
    <row r="124" spans="4:37" ht="13" x14ac:dyDescent="0.15">
      <c r="D124" s="32"/>
      <c r="E124" s="7" t="s">
        <v>145</v>
      </c>
      <c r="F124" s="9">
        <v>3</v>
      </c>
      <c r="G124" s="9">
        <v>0</v>
      </c>
      <c r="H124" s="9">
        <v>0</v>
      </c>
      <c r="I124" s="12">
        <v>3</v>
      </c>
      <c r="J124" s="13"/>
      <c r="K124" s="19" t="s">
        <v>609</v>
      </c>
      <c r="L124" s="9">
        <v>3</v>
      </c>
      <c r="M124" s="9">
        <v>0</v>
      </c>
      <c r="N124" s="9">
        <v>0</v>
      </c>
      <c r="O124" s="9">
        <v>1</v>
      </c>
      <c r="P124" s="9">
        <v>0</v>
      </c>
      <c r="Q124" s="9">
        <v>0</v>
      </c>
      <c r="R124" s="9">
        <v>1</v>
      </c>
      <c r="S124" s="9">
        <v>4</v>
      </c>
      <c r="T124" s="12">
        <v>9</v>
      </c>
      <c r="U124" s="13"/>
      <c r="V124" s="13"/>
      <c r="W124" s="13"/>
      <c r="X124" s="13"/>
      <c r="Y124" s="13"/>
      <c r="Z124" s="13"/>
      <c r="AA124" s="13"/>
      <c r="AB124" s="13"/>
      <c r="AC124" s="13"/>
      <c r="AD124" s="13"/>
      <c r="AE124" s="13"/>
      <c r="AF124" s="13"/>
      <c r="AG124" s="13"/>
      <c r="AH124" s="13"/>
      <c r="AI124" s="13"/>
      <c r="AJ124" s="13"/>
      <c r="AK124" s="13"/>
    </row>
    <row r="125" spans="4:37" ht="13" x14ac:dyDescent="0.15">
      <c r="D125" s="32"/>
      <c r="E125" s="7" t="s">
        <v>613</v>
      </c>
      <c r="F125" s="9">
        <v>1</v>
      </c>
      <c r="G125" s="9">
        <v>0</v>
      </c>
      <c r="H125" s="9">
        <v>0</v>
      </c>
      <c r="I125" s="12">
        <v>1</v>
      </c>
      <c r="J125" s="13"/>
      <c r="K125" s="19" t="s">
        <v>615</v>
      </c>
      <c r="L125" s="9">
        <v>0</v>
      </c>
      <c r="M125" s="9">
        <v>0</v>
      </c>
      <c r="N125" s="9">
        <v>2</v>
      </c>
      <c r="O125" s="9">
        <v>1</v>
      </c>
      <c r="P125" s="9">
        <v>0</v>
      </c>
      <c r="Q125" s="9">
        <v>0</v>
      </c>
      <c r="R125" s="9">
        <v>0</v>
      </c>
      <c r="S125" s="9">
        <v>2</v>
      </c>
      <c r="T125" s="12">
        <v>5</v>
      </c>
      <c r="U125" s="13"/>
      <c r="V125" s="13"/>
      <c r="W125" s="13"/>
      <c r="X125" s="13"/>
      <c r="Y125" s="13"/>
      <c r="Z125" s="13"/>
      <c r="AA125" s="13"/>
      <c r="AB125" s="13"/>
      <c r="AC125" s="13"/>
      <c r="AD125" s="13"/>
      <c r="AE125" s="13"/>
      <c r="AF125" s="13"/>
      <c r="AG125" s="13"/>
      <c r="AH125" s="13"/>
      <c r="AI125" s="13"/>
      <c r="AJ125" s="13"/>
      <c r="AK125" s="13"/>
    </row>
    <row r="126" spans="4:37" ht="13" x14ac:dyDescent="0.15">
      <c r="D126" s="32"/>
      <c r="E126" s="7" t="s">
        <v>619</v>
      </c>
      <c r="F126" s="9">
        <v>1</v>
      </c>
      <c r="G126" s="9">
        <v>0</v>
      </c>
      <c r="H126" s="9">
        <v>0</v>
      </c>
      <c r="I126" s="12">
        <v>1</v>
      </c>
      <c r="J126" s="13"/>
      <c r="K126" s="19" t="s">
        <v>620</v>
      </c>
      <c r="L126" s="9">
        <v>0</v>
      </c>
      <c r="M126" s="9">
        <v>0</v>
      </c>
      <c r="N126" s="9">
        <v>1</v>
      </c>
      <c r="O126" s="9">
        <v>0</v>
      </c>
      <c r="P126" s="9">
        <v>0</v>
      </c>
      <c r="Q126" s="9">
        <v>0</v>
      </c>
      <c r="R126" s="9">
        <v>0</v>
      </c>
      <c r="S126" s="9">
        <v>3</v>
      </c>
      <c r="T126" s="12">
        <v>4</v>
      </c>
      <c r="U126" s="13"/>
      <c r="V126" s="13"/>
      <c r="W126" s="13"/>
      <c r="X126" s="13"/>
      <c r="Y126" s="13"/>
      <c r="Z126" s="13"/>
      <c r="AA126" s="13"/>
      <c r="AB126" s="13"/>
      <c r="AC126" s="13"/>
      <c r="AD126" s="13"/>
      <c r="AE126" s="13"/>
      <c r="AF126" s="13"/>
      <c r="AG126" s="13"/>
      <c r="AH126" s="13"/>
      <c r="AI126" s="13"/>
      <c r="AJ126" s="13"/>
      <c r="AK126" s="13"/>
    </row>
    <row r="127" spans="4:37" ht="13" x14ac:dyDescent="0.15">
      <c r="D127" s="32"/>
      <c r="E127" s="7" t="s">
        <v>623</v>
      </c>
      <c r="F127" s="9">
        <v>1</v>
      </c>
      <c r="G127" s="9">
        <v>0</v>
      </c>
      <c r="H127" s="9">
        <v>0</v>
      </c>
      <c r="I127" s="12">
        <v>1</v>
      </c>
      <c r="J127" s="13"/>
      <c r="K127" s="19" t="s">
        <v>624</v>
      </c>
      <c r="L127" s="9">
        <v>0</v>
      </c>
      <c r="M127" s="9">
        <v>0</v>
      </c>
      <c r="N127" s="9">
        <v>5</v>
      </c>
      <c r="O127" s="9">
        <v>0</v>
      </c>
      <c r="P127" s="9">
        <v>0</v>
      </c>
      <c r="Q127" s="9">
        <v>0</v>
      </c>
      <c r="R127" s="9">
        <v>0</v>
      </c>
      <c r="S127" s="9">
        <v>1</v>
      </c>
      <c r="T127" s="12">
        <v>6</v>
      </c>
      <c r="U127" s="13"/>
      <c r="V127" s="13"/>
      <c r="W127" s="13"/>
      <c r="X127" s="13"/>
      <c r="Y127" s="13"/>
      <c r="Z127" s="13"/>
      <c r="AA127" s="13"/>
      <c r="AB127" s="13"/>
      <c r="AC127" s="13"/>
      <c r="AD127" s="13"/>
      <c r="AE127" s="13"/>
      <c r="AF127" s="13"/>
      <c r="AG127" s="13"/>
      <c r="AH127" s="13"/>
      <c r="AI127" s="13"/>
      <c r="AJ127" s="13"/>
      <c r="AK127" s="13"/>
    </row>
    <row r="128" spans="4:37" ht="13" x14ac:dyDescent="0.15">
      <c r="D128" s="32"/>
      <c r="E128" s="7" t="s">
        <v>628</v>
      </c>
      <c r="F128" s="9">
        <v>1</v>
      </c>
      <c r="G128" s="9">
        <v>0</v>
      </c>
      <c r="H128" s="9">
        <v>0</v>
      </c>
      <c r="I128" s="12">
        <v>1</v>
      </c>
      <c r="J128" s="13"/>
      <c r="K128" s="18" t="s">
        <v>630</v>
      </c>
      <c r="L128" s="12">
        <v>6</v>
      </c>
      <c r="M128" s="12">
        <v>3</v>
      </c>
      <c r="N128" s="12">
        <v>34</v>
      </c>
      <c r="O128" s="12">
        <v>48</v>
      </c>
      <c r="P128" s="12">
        <v>0</v>
      </c>
      <c r="Q128" s="12">
        <v>10</v>
      </c>
      <c r="R128" s="12">
        <v>10</v>
      </c>
      <c r="S128" s="12">
        <v>75</v>
      </c>
      <c r="T128" s="12">
        <v>186</v>
      </c>
      <c r="U128" s="13"/>
      <c r="V128" s="13"/>
      <c r="W128" s="13"/>
      <c r="X128" s="13"/>
      <c r="Y128" s="13"/>
      <c r="Z128" s="13"/>
      <c r="AA128" s="13"/>
      <c r="AB128" s="13"/>
      <c r="AC128" s="13"/>
      <c r="AD128" s="13"/>
      <c r="AE128" s="13"/>
      <c r="AF128" s="13"/>
      <c r="AG128" s="13"/>
      <c r="AH128" s="13"/>
      <c r="AI128" s="13"/>
      <c r="AJ128" s="13"/>
      <c r="AK128" s="13"/>
    </row>
    <row r="129" spans="4:37" ht="13" x14ac:dyDescent="0.15">
      <c r="D129" s="32"/>
      <c r="E129" s="7" t="s">
        <v>632</v>
      </c>
      <c r="F129" s="9">
        <v>1</v>
      </c>
      <c r="G129" s="9">
        <v>0</v>
      </c>
      <c r="H129" s="9">
        <v>0</v>
      </c>
      <c r="I129" s="12">
        <v>1</v>
      </c>
      <c r="J129" s="13"/>
      <c r="K129" s="19" t="s">
        <v>634</v>
      </c>
      <c r="L129" s="9">
        <v>0</v>
      </c>
      <c r="M129" s="9">
        <v>0</v>
      </c>
      <c r="N129" s="9">
        <v>0</v>
      </c>
      <c r="O129" s="9">
        <v>0</v>
      </c>
      <c r="P129" s="9">
        <v>0</v>
      </c>
      <c r="Q129" s="9">
        <v>0</v>
      </c>
      <c r="R129" s="9">
        <v>0</v>
      </c>
      <c r="S129" s="9">
        <v>1</v>
      </c>
      <c r="T129" s="12">
        <v>1</v>
      </c>
      <c r="U129" s="13"/>
      <c r="V129" s="13"/>
      <c r="W129" s="13"/>
      <c r="X129" s="13"/>
      <c r="Y129" s="13"/>
      <c r="Z129" s="13"/>
      <c r="AA129" s="13"/>
      <c r="AB129" s="13"/>
      <c r="AC129" s="13"/>
      <c r="AD129" s="13"/>
      <c r="AE129" s="13"/>
      <c r="AF129" s="13"/>
      <c r="AG129" s="13"/>
      <c r="AH129" s="13"/>
      <c r="AI129" s="13"/>
      <c r="AJ129" s="13"/>
      <c r="AK129" s="13"/>
    </row>
    <row r="130" spans="4:37" ht="13" x14ac:dyDescent="0.15">
      <c r="D130" s="32"/>
      <c r="E130" s="7" t="s">
        <v>638</v>
      </c>
      <c r="F130" s="9">
        <v>4</v>
      </c>
      <c r="G130" s="9">
        <v>0</v>
      </c>
      <c r="H130" s="9">
        <v>0</v>
      </c>
      <c r="I130" s="12">
        <v>4</v>
      </c>
      <c r="J130" s="13"/>
      <c r="K130" s="19" t="s">
        <v>639</v>
      </c>
      <c r="L130" s="9">
        <v>0</v>
      </c>
      <c r="M130" s="9">
        <v>0</v>
      </c>
      <c r="N130" s="9">
        <v>0</v>
      </c>
      <c r="O130" s="9">
        <v>2</v>
      </c>
      <c r="P130" s="9">
        <v>0</v>
      </c>
      <c r="Q130" s="9">
        <v>0</v>
      </c>
      <c r="R130" s="9">
        <v>1</v>
      </c>
      <c r="S130" s="9">
        <v>1</v>
      </c>
      <c r="T130" s="12">
        <v>4</v>
      </c>
      <c r="U130" s="13"/>
      <c r="V130" s="13"/>
      <c r="W130" s="13"/>
      <c r="X130" s="13"/>
      <c r="Y130" s="13"/>
      <c r="Z130" s="13"/>
      <c r="AA130" s="13"/>
      <c r="AB130" s="13"/>
      <c r="AC130" s="13"/>
      <c r="AD130" s="13"/>
      <c r="AE130" s="13"/>
      <c r="AF130" s="13"/>
      <c r="AG130" s="13"/>
      <c r="AH130" s="13"/>
      <c r="AI130" s="13"/>
      <c r="AJ130" s="13"/>
      <c r="AK130" s="13"/>
    </row>
    <row r="131" spans="4:37" ht="13" x14ac:dyDescent="0.15">
      <c r="D131" s="32"/>
      <c r="E131" s="7" t="s">
        <v>640</v>
      </c>
      <c r="F131" s="9">
        <v>1</v>
      </c>
      <c r="G131" s="9">
        <v>0</v>
      </c>
      <c r="H131" s="9">
        <v>0</v>
      </c>
      <c r="I131" s="12">
        <v>1</v>
      </c>
      <c r="J131" s="13"/>
      <c r="K131" s="19" t="s">
        <v>643</v>
      </c>
      <c r="L131" s="9">
        <v>0</v>
      </c>
      <c r="M131" s="9">
        <v>0</v>
      </c>
      <c r="N131" s="9">
        <v>2</v>
      </c>
      <c r="O131" s="9">
        <v>1</v>
      </c>
      <c r="P131" s="9">
        <v>0</v>
      </c>
      <c r="Q131" s="9">
        <v>0</v>
      </c>
      <c r="R131" s="9">
        <v>0</v>
      </c>
      <c r="S131" s="9">
        <v>2</v>
      </c>
      <c r="T131" s="12">
        <v>5</v>
      </c>
      <c r="U131" s="13"/>
      <c r="V131" s="13"/>
      <c r="W131" s="13"/>
      <c r="X131" s="13"/>
      <c r="Y131" s="13"/>
      <c r="Z131" s="13"/>
      <c r="AA131" s="13"/>
      <c r="AB131" s="13"/>
      <c r="AC131" s="13"/>
      <c r="AD131" s="13"/>
      <c r="AE131" s="13"/>
      <c r="AF131" s="13"/>
      <c r="AG131" s="13"/>
      <c r="AH131" s="13"/>
      <c r="AI131" s="13"/>
      <c r="AJ131" s="13"/>
      <c r="AK131" s="13"/>
    </row>
    <row r="132" spans="4:37" ht="13" x14ac:dyDescent="0.15">
      <c r="D132" s="32"/>
      <c r="E132" s="7" t="s">
        <v>645</v>
      </c>
      <c r="F132" s="9">
        <v>1</v>
      </c>
      <c r="G132" s="9">
        <v>0</v>
      </c>
      <c r="H132" s="9">
        <v>0</v>
      </c>
      <c r="I132" s="12">
        <v>1</v>
      </c>
      <c r="J132" s="13"/>
      <c r="K132" s="19" t="s">
        <v>646</v>
      </c>
      <c r="L132" s="9">
        <v>0</v>
      </c>
      <c r="M132" s="9">
        <v>0</v>
      </c>
      <c r="N132" s="9">
        <v>0</v>
      </c>
      <c r="O132" s="9">
        <v>1</v>
      </c>
      <c r="P132" s="9">
        <v>0</v>
      </c>
      <c r="Q132" s="9">
        <v>0</v>
      </c>
      <c r="R132" s="9">
        <v>0</v>
      </c>
      <c r="S132" s="9">
        <v>3</v>
      </c>
      <c r="T132" s="12">
        <v>4</v>
      </c>
      <c r="U132" s="13"/>
      <c r="V132" s="13"/>
      <c r="W132" s="13"/>
      <c r="X132" s="13"/>
      <c r="Y132" s="13"/>
      <c r="Z132" s="13"/>
      <c r="AA132" s="13"/>
      <c r="AB132" s="13"/>
      <c r="AC132" s="13"/>
      <c r="AD132" s="13"/>
      <c r="AE132" s="13"/>
      <c r="AF132" s="13"/>
      <c r="AG132" s="13"/>
      <c r="AH132" s="13"/>
      <c r="AI132" s="13"/>
      <c r="AJ132" s="13"/>
      <c r="AK132" s="13"/>
    </row>
    <row r="133" spans="4:37" ht="13" x14ac:dyDescent="0.15">
      <c r="D133" s="32"/>
      <c r="E133" s="7" t="s">
        <v>651</v>
      </c>
      <c r="F133" s="9">
        <v>5</v>
      </c>
      <c r="G133" s="9">
        <v>0</v>
      </c>
      <c r="H133" s="9">
        <v>0</v>
      </c>
      <c r="I133" s="12">
        <v>5</v>
      </c>
      <c r="J133" s="13"/>
      <c r="K133" s="19" t="s">
        <v>652</v>
      </c>
      <c r="L133" s="9">
        <v>0</v>
      </c>
      <c r="M133" s="9">
        <v>0</v>
      </c>
      <c r="N133" s="9">
        <v>1</v>
      </c>
      <c r="O133" s="9">
        <v>0</v>
      </c>
      <c r="P133" s="9">
        <v>0</v>
      </c>
      <c r="Q133" s="9">
        <v>0</v>
      </c>
      <c r="R133" s="9">
        <v>1</v>
      </c>
      <c r="S133" s="9">
        <v>2</v>
      </c>
      <c r="T133" s="12">
        <v>4</v>
      </c>
      <c r="U133" s="13"/>
      <c r="V133" s="13"/>
      <c r="W133" s="13"/>
      <c r="X133" s="13"/>
      <c r="Y133" s="13"/>
      <c r="Z133" s="13"/>
      <c r="AA133" s="13"/>
      <c r="AB133" s="13"/>
      <c r="AC133" s="13"/>
      <c r="AD133" s="13"/>
      <c r="AE133" s="13"/>
      <c r="AF133" s="13"/>
      <c r="AG133" s="13"/>
      <c r="AH133" s="13"/>
      <c r="AI133" s="13"/>
      <c r="AJ133" s="13"/>
      <c r="AK133" s="13"/>
    </row>
    <row r="134" spans="4:37" ht="13" x14ac:dyDescent="0.15">
      <c r="D134" s="32"/>
      <c r="E134" s="7" t="s">
        <v>655</v>
      </c>
      <c r="F134" s="9">
        <v>41</v>
      </c>
      <c r="G134" s="9">
        <v>0</v>
      </c>
      <c r="H134" s="9">
        <v>0</v>
      </c>
      <c r="I134" s="12">
        <v>41</v>
      </c>
      <c r="J134" s="13"/>
      <c r="K134" s="19" t="s">
        <v>657</v>
      </c>
      <c r="L134" s="9">
        <v>0</v>
      </c>
      <c r="M134" s="9">
        <v>0</v>
      </c>
      <c r="N134" s="9">
        <v>1</v>
      </c>
      <c r="O134" s="9">
        <v>3</v>
      </c>
      <c r="P134" s="9">
        <v>0</v>
      </c>
      <c r="Q134" s="9">
        <v>0</v>
      </c>
      <c r="R134" s="9">
        <v>2</v>
      </c>
      <c r="S134" s="9">
        <v>3</v>
      </c>
      <c r="T134" s="12">
        <v>9</v>
      </c>
      <c r="U134" s="13"/>
      <c r="V134" s="13"/>
      <c r="W134" s="13"/>
      <c r="X134" s="13"/>
      <c r="Y134" s="13"/>
      <c r="Z134" s="13"/>
      <c r="AA134" s="13"/>
      <c r="AB134" s="13"/>
      <c r="AC134" s="13"/>
      <c r="AD134" s="13"/>
      <c r="AE134" s="13"/>
      <c r="AF134" s="13"/>
      <c r="AG134" s="13"/>
      <c r="AH134" s="13"/>
      <c r="AI134" s="13"/>
      <c r="AJ134" s="13"/>
      <c r="AK134" s="13"/>
    </row>
    <row r="135" spans="4:37" ht="13" x14ac:dyDescent="0.15">
      <c r="D135" s="32"/>
      <c r="E135" s="7" t="s">
        <v>659</v>
      </c>
      <c r="F135" s="9">
        <v>1</v>
      </c>
      <c r="G135" s="9">
        <v>0</v>
      </c>
      <c r="H135" s="9">
        <v>0</v>
      </c>
      <c r="I135" s="12">
        <v>1</v>
      </c>
      <c r="J135" s="13"/>
      <c r="K135" s="19" t="s">
        <v>661</v>
      </c>
      <c r="L135" s="9">
        <v>1</v>
      </c>
      <c r="M135" s="9">
        <v>0</v>
      </c>
      <c r="N135" s="9">
        <v>1</v>
      </c>
      <c r="O135" s="9">
        <v>5</v>
      </c>
      <c r="P135" s="9">
        <v>0</v>
      </c>
      <c r="Q135" s="9">
        <v>0</v>
      </c>
      <c r="R135" s="9">
        <v>0</v>
      </c>
      <c r="S135" s="9">
        <v>1</v>
      </c>
      <c r="T135" s="12">
        <v>8</v>
      </c>
      <c r="U135" s="13"/>
      <c r="V135" s="13"/>
      <c r="W135" s="13"/>
      <c r="X135" s="13"/>
      <c r="Y135" s="13"/>
      <c r="Z135" s="13"/>
      <c r="AA135" s="13"/>
      <c r="AB135" s="13"/>
      <c r="AC135" s="13"/>
      <c r="AD135" s="13"/>
      <c r="AE135" s="13"/>
      <c r="AF135" s="13"/>
      <c r="AG135" s="13"/>
      <c r="AH135" s="13"/>
      <c r="AI135" s="13"/>
      <c r="AJ135" s="13"/>
      <c r="AK135" s="13"/>
    </row>
    <row r="136" spans="4:37" ht="13" x14ac:dyDescent="0.15">
      <c r="D136" s="32"/>
      <c r="E136" s="7" t="s">
        <v>85</v>
      </c>
      <c r="F136" s="9">
        <v>2</v>
      </c>
      <c r="G136" s="9">
        <v>0</v>
      </c>
      <c r="H136" s="9">
        <v>0</v>
      </c>
      <c r="I136" s="12">
        <v>2</v>
      </c>
      <c r="J136" s="13"/>
      <c r="K136" s="19" t="s">
        <v>665</v>
      </c>
      <c r="L136" s="9">
        <v>0</v>
      </c>
      <c r="M136" s="9">
        <v>0</v>
      </c>
      <c r="N136" s="9">
        <v>1</v>
      </c>
      <c r="O136" s="9">
        <v>2</v>
      </c>
      <c r="P136" s="9">
        <v>0</v>
      </c>
      <c r="Q136" s="9">
        <v>0</v>
      </c>
      <c r="R136" s="9">
        <v>0</v>
      </c>
      <c r="S136" s="9">
        <v>0</v>
      </c>
      <c r="T136" s="12">
        <v>3</v>
      </c>
      <c r="U136" s="13"/>
      <c r="V136" s="13"/>
      <c r="W136" s="13"/>
      <c r="X136" s="13"/>
      <c r="Y136" s="13"/>
      <c r="Z136" s="13"/>
      <c r="AA136" s="13"/>
      <c r="AB136" s="13"/>
      <c r="AC136" s="13"/>
      <c r="AD136" s="13"/>
      <c r="AE136" s="13"/>
      <c r="AF136" s="13"/>
      <c r="AG136" s="13"/>
      <c r="AH136" s="13"/>
      <c r="AI136" s="13"/>
      <c r="AJ136" s="13"/>
      <c r="AK136" s="13"/>
    </row>
    <row r="137" spans="4:37" ht="13" x14ac:dyDescent="0.15">
      <c r="D137" s="33"/>
      <c r="E137" s="7" t="s">
        <v>36</v>
      </c>
      <c r="F137" s="9">
        <v>2</v>
      </c>
      <c r="G137" s="9">
        <v>0</v>
      </c>
      <c r="H137" s="9">
        <v>0</v>
      </c>
      <c r="I137" s="12">
        <v>2</v>
      </c>
      <c r="J137" s="13"/>
      <c r="K137" s="19" t="s">
        <v>670</v>
      </c>
      <c r="L137" s="9">
        <v>1</v>
      </c>
      <c r="M137" s="9">
        <v>0</v>
      </c>
      <c r="N137" s="9">
        <v>3</v>
      </c>
      <c r="O137" s="9">
        <v>0</v>
      </c>
      <c r="P137" s="9">
        <v>0</v>
      </c>
      <c r="Q137" s="9">
        <v>0</v>
      </c>
      <c r="R137" s="9">
        <v>0</v>
      </c>
      <c r="S137" s="9">
        <v>2</v>
      </c>
      <c r="T137" s="12">
        <v>6</v>
      </c>
      <c r="U137" s="13"/>
      <c r="V137" s="13"/>
      <c r="W137" s="13"/>
      <c r="X137" s="13"/>
      <c r="Y137" s="13"/>
      <c r="Z137" s="13"/>
      <c r="AA137" s="13"/>
      <c r="AB137" s="13"/>
      <c r="AC137" s="13"/>
      <c r="AD137" s="13"/>
      <c r="AE137" s="13"/>
      <c r="AF137" s="13"/>
      <c r="AG137" s="13"/>
      <c r="AH137" s="13"/>
      <c r="AI137" s="13"/>
      <c r="AJ137" s="13"/>
      <c r="AK137" s="13"/>
    </row>
    <row r="138" spans="4:37" ht="13" x14ac:dyDescent="0.15">
      <c r="D138" s="11" t="s">
        <v>671</v>
      </c>
      <c r="E138" s="11"/>
      <c r="F138" s="12">
        <v>436</v>
      </c>
      <c r="G138" s="12">
        <v>0</v>
      </c>
      <c r="H138" s="12">
        <v>5</v>
      </c>
      <c r="I138" s="12">
        <v>441</v>
      </c>
      <c r="J138" s="13"/>
      <c r="K138" s="19" t="s">
        <v>672</v>
      </c>
      <c r="L138" s="9">
        <v>0</v>
      </c>
      <c r="M138" s="9">
        <v>0</v>
      </c>
      <c r="N138" s="9">
        <v>0</v>
      </c>
      <c r="O138" s="9">
        <v>0</v>
      </c>
      <c r="P138" s="9">
        <v>0</v>
      </c>
      <c r="Q138" s="9">
        <v>3</v>
      </c>
      <c r="R138" s="9">
        <v>0</v>
      </c>
      <c r="S138" s="9">
        <v>4</v>
      </c>
      <c r="T138" s="12">
        <v>7</v>
      </c>
      <c r="U138" s="13"/>
      <c r="V138" s="13"/>
      <c r="W138" s="13"/>
      <c r="X138" s="13"/>
      <c r="Y138" s="13"/>
      <c r="Z138" s="13"/>
      <c r="AA138" s="13"/>
      <c r="AB138" s="13"/>
      <c r="AC138" s="13"/>
      <c r="AD138" s="13"/>
      <c r="AE138" s="13"/>
      <c r="AF138" s="13"/>
      <c r="AG138" s="13"/>
      <c r="AH138" s="13"/>
      <c r="AI138" s="13"/>
      <c r="AJ138" s="13"/>
      <c r="AK138" s="13"/>
    </row>
    <row r="139" spans="4:37" ht="13" x14ac:dyDescent="0.15">
      <c r="D139" s="31" t="s">
        <v>55</v>
      </c>
      <c r="E139" s="7" t="s">
        <v>676</v>
      </c>
      <c r="F139" s="9">
        <v>1</v>
      </c>
      <c r="G139" s="9">
        <v>0</v>
      </c>
      <c r="H139" s="9">
        <v>0</v>
      </c>
      <c r="I139" s="12">
        <v>1</v>
      </c>
      <c r="J139" s="13"/>
      <c r="K139" s="19" t="s">
        <v>678</v>
      </c>
      <c r="L139" s="9">
        <v>0</v>
      </c>
      <c r="M139" s="9">
        <v>0</v>
      </c>
      <c r="N139" s="9">
        <v>3</v>
      </c>
      <c r="O139" s="9">
        <v>4</v>
      </c>
      <c r="P139" s="9">
        <v>0</v>
      </c>
      <c r="Q139" s="9">
        <v>0</v>
      </c>
      <c r="R139" s="9">
        <v>0</v>
      </c>
      <c r="S139" s="9">
        <v>4</v>
      </c>
      <c r="T139" s="12">
        <v>11</v>
      </c>
      <c r="U139" s="13"/>
      <c r="V139" s="13"/>
      <c r="W139" s="13"/>
      <c r="X139" s="13"/>
      <c r="Y139" s="13"/>
      <c r="Z139" s="13"/>
      <c r="AA139" s="13"/>
      <c r="AB139" s="13"/>
      <c r="AC139" s="13"/>
      <c r="AD139" s="13"/>
      <c r="AE139" s="13"/>
      <c r="AF139" s="13"/>
      <c r="AG139" s="13"/>
      <c r="AH139" s="13"/>
      <c r="AI139" s="13"/>
      <c r="AJ139" s="13"/>
      <c r="AK139" s="13"/>
    </row>
    <row r="140" spans="4:37" ht="13" x14ac:dyDescent="0.15">
      <c r="D140" s="32"/>
      <c r="E140" s="7" t="s">
        <v>278</v>
      </c>
      <c r="F140" s="9">
        <v>11</v>
      </c>
      <c r="G140" s="9">
        <v>0</v>
      </c>
      <c r="H140" s="9">
        <v>0</v>
      </c>
      <c r="I140" s="12">
        <v>11</v>
      </c>
      <c r="J140" s="13"/>
      <c r="K140" s="19" t="s">
        <v>682</v>
      </c>
      <c r="L140" s="9">
        <v>1</v>
      </c>
      <c r="M140" s="9">
        <v>0</v>
      </c>
      <c r="N140" s="9">
        <v>1</v>
      </c>
      <c r="O140" s="9">
        <v>3</v>
      </c>
      <c r="P140" s="9">
        <v>0</v>
      </c>
      <c r="Q140" s="9">
        <v>0</v>
      </c>
      <c r="R140" s="9">
        <v>2</v>
      </c>
      <c r="S140" s="9">
        <v>3</v>
      </c>
      <c r="T140" s="12">
        <v>10</v>
      </c>
      <c r="U140" s="13"/>
      <c r="V140" s="13"/>
      <c r="W140" s="13"/>
      <c r="X140" s="13"/>
      <c r="Y140" s="13"/>
      <c r="Z140" s="13"/>
      <c r="AA140" s="13"/>
      <c r="AB140" s="13"/>
      <c r="AC140" s="13"/>
      <c r="AD140" s="13"/>
      <c r="AE140" s="13"/>
      <c r="AF140" s="13"/>
      <c r="AG140" s="13"/>
      <c r="AH140" s="13"/>
      <c r="AI140" s="13"/>
      <c r="AJ140" s="13"/>
      <c r="AK140" s="13"/>
    </row>
    <row r="141" spans="4:37" ht="13" x14ac:dyDescent="0.15">
      <c r="D141" s="32"/>
      <c r="E141" s="7" t="s">
        <v>283</v>
      </c>
      <c r="F141" s="9">
        <v>2</v>
      </c>
      <c r="G141" s="9">
        <v>0</v>
      </c>
      <c r="H141" s="9">
        <v>0</v>
      </c>
      <c r="I141" s="12">
        <v>2</v>
      </c>
      <c r="J141" s="13"/>
      <c r="K141" s="19" t="s">
        <v>690</v>
      </c>
      <c r="L141" s="9">
        <v>0</v>
      </c>
      <c r="M141" s="9">
        <v>0</v>
      </c>
      <c r="N141" s="9">
        <v>2</v>
      </c>
      <c r="O141" s="9">
        <v>1</v>
      </c>
      <c r="P141" s="9">
        <v>0</v>
      </c>
      <c r="Q141" s="9">
        <v>0</v>
      </c>
      <c r="R141" s="9">
        <v>0</v>
      </c>
      <c r="S141" s="9">
        <v>2</v>
      </c>
      <c r="T141" s="12">
        <v>5</v>
      </c>
      <c r="U141" s="13"/>
      <c r="V141" s="13"/>
      <c r="W141" s="13"/>
      <c r="X141" s="13"/>
      <c r="Y141" s="13"/>
      <c r="Z141" s="13"/>
      <c r="AA141" s="13"/>
      <c r="AB141" s="13"/>
      <c r="AC141" s="13"/>
      <c r="AD141" s="13"/>
      <c r="AE141" s="13"/>
      <c r="AF141" s="13"/>
      <c r="AG141" s="13"/>
      <c r="AH141" s="13"/>
      <c r="AI141" s="13"/>
      <c r="AJ141" s="13"/>
      <c r="AK141" s="13"/>
    </row>
    <row r="142" spans="4:37" ht="13" x14ac:dyDescent="0.15">
      <c r="D142" s="32"/>
      <c r="E142" s="7" t="s">
        <v>692</v>
      </c>
      <c r="F142" s="9">
        <v>1</v>
      </c>
      <c r="G142" s="9">
        <v>0</v>
      </c>
      <c r="H142" s="9">
        <v>0</v>
      </c>
      <c r="I142" s="12">
        <v>1</v>
      </c>
      <c r="J142" s="13"/>
      <c r="K142" s="19" t="s">
        <v>693</v>
      </c>
      <c r="L142" s="9">
        <v>0</v>
      </c>
      <c r="M142" s="9">
        <v>0</v>
      </c>
      <c r="N142" s="9">
        <v>0</v>
      </c>
      <c r="O142" s="9">
        <v>0</v>
      </c>
      <c r="P142" s="9">
        <v>0</v>
      </c>
      <c r="Q142" s="9">
        <v>0</v>
      </c>
      <c r="R142" s="9">
        <v>2</v>
      </c>
      <c r="S142" s="9">
        <v>1</v>
      </c>
      <c r="T142" s="12">
        <v>3</v>
      </c>
      <c r="U142" s="13"/>
      <c r="V142" s="13"/>
      <c r="W142" s="13"/>
      <c r="X142" s="13"/>
      <c r="Y142" s="13"/>
      <c r="Z142" s="13"/>
      <c r="AA142" s="13"/>
      <c r="AB142" s="13"/>
      <c r="AC142" s="13"/>
      <c r="AD142" s="13"/>
      <c r="AE142" s="13"/>
      <c r="AF142" s="13"/>
      <c r="AG142" s="13"/>
      <c r="AH142" s="13"/>
      <c r="AI142" s="13"/>
      <c r="AJ142" s="13"/>
      <c r="AK142" s="13"/>
    </row>
    <row r="143" spans="4:37" ht="13" x14ac:dyDescent="0.15">
      <c r="D143" s="32"/>
      <c r="E143" s="7" t="s">
        <v>697</v>
      </c>
      <c r="F143" s="9">
        <v>2</v>
      </c>
      <c r="G143" s="9">
        <v>0</v>
      </c>
      <c r="H143" s="9">
        <v>0</v>
      </c>
      <c r="I143" s="12">
        <v>2</v>
      </c>
      <c r="J143" s="13"/>
      <c r="K143" s="19" t="s">
        <v>698</v>
      </c>
      <c r="L143" s="9">
        <v>0</v>
      </c>
      <c r="M143" s="9">
        <v>0</v>
      </c>
      <c r="N143" s="9">
        <v>2</v>
      </c>
      <c r="O143" s="9">
        <v>2</v>
      </c>
      <c r="P143" s="9">
        <v>0</v>
      </c>
      <c r="Q143" s="9">
        <v>2</v>
      </c>
      <c r="R143" s="9">
        <v>0</v>
      </c>
      <c r="S143" s="9">
        <v>9</v>
      </c>
      <c r="T143" s="12">
        <v>15</v>
      </c>
      <c r="U143" s="13"/>
      <c r="V143" s="13"/>
      <c r="W143" s="13"/>
      <c r="X143" s="13"/>
      <c r="Y143" s="13"/>
      <c r="Z143" s="13"/>
      <c r="AA143" s="13"/>
      <c r="AB143" s="13"/>
      <c r="AC143" s="13"/>
      <c r="AD143" s="13"/>
      <c r="AE143" s="13"/>
      <c r="AF143" s="13"/>
      <c r="AG143" s="13"/>
      <c r="AH143" s="13"/>
      <c r="AI143" s="13"/>
      <c r="AJ143" s="13"/>
      <c r="AK143" s="13"/>
    </row>
    <row r="144" spans="4:37" ht="13" x14ac:dyDescent="0.15">
      <c r="D144" s="32"/>
      <c r="E144" s="7" t="s">
        <v>301</v>
      </c>
      <c r="F144" s="9">
        <v>1</v>
      </c>
      <c r="G144" s="9">
        <v>0</v>
      </c>
      <c r="H144" s="9">
        <v>0</v>
      </c>
      <c r="I144" s="12">
        <v>1</v>
      </c>
      <c r="J144" s="13"/>
      <c r="K144" s="19" t="s">
        <v>700</v>
      </c>
      <c r="L144" s="9">
        <v>2</v>
      </c>
      <c r="M144" s="9">
        <v>0</v>
      </c>
      <c r="N144" s="9">
        <v>5</v>
      </c>
      <c r="O144" s="9">
        <v>1</v>
      </c>
      <c r="P144" s="9">
        <v>0</v>
      </c>
      <c r="Q144" s="9">
        <v>0</v>
      </c>
      <c r="R144" s="9">
        <v>0</v>
      </c>
      <c r="S144" s="9">
        <v>5</v>
      </c>
      <c r="T144" s="12">
        <v>13</v>
      </c>
      <c r="U144" s="13"/>
      <c r="V144" s="13"/>
      <c r="W144" s="13"/>
      <c r="X144" s="13"/>
      <c r="Y144" s="13"/>
      <c r="Z144" s="13"/>
      <c r="AA144" s="13"/>
      <c r="AB144" s="13"/>
      <c r="AC144" s="13"/>
      <c r="AD144" s="13"/>
      <c r="AE144" s="13"/>
      <c r="AF144" s="13"/>
      <c r="AG144" s="13"/>
      <c r="AH144" s="13"/>
      <c r="AI144" s="13"/>
      <c r="AJ144" s="13"/>
      <c r="AK144" s="13"/>
    </row>
    <row r="145" spans="4:37" ht="13" x14ac:dyDescent="0.15">
      <c r="D145" s="32"/>
      <c r="E145" s="7" t="s">
        <v>704</v>
      </c>
      <c r="F145" s="9">
        <v>2</v>
      </c>
      <c r="G145" s="9">
        <v>0</v>
      </c>
      <c r="H145" s="9">
        <v>0</v>
      </c>
      <c r="I145" s="12">
        <v>2</v>
      </c>
      <c r="J145" s="13"/>
      <c r="K145" s="19" t="s">
        <v>705</v>
      </c>
      <c r="L145" s="9">
        <v>1</v>
      </c>
      <c r="M145" s="9">
        <v>0</v>
      </c>
      <c r="N145" s="9">
        <v>2</v>
      </c>
      <c r="O145" s="9">
        <v>3</v>
      </c>
      <c r="P145" s="9">
        <v>0</v>
      </c>
      <c r="Q145" s="9">
        <v>0</v>
      </c>
      <c r="R145" s="9">
        <v>1</v>
      </c>
      <c r="S145" s="9">
        <v>6</v>
      </c>
      <c r="T145" s="12">
        <v>13</v>
      </c>
      <c r="U145" s="13"/>
      <c r="V145" s="13"/>
      <c r="W145" s="13"/>
      <c r="X145" s="13"/>
      <c r="Y145" s="13"/>
      <c r="Z145" s="13"/>
      <c r="AA145" s="13"/>
      <c r="AB145" s="13"/>
      <c r="AC145" s="13"/>
      <c r="AD145" s="13"/>
      <c r="AE145" s="13"/>
      <c r="AF145" s="13"/>
      <c r="AG145" s="13"/>
      <c r="AH145" s="13"/>
      <c r="AI145" s="13"/>
      <c r="AJ145" s="13"/>
      <c r="AK145" s="13"/>
    </row>
    <row r="146" spans="4:37" ht="13" x14ac:dyDescent="0.15">
      <c r="D146" s="32"/>
      <c r="E146" s="7" t="s">
        <v>707</v>
      </c>
      <c r="F146" s="9">
        <v>3</v>
      </c>
      <c r="G146" s="9">
        <v>0</v>
      </c>
      <c r="H146" s="9">
        <v>0</v>
      </c>
      <c r="I146" s="12">
        <v>3</v>
      </c>
      <c r="J146" s="13"/>
      <c r="K146" s="19" t="s">
        <v>708</v>
      </c>
      <c r="L146" s="9">
        <v>0</v>
      </c>
      <c r="M146" s="9">
        <v>0</v>
      </c>
      <c r="N146" s="9">
        <v>0</v>
      </c>
      <c r="O146" s="9">
        <v>3</v>
      </c>
      <c r="P146" s="9">
        <v>0</v>
      </c>
      <c r="Q146" s="9">
        <v>0</v>
      </c>
      <c r="R146" s="9">
        <v>0</v>
      </c>
      <c r="S146" s="9">
        <v>6</v>
      </c>
      <c r="T146" s="12">
        <v>9</v>
      </c>
      <c r="U146" s="13"/>
      <c r="V146" s="13"/>
      <c r="W146" s="13"/>
      <c r="X146" s="13"/>
      <c r="Y146" s="13"/>
      <c r="Z146" s="13"/>
      <c r="AA146" s="13"/>
      <c r="AB146" s="13"/>
      <c r="AC146" s="13"/>
      <c r="AD146" s="13"/>
      <c r="AE146" s="13"/>
      <c r="AF146" s="13"/>
      <c r="AG146" s="13"/>
      <c r="AH146" s="13"/>
      <c r="AI146" s="13"/>
      <c r="AJ146" s="13"/>
      <c r="AK146" s="13"/>
    </row>
    <row r="147" spans="4:37" ht="13" x14ac:dyDescent="0.15">
      <c r="D147" s="32"/>
      <c r="E147" s="7" t="s">
        <v>712</v>
      </c>
      <c r="F147" s="9">
        <v>4</v>
      </c>
      <c r="G147" s="9">
        <v>0</v>
      </c>
      <c r="H147" s="9">
        <v>0</v>
      </c>
      <c r="I147" s="12">
        <v>4</v>
      </c>
      <c r="J147" s="13"/>
      <c r="K147" s="19" t="s">
        <v>713</v>
      </c>
      <c r="L147" s="9">
        <v>0</v>
      </c>
      <c r="M147" s="9">
        <v>0</v>
      </c>
      <c r="N147" s="9">
        <v>1</v>
      </c>
      <c r="O147" s="9">
        <v>2</v>
      </c>
      <c r="P147" s="9">
        <v>0</v>
      </c>
      <c r="Q147" s="9">
        <v>0</v>
      </c>
      <c r="R147" s="9">
        <v>0</v>
      </c>
      <c r="S147" s="9">
        <v>3</v>
      </c>
      <c r="T147" s="12">
        <v>6</v>
      </c>
      <c r="U147" s="13"/>
      <c r="V147" s="13"/>
      <c r="W147" s="13"/>
      <c r="X147" s="13"/>
      <c r="Y147" s="13"/>
      <c r="Z147" s="13"/>
      <c r="AA147" s="13"/>
      <c r="AB147" s="13"/>
      <c r="AC147" s="13"/>
      <c r="AD147" s="13"/>
      <c r="AE147" s="13"/>
      <c r="AF147" s="13"/>
      <c r="AG147" s="13"/>
      <c r="AH147" s="13"/>
      <c r="AI147" s="13"/>
      <c r="AJ147" s="13"/>
      <c r="AK147" s="13"/>
    </row>
    <row r="148" spans="4:37" ht="13" x14ac:dyDescent="0.15">
      <c r="D148" s="32"/>
      <c r="E148" s="7" t="s">
        <v>715</v>
      </c>
      <c r="F148" s="9">
        <v>41</v>
      </c>
      <c r="G148" s="9">
        <v>0</v>
      </c>
      <c r="H148" s="9">
        <v>0</v>
      </c>
      <c r="I148" s="12">
        <v>41</v>
      </c>
      <c r="J148" s="13"/>
      <c r="K148" s="19" t="s">
        <v>716</v>
      </c>
      <c r="L148" s="9">
        <v>0</v>
      </c>
      <c r="M148" s="9">
        <v>0</v>
      </c>
      <c r="N148" s="9">
        <v>0</v>
      </c>
      <c r="O148" s="9">
        <v>1</v>
      </c>
      <c r="P148" s="9">
        <v>0</v>
      </c>
      <c r="Q148" s="9">
        <v>0</v>
      </c>
      <c r="R148" s="9">
        <v>0</v>
      </c>
      <c r="S148" s="9">
        <v>1</v>
      </c>
      <c r="T148" s="12">
        <v>2</v>
      </c>
      <c r="U148" s="13"/>
      <c r="V148" s="13"/>
      <c r="W148" s="13"/>
      <c r="X148" s="13"/>
      <c r="Y148" s="13"/>
      <c r="Z148" s="13"/>
      <c r="AA148" s="13"/>
      <c r="AB148" s="13"/>
      <c r="AC148" s="13"/>
      <c r="AD148" s="13"/>
      <c r="AE148" s="13"/>
      <c r="AF148" s="13"/>
      <c r="AG148" s="13"/>
      <c r="AH148" s="13"/>
      <c r="AI148" s="13"/>
      <c r="AJ148" s="13"/>
      <c r="AK148" s="13"/>
    </row>
    <row r="149" spans="4:37" ht="13" x14ac:dyDescent="0.15">
      <c r="D149" s="32"/>
      <c r="E149" s="7" t="s">
        <v>719</v>
      </c>
      <c r="F149" s="9">
        <v>1</v>
      </c>
      <c r="G149" s="9">
        <v>0</v>
      </c>
      <c r="H149" s="9">
        <v>0</v>
      </c>
      <c r="I149" s="12">
        <v>1</v>
      </c>
      <c r="J149" s="13"/>
      <c r="K149" s="19" t="s">
        <v>721</v>
      </c>
      <c r="L149" s="9">
        <v>0</v>
      </c>
      <c r="M149" s="9">
        <v>3</v>
      </c>
      <c r="N149" s="9">
        <v>1</v>
      </c>
      <c r="O149" s="9">
        <v>0</v>
      </c>
      <c r="P149" s="9">
        <v>0</v>
      </c>
      <c r="Q149" s="9">
        <v>5</v>
      </c>
      <c r="R149" s="9">
        <v>0</v>
      </c>
      <c r="S149" s="9">
        <v>4</v>
      </c>
      <c r="T149" s="12">
        <v>13</v>
      </c>
      <c r="U149" s="13"/>
      <c r="V149" s="13"/>
      <c r="W149" s="13"/>
      <c r="X149" s="13"/>
      <c r="Y149" s="13"/>
      <c r="Z149" s="13"/>
      <c r="AA149" s="13"/>
      <c r="AB149" s="13"/>
      <c r="AC149" s="13"/>
      <c r="AD149" s="13"/>
      <c r="AE149" s="13"/>
      <c r="AF149" s="13"/>
      <c r="AG149" s="13"/>
      <c r="AH149" s="13"/>
      <c r="AI149" s="13"/>
      <c r="AJ149" s="13"/>
      <c r="AK149" s="13"/>
    </row>
    <row r="150" spans="4:37" ht="13" x14ac:dyDescent="0.15">
      <c r="D150" s="32"/>
      <c r="E150" s="7" t="s">
        <v>328</v>
      </c>
      <c r="F150" s="9">
        <v>33</v>
      </c>
      <c r="G150" s="9">
        <v>0</v>
      </c>
      <c r="H150" s="9">
        <v>0</v>
      </c>
      <c r="I150" s="12">
        <v>33</v>
      </c>
      <c r="J150" s="13"/>
      <c r="K150" s="19" t="s">
        <v>723</v>
      </c>
      <c r="L150" s="9">
        <v>0</v>
      </c>
      <c r="M150" s="9">
        <v>0</v>
      </c>
      <c r="N150" s="9">
        <v>2</v>
      </c>
      <c r="O150" s="9">
        <v>5</v>
      </c>
      <c r="P150" s="9">
        <v>0</v>
      </c>
      <c r="Q150" s="9">
        <v>0</v>
      </c>
      <c r="R150" s="9">
        <v>0</v>
      </c>
      <c r="S150" s="9">
        <v>1</v>
      </c>
      <c r="T150" s="12">
        <v>8</v>
      </c>
      <c r="U150" s="13"/>
      <c r="V150" s="13"/>
      <c r="W150" s="13"/>
      <c r="X150" s="13"/>
      <c r="Y150" s="13"/>
      <c r="Z150" s="13"/>
      <c r="AA150" s="13"/>
      <c r="AB150" s="13"/>
      <c r="AC150" s="13"/>
      <c r="AD150" s="13"/>
      <c r="AE150" s="13"/>
      <c r="AF150" s="13"/>
      <c r="AG150" s="13"/>
      <c r="AH150" s="13"/>
      <c r="AI150" s="13"/>
      <c r="AJ150" s="13"/>
      <c r="AK150" s="13"/>
    </row>
    <row r="151" spans="4:37" ht="13" x14ac:dyDescent="0.15">
      <c r="D151" s="32"/>
      <c r="E151" s="7" t="s">
        <v>727</v>
      </c>
      <c r="F151" s="9">
        <v>1</v>
      </c>
      <c r="G151" s="9">
        <v>0</v>
      </c>
      <c r="H151" s="9">
        <v>0</v>
      </c>
      <c r="I151" s="12">
        <v>1</v>
      </c>
      <c r="J151" s="13"/>
      <c r="K151" s="19" t="s">
        <v>728</v>
      </c>
      <c r="L151" s="9">
        <v>0</v>
      </c>
      <c r="M151" s="9">
        <v>0</v>
      </c>
      <c r="N151" s="9">
        <v>0</v>
      </c>
      <c r="O151" s="9">
        <v>1</v>
      </c>
      <c r="P151" s="9">
        <v>0</v>
      </c>
      <c r="Q151" s="9">
        <v>0</v>
      </c>
      <c r="R151" s="9">
        <v>0</v>
      </c>
      <c r="S151" s="9">
        <v>0</v>
      </c>
      <c r="T151" s="12">
        <v>1</v>
      </c>
      <c r="U151" s="13"/>
      <c r="V151" s="13"/>
      <c r="W151" s="13"/>
      <c r="X151" s="13"/>
      <c r="Y151" s="13"/>
      <c r="Z151" s="13"/>
      <c r="AA151" s="13"/>
      <c r="AB151" s="13"/>
      <c r="AC151" s="13"/>
      <c r="AD151" s="13"/>
      <c r="AE151" s="13"/>
      <c r="AF151" s="13"/>
      <c r="AG151" s="13"/>
      <c r="AH151" s="13"/>
      <c r="AI151" s="13"/>
      <c r="AJ151" s="13"/>
      <c r="AK151" s="13"/>
    </row>
    <row r="152" spans="4:37" ht="13" x14ac:dyDescent="0.15">
      <c r="D152" s="32"/>
      <c r="E152" s="7" t="s">
        <v>730</v>
      </c>
      <c r="F152" s="9">
        <v>1</v>
      </c>
      <c r="G152" s="9">
        <v>0</v>
      </c>
      <c r="H152" s="9">
        <v>0</v>
      </c>
      <c r="I152" s="12">
        <v>1</v>
      </c>
      <c r="J152" s="13"/>
      <c r="K152" s="19" t="s">
        <v>731</v>
      </c>
      <c r="L152" s="9">
        <v>0</v>
      </c>
      <c r="M152" s="9">
        <v>0</v>
      </c>
      <c r="N152" s="9">
        <v>4</v>
      </c>
      <c r="O152" s="9">
        <v>3</v>
      </c>
      <c r="P152" s="9">
        <v>0</v>
      </c>
      <c r="Q152" s="9">
        <v>0</v>
      </c>
      <c r="R152" s="9">
        <v>0</v>
      </c>
      <c r="S152" s="9">
        <v>1</v>
      </c>
      <c r="T152" s="12">
        <v>8</v>
      </c>
      <c r="U152" s="13"/>
      <c r="V152" s="13"/>
      <c r="W152" s="13"/>
      <c r="X152" s="13"/>
      <c r="Y152" s="13"/>
      <c r="Z152" s="13"/>
      <c r="AA152" s="13"/>
      <c r="AB152" s="13"/>
      <c r="AC152" s="13"/>
      <c r="AD152" s="13"/>
      <c r="AE152" s="13"/>
      <c r="AF152" s="13"/>
      <c r="AG152" s="13"/>
      <c r="AH152" s="13"/>
      <c r="AI152" s="13"/>
      <c r="AJ152" s="13"/>
      <c r="AK152" s="13"/>
    </row>
    <row r="153" spans="4:37" ht="13" x14ac:dyDescent="0.15">
      <c r="D153" s="32"/>
      <c r="E153" s="7" t="s">
        <v>735</v>
      </c>
      <c r="F153" s="9">
        <v>1</v>
      </c>
      <c r="G153" s="9">
        <v>0</v>
      </c>
      <c r="H153" s="9">
        <v>0</v>
      </c>
      <c r="I153" s="12">
        <v>1</v>
      </c>
      <c r="J153" s="13"/>
      <c r="K153" s="19" t="s">
        <v>737</v>
      </c>
      <c r="L153" s="9">
        <v>0</v>
      </c>
      <c r="M153" s="9">
        <v>0</v>
      </c>
      <c r="N153" s="9">
        <v>1</v>
      </c>
      <c r="O153" s="9">
        <v>2</v>
      </c>
      <c r="P153" s="9">
        <v>0</v>
      </c>
      <c r="Q153" s="9">
        <v>0</v>
      </c>
      <c r="R153" s="9">
        <v>1</v>
      </c>
      <c r="S153" s="9">
        <v>9</v>
      </c>
      <c r="T153" s="12">
        <v>13</v>
      </c>
      <c r="U153" s="13"/>
      <c r="V153" s="13"/>
      <c r="W153" s="13"/>
      <c r="X153" s="13"/>
      <c r="Y153" s="13"/>
      <c r="Z153" s="13"/>
      <c r="AA153" s="13"/>
      <c r="AB153" s="13"/>
      <c r="AC153" s="13"/>
      <c r="AD153" s="13"/>
      <c r="AE153" s="13"/>
      <c r="AF153" s="13"/>
      <c r="AG153" s="13"/>
      <c r="AH153" s="13"/>
      <c r="AI153" s="13"/>
      <c r="AJ153" s="13"/>
      <c r="AK153" s="13"/>
    </row>
    <row r="154" spans="4:37" ht="13" x14ac:dyDescent="0.15">
      <c r="D154" s="32"/>
      <c r="E154" s="7" t="s">
        <v>738</v>
      </c>
      <c r="F154" s="9">
        <v>10</v>
      </c>
      <c r="G154" s="9">
        <v>0</v>
      </c>
      <c r="H154" s="9">
        <v>0</v>
      </c>
      <c r="I154" s="12">
        <v>10</v>
      </c>
      <c r="J154" s="13"/>
      <c r="K154" s="19" t="s">
        <v>739</v>
      </c>
      <c r="L154" s="9">
        <v>0</v>
      </c>
      <c r="M154" s="9">
        <v>0</v>
      </c>
      <c r="N154" s="9">
        <v>1</v>
      </c>
      <c r="O154" s="9">
        <v>3</v>
      </c>
      <c r="P154" s="9">
        <v>0</v>
      </c>
      <c r="Q154" s="9">
        <v>0</v>
      </c>
      <c r="R154" s="9">
        <v>0</v>
      </c>
      <c r="S154" s="9">
        <v>1</v>
      </c>
      <c r="T154" s="12">
        <v>5</v>
      </c>
      <c r="U154" s="13"/>
      <c r="V154" s="13"/>
      <c r="W154" s="13"/>
      <c r="X154" s="13"/>
      <c r="Y154" s="13"/>
      <c r="Z154" s="13"/>
      <c r="AA154" s="13"/>
      <c r="AB154" s="13"/>
      <c r="AC154" s="13"/>
      <c r="AD154" s="13"/>
      <c r="AE154" s="13"/>
      <c r="AF154" s="13"/>
      <c r="AG154" s="13"/>
      <c r="AH154" s="13"/>
      <c r="AI154" s="13"/>
      <c r="AJ154" s="13"/>
      <c r="AK154" s="13"/>
    </row>
    <row r="155" spans="4:37" ht="13" x14ac:dyDescent="0.15">
      <c r="D155" s="32"/>
      <c r="E155" s="7" t="s">
        <v>743</v>
      </c>
      <c r="F155" s="9">
        <v>2</v>
      </c>
      <c r="G155" s="9">
        <v>0</v>
      </c>
      <c r="H155" s="9">
        <v>0</v>
      </c>
      <c r="I155" s="12">
        <v>2</v>
      </c>
      <c r="J155" s="13"/>
      <c r="K155" s="18" t="s">
        <v>745</v>
      </c>
      <c r="L155" s="12">
        <v>11</v>
      </c>
      <c r="M155" s="12">
        <v>0</v>
      </c>
      <c r="N155" s="12">
        <v>33</v>
      </c>
      <c r="O155" s="12">
        <v>61</v>
      </c>
      <c r="P155" s="12">
        <v>0</v>
      </c>
      <c r="Q155" s="12">
        <v>2</v>
      </c>
      <c r="R155" s="12">
        <v>16</v>
      </c>
      <c r="S155" s="12">
        <v>74</v>
      </c>
      <c r="T155" s="12">
        <v>197</v>
      </c>
      <c r="U155" s="13"/>
      <c r="V155" s="13"/>
      <c r="W155" s="13"/>
      <c r="X155" s="13"/>
      <c r="Y155" s="13"/>
      <c r="Z155" s="13"/>
      <c r="AA155" s="13"/>
      <c r="AB155" s="13"/>
      <c r="AC155" s="13"/>
      <c r="AD155" s="13"/>
      <c r="AE155" s="13"/>
      <c r="AF155" s="13"/>
      <c r="AG155" s="13"/>
      <c r="AH155" s="13"/>
      <c r="AI155" s="13"/>
      <c r="AJ155" s="13"/>
      <c r="AK155" s="13"/>
    </row>
    <row r="156" spans="4:37" ht="13" x14ac:dyDescent="0.15">
      <c r="D156" s="32"/>
      <c r="E156" s="7" t="s">
        <v>160</v>
      </c>
      <c r="F156" s="9">
        <v>1</v>
      </c>
      <c r="G156" s="9">
        <v>0</v>
      </c>
      <c r="H156" s="9">
        <v>0</v>
      </c>
      <c r="I156" s="12">
        <v>1</v>
      </c>
      <c r="J156" s="13"/>
      <c r="K156" s="19" t="s">
        <v>749</v>
      </c>
      <c r="L156" s="9">
        <v>0</v>
      </c>
      <c r="M156" s="9">
        <v>0</v>
      </c>
      <c r="N156" s="9">
        <v>1</v>
      </c>
      <c r="O156" s="9">
        <v>1</v>
      </c>
      <c r="P156" s="9">
        <v>0</v>
      </c>
      <c r="Q156" s="9">
        <v>0</v>
      </c>
      <c r="R156" s="9">
        <v>1</v>
      </c>
      <c r="S156" s="9">
        <v>5</v>
      </c>
      <c r="T156" s="12">
        <v>8</v>
      </c>
      <c r="U156" s="13"/>
      <c r="V156" s="13"/>
      <c r="W156" s="13"/>
      <c r="X156" s="13"/>
      <c r="Y156" s="13"/>
      <c r="Z156" s="13"/>
      <c r="AA156" s="13"/>
      <c r="AB156" s="13"/>
      <c r="AC156" s="13"/>
      <c r="AD156" s="13"/>
      <c r="AE156" s="13"/>
      <c r="AF156" s="13"/>
      <c r="AG156" s="13"/>
      <c r="AH156" s="13"/>
      <c r="AI156" s="13"/>
      <c r="AJ156" s="13"/>
      <c r="AK156" s="13"/>
    </row>
    <row r="157" spans="4:37" ht="13" x14ac:dyDescent="0.15">
      <c r="D157" s="32"/>
      <c r="E157" s="7" t="s">
        <v>39</v>
      </c>
      <c r="F157" s="9">
        <v>6</v>
      </c>
      <c r="G157" s="9">
        <v>0</v>
      </c>
      <c r="H157" s="9">
        <v>0</v>
      </c>
      <c r="I157" s="12">
        <v>6</v>
      </c>
      <c r="J157" s="13"/>
      <c r="K157" s="19" t="s">
        <v>754</v>
      </c>
      <c r="L157" s="9">
        <v>0</v>
      </c>
      <c r="M157" s="9">
        <v>0</v>
      </c>
      <c r="N157" s="9">
        <v>3</v>
      </c>
      <c r="O157" s="9">
        <v>1</v>
      </c>
      <c r="P157" s="9">
        <v>0</v>
      </c>
      <c r="Q157" s="9">
        <v>0</v>
      </c>
      <c r="R157" s="9">
        <v>2</v>
      </c>
      <c r="S157" s="9">
        <v>3</v>
      </c>
      <c r="T157" s="12">
        <v>9</v>
      </c>
      <c r="U157" s="13"/>
      <c r="V157" s="13"/>
      <c r="W157" s="13"/>
      <c r="X157" s="13"/>
      <c r="Y157" s="13"/>
      <c r="Z157" s="13"/>
      <c r="AA157" s="13"/>
      <c r="AB157" s="13"/>
      <c r="AC157" s="13"/>
      <c r="AD157" s="13"/>
      <c r="AE157" s="13"/>
      <c r="AF157" s="13"/>
      <c r="AG157" s="13"/>
      <c r="AH157" s="13"/>
      <c r="AI157" s="13"/>
      <c r="AJ157" s="13"/>
      <c r="AK157" s="13"/>
    </row>
    <row r="158" spans="4:37" ht="13" x14ac:dyDescent="0.15">
      <c r="D158" s="32"/>
      <c r="E158" s="7" t="s">
        <v>756</v>
      </c>
      <c r="F158" s="9">
        <v>1</v>
      </c>
      <c r="G158" s="9">
        <v>0</v>
      </c>
      <c r="H158" s="9">
        <v>0</v>
      </c>
      <c r="I158" s="12">
        <v>1</v>
      </c>
      <c r="J158" s="13"/>
      <c r="K158" s="19" t="s">
        <v>760</v>
      </c>
      <c r="L158" s="9">
        <v>0</v>
      </c>
      <c r="M158" s="9">
        <v>0</v>
      </c>
      <c r="N158" s="9">
        <v>0</v>
      </c>
      <c r="O158" s="9">
        <v>0</v>
      </c>
      <c r="P158" s="9">
        <v>0</v>
      </c>
      <c r="Q158" s="9">
        <v>0</v>
      </c>
      <c r="R158" s="9">
        <v>0</v>
      </c>
      <c r="S158" s="9">
        <v>1</v>
      </c>
      <c r="T158" s="12">
        <v>1</v>
      </c>
      <c r="U158" s="13"/>
      <c r="V158" s="13"/>
      <c r="W158" s="13"/>
      <c r="X158" s="13"/>
      <c r="Y158" s="13"/>
      <c r="Z158" s="13"/>
      <c r="AA158" s="13"/>
      <c r="AB158" s="13"/>
      <c r="AC158" s="13"/>
      <c r="AD158" s="13"/>
      <c r="AE158" s="13"/>
      <c r="AF158" s="13"/>
      <c r="AG158" s="13"/>
      <c r="AH158" s="13"/>
      <c r="AI158" s="13"/>
      <c r="AJ158" s="13"/>
      <c r="AK158" s="13"/>
    </row>
    <row r="159" spans="4:37" ht="13" x14ac:dyDescent="0.15">
      <c r="D159" s="32"/>
      <c r="E159" s="7" t="s">
        <v>762</v>
      </c>
      <c r="F159" s="9">
        <v>1</v>
      </c>
      <c r="G159" s="9">
        <v>0</v>
      </c>
      <c r="H159" s="9">
        <v>0</v>
      </c>
      <c r="I159" s="12">
        <v>1</v>
      </c>
      <c r="J159" s="13"/>
      <c r="K159" s="19" t="s">
        <v>765</v>
      </c>
      <c r="L159" s="9">
        <v>0</v>
      </c>
      <c r="M159" s="9">
        <v>0</v>
      </c>
      <c r="N159" s="9">
        <v>0</v>
      </c>
      <c r="O159" s="9">
        <v>0</v>
      </c>
      <c r="P159" s="9">
        <v>0</v>
      </c>
      <c r="Q159" s="9">
        <v>0</v>
      </c>
      <c r="R159" s="9">
        <v>0</v>
      </c>
      <c r="S159" s="9">
        <v>4</v>
      </c>
      <c r="T159" s="12">
        <v>4</v>
      </c>
      <c r="U159" s="13"/>
      <c r="V159" s="13"/>
      <c r="W159" s="13"/>
      <c r="X159" s="13"/>
      <c r="Y159" s="13"/>
      <c r="Z159" s="13"/>
      <c r="AA159" s="13"/>
      <c r="AB159" s="13"/>
      <c r="AC159" s="13"/>
      <c r="AD159" s="13"/>
      <c r="AE159" s="13"/>
      <c r="AF159" s="13"/>
      <c r="AG159" s="13"/>
      <c r="AH159" s="13"/>
      <c r="AI159" s="13"/>
      <c r="AJ159" s="13"/>
      <c r="AK159" s="13"/>
    </row>
    <row r="160" spans="4:37" ht="13" x14ac:dyDescent="0.15">
      <c r="D160" s="32"/>
      <c r="E160" s="7" t="s">
        <v>395</v>
      </c>
      <c r="F160" s="9">
        <v>2</v>
      </c>
      <c r="G160" s="9">
        <v>0</v>
      </c>
      <c r="H160" s="9">
        <v>0</v>
      </c>
      <c r="I160" s="12">
        <v>2</v>
      </c>
      <c r="J160" s="13"/>
      <c r="K160" s="19" t="s">
        <v>770</v>
      </c>
      <c r="L160" s="9">
        <v>0</v>
      </c>
      <c r="M160" s="9">
        <v>0</v>
      </c>
      <c r="N160" s="9">
        <v>0</v>
      </c>
      <c r="O160" s="9">
        <v>4</v>
      </c>
      <c r="P160" s="9">
        <v>0</v>
      </c>
      <c r="Q160" s="9">
        <v>0</v>
      </c>
      <c r="R160" s="9">
        <v>0</v>
      </c>
      <c r="S160" s="9">
        <v>2</v>
      </c>
      <c r="T160" s="12">
        <v>6</v>
      </c>
      <c r="U160" s="13"/>
      <c r="V160" s="13"/>
      <c r="W160" s="13"/>
      <c r="X160" s="13"/>
      <c r="Y160" s="13"/>
      <c r="Z160" s="13"/>
      <c r="AA160" s="13"/>
      <c r="AB160" s="13"/>
      <c r="AC160" s="13"/>
      <c r="AD160" s="13"/>
      <c r="AE160" s="13"/>
      <c r="AF160" s="13"/>
      <c r="AG160" s="13"/>
      <c r="AH160" s="13"/>
      <c r="AI160" s="13"/>
      <c r="AJ160" s="13"/>
      <c r="AK160" s="13"/>
    </row>
    <row r="161" spans="4:37" ht="13" x14ac:dyDescent="0.15">
      <c r="D161" s="32"/>
      <c r="E161" s="7" t="s">
        <v>772</v>
      </c>
      <c r="F161" s="9">
        <v>6</v>
      </c>
      <c r="G161" s="9">
        <v>1</v>
      </c>
      <c r="H161" s="9">
        <v>0</v>
      </c>
      <c r="I161" s="12">
        <v>7</v>
      </c>
      <c r="J161" s="13"/>
      <c r="K161" s="19" t="s">
        <v>774</v>
      </c>
      <c r="L161" s="9">
        <v>1</v>
      </c>
      <c r="M161" s="9">
        <v>0</v>
      </c>
      <c r="N161" s="9">
        <v>1</v>
      </c>
      <c r="O161" s="9">
        <v>5</v>
      </c>
      <c r="P161" s="9">
        <v>0</v>
      </c>
      <c r="Q161" s="9">
        <v>0</v>
      </c>
      <c r="R161" s="9">
        <v>0</v>
      </c>
      <c r="S161" s="9">
        <v>5</v>
      </c>
      <c r="T161" s="12">
        <v>12</v>
      </c>
      <c r="U161" s="13"/>
      <c r="V161" s="13"/>
      <c r="W161" s="13"/>
      <c r="X161" s="13"/>
      <c r="Y161" s="13"/>
      <c r="Z161" s="13"/>
      <c r="AA161" s="13"/>
      <c r="AB161" s="13"/>
      <c r="AC161" s="13"/>
      <c r="AD161" s="13"/>
      <c r="AE161" s="13"/>
      <c r="AF161" s="13"/>
      <c r="AG161" s="13"/>
      <c r="AH161" s="13"/>
      <c r="AI161" s="13"/>
      <c r="AJ161" s="13"/>
      <c r="AK161" s="13"/>
    </row>
    <row r="162" spans="4:37" ht="13" x14ac:dyDescent="0.15">
      <c r="D162" s="32"/>
      <c r="E162" s="7" t="s">
        <v>778</v>
      </c>
      <c r="F162" s="9">
        <v>5</v>
      </c>
      <c r="G162" s="9">
        <v>0</v>
      </c>
      <c r="H162" s="9">
        <v>0</v>
      </c>
      <c r="I162" s="12">
        <v>5</v>
      </c>
      <c r="J162" s="13"/>
      <c r="K162" s="19" t="s">
        <v>779</v>
      </c>
      <c r="L162" s="9">
        <v>1</v>
      </c>
      <c r="M162" s="9">
        <v>0</v>
      </c>
      <c r="N162" s="9">
        <v>2</v>
      </c>
      <c r="O162" s="9">
        <v>3</v>
      </c>
      <c r="P162" s="9">
        <v>0</v>
      </c>
      <c r="Q162" s="9">
        <v>0</v>
      </c>
      <c r="R162" s="9">
        <v>1</v>
      </c>
      <c r="S162" s="9">
        <v>0</v>
      </c>
      <c r="T162" s="12">
        <v>7</v>
      </c>
      <c r="U162" s="13"/>
      <c r="V162" s="13"/>
      <c r="W162" s="13"/>
      <c r="X162" s="13"/>
      <c r="Y162" s="13"/>
      <c r="Z162" s="13"/>
      <c r="AA162" s="13"/>
      <c r="AB162" s="13"/>
      <c r="AC162" s="13"/>
      <c r="AD162" s="13"/>
      <c r="AE162" s="13"/>
      <c r="AF162" s="13"/>
      <c r="AG162" s="13"/>
      <c r="AH162" s="13"/>
      <c r="AI162" s="13"/>
      <c r="AJ162" s="13"/>
      <c r="AK162" s="13"/>
    </row>
    <row r="163" spans="4:37" ht="13" x14ac:dyDescent="0.15">
      <c r="D163" s="32"/>
      <c r="E163" s="7" t="s">
        <v>782</v>
      </c>
      <c r="F163" s="9">
        <v>1</v>
      </c>
      <c r="G163" s="9">
        <v>0</v>
      </c>
      <c r="H163" s="9">
        <v>0</v>
      </c>
      <c r="I163" s="12">
        <v>1</v>
      </c>
      <c r="J163" s="13"/>
      <c r="K163" s="19" t="s">
        <v>785</v>
      </c>
      <c r="L163" s="9">
        <v>0</v>
      </c>
      <c r="M163" s="9">
        <v>0</v>
      </c>
      <c r="N163" s="9">
        <v>1</v>
      </c>
      <c r="O163" s="9">
        <v>1</v>
      </c>
      <c r="P163" s="9">
        <v>0</v>
      </c>
      <c r="Q163" s="9">
        <v>0</v>
      </c>
      <c r="R163" s="9">
        <v>0</v>
      </c>
      <c r="S163" s="9">
        <v>3</v>
      </c>
      <c r="T163" s="12">
        <v>5</v>
      </c>
      <c r="U163" s="13"/>
      <c r="V163" s="13"/>
      <c r="W163" s="13"/>
      <c r="X163" s="13"/>
      <c r="Y163" s="13"/>
      <c r="Z163" s="13"/>
      <c r="AA163" s="13"/>
      <c r="AB163" s="13"/>
      <c r="AC163" s="13"/>
      <c r="AD163" s="13"/>
      <c r="AE163" s="13"/>
      <c r="AF163" s="13"/>
      <c r="AG163" s="13"/>
      <c r="AH163" s="13"/>
      <c r="AI163" s="13"/>
      <c r="AJ163" s="13"/>
      <c r="AK163" s="13"/>
    </row>
    <row r="164" spans="4:37" ht="13" x14ac:dyDescent="0.15">
      <c r="D164" s="32"/>
      <c r="E164" s="7" t="s">
        <v>787</v>
      </c>
      <c r="F164" s="9">
        <v>1</v>
      </c>
      <c r="G164" s="9">
        <v>0</v>
      </c>
      <c r="H164" s="9">
        <v>0</v>
      </c>
      <c r="I164" s="12">
        <v>1</v>
      </c>
      <c r="J164" s="13"/>
      <c r="K164" s="19" t="s">
        <v>788</v>
      </c>
      <c r="L164" s="9">
        <v>0</v>
      </c>
      <c r="M164" s="9">
        <v>0</v>
      </c>
      <c r="N164" s="9">
        <v>3</v>
      </c>
      <c r="O164" s="9">
        <v>1</v>
      </c>
      <c r="P164" s="9">
        <v>0</v>
      </c>
      <c r="Q164" s="9">
        <v>0</v>
      </c>
      <c r="R164" s="9">
        <v>0</v>
      </c>
      <c r="S164" s="9">
        <v>2</v>
      </c>
      <c r="T164" s="12">
        <v>6</v>
      </c>
      <c r="U164" s="13"/>
      <c r="V164" s="13"/>
      <c r="W164" s="13"/>
      <c r="X164" s="13"/>
      <c r="Y164" s="13"/>
      <c r="Z164" s="13"/>
      <c r="AA164" s="13"/>
      <c r="AB164" s="13"/>
      <c r="AC164" s="13"/>
      <c r="AD164" s="13"/>
      <c r="AE164" s="13"/>
      <c r="AF164" s="13"/>
      <c r="AG164" s="13"/>
      <c r="AH164" s="13"/>
      <c r="AI164" s="13"/>
      <c r="AJ164" s="13"/>
      <c r="AK164" s="13"/>
    </row>
    <row r="165" spans="4:37" ht="13" x14ac:dyDescent="0.15">
      <c r="D165" s="32"/>
      <c r="E165" s="7" t="s">
        <v>793</v>
      </c>
      <c r="F165" s="9">
        <v>4</v>
      </c>
      <c r="G165" s="9">
        <v>0</v>
      </c>
      <c r="H165" s="9">
        <v>0</v>
      </c>
      <c r="I165" s="12">
        <v>4</v>
      </c>
      <c r="J165" s="13"/>
      <c r="K165" s="19" t="s">
        <v>794</v>
      </c>
      <c r="L165" s="9">
        <v>0</v>
      </c>
      <c r="M165" s="9">
        <v>0</v>
      </c>
      <c r="N165" s="9">
        <v>2</v>
      </c>
      <c r="O165" s="9">
        <v>1</v>
      </c>
      <c r="P165" s="9">
        <v>0</v>
      </c>
      <c r="Q165" s="9">
        <v>0</v>
      </c>
      <c r="R165" s="9">
        <v>0</v>
      </c>
      <c r="S165" s="9">
        <v>1</v>
      </c>
      <c r="T165" s="12">
        <v>4</v>
      </c>
      <c r="U165" s="13"/>
      <c r="V165" s="13"/>
      <c r="W165" s="13"/>
      <c r="X165" s="13"/>
      <c r="Y165" s="13"/>
      <c r="Z165" s="13"/>
      <c r="AA165" s="13"/>
      <c r="AB165" s="13"/>
      <c r="AC165" s="13"/>
      <c r="AD165" s="13"/>
      <c r="AE165" s="13"/>
      <c r="AF165" s="13"/>
      <c r="AG165" s="13"/>
      <c r="AH165" s="13"/>
      <c r="AI165" s="13"/>
      <c r="AJ165" s="13"/>
      <c r="AK165" s="13"/>
    </row>
    <row r="166" spans="4:37" ht="13" x14ac:dyDescent="0.15">
      <c r="D166" s="32"/>
      <c r="E166" s="7" t="s">
        <v>799</v>
      </c>
      <c r="F166" s="9">
        <v>1</v>
      </c>
      <c r="G166" s="9">
        <v>0</v>
      </c>
      <c r="H166" s="9">
        <v>0</v>
      </c>
      <c r="I166" s="12">
        <v>1</v>
      </c>
      <c r="J166" s="13"/>
      <c r="K166" s="19" t="s">
        <v>800</v>
      </c>
      <c r="L166" s="9">
        <v>0</v>
      </c>
      <c r="M166" s="9">
        <v>0</v>
      </c>
      <c r="N166" s="9">
        <v>0</v>
      </c>
      <c r="O166" s="9">
        <v>0</v>
      </c>
      <c r="P166" s="9">
        <v>0</v>
      </c>
      <c r="Q166" s="9">
        <v>1</v>
      </c>
      <c r="R166" s="9">
        <v>1</v>
      </c>
      <c r="S166" s="9">
        <v>1</v>
      </c>
      <c r="T166" s="12">
        <v>3</v>
      </c>
      <c r="U166" s="13"/>
      <c r="V166" s="13"/>
      <c r="W166" s="13"/>
      <c r="X166" s="13"/>
      <c r="Y166" s="13"/>
      <c r="Z166" s="13"/>
      <c r="AA166" s="13"/>
      <c r="AB166" s="13"/>
      <c r="AC166" s="13"/>
      <c r="AD166" s="13"/>
      <c r="AE166" s="13"/>
      <c r="AF166" s="13"/>
      <c r="AG166" s="13"/>
      <c r="AH166" s="13"/>
      <c r="AI166" s="13"/>
      <c r="AJ166" s="13"/>
      <c r="AK166" s="13"/>
    </row>
    <row r="167" spans="4:37" ht="13" x14ac:dyDescent="0.15">
      <c r="D167" s="32"/>
      <c r="E167" s="7" t="s">
        <v>802</v>
      </c>
      <c r="F167" s="9">
        <v>1</v>
      </c>
      <c r="G167" s="9">
        <v>0</v>
      </c>
      <c r="H167" s="9">
        <v>0</v>
      </c>
      <c r="I167" s="12">
        <v>1</v>
      </c>
      <c r="J167" s="13"/>
      <c r="K167" s="19" t="s">
        <v>806</v>
      </c>
      <c r="L167" s="9">
        <v>0</v>
      </c>
      <c r="M167" s="9">
        <v>0</v>
      </c>
      <c r="N167" s="9">
        <v>2</v>
      </c>
      <c r="O167" s="9">
        <v>4</v>
      </c>
      <c r="P167" s="9">
        <v>0</v>
      </c>
      <c r="Q167" s="9">
        <v>0</v>
      </c>
      <c r="R167" s="9">
        <v>0</v>
      </c>
      <c r="S167" s="9">
        <v>4</v>
      </c>
      <c r="T167" s="12">
        <v>10</v>
      </c>
      <c r="U167" s="13"/>
      <c r="V167" s="13"/>
      <c r="W167" s="13"/>
      <c r="X167" s="13"/>
      <c r="Y167" s="13"/>
      <c r="Z167" s="13"/>
      <c r="AA167" s="13"/>
      <c r="AB167" s="13"/>
      <c r="AC167" s="13"/>
      <c r="AD167" s="13"/>
      <c r="AE167" s="13"/>
      <c r="AF167" s="13"/>
      <c r="AG167" s="13"/>
      <c r="AH167" s="13"/>
      <c r="AI167" s="13"/>
      <c r="AJ167" s="13"/>
      <c r="AK167" s="13"/>
    </row>
    <row r="168" spans="4:37" ht="13" x14ac:dyDescent="0.15">
      <c r="D168" s="32"/>
      <c r="E168" s="7" t="s">
        <v>67</v>
      </c>
      <c r="F168" s="9">
        <v>3</v>
      </c>
      <c r="G168" s="9">
        <v>0</v>
      </c>
      <c r="H168" s="9">
        <v>0</v>
      </c>
      <c r="I168" s="12">
        <v>3</v>
      </c>
      <c r="J168" s="13"/>
      <c r="K168" s="19" t="s">
        <v>809</v>
      </c>
      <c r="L168" s="9">
        <v>0</v>
      </c>
      <c r="M168" s="9">
        <v>0</v>
      </c>
      <c r="N168" s="9">
        <v>1</v>
      </c>
      <c r="O168" s="9">
        <v>1</v>
      </c>
      <c r="P168" s="9">
        <v>0</v>
      </c>
      <c r="Q168" s="9">
        <v>0</v>
      </c>
      <c r="R168" s="9">
        <v>1</v>
      </c>
      <c r="S168" s="9">
        <v>3</v>
      </c>
      <c r="T168" s="12">
        <v>6</v>
      </c>
      <c r="U168" s="13"/>
      <c r="V168" s="13"/>
      <c r="W168" s="13"/>
      <c r="X168" s="13"/>
      <c r="Y168" s="13"/>
      <c r="Z168" s="13"/>
      <c r="AA168" s="13"/>
      <c r="AB168" s="13"/>
      <c r="AC168" s="13"/>
      <c r="AD168" s="13"/>
      <c r="AE168" s="13"/>
      <c r="AF168" s="13"/>
      <c r="AG168" s="13"/>
      <c r="AH168" s="13"/>
      <c r="AI168" s="13"/>
      <c r="AJ168" s="13"/>
      <c r="AK168" s="13"/>
    </row>
    <row r="169" spans="4:37" ht="13" x14ac:dyDescent="0.15">
      <c r="D169" s="32"/>
      <c r="E169" s="7" t="s">
        <v>71</v>
      </c>
      <c r="F169" s="9">
        <v>3</v>
      </c>
      <c r="G169" s="9">
        <v>0</v>
      </c>
      <c r="H169" s="9">
        <v>0</v>
      </c>
      <c r="I169" s="12">
        <v>3</v>
      </c>
      <c r="J169" s="13"/>
      <c r="K169" s="19" t="s">
        <v>814</v>
      </c>
      <c r="L169" s="9">
        <v>0</v>
      </c>
      <c r="M169" s="9">
        <v>0</v>
      </c>
      <c r="N169" s="9">
        <v>3</v>
      </c>
      <c r="O169" s="9">
        <v>0</v>
      </c>
      <c r="P169" s="9">
        <v>0</v>
      </c>
      <c r="Q169" s="9">
        <v>0</v>
      </c>
      <c r="R169" s="9">
        <v>2</v>
      </c>
      <c r="S169" s="9">
        <v>6</v>
      </c>
      <c r="T169" s="12">
        <v>11</v>
      </c>
      <c r="U169" s="13"/>
      <c r="V169" s="13"/>
      <c r="W169" s="13"/>
      <c r="X169" s="13"/>
      <c r="Y169" s="13"/>
      <c r="Z169" s="13"/>
      <c r="AA169" s="13"/>
      <c r="AB169" s="13"/>
      <c r="AC169" s="13"/>
      <c r="AD169" s="13"/>
      <c r="AE169" s="13"/>
      <c r="AF169" s="13"/>
      <c r="AG169" s="13"/>
      <c r="AH169" s="13"/>
      <c r="AI169" s="13"/>
      <c r="AJ169" s="13"/>
      <c r="AK169" s="13"/>
    </row>
    <row r="170" spans="4:37" ht="13" x14ac:dyDescent="0.15">
      <c r="D170" s="32"/>
      <c r="E170" s="7" t="s">
        <v>400</v>
      </c>
      <c r="F170" s="9">
        <v>6</v>
      </c>
      <c r="G170" s="9">
        <v>0</v>
      </c>
      <c r="H170" s="9">
        <v>0</v>
      </c>
      <c r="I170" s="12">
        <v>6</v>
      </c>
      <c r="J170" s="13"/>
      <c r="K170" s="19" t="s">
        <v>816</v>
      </c>
      <c r="L170" s="9">
        <v>2</v>
      </c>
      <c r="M170" s="9">
        <v>0</v>
      </c>
      <c r="N170" s="9">
        <v>2</v>
      </c>
      <c r="O170" s="9">
        <v>2</v>
      </c>
      <c r="P170" s="9">
        <v>0</v>
      </c>
      <c r="Q170" s="9">
        <v>0</v>
      </c>
      <c r="R170" s="9">
        <v>2</v>
      </c>
      <c r="S170" s="9">
        <v>5</v>
      </c>
      <c r="T170" s="12">
        <v>13</v>
      </c>
      <c r="U170" s="13"/>
      <c r="V170" s="13"/>
      <c r="W170" s="13"/>
      <c r="X170" s="13"/>
      <c r="Y170" s="13"/>
      <c r="Z170" s="13"/>
      <c r="AA170" s="13"/>
      <c r="AB170" s="13"/>
      <c r="AC170" s="13"/>
      <c r="AD170" s="13"/>
      <c r="AE170" s="13"/>
      <c r="AF170" s="13"/>
      <c r="AG170" s="13"/>
      <c r="AH170" s="13"/>
      <c r="AI170" s="13"/>
      <c r="AJ170" s="13"/>
      <c r="AK170" s="13"/>
    </row>
    <row r="171" spans="4:37" ht="13" x14ac:dyDescent="0.15">
      <c r="D171" s="32"/>
      <c r="E171" s="7" t="s">
        <v>404</v>
      </c>
      <c r="F171" s="9">
        <v>1</v>
      </c>
      <c r="G171" s="9">
        <v>0</v>
      </c>
      <c r="H171" s="9">
        <v>0</v>
      </c>
      <c r="I171" s="12">
        <v>1</v>
      </c>
      <c r="J171" s="13"/>
      <c r="K171" s="19" t="s">
        <v>820</v>
      </c>
      <c r="L171" s="9">
        <v>1</v>
      </c>
      <c r="M171" s="9">
        <v>0</v>
      </c>
      <c r="N171" s="9">
        <v>0</v>
      </c>
      <c r="O171" s="9">
        <v>1</v>
      </c>
      <c r="P171" s="9">
        <v>0</v>
      </c>
      <c r="Q171" s="9">
        <v>1</v>
      </c>
      <c r="R171" s="9">
        <v>2</v>
      </c>
      <c r="S171" s="9">
        <v>2</v>
      </c>
      <c r="T171" s="12">
        <v>7</v>
      </c>
      <c r="U171" s="13"/>
      <c r="V171" s="13"/>
      <c r="W171" s="13"/>
      <c r="X171" s="13"/>
      <c r="Y171" s="13"/>
      <c r="Z171" s="13"/>
      <c r="AA171" s="13"/>
      <c r="AB171" s="13"/>
      <c r="AC171" s="13"/>
      <c r="AD171" s="13"/>
      <c r="AE171" s="13"/>
      <c r="AF171" s="13"/>
      <c r="AG171" s="13"/>
      <c r="AH171" s="13"/>
      <c r="AI171" s="13"/>
      <c r="AJ171" s="13"/>
      <c r="AK171" s="13"/>
    </row>
    <row r="172" spans="4:37" ht="13" x14ac:dyDescent="0.15">
      <c r="D172" s="32"/>
      <c r="E172" s="7" t="s">
        <v>821</v>
      </c>
      <c r="F172" s="9">
        <v>5</v>
      </c>
      <c r="G172" s="9">
        <v>0</v>
      </c>
      <c r="H172" s="9">
        <v>0</v>
      </c>
      <c r="I172" s="12">
        <v>5</v>
      </c>
      <c r="J172" s="13"/>
      <c r="K172" s="19" t="s">
        <v>822</v>
      </c>
      <c r="L172" s="9">
        <v>0</v>
      </c>
      <c r="M172" s="9">
        <v>0</v>
      </c>
      <c r="N172" s="9">
        <v>1</v>
      </c>
      <c r="O172" s="9">
        <v>0</v>
      </c>
      <c r="P172" s="9">
        <v>0</v>
      </c>
      <c r="Q172" s="9">
        <v>0</v>
      </c>
      <c r="R172" s="9">
        <v>0</v>
      </c>
      <c r="S172" s="9">
        <v>1</v>
      </c>
      <c r="T172" s="12">
        <v>2</v>
      </c>
      <c r="U172" s="13"/>
      <c r="V172" s="13"/>
      <c r="W172" s="13"/>
      <c r="X172" s="13"/>
      <c r="Y172" s="13"/>
      <c r="Z172" s="13"/>
      <c r="AA172" s="13"/>
      <c r="AB172" s="13"/>
      <c r="AC172" s="13"/>
      <c r="AD172" s="13"/>
      <c r="AE172" s="13"/>
      <c r="AF172" s="13"/>
      <c r="AG172" s="13"/>
      <c r="AH172" s="13"/>
      <c r="AI172" s="13"/>
      <c r="AJ172" s="13"/>
      <c r="AK172" s="13"/>
    </row>
    <row r="173" spans="4:37" ht="13" x14ac:dyDescent="0.15">
      <c r="D173" s="32"/>
      <c r="E173" s="7" t="s">
        <v>270</v>
      </c>
      <c r="F173" s="9">
        <v>105</v>
      </c>
      <c r="G173" s="9">
        <v>0</v>
      </c>
      <c r="H173" s="9">
        <v>0</v>
      </c>
      <c r="I173" s="12">
        <v>105</v>
      </c>
      <c r="J173" s="13"/>
      <c r="K173" s="19" t="s">
        <v>823</v>
      </c>
      <c r="L173" s="9">
        <v>2</v>
      </c>
      <c r="M173" s="9">
        <v>0</v>
      </c>
      <c r="N173" s="9">
        <v>3</v>
      </c>
      <c r="O173" s="9">
        <v>11</v>
      </c>
      <c r="P173" s="9">
        <v>0</v>
      </c>
      <c r="Q173" s="9">
        <v>0</v>
      </c>
      <c r="R173" s="9">
        <v>0</v>
      </c>
      <c r="S173" s="9">
        <v>1</v>
      </c>
      <c r="T173" s="12">
        <v>17</v>
      </c>
      <c r="U173" s="13"/>
      <c r="V173" s="13"/>
      <c r="W173" s="13"/>
      <c r="X173" s="13"/>
      <c r="Y173" s="13"/>
      <c r="Z173" s="13"/>
      <c r="AA173" s="13"/>
      <c r="AB173" s="13"/>
      <c r="AC173" s="13"/>
      <c r="AD173" s="13"/>
      <c r="AE173" s="13"/>
      <c r="AF173" s="13"/>
      <c r="AG173" s="13"/>
      <c r="AH173" s="13"/>
      <c r="AI173" s="13"/>
      <c r="AJ173" s="13"/>
      <c r="AK173" s="13"/>
    </row>
    <row r="174" spans="4:37" ht="13" x14ac:dyDescent="0.15">
      <c r="D174" s="32"/>
      <c r="E174" s="7" t="s">
        <v>827</v>
      </c>
      <c r="F174" s="9">
        <v>16</v>
      </c>
      <c r="G174" s="9">
        <v>0</v>
      </c>
      <c r="H174" s="9">
        <v>0</v>
      </c>
      <c r="I174" s="12">
        <v>16</v>
      </c>
      <c r="J174" s="13"/>
      <c r="K174" s="19" t="s">
        <v>828</v>
      </c>
      <c r="L174" s="9">
        <v>0</v>
      </c>
      <c r="M174" s="9">
        <v>0</v>
      </c>
      <c r="N174" s="9">
        <v>0</v>
      </c>
      <c r="O174" s="9">
        <v>0</v>
      </c>
      <c r="P174" s="9">
        <v>0</v>
      </c>
      <c r="Q174" s="9">
        <v>0</v>
      </c>
      <c r="R174" s="9">
        <v>1</v>
      </c>
      <c r="S174" s="9">
        <v>6</v>
      </c>
      <c r="T174" s="12">
        <v>7</v>
      </c>
      <c r="U174" s="13"/>
      <c r="V174" s="13"/>
      <c r="W174" s="13"/>
      <c r="X174" s="13"/>
      <c r="Y174" s="13"/>
      <c r="Z174" s="13"/>
      <c r="AA174" s="13"/>
      <c r="AB174" s="13"/>
      <c r="AC174" s="13"/>
      <c r="AD174" s="13"/>
      <c r="AE174" s="13"/>
      <c r="AF174" s="13"/>
      <c r="AG174" s="13"/>
      <c r="AH174" s="13"/>
      <c r="AI174" s="13"/>
      <c r="AJ174" s="13"/>
      <c r="AK174" s="13"/>
    </row>
    <row r="175" spans="4:37" ht="13" x14ac:dyDescent="0.15">
      <c r="D175" s="32"/>
      <c r="E175" s="7" t="s">
        <v>425</v>
      </c>
      <c r="F175" s="9">
        <v>20</v>
      </c>
      <c r="G175" s="9">
        <v>0</v>
      </c>
      <c r="H175" s="9">
        <v>0</v>
      </c>
      <c r="I175" s="12">
        <v>20</v>
      </c>
      <c r="J175" s="13"/>
      <c r="K175" s="19" t="s">
        <v>830</v>
      </c>
      <c r="L175" s="9">
        <v>1</v>
      </c>
      <c r="M175" s="9">
        <v>0</v>
      </c>
      <c r="N175" s="9">
        <v>2</v>
      </c>
      <c r="O175" s="9">
        <v>4</v>
      </c>
      <c r="P175" s="9">
        <v>0</v>
      </c>
      <c r="Q175" s="9">
        <v>0</v>
      </c>
      <c r="R175" s="9">
        <v>0</v>
      </c>
      <c r="S175" s="9">
        <v>1</v>
      </c>
      <c r="T175" s="12">
        <v>8</v>
      </c>
      <c r="U175" s="13"/>
      <c r="V175" s="13"/>
      <c r="W175" s="13"/>
      <c r="X175" s="13"/>
      <c r="Y175" s="13"/>
      <c r="Z175" s="13"/>
      <c r="AA175" s="13"/>
      <c r="AB175" s="13"/>
      <c r="AC175" s="13"/>
      <c r="AD175" s="13"/>
      <c r="AE175" s="13"/>
      <c r="AF175" s="13"/>
      <c r="AG175" s="13"/>
      <c r="AH175" s="13"/>
      <c r="AI175" s="13"/>
      <c r="AJ175" s="13"/>
      <c r="AK175" s="13"/>
    </row>
    <row r="176" spans="4:37" ht="13" x14ac:dyDescent="0.15">
      <c r="D176" s="32"/>
      <c r="E176" s="7" t="s">
        <v>835</v>
      </c>
      <c r="F176" s="9">
        <v>11</v>
      </c>
      <c r="G176" s="9">
        <v>1</v>
      </c>
      <c r="H176" s="9">
        <v>0</v>
      </c>
      <c r="I176" s="12">
        <v>12</v>
      </c>
      <c r="J176" s="13"/>
      <c r="K176" s="19" t="s">
        <v>836</v>
      </c>
      <c r="L176" s="9">
        <v>0</v>
      </c>
      <c r="M176" s="9">
        <v>0</v>
      </c>
      <c r="N176" s="9">
        <v>2</v>
      </c>
      <c r="O176" s="9">
        <v>3</v>
      </c>
      <c r="P176" s="9">
        <v>0</v>
      </c>
      <c r="Q176" s="9">
        <v>0</v>
      </c>
      <c r="R176" s="9">
        <v>1</v>
      </c>
      <c r="S176" s="9">
        <v>5</v>
      </c>
      <c r="T176" s="12">
        <v>11</v>
      </c>
      <c r="U176" s="13"/>
      <c r="V176" s="13"/>
      <c r="W176" s="13"/>
      <c r="X176" s="13"/>
      <c r="Y176" s="13"/>
      <c r="Z176" s="13"/>
      <c r="AA176" s="13"/>
      <c r="AB176" s="13"/>
      <c r="AC176" s="13"/>
      <c r="AD176" s="13"/>
      <c r="AE176" s="13"/>
      <c r="AF176" s="13"/>
      <c r="AG176" s="13"/>
      <c r="AH176" s="13"/>
      <c r="AI176" s="13"/>
      <c r="AJ176" s="13"/>
      <c r="AK176" s="13"/>
    </row>
    <row r="177" spans="4:37" ht="13" x14ac:dyDescent="0.15">
      <c r="D177" s="32"/>
      <c r="E177" s="7" t="s">
        <v>838</v>
      </c>
      <c r="F177" s="9">
        <v>1</v>
      </c>
      <c r="G177" s="9">
        <v>0</v>
      </c>
      <c r="H177" s="9">
        <v>0</v>
      </c>
      <c r="I177" s="12">
        <v>1</v>
      </c>
      <c r="J177" s="13"/>
      <c r="K177" s="19" t="s">
        <v>841</v>
      </c>
      <c r="L177" s="9">
        <v>1</v>
      </c>
      <c r="M177" s="9">
        <v>0</v>
      </c>
      <c r="N177" s="9">
        <v>0</v>
      </c>
      <c r="O177" s="9">
        <v>8</v>
      </c>
      <c r="P177" s="9">
        <v>0</v>
      </c>
      <c r="Q177" s="9">
        <v>0</v>
      </c>
      <c r="R177" s="9">
        <v>2</v>
      </c>
      <c r="S177" s="9">
        <v>1</v>
      </c>
      <c r="T177" s="12">
        <v>12</v>
      </c>
      <c r="U177" s="13"/>
      <c r="V177" s="13"/>
      <c r="W177" s="13"/>
      <c r="X177" s="13"/>
      <c r="Y177" s="13"/>
      <c r="Z177" s="13"/>
      <c r="AA177" s="13"/>
      <c r="AB177" s="13"/>
      <c r="AC177" s="13"/>
      <c r="AD177" s="13"/>
      <c r="AE177" s="13"/>
      <c r="AF177" s="13"/>
      <c r="AG177" s="13"/>
      <c r="AH177" s="13"/>
      <c r="AI177" s="13"/>
      <c r="AJ177" s="13"/>
      <c r="AK177" s="13"/>
    </row>
    <row r="178" spans="4:37" ht="13" x14ac:dyDescent="0.15">
      <c r="D178" s="32"/>
      <c r="E178" s="7" t="s">
        <v>843</v>
      </c>
      <c r="F178" s="9">
        <v>15</v>
      </c>
      <c r="G178" s="9">
        <v>0</v>
      </c>
      <c r="H178" s="9">
        <v>0</v>
      </c>
      <c r="I178" s="12">
        <v>15</v>
      </c>
      <c r="J178" s="13"/>
      <c r="K178" s="19" t="s">
        <v>844</v>
      </c>
      <c r="L178" s="9">
        <v>0</v>
      </c>
      <c r="M178" s="9">
        <v>0</v>
      </c>
      <c r="N178" s="9">
        <v>1</v>
      </c>
      <c r="O178" s="9">
        <v>0</v>
      </c>
      <c r="P178" s="9">
        <v>0</v>
      </c>
      <c r="Q178" s="9">
        <v>0</v>
      </c>
      <c r="R178" s="9">
        <v>0</v>
      </c>
      <c r="S178" s="9">
        <v>0</v>
      </c>
      <c r="T178" s="12">
        <v>1</v>
      </c>
      <c r="U178" s="13"/>
      <c r="V178" s="13"/>
      <c r="W178" s="13"/>
      <c r="X178" s="13"/>
      <c r="Y178" s="13"/>
      <c r="Z178" s="13"/>
      <c r="AA178" s="13"/>
      <c r="AB178" s="13"/>
      <c r="AC178" s="13"/>
      <c r="AD178" s="13"/>
      <c r="AE178" s="13"/>
      <c r="AF178" s="13"/>
      <c r="AG178" s="13"/>
      <c r="AH178" s="13"/>
      <c r="AI178" s="13"/>
      <c r="AJ178" s="13"/>
      <c r="AK178" s="13"/>
    </row>
    <row r="179" spans="4:37" ht="13" x14ac:dyDescent="0.15">
      <c r="D179" s="32"/>
      <c r="E179" s="7" t="s">
        <v>848</v>
      </c>
      <c r="F179" s="9">
        <v>1</v>
      </c>
      <c r="G179" s="9">
        <v>0</v>
      </c>
      <c r="H179" s="9">
        <v>0</v>
      </c>
      <c r="I179" s="12">
        <v>1</v>
      </c>
      <c r="J179" s="13"/>
      <c r="K179" s="19" t="s">
        <v>850</v>
      </c>
      <c r="L179" s="9">
        <v>0</v>
      </c>
      <c r="M179" s="9">
        <v>0</v>
      </c>
      <c r="N179" s="9">
        <v>0</v>
      </c>
      <c r="O179" s="9">
        <v>3</v>
      </c>
      <c r="P179" s="9">
        <v>0</v>
      </c>
      <c r="Q179" s="9">
        <v>0</v>
      </c>
      <c r="R179" s="9">
        <v>0</v>
      </c>
      <c r="S179" s="9">
        <v>2</v>
      </c>
      <c r="T179" s="12">
        <v>5</v>
      </c>
      <c r="U179" s="13"/>
      <c r="V179" s="13"/>
      <c r="W179" s="13"/>
      <c r="X179" s="13"/>
      <c r="Y179" s="13"/>
      <c r="Z179" s="13"/>
      <c r="AA179" s="13"/>
      <c r="AB179" s="13"/>
      <c r="AC179" s="13"/>
      <c r="AD179" s="13"/>
      <c r="AE179" s="13"/>
      <c r="AF179" s="13"/>
      <c r="AG179" s="13"/>
      <c r="AH179" s="13"/>
      <c r="AI179" s="13"/>
      <c r="AJ179" s="13"/>
      <c r="AK179" s="13"/>
    </row>
    <row r="180" spans="4:37" ht="13" x14ac:dyDescent="0.15">
      <c r="D180" s="32"/>
      <c r="E180" s="7" t="s">
        <v>119</v>
      </c>
      <c r="F180" s="9">
        <v>1</v>
      </c>
      <c r="G180" s="9">
        <v>0</v>
      </c>
      <c r="H180" s="9">
        <v>0</v>
      </c>
      <c r="I180" s="12">
        <v>1</v>
      </c>
      <c r="J180" s="13"/>
      <c r="K180" s="19" t="s">
        <v>851</v>
      </c>
      <c r="L180" s="9">
        <v>1</v>
      </c>
      <c r="M180" s="9">
        <v>0</v>
      </c>
      <c r="N180" s="9">
        <v>2</v>
      </c>
      <c r="O180" s="9">
        <v>2</v>
      </c>
      <c r="P180" s="9">
        <v>0</v>
      </c>
      <c r="Q180" s="9">
        <v>0</v>
      </c>
      <c r="R180" s="9">
        <v>0</v>
      </c>
      <c r="S180" s="9">
        <v>3</v>
      </c>
      <c r="T180" s="12">
        <v>8</v>
      </c>
      <c r="U180" s="13"/>
      <c r="V180" s="13"/>
      <c r="W180" s="13"/>
      <c r="X180" s="13"/>
      <c r="Y180" s="13"/>
      <c r="Z180" s="13"/>
      <c r="AA180" s="13"/>
      <c r="AB180" s="13"/>
      <c r="AC180" s="13"/>
      <c r="AD180" s="13"/>
      <c r="AE180" s="13"/>
      <c r="AF180" s="13"/>
      <c r="AG180" s="13"/>
      <c r="AH180" s="13"/>
      <c r="AI180" s="13"/>
      <c r="AJ180" s="13"/>
      <c r="AK180" s="13"/>
    </row>
    <row r="181" spans="4:37" ht="13" x14ac:dyDescent="0.15">
      <c r="D181" s="32"/>
      <c r="E181" s="7" t="s">
        <v>852</v>
      </c>
      <c r="F181" s="9">
        <v>2</v>
      </c>
      <c r="G181" s="9">
        <v>0</v>
      </c>
      <c r="H181" s="9">
        <v>0</v>
      </c>
      <c r="I181" s="12">
        <v>2</v>
      </c>
      <c r="J181" s="13"/>
      <c r="K181" s="19" t="s">
        <v>853</v>
      </c>
      <c r="L181" s="9">
        <v>0</v>
      </c>
      <c r="M181" s="9">
        <v>0</v>
      </c>
      <c r="N181" s="9">
        <v>0</v>
      </c>
      <c r="O181" s="9">
        <v>4</v>
      </c>
      <c r="P181" s="9">
        <v>0</v>
      </c>
      <c r="Q181" s="9">
        <v>0</v>
      </c>
      <c r="R181" s="9">
        <v>0</v>
      </c>
      <c r="S181" s="9">
        <v>3</v>
      </c>
      <c r="T181" s="12">
        <v>7</v>
      </c>
      <c r="U181" s="13"/>
      <c r="V181" s="13"/>
      <c r="W181" s="13"/>
      <c r="X181" s="13"/>
      <c r="Y181" s="13"/>
      <c r="Z181" s="13"/>
      <c r="AA181" s="13"/>
      <c r="AB181" s="13"/>
      <c r="AC181" s="13"/>
      <c r="AD181" s="13"/>
      <c r="AE181" s="13"/>
      <c r="AF181" s="13"/>
      <c r="AG181" s="13"/>
      <c r="AH181" s="13"/>
      <c r="AI181" s="13"/>
      <c r="AJ181" s="13"/>
      <c r="AK181" s="13"/>
    </row>
    <row r="182" spans="4:37" ht="13" x14ac:dyDescent="0.15">
      <c r="D182" s="32"/>
      <c r="E182" s="7" t="s">
        <v>855</v>
      </c>
      <c r="F182" s="9">
        <v>57</v>
      </c>
      <c r="G182" s="9">
        <v>0</v>
      </c>
      <c r="H182" s="9">
        <v>0</v>
      </c>
      <c r="I182" s="12">
        <v>57</v>
      </c>
      <c r="J182" s="13"/>
      <c r="K182" s="19" t="s">
        <v>856</v>
      </c>
      <c r="L182" s="9">
        <v>1</v>
      </c>
      <c r="M182" s="9">
        <v>0</v>
      </c>
      <c r="N182" s="9">
        <v>1</v>
      </c>
      <c r="O182" s="9">
        <v>1</v>
      </c>
      <c r="P182" s="9">
        <v>0</v>
      </c>
      <c r="Q182" s="9">
        <v>0</v>
      </c>
      <c r="R182" s="9">
        <v>0</v>
      </c>
      <c r="S182" s="9">
        <v>4</v>
      </c>
      <c r="T182" s="12">
        <v>7</v>
      </c>
      <c r="U182" s="13"/>
      <c r="V182" s="13"/>
      <c r="W182" s="13"/>
      <c r="X182" s="13"/>
      <c r="Y182" s="13"/>
      <c r="Z182" s="13"/>
      <c r="AA182" s="13"/>
      <c r="AB182" s="13"/>
      <c r="AC182" s="13"/>
      <c r="AD182" s="13"/>
      <c r="AE182" s="13"/>
      <c r="AF182" s="13"/>
      <c r="AG182" s="13"/>
      <c r="AH182" s="13"/>
      <c r="AI182" s="13"/>
      <c r="AJ182" s="13"/>
      <c r="AK182" s="13"/>
    </row>
    <row r="183" spans="4:37" ht="13" x14ac:dyDescent="0.15">
      <c r="D183" s="32"/>
      <c r="E183" s="7" t="s">
        <v>857</v>
      </c>
      <c r="F183" s="9">
        <v>1</v>
      </c>
      <c r="G183" s="9">
        <v>0</v>
      </c>
      <c r="H183" s="9">
        <v>0</v>
      </c>
      <c r="I183" s="12">
        <v>1</v>
      </c>
      <c r="J183" s="13"/>
      <c r="K183" s="18" t="s">
        <v>859</v>
      </c>
      <c r="L183" s="12">
        <v>18</v>
      </c>
      <c r="M183" s="12">
        <v>0</v>
      </c>
      <c r="N183" s="12">
        <v>44</v>
      </c>
      <c r="O183" s="12">
        <v>48</v>
      </c>
      <c r="P183" s="12">
        <v>0</v>
      </c>
      <c r="Q183" s="12">
        <v>0</v>
      </c>
      <c r="R183" s="12">
        <v>18</v>
      </c>
      <c r="S183" s="12">
        <v>74</v>
      </c>
      <c r="T183" s="12">
        <v>202</v>
      </c>
      <c r="U183" s="13"/>
      <c r="V183" s="13"/>
      <c r="W183" s="13"/>
      <c r="X183" s="13"/>
      <c r="Y183" s="13"/>
      <c r="Z183" s="13"/>
      <c r="AA183" s="13"/>
      <c r="AB183" s="13"/>
      <c r="AC183" s="13"/>
      <c r="AD183" s="13"/>
      <c r="AE183" s="13"/>
      <c r="AF183" s="13"/>
      <c r="AG183" s="13"/>
      <c r="AH183" s="13"/>
      <c r="AI183" s="13"/>
      <c r="AJ183" s="13"/>
      <c r="AK183" s="13"/>
    </row>
    <row r="184" spans="4:37" ht="13" x14ac:dyDescent="0.15">
      <c r="D184" s="32"/>
      <c r="E184" s="7" t="s">
        <v>863</v>
      </c>
      <c r="F184" s="9">
        <v>1</v>
      </c>
      <c r="G184" s="9">
        <v>0</v>
      </c>
      <c r="H184" s="9">
        <v>0</v>
      </c>
      <c r="I184" s="12">
        <v>1</v>
      </c>
      <c r="J184" s="13"/>
      <c r="K184" s="19" t="s">
        <v>864</v>
      </c>
      <c r="L184" s="9">
        <v>1</v>
      </c>
      <c r="M184" s="9">
        <v>0</v>
      </c>
      <c r="N184" s="9">
        <v>2</v>
      </c>
      <c r="O184" s="9">
        <v>6</v>
      </c>
      <c r="P184" s="9">
        <v>0</v>
      </c>
      <c r="Q184" s="9">
        <v>0</v>
      </c>
      <c r="R184" s="9">
        <v>1</v>
      </c>
      <c r="S184" s="9">
        <v>2</v>
      </c>
      <c r="T184" s="12">
        <v>12</v>
      </c>
      <c r="U184" s="13"/>
      <c r="V184" s="13"/>
      <c r="W184" s="13"/>
      <c r="X184" s="13"/>
      <c r="Y184" s="13"/>
      <c r="Z184" s="13"/>
      <c r="AA184" s="13"/>
      <c r="AB184" s="13"/>
      <c r="AC184" s="13"/>
      <c r="AD184" s="13"/>
      <c r="AE184" s="13"/>
      <c r="AF184" s="13"/>
      <c r="AG184" s="13"/>
      <c r="AH184" s="13"/>
      <c r="AI184" s="13"/>
      <c r="AJ184" s="13"/>
      <c r="AK184" s="13"/>
    </row>
    <row r="185" spans="4:37" ht="13" x14ac:dyDescent="0.15">
      <c r="D185" s="32"/>
      <c r="E185" s="7" t="s">
        <v>869</v>
      </c>
      <c r="F185" s="9">
        <v>3</v>
      </c>
      <c r="G185" s="9">
        <v>0</v>
      </c>
      <c r="H185" s="9">
        <v>0</v>
      </c>
      <c r="I185" s="12">
        <v>3</v>
      </c>
      <c r="J185" s="13"/>
      <c r="K185" s="19" t="s">
        <v>873</v>
      </c>
      <c r="L185" s="9">
        <v>1</v>
      </c>
      <c r="M185" s="9">
        <v>0</v>
      </c>
      <c r="N185" s="9">
        <v>3</v>
      </c>
      <c r="O185" s="9">
        <v>2</v>
      </c>
      <c r="P185" s="9">
        <v>0</v>
      </c>
      <c r="Q185" s="9">
        <v>0</v>
      </c>
      <c r="R185" s="9">
        <v>0</v>
      </c>
      <c r="S185" s="9">
        <v>2</v>
      </c>
      <c r="T185" s="12">
        <v>8</v>
      </c>
      <c r="U185" s="13"/>
      <c r="V185" s="13"/>
      <c r="W185" s="13"/>
      <c r="X185" s="13"/>
      <c r="Y185" s="13"/>
      <c r="Z185" s="13"/>
      <c r="AA185" s="13"/>
      <c r="AB185" s="13"/>
      <c r="AC185" s="13"/>
      <c r="AD185" s="13"/>
      <c r="AE185" s="13"/>
      <c r="AF185" s="13"/>
      <c r="AG185" s="13"/>
      <c r="AH185" s="13"/>
      <c r="AI185" s="13"/>
      <c r="AJ185" s="13"/>
      <c r="AK185" s="13"/>
    </row>
    <row r="186" spans="4:37" ht="13" x14ac:dyDescent="0.15">
      <c r="D186" s="32"/>
      <c r="E186" s="7" t="s">
        <v>99</v>
      </c>
      <c r="F186" s="9">
        <v>1</v>
      </c>
      <c r="G186" s="9">
        <v>0</v>
      </c>
      <c r="H186" s="9">
        <v>0</v>
      </c>
      <c r="I186" s="12">
        <v>1</v>
      </c>
      <c r="J186" s="13"/>
      <c r="K186" s="19" t="s">
        <v>878</v>
      </c>
      <c r="L186" s="9">
        <v>0</v>
      </c>
      <c r="M186" s="9">
        <v>0</v>
      </c>
      <c r="N186" s="9">
        <v>1</v>
      </c>
      <c r="O186" s="9">
        <v>0</v>
      </c>
      <c r="P186" s="9">
        <v>0</v>
      </c>
      <c r="Q186" s="9">
        <v>0</v>
      </c>
      <c r="R186" s="9">
        <v>0</v>
      </c>
      <c r="S186" s="9">
        <v>0</v>
      </c>
      <c r="T186" s="12">
        <v>1</v>
      </c>
      <c r="U186" s="13"/>
      <c r="V186" s="13"/>
      <c r="W186" s="13"/>
      <c r="X186" s="13"/>
      <c r="Y186" s="13"/>
      <c r="Z186" s="13"/>
      <c r="AA186" s="13"/>
      <c r="AB186" s="13"/>
      <c r="AC186" s="13"/>
      <c r="AD186" s="13"/>
      <c r="AE186" s="13"/>
      <c r="AF186" s="13"/>
      <c r="AG186" s="13"/>
      <c r="AH186" s="13"/>
      <c r="AI186" s="13"/>
      <c r="AJ186" s="13"/>
      <c r="AK186" s="13"/>
    </row>
    <row r="187" spans="4:37" ht="13" x14ac:dyDescent="0.15">
      <c r="D187" s="32"/>
      <c r="E187" s="7" t="s">
        <v>254</v>
      </c>
      <c r="F187" s="9">
        <v>153</v>
      </c>
      <c r="G187" s="9">
        <v>0</v>
      </c>
      <c r="H187" s="9">
        <v>0</v>
      </c>
      <c r="I187" s="12">
        <v>153</v>
      </c>
      <c r="J187" s="13"/>
      <c r="K187" s="19" t="s">
        <v>879</v>
      </c>
      <c r="L187" s="9">
        <v>0</v>
      </c>
      <c r="M187" s="9">
        <v>0</v>
      </c>
      <c r="N187" s="9">
        <v>3</v>
      </c>
      <c r="O187" s="9">
        <v>0</v>
      </c>
      <c r="P187" s="9">
        <v>0</v>
      </c>
      <c r="Q187" s="9">
        <v>0</v>
      </c>
      <c r="R187" s="9">
        <v>2</v>
      </c>
      <c r="S187" s="9">
        <v>3</v>
      </c>
      <c r="T187" s="12">
        <v>8</v>
      </c>
      <c r="U187" s="13"/>
      <c r="V187" s="13"/>
      <c r="W187" s="13"/>
      <c r="X187" s="13"/>
      <c r="Y187" s="13"/>
      <c r="Z187" s="13"/>
      <c r="AA187" s="13"/>
      <c r="AB187" s="13"/>
      <c r="AC187" s="13"/>
      <c r="AD187" s="13"/>
      <c r="AE187" s="13"/>
      <c r="AF187" s="13"/>
      <c r="AG187" s="13"/>
      <c r="AH187" s="13"/>
      <c r="AI187" s="13"/>
      <c r="AJ187" s="13"/>
      <c r="AK187" s="13"/>
    </row>
    <row r="188" spans="4:37" ht="13" x14ac:dyDescent="0.15">
      <c r="D188" s="32"/>
      <c r="E188" s="7" t="s">
        <v>881</v>
      </c>
      <c r="F188" s="9">
        <v>2</v>
      </c>
      <c r="G188" s="9">
        <v>0</v>
      </c>
      <c r="H188" s="9">
        <v>0</v>
      </c>
      <c r="I188" s="12">
        <v>2</v>
      </c>
      <c r="J188" s="13"/>
      <c r="K188" s="19" t="s">
        <v>883</v>
      </c>
      <c r="L188" s="9">
        <v>2</v>
      </c>
      <c r="M188" s="9">
        <v>0</v>
      </c>
      <c r="N188" s="9">
        <v>1</v>
      </c>
      <c r="O188" s="9">
        <v>1</v>
      </c>
      <c r="P188" s="9">
        <v>0</v>
      </c>
      <c r="Q188" s="9">
        <v>0</v>
      </c>
      <c r="R188" s="9">
        <v>3</v>
      </c>
      <c r="S188" s="9">
        <v>6</v>
      </c>
      <c r="T188" s="12">
        <v>13</v>
      </c>
      <c r="U188" s="13"/>
      <c r="V188" s="13"/>
      <c r="W188" s="13"/>
      <c r="X188" s="13"/>
      <c r="Y188" s="13"/>
      <c r="Z188" s="13"/>
      <c r="AA188" s="13"/>
      <c r="AB188" s="13"/>
      <c r="AC188" s="13"/>
      <c r="AD188" s="13"/>
      <c r="AE188" s="13"/>
      <c r="AF188" s="13"/>
      <c r="AG188" s="13"/>
      <c r="AH188" s="13"/>
      <c r="AI188" s="13"/>
      <c r="AJ188" s="13"/>
      <c r="AK188" s="13"/>
    </row>
    <row r="189" spans="4:37" ht="13" x14ac:dyDescent="0.15">
      <c r="D189" s="32"/>
      <c r="E189" s="7" t="s">
        <v>887</v>
      </c>
      <c r="F189" s="9">
        <v>2</v>
      </c>
      <c r="G189" s="9">
        <v>0</v>
      </c>
      <c r="H189" s="9">
        <v>0</v>
      </c>
      <c r="I189" s="12">
        <v>2</v>
      </c>
      <c r="J189" s="13"/>
      <c r="K189" s="19" t="s">
        <v>888</v>
      </c>
      <c r="L189" s="9">
        <v>2</v>
      </c>
      <c r="M189" s="9">
        <v>0</v>
      </c>
      <c r="N189" s="9">
        <v>3</v>
      </c>
      <c r="O189" s="9">
        <v>4</v>
      </c>
      <c r="P189" s="9">
        <v>0</v>
      </c>
      <c r="Q189" s="9">
        <v>0</v>
      </c>
      <c r="R189" s="9">
        <v>2</v>
      </c>
      <c r="S189" s="9">
        <v>5</v>
      </c>
      <c r="T189" s="12">
        <v>16</v>
      </c>
      <c r="U189" s="13"/>
      <c r="V189" s="13"/>
      <c r="W189" s="13"/>
      <c r="X189" s="13"/>
      <c r="Y189" s="13"/>
      <c r="Z189" s="13"/>
      <c r="AA189" s="13"/>
      <c r="AB189" s="13"/>
      <c r="AC189" s="13"/>
      <c r="AD189" s="13"/>
      <c r="AE189" s="13"/>
      <c r="AF189" s="13"/>
      <c r="AG189" s="13"/>
      <c r="AH189" s="13"/>
      <c r="AI189" s="13"/>
      <c r="AJ189" s="13"/>
      <c r="AK189" s="13"/>
    </row>
    <row r="190" spans="4:37" ht="13" x14ac:dyDescent="0.15">
      <c r="D190" s="32"/>
      <c r="E190" s="7" t="s">
        <v>891</v>
      </c>
      <c r="F190" s="9">
        <v>4</v>
      </c>
      <c r="G190" s="9">
        <v>0</v>
      </c>
      <c r="H190" s="9">
        <v>0</v>
      </c>
      <c r="I190" s="12">
        <v>4</v>
      </c>
      <c r="J190" s="13"/>
      <c r="K190" s="19" t="s">
        <v>893</v>
      </c>
      <c r="L190" s="9">
        <v>0</v>
      </c>
      <c r="M190" s="9">
        <v>0</v>
      </c>
      <c r="N190" s="9">
        <v>0</v>
      </c>
      <c r="O190" s="9">
        <v>5</v>
      </c>
      <c r="P190" s="9">
        <v>0</v>
      </c>
      <c r="Q190" s="9">
        <v>0</v>
      </c>
      <c r="R190" s="9">
        <v>1</v>
      </c>
      <c r="S190" s="9">
        <v>6</v>
      </c>
      <c r="T190" s="12">
        <v>12</v>
      </c>
      <c r="U190" s="13"/>
      <c r="V190" s="13"/>
      <c r="W190" s="13"/>
      <c r="X190" s="13"/>
      <c r="Y190" s="13"/>
      <c r="Z190" s="13"/>
      <c r="AA190" s="13"/>
      <c r="AB190" s="13"/>
      <c r="AC190" s="13"/>
      <c r="AD190" s="13"/>
      <c r="AE190" s="13"/>
      <c r="AF190" s="13"/>
      <c r="AG190" s="13"/>
      <c r="AH190" s="13"/>
      <c r="AI190" s="13"/>
      <c r="AJ190" s="13"/>
      <c r="AK190" s="13"/>
    </row>
    <row r="191" spans="4:37" ht="13" x14ac:dyDescent="0.15">
      <c r="D191" s="32"/>
      <c r="E191" s="7" t="s">
        <v>895</v>
      </c>
      <c r="F191" s="9">
        <v>2</v>
      </c>
      <c r="G191" s="9">
        <v>0</v>
      </c>
      <c r="H191" s="9">
        <v>0</v>
      </c>
      <c r="I191" s="12">
        <v>2</v>
      </c>
      <c r="J191" s="13"/>
      <c r="K191" s="19" t="s">
        <v>897</v>
      </c>
      <c r="L191" s="9">
        <v>1</v>
      </c>
      <c r="M191" s="9">
        <v>0</v>
      </c>
      <c r="N191" s="9">
        <v>3</v>
      </c>
      <c r="O191" s="9">
        <v>3</v>
      </c>
      <c r="P191" s="9">
        <v>0</v>
      </c>
      <c r="Q191" s="9">
        <v>0</v>
      </c>
      <c r="R191" s="9">
        <v>1</v>
      </c>
      <c r="S191" s="9">
        <v>6</v>
      </c>
      <c r="T191" s="12">
        <v>14</v>
      </c>
      <c r="U191" s="13"/>
      <c r="V191" s="13"/>
      <c r="W191" s="13"/>
      <c r="X191" s="13"/>
      <c r="Y191" s="13"/>
      <c r="Z191" s="13"/>
      <c r="AA191" s="13"/>
      <c r="AB191" s="13"/>
      <c r="AC191" s="13"/>
      <c r="AD191" s="13"/>
      <c r="AE191" s="13"/>
      <c r="AF191" s="13"/>
      <c r="AG191" s="13"/>
      <c r="AH191" s="13"/>
      <c r="AI191" s="13"/>
      <c r="AJ191" s="13"/>
      <c r="AK191" s="13"/>
    </row>
    <row r="192" spans="4:37" ht="13" x14ac:dyDescent="0.15">
      <c r="D192" s="32"/>
      <c r="E192" s="7" t="s">
        <v>900</v>
      </c>
      <c r="F192" s="9">
        <v>9</v>
      </c>
      <c r="G192" s="9">
        <v>0</v>
      </c>
      <c r="H192" s="9">
        <v>0</v>
      </c>
      <c r="I192" s="12">
        <v>9</v>
      </c>
      <c r="J192" s="13"/>
      <c r="K192" s="19" t="s">
        <v>901</v>
      </c>
      <c r="L192" s="9">
        <v>0</v>
      </c>
      <c r="M192" s="9">
        <v>0</v>
      </c>
      <c r="N192" s="9">
        <v>1</v>
      </c>
      <c r="O192" s="9">
        <v>0</v>
      </c>
      <c r="P192" s="9">
        <v>0</v>
      </c>
      <c r="Q192" s="9">
        <v>0</v>
      </c>
      <c r="R192" s="9">
        <v>0</v>
      </c>
      <c r="S192" s="9">
        <v>0</v>
      </c>
      <c r="T192" s="12">
        <v>1</v>
      </c>
      <c r="U192" s="13"/>
      <c r="V192" s="13"/>
      <c r="W192" s="13"/>
      <c r="X192" s="13"/>
      <c r="Y192" s="13"/>
      <c r="Z192" s="13"/>
      <c r="AA192" s="13"/>
      <c r="AB192" s="13"/>
      <c r="AC192" s="13"/>
      <c r="AD192" s="13"/>
      <c r="AE192" s="13"/>
      <c r="AF192" s="13"/>
      <c r="AG192" s="13"/>
      <c r="AH192" s="13"/>
      <c r="AI192" s="13"/>
      <c r="AJ192" s="13"/>
      <c r="AK192" s="13"/>
    </row>
    <row r="193" spans="4:37" ht="13" x14ac:dyDescent="0.15">
      <c r="D193" s="32"/>
      <c r="E193" s="7" t="s">
        <v>906</v>
      </c>
      <c r="F193" s="9">
        <v>113</v>
      </c>
      <c r="G193" s="9">
        <v>0</v>
      </c>
      <c r="H193" s="9">
        <v>0</v>
      </c>
      <c r="I193" s="12">
        <v>113</v>
      </c>
      <c r="J193" s="13"/>
      <c r="K193" s="19" t="s">
        <v>908</v>
      </c>
      <c r="L193" s="9">
        <v>1</v>
      </c>
      <c r="M193" s="9">
        <v>0</v>
      </c>
      <c r="N193" s="9">
        <v>0</v>
      </c>
      <c r="O193" s="9">
        <v>1</v>
      </c>
      <c r="P193" s="9">
        <v>0</v>
      </c>
      <c r="Q193" s="9">
        <v>0</v>
      </c>
      <c r="R193" s="9">
        <v>0</v>
      </c>
      <c r="S193" s="9">
        <v>2</v>
      </c>
      <c r="T193" s="12">
        <v>4</v>
      </c>
      <c r="U193" s="13"/>
      <c r="V193" s="13"/>
      <c r="W193" s="13"/>
      <c r="X193" s="13"/>
      <c r="Y193" s="13"/>
      <c r="Z193" s="13"/>
      <c r="AA193" s="13"/>
      <c r="AB193" s="13"/>
      <c r="AC193" s="13"/>
      <c r="AD193" s="13"/>
      <c r="AE193" s="13"/>
      <c r="AF193" s="13"/>
      <c r="AG193" s="13"/>
      <c r="AH193" s="13"/>
      <c r="AI193" s="13"/>
      <c r="AJ193" s="13"/>
      <c r="AK193" s="13"/>
    </row>
    <row r="194" spans="4:37" ht="13" x14ac:dyDescent="0.15">
      <c r="D194" s="32"/>
      <c r="E194" s="7" t="s">
        <v>910</v>
      </c>
      <c r="F194" s="9">
        <v>1</v>
      </c>
      <c r="G194" s="9">
        <v>0</v>
      </c>
      <c r="H194" s="9">
        <v>0</v>
      </c>
      <c r="I194" s="12">
        <v>1</v>
      </c>
      <c r="J194" s="13"/>
      <c r="K194" s="19" t="s">
        <v>914</v>
      </c>
      <c r="L194" s="9">
        <v>0</v>
      </c>
      <c r="M194" s="9">
        <v>0</v>
      </c>
      <c r="N194" s="9">
        <v>7</v>
      </c>
      <c r="O194" s="9">
        <v>1</v>
      </c>
      <c r="P194" s="9">
        <v>0</v>
      </c>
      <c r="Q194" s="9">
        <v>0</v>
      </c>
      <c r="R194" s="9">
        <v>1</v>
      </c>
      <c r="S194" s="9">
        <v>2</v>
      </c>
      <c r="T194" s="12">
        <v>11</v>
      </c>
      <c r="U194" s="13"/>
      <c r="V194" s="13"/>
      <c r="W194" s="13"/>
      <c r="X194" s="13"/>
      <c r="Y194" s="13"/>
      <c r="Z194" s="13"/>
      <c r="AA194" s="13"/>
      <c r="AB194" s="13"/>
      <c r="AC194" s="13"/>
      <c r="AD194" s="13"/>
      <c r="AE194" s="13"/>
      <c r="AF194" s="13"/>
      <c r="AG194" s="13"/>
      <c r="AH194" s="13"/>
      <c r="AI194" s="13"/>
      <c r="AJ194" s="13"/>
      <c r="AK194" s="13"/>
    </row>
    <row r="195" spans="4:37" ht="13" x14ac:dyDescent="0.15">
      <c r="D195" s="32"/>
      <c r="E195" s="7" t="s">
        <v>916</v>
      </c>
      <c r="F195" s="9">
        <v>3</v>
      </c>
      <c r="G195" s="9">
        <v>0</v>
      </c>
      <c r="H195" s="9">
        <v>0</v>
      </c>
      <c r="I195" s="12">
        <v>3</v>
      </c>
      <c r="J195" s="13"/>
      <c r="K195" s="19" t="s">
        <v>917</v>
      </c>
      <c r="L195" s="9">
        <v>1</v>
      </c>
      <c r="M195" s="9">
        <v>0</v>
      </c>
      <c r="N195" s="9">
        <v>3</v>
      </c>
      <c r="O195" s="9">
        <v>0</v>
      </c>
      <c r="P195" s="9">
        <v>0</v>
      </c>
      <c r="Q195" s="9">
        <v>0</v>
      </c>
      <c r="R195" s="9">
        <v>0</v>
      </c>
      <c r="S195" s="9">
        <v>5</v>
      </c>
      <c r="T195" s="12">
        <v>9</v>
      </c>
      <c r="U195" s="13"/>
      <c r="V195" s="13"/>
      <c r="W195" s="13"/>
      <c r="X195" s="13"/>
      <c r="Y195" s="13"/>
      <c r="Z195" s="13"/>
      <c r="AA195" s="13"/>
      <c r="AB195" s="13"/>
      <c r="AC195" s="13"/>
      <c r="AD195" s="13"/>
      <c r="AE195" s="13"/>
      <c r="AF195" s="13"/>
      <c r="AG195" s="13"/>
      <c r="AH195" s="13"/>
      <c r="AI195" s="13"/>
      <c r="AJ195" s="13"/>
      <c r="AK195" s="13"/>
    </row>
    <row r="196" spans="4:37" ht="13" x14ac:dyDescent="0.15">
      <c r="D196" s="32"/>
      <c r="E196" s="7" t="s">
        <v>922</v>
      </c>
      <c r="F196" s="9">
        <v>1</v>
      </c>
      <c r="G196" s="9">
        <v>0</v>
      </c>
      <c r="H196" s="9">
        <v>0</v>
      </c>
      <c r="I196" s="12">
        <v>1</v>
      </c>
      <c r="J196" s="13"/>
      <c r="K196" s="19" t="s">
        <v>923</v>
      </c>
      <c r="L196" s="9">
        <v>0</v>
      </c>
      <c r="M196" s="9">
        <v>0</v>
      </c>
      <c r="N196" s="9">
        <v>1</v>
      </c>
      <c r="O196" s="9">
        <v>2</v>
      </c>
      <c r="P196" s="9">
        <v>0</v>
      </c>
      <c r="Q196" s="9">
        <v>0</v>
      </c>
      <c r="R196" s="9">
        <v>0</v>
      </c>
      <c r="S196" s="9">
        <v>1</v>
      </c>
      <c r="T196" s="12">
        <v>4</v>
      </c>
      <c r="U196" s="13"/>
      <c r="V196" s="13"/>
      <c r="W196" s="13"/>
      <c r="X196" s="13"/>
      <c r="Y196" s="13"/>
      <c r="Z196" s="13"/>
      <c r="AA196" s="13"/>
      <c r="AB196" s="13"/>
      <c r="AC196" s="13"/>
      <c r="AD196" s="13"/>
      <c r="AE196" s="13"/>
      <c r="AF196" s="13"/>
      <c r="AG196" s="13"/>
      <c r="AH196" s="13"/>
      <c r="AI196" s="13"/>
      <c r="AJ196" s="13"/>
      <c r="AK196" s="13"/>
    </row>
    <row r="197" spans="4:37" ht="13" x14ac:dyDescent="0.15">
      <c r="D197" s="32"/>
      <c r="E197" s="7" t="s">
        <v>925</v>
      </c>
      <c r="F197" s="9">
        <v>4</v>
      </c>
      <c r="G197" s="9">
        <v>0</v>
      </c>
      <c r="H197" s="9">
        <v>0</v>
      </c>
      <c r="I197" s="12">
        <v>4</v>
      </c>
      <c r="J197" s="13"/>
      <c r="K197" s="19" t="s">
        <v>928</v>
      </c>
      <c r="L197" s="9">
        <v>1</v>
      </c>
      <c r="M197" s="9">
        <v>0</v>
      </c>
      <c r="N197" s="9">
        <v>1</v>
      </c>
      <c r="O197" s="9">
        <v>4</v>
      </c>
      <c r="P197" s="9">
        <v>0</v>
      </c>
      <c r="Q197" s="9">
        <v>0</v>
      </c>
      <c r="R197" s="9">
        <v>0</v>
      </c>
      <c r="S197" s="9">
        <v>5</v>
      </c>
      <c r="T197" s="12">
        <v>11</v>
      </c>
      <c r="U197" s="13"/>
      <c r="V197" s="13"/>
      <c r="W197" s="13"/>
      <c r="X197" s="13"/>
      <c r="Y197" s="13"/>
      <c r="Z197" s="13"/>
      <c r="AA197" s="13"/>
      <c r="AB197" s="13"/>
      <c r="AC197" s="13"/>
      <c r="AD197" s="13"/>
      <c r="AE197" s="13"/>
      <c r="AF197" s="13"/>
      <c r="AG197" s="13"/>
      <c r="AH197" s="13"/>
      <c r="AI197" s="13"/>
      <c r="AJ197" s="13"/>
      <c r="AK197" s="13"/>
    </row>
    <row r="198" spans="4:37" ht="13" x14ac:dyDescent="0.15">
      <c r="D198" s="32"/>
      <c r="E198" s="7" t="s">
        <v>930</v>
      </c>
      <c r="F198" s="9">
        <v>1</v>
      </c>
      <c r="G198" s="9">
        <v>0</v>
      </c>
      <c r="H198" s="9">
        <v>0</v>
      </c>
      <c r="I198" s="12">
        <v>1</v>
      </c>
      <c r="J198" s="13"/>
      <c r="K198" s="19" t="s">
        <v>931</v>
      </c>
      <c r="L198" s="9">
        <v>0</v>
      </c>
      <c r="M198" s="9">
        <v>0</v>
      </c>
      <c r="N198" s="9">
        <v>3</v>
      </c>
      <c r="O198" s="9">
        <v>1</v>
      </c>
      <c r="P198" s="9">
        <v>0</v>
      </c>
      <c r="Q198" s="9">
        <v>0</v>
      </c>
      <c r="R198" s="9">
        <v>2</v>
      </c>
      <c r="S198" s="9">
        <v>2</v>
      </c>
      <c r="T198" s="12">
        <v>8</v>
      </c>
      <c r="U198" s="13"/>
      <c r="V198" s="13"/>
      <c r="W198" s="13"/>
      <c r="X198" s="13"/>
      <c r="Y198" s="13"/>
      <c r="Z198" s="13"/>
      <c r="AA198" s="13"/>
      <c r="AB198" s="13"/>
      <c r="AC198" s="13"/>
      <c r="AD198" s="13"/>
      <c r="AE198" s="13"/>
      <c r="AF198" s="13"/>
      <c r="AG198" s="13"/>
      <c r="AH198" s="13"/>
      <c r="AI198" s="13"/>
      <c r="AJ198" s="13"/>
      <c r="AK198" s="13"/>
    </row>
    <row r="199" spans="4:37" ht="13" x14ac:dyDescent="0.15">
      <c r="D199" s="32"/>
      <c r="E199" s="7" t="s">
        <v>935</v>
      </c>
      <c r="F199" s="9">
        <v>1</v>
      </c>
      <c r="G199" s="9">
        <v>0</v>
      </c>
      <c r="H199" s="9">
        <v>0</v>
      </c>
      <c r="I199" s="12">
        <v>1</v>
      </c>
      <c r="J199" s="13"/>
      <c r="K199" s="19" t="s">
        <v>936</v>
      </c>
      <c r="L199" s="9">
        <v>0</v>
      </c>
      <c r="M199" s="9">
        <v>0</v>
      </c>
      <c r="N199" s="9">
        <v>2</v>
      </c>
      <c r="O199" s="9">
        <v>0</v>
      </c>
      <c r="P199" s="9">
        <v>0</v>
      </c>
      <c r="Q199" s="9">
        <v>0</v>
      </c>
      <c r="R199" s="9">
        <v>2</v>
      </c>
      <c r="S199" s="9">
        <v>1</v>
      </c>
      <c r="T199" s="12">
        <v>5</v>
      </c>
      <c r="U199" s="13"/>
      <c r="V199" s="13"/>
      <c r="W199" s="13"/>
      <c r="X199" s="13"/>
      <c r="Y199" s="13"/>
      <c r="Z199" s="13"/>
      <c r="AA199" s="13"/>
      <c r="AB199" s="13"/>
      <c r="AC199" s="13"/>
      <c r="AD199" s="13"/>
      <c r="AE199" s="13"/>
      <c r="AF199" s="13"/>
      <c r="AG199" s="13"/>
      <c r="AH199" s="13"/>
      <c r="AI199" s="13"/>
      <c r="AJ199" s="13"/>
      <c r="AK199" s="13"/>
    </row>
    <row r="200" spans="4:37" ht="13" x14ac:dyDescent="0.15">
      <c r="D200" s="32"/>
      <c r="E200" s="7" t="s">
        <v>55</v>
      </c>
      <c r="F200" s="9">
        <v>78</v>
      </c>
      <c r="G200" s="9">
        <v>0</v>
      </c>
      <c r="H200" s="9">
        <v>0</v>
      </c>
      <c r="I200" s="12">
        <v>78</v>
      </c>
      <c r="J200" s="13"/>
      <c r="K200" s="19" t="s">
        <v>939</v>
      </c>
      <c r="L200" s="9">
        <v>0</v>
      </c>
      <c r="M200" s="9">
        <v>0</v>
      </c>
      <c r="N200" s="9">
        <v>0</v>
      </c>
      <c r="O200" s="9">
        <v>1</v>
      </c>
      <c r="P200" s="9">
        <v>0</v>
      </c>
      <c r="Q200" s="9">
        <v>0</v>
      </c>
      <c r="R200" s="9">
        <v>0</v>
      </c>
      <c r="S200" s="9">
        <v>0</v>
      </c>
      <c r="T200" s="12">
        <v>1</v>
      </c>
      <c r="U200" s="13"/>
      <c r="V200" s="13"/>
      <c r="W200" s="13"/>
      <c r="X200" s="13"/>
      <c r="Y200" s="13"/>
      <c r="Z200" s="13"/>
      <c r="AA200" s="13"/>
      <c r="AB200" s="13"/>
      <c r="AC200" s="13"/>
      <c r="AD200" s="13"/>
      <c r="AE200" s="13"/>
      <c r="AF200" s="13"/>
      <c r="AG200" s="13"/>
      <c r="AH200" s="13"/>
      <c r="AI200" s="13"/>
      <c r="AJ200" s="13"/>
      <c r="AK200" s="13"/>
    </row>
    <row r="201" spans="4:37" ht="13" x14ac:dyDescent="0.15">
      <c r="D201" s="32"/>
      <c r="E201" s="7" t="s">
        <v>942</v>
      </c>
      <c r="F201" s="9">
        <v>3</v>
      </c>
      <c r="G201" s="9">
        <v>0</v>
      </c>
      <c r="H201" s="9">
        <v>0</v>
      </c>
      <c r="I201" s="12">
        <v>3</v>
      </c>
      <c r="J201" s="13"/>
      <c r="K201" s="19" t="s">
        <v>943</v>
      </c>
      <c r="L201" s="9">
        <v>1</v>
      </c>
      <c r="M201" s="9">
        <v>0</v>
      </c>
      <c r="N201" s="9">
        <v>1</v>
      </c>
      <c r="O201" s="9">
        <v>2</v>
      </c>
      <c r="P201" s="9">
        <v>0</v>
      </c>
      <c r="Q201" s="9">
        <v>0</v>
      </c>
      <c r="R201" s="9">
        <v>1</v>
      </c>
      <c r="S201" s="9">
        <v>5</v>
      </c>
      <c r="T201" s="12">
        <v>10</v>
      </c>
      <c r="U201" s="13"/>
      <c r="V201" s="13"/>
      <c r="W201" s="13"/>
      <c r="X201" s="13"/>
      <c r="Y201" s="13"/>
      <c r="Z201" s="13"/>
      <c r="AA201" s="13"/>
      <c r="AB201" s="13"/>
      <c r="AC201" s="13"/>
      <c r="AD201" s="13"/>
      <c r="AE201" s="13"/>
      <c r="AF201" s="13"/>
      <c r="AG201" s="13"/>
      <c r="AH201" s="13"/>
      <c r="AI201" s="13"/>
      <c r="AJ201" s="13"/>
      <c r="AK201" s="13"/>
    </row>
    <row r="202" spans="4:37" ht="13" x14ac:dyDescent="0.15">
      <c r="D202" s="32"/>
      <c r="E202" s="7" t="s">
        <v>541</v>
      </c>
      <c r="F202" s="9">
        <v>1</v>
      </c>
      <c r="G202" s="9">
        <v>0</v>
      </c>
      <c r="H202" s="9">
        <v>0</v>
      </c>
      <c r="I202" s="12">
        <v>1</v>
      </c>
      <c r="J202" s="13"/>
      <c r="K202" s="19" t="s">
        <v>945</v>
      </c>
      <c r="L202" s="9">
        <v>1</v>
      </c>
      <c r="M202" s="9">
        <v>0</v>
      </c>
      <c r="N202" s="9">
        <v>2</v>
      </c>
      <c r="O202" s="9">
        <v>1</v>
      </c>
      <c r="P202" s="9">
        <v>0</v>
      </c>
      <c r="Q202" s="9">
        <v>0</v>
      </c>
      <c r="R202" s="9">
        <v>0</v>
      </c>
      <c r="S202" s="9">
        <v>1</v>
      </c>
      <c r="T202" s="12">
        <v>5</v>
      </c>
      <c r="U202" s="13"/>
      <c r="V202" s="13"/>
      <c r="W202" s="13"/>
      <c r="X202" s="13"/>
      <c r="Y202" s="13"/>
      <c r="Z202" s="13"/>
      <c r="AA202" s="13"/>
      <c r="AB202" s="13"/>
      <c r="AC202" s="13"/>
      <c r="AD202" s="13"/>
      <c r="AE202" s="13"/>
      <c r="AF202" s="13"/>
      <c r="AG202" s="13"/>
      <c r="AH202" s="13"/>
      <c r="AI202" s="13"/>
      <c r="AJ202" s="13"/>
      <c r="AK202" s="13"/>
    </row>
    <row r="203" spans="4:37" ht="13" x14ac:dyDescent="0.15">
      <c r="D203" s="32"/>
      <c r="E203" s="7" t="s">
        <v>949</v>
      </c>
      <c r="F203" s="9">
        <v>2</v>
      </c>
      <c r="G203" s="9">
        <v>0</v>
      </c>
      <c r="H203" s="9">
        <v>0</v>
      </c>
      <c r="I203" s="12">
        <v>2</v>
      </c>
      <c r="J203" s="13"/>
      <c r="K203" s="19" t="s">
        <v>951</v>
      </c>
      <c r="L203" s="9">
        <v>1</v>
      </c>
      <c r="M203" s="9">
        <v>0</v>
      </c>
      <c r="N203" s="9">
        <v>0</v>
      </c>
      <c r="O203" s="9">
        <v>1</v>
      </c>
      <c r="P203" s="9">
        <v>0</v>
      </c>
      <c r="Q203" s="9">
        <v>0</v>
      </c>
      <c r="R203" s="9">
        <v>0</v>
      </c>
      <c r="S203" s="9">
        <v>3</v>
      </c>
      <c r="T203" s="12">
        <v>5</v>
      </c>
      <c r="U203" s="13"/>
      <c r="V203" s="13"/>
      <c r="W203" s="13"/>
      <c r="X203" s="13"/>
      <c r="Y203" s="13"/>
      <c r="Z203" s="13"/>
      <c r="AA203" s="13"/>
      <c r="AB203" s="13"/>
      <c r="AC203" s="13"/>
      <c r="AD203" s="13"/>
      <c r="AE203" s="13"/>
      <c r="AF203" s="13"/>
      <c r="AG203" s="13"/>
      <c r="AH203" s="13"/>
      <c r="AI203" s="13"/>
      <c r="AJ203" s="13"/>
      <c r="AK203" s="13"/>
    </row>
    <row r="204" spans="4:37" ht="13" x14ac:dyDescent="0.15">
      <c r="D204" s="32"/>
      <c r="E204" s="7" t="s">
        <v>547</v>
      </c>
      <c r="F204" s="9">
        <v>2</v>
      </c>
      <c r="G204" s="9">
        <v>0</v>
      </c>
      <c r="H204" s="9">
        <v>0</v>
      </c>
      <c r="I204" s="12">
        <v>2</v>
      </c>
      <c r="J204" s="13"/>
      <c r="K204" s="19" t="s">
        <v>952</v>
      </c>
      <c r="L204" s="9">
        <v>1</v>
      </c>
      <c r="M204" s="9">
        <v>0</v>
      </c>
      <c r="N204" s="9">
        <v>2</v>
      </c>
      <c r="O204" s="9">
        <v>0</v>
      </c>
      <c r="P204" s="9">
        <v>0</v>
      </c>
      <c r="Q204" s="9">
        <v>0</v>
      </c>
      <c r="R204" s="9">
        <v>0</v>
      </c>
      <c r="S204" s="9">
        <v>4</v>
      </c>
      <c r="T204" s="12">
        <v>7</v>
      </c>
      <c r="U204" s="13"/>
      <c r="V204" s="13"/>
      <c r="W204" s="13"/>
      <c r="X204" s="13"/>
      <c r="Y204" s="13"/>
      <c r="Z204" s="13"/>
      <c r="AA204" s="13"/>
      <c r="AB204" s="13"/>
      <c r="AC204" s="13"/>
      <c r="AD204" s="13"/>
      <c r="AE204" s="13"/>
      <c r="AF204" s="13"/>
      <c r="AG204" s="13"/>
      <c r="AH204" s="13"/>
      <c r="AI204" s="13"/>
      <c r="AJ204" s="13"/>
      <c r="AK204" s="13"/>
    </row>
    <row r="205" spans="4:37" ht="13" x14ac:dyDescent="0.15">
      <c r="D205" s="32"/>
      <c r="E205" s="7" t="s">
        <v>953</v>
      </c>
      <c r="F205" s="9">
        <v>1</v>
      </c>
      <c r="G205" s="9">
        <v>0</v>
      </c>
      <c r="H205" s="9">
        <v>0</v>
      </c>
      <c r="I205" s="12">
        <v>1</v>
      </c>
      <c r="J205" s="13"/>
      <c r="K205" s="19" t="s">
        <v>954</v>
      </c>
      <c r="L205" s="9">
        <v>0</v>
      </c>
      <c r="M205" s="9">
        <v>0</v>
      </c>
      <c r="N205" s="9">
        <v>0</v>
      </c>
      <c r="O205" s="9">
        <v>6</v>
      </c>
      <c r="P205" s="9">
        <v>0</v>
      </c>
      <c r="Q205" s="9">
        <v>0</v>
      </c>
      <c r="R205" s="9">
        <v>0</v>
      </c>
      <c r="S205" s="9">
        <v>2</v>
      </c>
      <c r="T205" s="12">
        <v>8</v>
      </c>
      <c r="U205" s="13"/>
      <c r="V205" s="13"/>
      <c r="W205" s="13"/>
      <c r="X205" s="13"/>
      <c r="Y205" s="13"/>
      <c r="Z205" s="13"/>
      <c r="AA205" s="13"/>
      <c r="AB205" s="13"/>
      <c r="AC205" s="13"/>
      <c r="AD205" s="13"/>
      <c r="AE205" s="13"/>
      <c r="AF205" s="13"/>
      <c r="AG205" s="13"/>
      <c r="AH205" s="13"/>
      <c r="AI205" s="13"/>
      <c r="AJ205" s="13"/>
      <c r="AK205" s="13"/>
    </row>
    <row r="206" spans="4:37" ht="13" x14ac:dyDescent="0.15">
      <c r="D206" s="32"/>
      <c r="E206" s="7" t="s">
        <v>93</v>
      </c>
      <c r="F206" s="9">
        <v>81</v>
      </c>
      <c r="G206" s="9">
        <v>0</v>
      </c>
      <c r="H206" s="9">
        <v>0</v>
      </c>
      <c r="I206" s="12">
        <v>81</v>
      </c>
      <c r="J206" s="13"/>
      <c r="K206" s="19" t="s">
        <v>955</v>
      </c>
      <c r="L206" s="9">
        <v>1</v>
      </c>
      <c r="M206" s="9">
        <v>0</v>
      </c>
      <c r="N206" s="9">
        <v>1</v>
      </c>
      <c r="O206" s="9">
        <v>3</v>
      </c>
      <c r="P206" s="9">
        <v>0</v>
      </c>
      <c r="Q206" s="9">
        <v>0</v>
      </c>
      <c r="R206" s="9">
        <v>0</v>
      </c>
      <c r="S206" s="9">
        <v>2</v>
      </c>
      <c r="T206" s="12">
        <v>7</v>
      </c>
      <c r="U206" s="13"/>
      <c r="V206" s="13"/>
      <c r="W206" s="13"/>
      <c r="X206" s="13"/>
      <c r="Y206" s="13"/>
      <c r="Z206" s="13"/>
      <c r="AA206" s="13"/>
      <c r="AB206" s="13"/>
      <c r="AC206" s="13"/>
      <c r="AD206" s="13"/>
      <c r="AE206" s="13"/>
      <c r="AF206" s="13"/>
      <c r="AG206" s="13"/>
      <c r="AH206" s="13"/>
      <c r="AI206" s="13"/>
      <c r="AJ206" s="13"/>
      <c r="AK206" s="13"/>
    </row>
    <row r="207" spans="4:37" ht="13" x14ac:dyDescent="0.15">
      <c r="D207" s="32"/>
      <c r="E207" s="7" t="s">
        <v>956</v>
      </c>
      <c r="F207" s="9">
        <v>81</v>
      </c>
      <c r="G207" s="9">
        <v>0</v>
      </c>
      <c r="H207" s="9">
        <v>0</v>
      </c>
      <c r="I207" s="12">
        <v>81</v>
      </c>
      <c r="J207" s="13"/>
      <c r="K207" s="19" t="s">
        <v>957</v>
      </c>
      <c r="L207" s="9">
        <v>0</v>
      </c>
      <c r="M207" s="9">
        <v>0</v>
      </c>
      <c r="N207" s="9">
        <v>1</v>
      </c>
      <c r="O207" s="9">
        <v>2</v>
      </c>
      <c r="P207" s="9">
        <v>0</v>
      </c>
      <c r="Q207" s="9">
        <v>0</v>
      </c>
      <c r="R207" s="9">
        <v>1</v>
      </c>
      <c r="S207" s="9">
        <v>3</v>
      </c>
      <c r="T207" s="12">
        <v>7</v>
      </c>
      <c r="U207" s="13"/>
      <c r="V207" s="13"/>
      <c r="W207" s="13"/>
      <c r="X207" s="13"/>
      <c r="Y207" s="13"/>
      <c r="Z207" s="13"/>
      <c r="AA207" s="13"/>
      <c r="AB207" s="13"/>
      <c r="AC207" s="13"/>
      <c r="AD207" s="13"/>
      <c r="AE207" s="13"/>
      <c r="AF207" s="13"/>
      <c r="AG207" s="13"/>
      <c r="AH207" s="13"/>
      <c r="AI207" s="13"/>
      <c r="AJ207" s="13"/>
      <c r="AK207" s="13"/>
    </row>
    <row r="208" spans="4:37" ht="13" x14ac:dyDescent="0.15">
      <c r="D208" s="32"/>
      <c r="E208" s="7" t="s">
        <v>958</v>
      </c>
      <c r="F208" s="9">
        <v>1</v>
      </c>
      <c r="G208" s="9">
        <v>0</v>
      </c>
      <c r="H208" s="9">
        <v>0</v>
      </c>
      <c r="I208" s="12">
        <v>1</v>
      </c>
      <c r="J208" s="13"/>
      <c r="K208" s="19" t="s">
        <v>959</v>
      </c>
      <c r="L208" s="9">
        <v>1</v>
      </c>
      <c r="M208" s="9">
        <v>0</v>
      </c>
      <c r="N208" s="9">
        <v>1</v>
      </c>
      <c r="O208" s="9">
        <v>0</v>
      </c>
      <c r="P208" s="9">
        <v>0</v>
      </c>
      <c r="Q208" s="9">
        <v>0</v>
      </c>
      <c r="R208" s="9">
        <v>0</v>
      </c>
      <c r="S208" s="9">
        <v>2</v>
      </c>
      <c r="T208" s="12">
        <v>4</v>
      </c>
      <c r="U208" s="13"/>
      <c r="V208" s="13"/>
      <c r="W208" s="13"/>
      <c r="X208" s="13"/>
      <c r="Y208" s="13"/>
      <c r="Z208" s="13"/>
      <c r="AA208" s="13"/>
      <c r="AB208" s="13"/>
      <c r="AC208" s="13"/>
      <c r="AD208" s="13"/>
      <c r="AE208" s="13"/>
      <c r="AF208" s="13"/>
      <c r="AG208" s="13"/>
      <c r="AH208" s="13"/>
      <c r="AI208" s="13"/>
      <c r="AJ208" s="13"/>
      <c r="AK208" s="13"/>
    </row>
    <row r="209" spans="4:37" ht="13" x14ac:dyDescent="0.15">
      <c r="D209" s="32"/>
      <c r="E209" s="7" t="s">
        <v>960</v>
      </c>
      <c r="F209" s="9">
        <v>3</v>
      </c>
      <c r="G209" s="9">
        <v>0</v>
      </c>
      <c r="H209" s="9">
        <v>0</v>
      </c>
      <c r="I209" s="12">
        <v>3</v>
      </c>
      <c r="J209" s="13"/>
      <c r="K209" s="19" t="s">
        <v>961</v>
      </c>
      <c r="L209" s="9">
        <v>2</v>
      </c>
      <c r="M209" s="9">
        <v>0</v>
      </c>
      <c r="N209" s="9">
        <v>2</v>
      </c>
      <c r="O209" s="9">
        <v>0</v>
      </c>
      <c r="P209" s="9">
        <v>0</v>
      </c>
      <c r="Q209" s="9">
        <v>0</v>
      </c>
      <c r="R209" s="9">
        <v>1</v>
      </c>
      <c r="S209" s="9">
        <v>3</v>
      </c>
      <c r="T209" s="12">
        <v>8</v>
      </c>
      <c r="U209" s="13"/>
      <c r="V209" s="13"/>
      <c r="W209" s="13"/>
      <c r="X209" s="13"/>
      <c r="Y209" s="13"/>
      <c r="Z209" s="13"/>
      <c r="AA209" s="13"/>
      <c r="AB209" s="13"/>
      <c r="AC209" s="13"/>
      <c r="AD209" s="13"/>
      <c r="AE209" s="13"/>
      <c r="AF209" s="13"/>
      <c r="AG209" s="13"/>
      <c r="AH209" s="13"/>
      <c r="AI209" s="13"/>
      <c r="AJ209" s="13"/>
      <c r="AK209" s="13"/>
    </row>
    <row r="210" spans="4:37" ht="13" x14ac:dyDescent="0.15">
      <c r="D210" s="32"/>
      <c r="E210" s="7" t="s">
        <v>962</v>
      </c>
      <c r="F210" s="9">
        <v>1</v>
      </c>
      <c r="G210" s="9">
        <v>0</v>
      </c>
      <c r="H210" s="9">
        <v>0</v>
      </c>
      <c r="I210" s="12">
        <v>1</v>
      </c>
      <c r="J210" s="13"/>
      <c r="K210" s="19" t="s">
        <v>963</v>
      </c>
      <c r="L210" s="9">
        <v>0</v>
      </c>
      <c r="M210" s="9">
        <v>0</v>
      </c>
      <c r="N210" s="9">
        <v>0</v>
      </c>
      <c r="O210" s="9">
        <v>2</v>
      </c>
      <c r="P210" s="9">
        <v>0</v>
      </c>
      <c r="Q210" s="9">
        <v>0</v>
      </c>
      <c r="R210" s="9">
        <v>0</v>
      </c>
      <c r="S210" s="9">
        <v>1</v>
      </c>
      <c r="T210" s="12">
        <v>3</v>
      </c>
      <c r="U210" s="13"/>
      <c r="V210" s="13"/>
      <c r="W210" s="13"/>
      <c r="X210" s="13"/>
      <c r="Y210" s="13"/>
      <c r="Z210" s="13"/>
      <c r="AA210" s="13"/>
      <c r="AB210" s="13"/>
      <c r="AC210" s="13"/>
      <c r="AD210" s="13"/>
      <c r="AE210" s="13"/>
      <c r="AF210" s="13"/>
      <c r="AG210" s="13"/>
      <c r="AH210" s="13"/>
      <c r="AI210" s="13"/>
      <c r="AJ210" s="13"/>
      <c r="AK210" s="13"/>
    </row>
    <row r="211" spans="4:37" ht="13" x14ac:dyDescent="0.15">
      <c r="D211" s="32"/>
      <c r="E211" s="7" t="s">
        <v>293</v>
      </c>
      <c r="F211" s="9">
        <v>4</v>
      </c>
      <c r="G211" s="9">
        <v>0</v>
      </c>
      <c r="H211" s="9">
        <v>0</v>
      </c>
      <c r="I211" s="12">
        <v>4</v>
      </c>
      <c r="J211" s="13"/>
      <c r="K211" s="18" t="s">
        <v>964</v>
      </c>
      <c r="L211" s="12">
        <v>12</v>
      </c>
      <c r="M211" s="12">
        <v>0</v>
      </c>
      <c r="N211" s="12">
        <v>22</v>
      </c>
      <c r="O211" s="12">
        <v>18</v>
      </c>
      <c r="P211" s="12">
        <v>0</v>
      </c>
      <c r="Q211" s="12">
        <v>0</v>
      </c>
      <c r="R211" s="12">
        <v>15</v>
      </c>
      <c r="S211" s="12">
        <v>22</v>
      </c>
      <c r="T211" s="12">
        <v>89</v>
      </c>
      <c r="U211" s="13"/>
      <c r="V211" s="13"/>
      <c r="W211" s="13"/>
      <c r="X211" s="13"/>
      <c r="Y211" s="13"/>
      <c r="Z211" s="13"/>
      <c r="AA211" s="13"/>
      <c r="AB211" s="13"/>
      <c r="AC211" s="13"/>
      <c r="AD211" s="13"/>
      <c r="AE211" s="13"/>
      <c r="AF211" s="13"/>
      <c r="AG211" s="13"/>
      <c r="AH211" s="13"/>
      <c r="AI211" s="13"/>
      <c r="AJ211" s="13"/>
      <c r="AK211" s="13"/>
    </row>
    <row r="212" spans="4:37" ht="13" x14ac:dyDescent="0.15">
      <c r="D212" s="32"/>
      <c r="E212" s="7" t="s">
        <v>56</v>
      </c>
      <c r="F212" s="9">
        <v>283</v>
      </c>
      <c r="G212" s="9">
        <v>0</v>
      </c>
      <c r="H212" s="9">
        <v>0</v>
      </c>
      <c r="I212" s="12">
        <v>283</v>
      </c>
      <c r="J212" s="13"/>
      <c r="K212" s="19" t="s">
        <v>965</v>
      </c>
      <c r="L212" s="9">
        <v>0</v>
      </c>
      <c r="M212" s="9">
        <v>0</v>
      </c>
      <c r="N212" s="9">
        <v>2</v>
      </c>
      <c r="O212" s="9">
        <v>2</v>
      </c>
      <c r="P212" s="9">
        <v>0</v>
      </c>
      <c r="Q212" s="9">
        <v>0</v>
      </c>
      <c r="R212" s="9">
        <v>2</v>
      </c>
      <c r="S212" s="9">
        <v>3</v>
      </c>
      <c r="T212" s="12">
        <v>9</v>
      </c>
      <c r="U212" s="13"/>
      <c r="V212" s="13"/>
      <c r="W212" s="13"/>
      <c r="X212" s="13"/>
      <c r="Y212" s="13"/>
      <c r="Z212" s="13"/>
      <c r="AA212" s="13"/>
      <c r="AB212" s="13"/>
      <c r="AC212" s="13"/>
      <c r="AD212" s="13"/>
      <c r="AE212" s="13"/>
      <c r="AF212" s="13"/>
      <c r="AG212" s="13"/>
      <c r="AH212" s="13"/>
      <c r="AI212" s="13"/>
      <c r="AJ212" s="13"/>
      <c r="AK212" s="13"/>
    </row>
    <row r="213" spans="4:37" ht="13" x14ac:dyDescent="0.15">
      <c r="D213" s="32"/>
      <c r="E213" s="7" t="s">
        <v>966</v>
      </c>
      <c r="F213" s="9">
        <v>2</v>
      </c>
      <c r="G213" s="9">
        <v>0</v>
      </c>
      <c r="H213" s="9">
        <v>0</v>
      </c>
      <c r="I213" s="12">
        <v>2</v>
      </c>
      <c r="J213" s="13"/>
      <c r="K213" s="19" t="s">
        <v>967</v>
      </c>
      <c r="L213" s="9">
        <v>1</v>
      </c>
      <c r="M213" s="9">
        <v>0</v>
      </c>
      <c r="N213" s="9">
        <v>2</v>
      </c>
      <c r="O213" s="9">
        <v>1</v>
      </c>
      <c r="P213" s="9">
        <v>0</v>
      </c>
      <c r="Q213" s="9">
        <v>0</v>
      </c>
      <c r="R213" s="9">
        <v>1</v>
      </c>
      <c r="S213" s="9">
        <v>1</v>
      </c>
      <c r="T213" s="12">
        <v>6</v>
      </c>
      <c r="U213" s="13"/>
      <c r="V213" s="13"/>
      <c r="W213" s="13"/>
      <c r="X213" s="13"/>
      <c r="Y213" s="13"/>
      <c r="Z213" s="13"/>
      <c r="AA213" s="13"/>
      <c r="AB213" s="13"/>
      <c r="AC213" s="13"/>
      <c r="AD213" s="13"/>
      <c r="AE213" s="13"/>
      <c r="AF213" s="13"/>
      <c r="AG213" s="13"/>
      <c r="AH213" s="13"/>
      <c r="AI213" s="13"/>
      <c r="AJ213" s="13"/>
      <c r="AK213" s="13"/>
    </row>
    <row r="214" spans="4:37" ht="13" x14ac:dyDescent="0.15">
      <c r="D214" s="32"/>
      <c r="E214" s="7" t="s">
        <v>968</v>
      </c>
      <c r="F214" s="9">
        <v>1</v>
      </c>
      <c r="G214" s="9">
        <v>0</v>
      </c>
      <c r="H214" s="9">
        <v>0</v>
      </c>
      <c r="I214" s="12">
        <v>1</v>
      </c>
      <c r="J214" s="13"/>
      <c r="K214" s="19" t="s">
        <v>969</v>
      </c>
      <c r="L214" s="9">
        <v>2</v>
      </c>
      <c r="M214" s="9">
        <v>0</v>
      </c>
      <c r="N214" s="9">
        <v>1</v>
      </c>
      <c r="O214" s="9">
        <v>2</v>
      </c>
      <c r="P214" s="9">
        <v>0</v>
      </c>
      <c r="Q214" s="9">
        <v>0</v>
      </c>
      <c r="R214" s="9">
        <v>0</v>
      </c>
      <c r="S214" s="9">
        <v>1</v>
      </c>
      <c r="T214" s="12">
        <v>6</v>
      </c>
      <c r="U214" s="13"/>
      <c r="V214" s="13"/>
      <c r="W214" s="13"/>
      <c r="X214" s="13"/>
      <c r="Y214" s="13"/>
      <c r="Z214" s="13"/>
      <c r="AA214" s="13"/>
      <c r="AB214" s="13"/>
      <c r="AC214" s="13"/>
      <c r="AD214" s="13"/>
      <c r="AE214" s="13"/>
      <c r="AF214" s="13"/>
      <c r="AG214" s="13"/>
      <c r="AH214" s="13"/>
      <c r="AI214" s="13"/>
      <c r="AJ214" s="13"/>
      <c r="AK214" s="13"/>
    </row>
    <row r="215" spans="4:37" ht="13" x14ac:dyDescent="0.15">
      <c r="D215" s="32"/>
      <c r="E215" s="7" t="s">
        <v>591</v>
      </c>
      <c r="F215" s="9">
        <v>2</v>
      </c>
      <c r="G215" s="9">
        <v>0</v>
      </c>
      <c r="H215" s="9">
        <v>0</v>
      </c>
      <c r="I215" s="12">
        <v>2</v>
      </c>
      <c r="J215" s="13"/>
      <c r="K215" s="19" t="s">
        <v>970</v>
      </c>
      <c r="L215" s="9">
        <v>1</v>
      </c>
      <c r="M215" s="9">
        <v>0</v>
      </c>
      <c r="N215" s="9">
        <v>4</v>
      </c>
      <c r="O215" s="9">
        <v>1</v>
      </c>
      <c r="P215" s="9">
        <v>0</v>
      </c>
      <c r="Q215" s="9">
        <v>0</v>
      </c>
      <c r="R215" s="9">
        <v>2</v>
      </c>
      <c r="S215" s="9">
        <v>1</v>
      </c>
      <c r="T215" s="12">
        <v>9</v>
      </c>
      <c r="U215" s="13"/>
      <c r="V215" s="13"/>
      <c r="W215" s="13"/>
      <c r="X215" s="13"/>
      <c r="Y215" s="13"/>
      <c r="Z215" s="13"/>
      <c r="AA215" s="13"/>
      <c r="AB215" s="13"/>
      <c r="AC215" s="13"/>
      <c r="AD215" s="13"/>
      <c r="AE215" s="13"/>
      <c r="AF215" s="13"/>
      <c r="AG215" s="13"/>
      <c r="AH215" s="13"/>
      <c r="AI215" s="13"/>
      <c r="AJ215" s="13"/>
      <c r="AK215" s="13"/>
    </row>
    <row r="216" spans="4:37" ht="13" x14ac:dyDescent="0.15">
      <c r="D216" s="32"/>
      <c r="E216" s="7" t="s">
        <v>971</v>
      </c>
      <c r="F216" s="9">
        <v>1</v>
      </c>
      <c r="G216" s="9">
        <v>0</v>
      </c>
      <c r="H216" s="9">
        <v>0</v>
      </c>
      <c r="I216" s="12">
        <v>1</v>
      </c>
      <c r="J216" s="13"/>
      <c r="K216" s="19" t="s">
        <v>972</v>
      </c>
      <c r="L216" s="9">
        <v>0</v>
      </c>
      <c r="M216" s="9">
        <v>0</v>
      </c>
      <c r="N216" s="9">
        <v>0</v>
      </c>
      <c r="O216" s="9">
        <v>0</v>
      </c>
      <c r="P216" s="9">
        <v>0</v>
      </c>
      <c r="Q216" s="9">
        <v>0</v>
      </c>
      <c r="R216" s="9">
        <v>0</v>
      </c>
      <c r="S216" s="9">
        <v>1</v>
      </c>
      <c r="T216" s="12">
        <v>1</v>
      </c>
      <c r="U216" s="13"/>
      <c r="V216" s="13"/>
      <c r="W216" s="13"/>
      <c r="X216" s="13"/>
      <c r="Y216" s="13"/>
      <c r="Z216" s="13"/>
      <c r="AA216" s="13"/>
      <c r="AB216" s="13"/>
      <c r="AC216" s="13"/>
      <c r="AD216" s="13"/>
      <c r="AE216" s="13"/>
      <c r="AF216" s="13"/>
      <c r="AG216" s="13"/>
      <c r="AH216" s="13"/>
      <c r="AI216" s="13"/>
      <c r="AJ216" s="13"/>
      <c r="AK216" s="13"/>
    </row>
    <row r="217" spans="4:37" ht="13" x14ac:dyDescent="0.15">
      <c r="D217" s="32"/>
      <c r="E217" s="7" t="s">
        <v>600</v>
      </c>
      <c r="F217" s="9">
        <v>6</v>
      </c>
      <c r="G217" s="9">
        <v>0</v>
      </c>
      <c r="H217" s="9">
        <v>0</v>
      </c>
      <c r="I217" s="12">
        <v>6</v>
      </c>
      <c r="J217" s="13"/>
      <c r="K217" s="19" t="s">
        <v>973</v>
      </c>
      <c r="L217" s="9">
        <v>0</v>
      </c>
      <c r="M217" s="9">
        <v>0</v>
      </c>
      <c r="N217" s="9">
        <v>0</v>
      </c>
      <c r="O217" s="9">
        <v>1</v>
      </c>
      <c r="P217" s="9">
        <v>0</v>
      </c>
      <c r="Q217" s="9">
        <v>0</v>
      </c>
      <c r="R217" s="9">
        <v>0</v>
      </c>
      <c r="S217" s="9">
        <v>1</v>
      </c>
      <c r="T217" s="12">
        <v>2</v>
      </c>
      <c r="U217" s="13"/>
      <c r="V217" s="13"/>
      <c r="W217" s="13"/>
      <c r="X217" s="13"/>
      <c r="Y217" s="13"/>
      <c r="Z217" s="13"/>
      <c r="AA217" s="13"/>
      <c r="AB217" s="13"/>
      <c r="AC217" s="13"/>
      <c r="AD217" s="13"/>
      <c r="AE217" s="13"/>
      <c r="AF217" s="13"/>
      <c r="AG217" s="13"/>
      <c r="AH217" s="13"/>
      <c r="AI217" s="13"/>
      <c r="AJ217" s="13"/>
      <c r="AK217" s="13"/>
    </row>
    <row r="218" spans="4:37" ht="13" x14ac:dyDescent="0.15">
      <c r="D218" s="32"/>
      <c r="E218" s="7" t="s">
        <v>145</v>
      </c>
      <c r="F218" s="9">
        <v>1</v>
      </c>
      <c r="G218" s="9">
        <v>0</v>
      </c>
      <c r="H218" s="9">
        <v>0</v>
      </c>
      <c r="I218" s="12">
        <v>1</v>
      </c>
      <c r="J218" s="13"/>
      <c r="K218" s="19" t="s">
        <v>974</v>
      </c>
      <c r="L218" s="9">
        <v>0</v>
      </c>
      <c r="M218" s="9">
        <v>0</v>
      </c>
      <c r="N218" s="9">
        <v>2</v>
      </c>
      <c r="O218" s="9">
        <v>0</v>
      </c>
      <c r="P218" s="9">
        <v>0</v>
      </c>
      <c r="Q218" s="9">
        <v>0</v>
      </c>
      <c r="R218" s="9">
        <v>2</v>
      </c>
      <c r="S218" s="9">
        <v>1</v>
      </c>
      <c r="T218" s="12">
        <v>5</v>
      </c>
      <c r="U218" s="13"/>
      <c r="V218" s="13"/>
      <c r="W218" s="13"/>
      <c r="X218" s="13"/>
      <c r="Y218" s="13"/>
      <c r="Z218" s="13"/>
      <c r="AA218" s="13"/>
      <c r="AB218" s="13"/>
      <c r="AC218" s="13"/>
      <c r="AD218" s="13"/>
      <c r="AE218" s="13"/>
      <c r="AF218" s="13"/>
      <c r="AG218" s="13"/>
      <c r="AH218" s="13"/>
      <c r="AI218" s="13"/>
      <c r="AJ218" s="13"/>
      <c r="AK218" s="13"/>
    </row>
    <row r="219" spans="4:37" ht="13" x14ac:dyDescent="0.15">
      <c r="D219" s="32"/>
      <c r="E219" s="7" t="s">
        <v>975</v>
      </c>
      <c r="F219" s="9">
        <v>2</v>
      </c>
      <c r="G219" s="9">
        <v>0</v>
      </c>
      <c r="H219" s="9">
        <v>0</v>
      </c>
      <c r="I219" s="12">
        <v>2</v>
      </c>
      <c r="J219" s="13"/>
      <c r="K219" s="19" t="s">
        <v>976</v>
      </c>
      <c r="L219" s="9">
        <v>0</v>
      </c>
      <c r="M219" s="9">
        <v>0</v>
      </c>
      <c r="N219" s="9">
        <v>4</v>
      </c>
      <c r="O219" s="9">
        <v>0</v>
      </c>
      <c r="P219" s="9">
        <v>0</v>
      </c>
      <c r="Q219" s="9">
        <v>0</v>
      </c>
      <c r="R219" s="9">
        <v>1</v>
      </c>
      <c r="S219" s="9">
        <v>1</v>
      </c>
      <c r="T219" s="12">
        <v>6</v>
      </c>
      <c r="U219" s="13"/>
      <c r="V219" s="13"/>
      <c r="W219" s="13"/>
      <c r="X219" s="13"/>
      <c r="Y219" s="13"/>
      <c r="Z219" s="13"/>
      <c r="AA219" s="13"/>
      <c r="AB219" s="13"/>
      <c r="AC219" s="13"/>
      <c r="AD219" s="13"/>
      <c r="AE219" s="13"/>
      <c r="AF219" s="13"/>
      <c r="AG219" s="13"/>
      <c r="AH219" s="13"/>
      <c r="AI219" s="13"/>
      <c r="AJ219" s="13"/>
      <c r="AK219" s="13"/>
    </row>
    <row r="220" spans="4:37" ht="13" x14ac:dyDescent="0.15">
      <c r="D220" s="32"/>
      <c r="E220" s="7" t="s">
        <v>977</v>
      </c>
      <c r="F220" s="9">
        <v>2</v>
      </c>
      <c r="G220" s="9">
        <v>0</v>
      </c>
      <c r="H220" s="9">
        <v>0</v>
      </c>
      <c r="I220" s="12">
        <v>2</v>
      </c>
      <c r="J220" s="13"/>
      <c r="K220" s="19" t="s">
        <v>978</v>
      </c>
      <c r="L220" s="9">
        <v>0</v>
      </c>
      <c r="M220" s="9">
        <v>0</v>
      </c>
      <c r="N220" s="9">
        <v>0</v>
      </c>
      <c r="O220" s="9">
        <v>0</v>
      </c>
      <c r="P220" s="9">
        <v>0</v>
      </c>
      <c r="Q220" s="9">
        <v>0</v>
      </c>
      <c r="R220" s="9">
        <v>0</v>
      </c>
      <c r="S220" s="9">
        <v>1</v>
      </c>
      <c r="T220" s="12">
        <v>1</v>
      </c>
      <c r="U220" s="13"/>
      <c r="V220" s="13"/>
      <c r="W220" s="13"/>
      <c r="X220" s="13"/>
      <c r="Y220" s="13"/>
      <c r="Z220" s="13"/>
      <c r="AA220" s="13"/>
      <c r="AB220" s="13"/>
      <c r="AC220" s="13"/>
      <c r="AD220" s="13"/>
      <c r="AE220" s="13"/>
      <c r="AF220" s="13"/>
      <c r="AG220" s="13"/>
      <c r="AH220" s="13"/>
      <c r="AI220" s="13"/>
      <c r="AJ220" s="13"/>
      <c r="AK220" s="13"/>
    </row>
    <row r="221" spans="4:37" ht="13" x14ac:dyDescent="0.15">
      <c r="D221" s="32"/>
      <c r="E221" s="7" t="s">
        <v>979</v>
      </c>
      <c r="F221" s="9">
        <v>8</v>
      </c>
      <c r="G221" s="9">
        <v>0</v>
      </c>
      <c r="H221" s="9">
        <v>0</v>
      </c>
      <c r="I221" s="12">
        <v>8</v>
      </c>
      <c r="J221" s="13"/>
      <c r="K221" s="19" t="s">
        <v>980</v>
      </c>
      <c r="L221" s="9">
        <v>0</v>
      </c>
      <c r="M221" s="9">
        <v>0</v>
      </c>
      <c r="N221" s="9">
        <v>0</v>
      </c>
      <c r="O221" s="9">
        <v>4</v>
      </c>
      <c r="P221" s="9">
        <v>0</v>
      </c>
      <c r="Q221" s="9">
        <v>0</v>
      </c>
      <c r="R221" s="9">
        <v>1</v>
      </c>
      <c r="S221" s="9">
        <v>1</v>
      </c>
      <c r="T221" s="12">
        <v>6</v>
      </c>
      <c r="U221" s="13"/>
      <c r="V221" s="13"/>
      <c r="W221" s="13"/>
      <c r="X221" s="13"/>
      <c r="Y221" s="13"/>
      <c r="Z221" s="13"/>
      <c r="AA221" s="13"/>
      <c r="AB221" s="13"/>
      <c r="AC221" s="13"/>
      <c r="AD221" s="13"/>
      <c r="AE221" s="13"/>
      <c r="AF221" s="13"/>
      <c r="AG221" s="13"/>
      <c r="AH221" s="13"/>
      <c r="AI221" s="13"/>
      <c r="AJ221" s="13"/>
      <c r="AK221" s="13"/>
    </row>
    <row r="222" spans="4:37" ht="13" x14ac:dyDescent="0.15">
      <c r="D222" s="32"/>
      <c r="E222" s="7" t="s">
        <v>981</v>
      </c>
      <c r="F222" s="9">
        <v>1</v>
      </c>
      <c r="G222" s="9">
        <v>0</v>
      </c>
      <c r="H222" s="9">
        <v>0</v>
      </c>
      <c r="I222" s="12">
        <v>1</v>
      </c>
      <c r="J222" s="13"/>
      <c r="K222" s="19" t="s">
        <v>982</v>
      </c>
      <c r="L222" s="9">
        <v>1</v>
      </c>
      <c r="M222" s="9">
        <v>0</v>
      </c>
      <c r="N222" s="9">
        <v>0</v>
      </c>
      <c r="O222" s="9">
        <v>1</v>
      </c>
      <c r="P222" s="9">
        <v>0</v>
      </c>
      <c r="Q222" s="9">
        <v>0</v>
      </c>
      <c r="R222" s="9">
        <v>0</v>
      </c>
      <c r="S222" s="9">
        <v>4</v>
      </c>
      <c r="T222" s="12">
        <v>6</v>
      </c>
      <c r="U222" s="13"/>
      <c r="V222" s="13"/>
      <c r="W222" s="13"/>
      <c r="X222" s="13"/>
      <c r="Y222" s="13"/>
      <c r="Z222" s="13"/>
      <c r="AA222" s="13"/>
      <c r="AB222" s="13"/>
      <c r="AC222" s="13"/>
      <c r="AD222" s="13"/>
      <c r="AE222" s="13"/>
      <c r="AF222" s="13"/>
      <c r="AG222" s="13"/>
      <c r="AH222" s="13"/>
      <c r="AI222" s="13"/>
      <c r="AJ222" s="13"/>
      <c r="AK222" s="13"/>
    </row>
    <row r="223" spans="4:37" ht="13" x14ac:dyDescent="0.15">
      <c r="D223" s="32"/>
      <c r="E223" s="7" t="s">
        <v>632</v>
      </c>
      <c r="F223" s="9">
        <v>1</v>
      </c>
      <c r="G223" s="9">
        <v>0</v>
      </c>
      <c r="H223" s="9">
        <v>0</v>
      </c>
      <c r="I223" s="12">
        <v>1</v>
      </c>
      <c r="J223" s="13"/>
      <c r="K223" s="19" t="s">
        <v>983</v>
      </c>
      <c r="L223" s="9">
        <v>1</v>
      </c>
      <c r="M223" s="9">
        <v>0</v>
      </c>
      <c r="N223" s="9">
        <v>0</v>
      </c>
      <c r="O223" s="9">
        <v>2</v>
      </c>
      <c r="P223" s="9">
        <v>0</v>
      </c>
      <c r="Q223" s="9">
        <v>0</v>
      </c>
      <c r="R223" s="9">
        <v>2</v>
      </c>
      <c r="S223" s="9">
        <v>0</v>
      </c>
      <c r="T223" s="12">
        <v>5</v>
      </c>
      <c r="U223" s="13"/>
      <c r="V223" s="13"/>
      <c r="W223" s="13"/>
      <c r="X223" s="13"/>
      <c r="Y223" s="13"/>
      <c r="Z223" s="13"/>
      <c r="AA223" s="13"/>
      <c r="AB223" s="13"/>
      <c r="AC223" s="13"/>
      <c r="AD223" s="13"/>
      <c r="AE223" s="13"/>
      <c r="AF223" s="13"/>
      <c r="AG223" s="13"/>
      <c r="AH223" s="13"/>
      <c r="AI223" s="13"/>
      <c r="AJ223" s="13"/>
      <c r="AK223" s="13"/>
    </row>
    <row r="224" spans="4:37" ht="13" x14ac:dyDescent="0.15">
      <c r="D224" s="32"/>
      <c r="E224" s="7" t="s">
        <v>984</v>
      </c>
      <c r="F224" s="9">
        <v>18</v>
      </c>
      <c r="G224" s="9">
        <v>0</v>
      </c>
      <c r="H224" s="9">
        <v>0</v>
      </c>
      <c r="I224" s="12">
        <v>18</v>
      </c>
      <c r="J224" s="13"/>
      <c r="K224" s="19" t="s">
        <v>985</v>
      </c>
      <c r="L224" s="9">
        <v>2</v>
      </c>
      <c r="M224" s="9">
        <v>0</v>
      </c>
      <c r="N224" s="9">
        <v>2</v>
      </c>
      <c r="O224" s="9">
        <v>1</v>
      </c>
      <c r="P224" s="9">
        <v>0</v>
      </c>
      <c r="Q224" s="9">
        <v>0</v>
      </c>
      <c r="R224" s="9">
        <v>1</v>
      </c>
      <c r="S224" s="9">
        <v>3</v>
      </c>
      <c r="T224" s="12">
        <v>9</v>
      </c>
      <c r="U224" s="13"/>
      <c r="V224" s="13"/>
      <c r="W224" s="13"/>
      <c r="X224" s="13"/>
      <c r="Y224" s="13"/>
      <c r="Z224" s="13"/>
      <c r="AA224" s="13"/>
      <c r="AB224" s="13"/>
      <c r="AC224" s="13"/>
      <c r="AD224" s="13"/>
      <c r="AE224" s="13"/>
      <c r="AF224" s="13"/>
      <c r="AG224" s="13"/>
      <c r="AH224" s="13"/>
      <c r="AI224" s="13"/>
      <c r="AJ224" s="13"/>
      <c r="AK224" s="13"/>
    </row>
    <row r="225" spans="4:37" ht="13" x14ac:dyDescent="0.15">
      <c r="D225" s="32"/>
      <c r="E225" s="7" t="s">
        <v>986</v>
      </c>
      <c r="F225" s="9">
        <v>5</v>
      </c>
      <c r="G225" s="9">
        <v>0</v>
      </c>
      <c r="H225" s="9">
        <v>0</v>
      </c>
      <c r="I225" s="12">
        <v>5</v>
      </c>
      <c r="J225" s="13"/>
      <c r="K225" s="19" t="s">
        <v>987</v>
      </c>
      <c r="L225" s="9">
        <v>2</v>
      </c>
      <c r="M225" s="9">
        <v>0</v>
      </c>
      <c r="N225" s="9">
        <v>4</v>
      </c>
      <c r="O225" s="9">
        <v>2</v>
      </c>
      <c r="P225" s="9">
        <v>0</v>
      </c>
      <c r="Q225" s="9">
        <v>0</v>
      </c>
      <c r="R225" s="9">
        <v>1</v>
      </c>
      <c r="S225" s="9">
        <v>3</v>
      </c>
      <c r="T225" s="12">
        <v>12</v>
      </c>
      <c r="U225" s="13"/>
      <c r="V225" s="13"/>
      <c r="W225" s="13"/>
      <c r="X225" s="13"/>
      <c r="Y225" s="13"/>
      <c r="Z225" s="13"/>
      <c r="AA225" s="13"/>
      <c r="AB225" s="13"/>
      <c r="AC225" s="13"/>
      <c r="AD225" s="13"/>
      <c r="AE225" s="13"/>
      <c r="AF225" s="13"/>
      <c r="AG225" s="13"/>
      <c r="AH225" s="13"/>
      <c r="AI225" s="13"/>
      <c r="AJ225" s="13"/>
      <c r="AK225" s="13"/>
    </row>
    <row r="226" spans="4:37" ht="13" x14ac:dyDescent="0.15">
      <c r="D226" s="32"/>
      <c r="E226" s="7" t="s">
        <v>638</v>
      </c>
      <c r="F226" s="9">
        <v>1</v>
      </c>
      <c r="G226" s="9">
        <v>0</v>
      </c>
      <c r="H226" s="9">
        <v>0</v>
      </c>
      <c r="I226" s="12">
        <v>1</v>
      </c>
      <c r="J226" s="13"/>
      <c r="K226" s="19" t="s">
        <v>988</v>
      </c>
      <c r="L226" s="9">
        <v>2</v>
      </c>
      <c r="M226" s="9">
        <v>0</v>
      </c>
      <c r="N226" s="9">
        <v>1</v>
      </c>
      <c r="O226" s="9">
        <v>1</v>
      </c>
      <c r="P226" s="9">
        <v>0</v>
      </c>
      <c r="Q226" s="9">
        <v>0</v>
      </c>
      <c r="R226" s="9">
        <v>2</v>
      </c>
      <c r="S226" s="9">
        <v>0</v>
      </c>
      <c r="T226" s="12">
        <v>6</v>
      </c>
      <c r="U226" s="13"/>
      <c r="V226" s="13"/>
      <c r="W226" s="13"/>
      <c r="X226" s="13"/>
      <c r="Y226" s="13"/>
      <c r="Z226" s="13"/>
      <c r="AA226" s="13"/>
      <c r="AB226" s="13"/>
      <c r="AC226" s="13"/>
      <c r="AD226" s="13"/>
      <c r="AE226" s="13"/>
      <c r="AF226" s="13"/>
      <c r="AG226" s="13"/>
      <c r="AH226" s="13"/>
      <c r="AI226" s="13"/>
      <c r="AJ226" s="13"/>
      <c r="AK226" s="13"/>
    </row>
    <row r="227" spans="4:37" ht="13" x14ac:dyDescent="0.15">
      <c r="D227" s="32"/>
      <c r="E227" s="7" t="s">
        <v>655</v>
      </c>
      <c r="F227" s="9">
        <v>15</v>
      </c>
      <c r="G227" s="9">
        <v>0</v>
      </c>
      <c r="H227" s="9">
        <v>0</v>
      </c>
      <c r="I227" s="12">
        <v>15</v>
      </c>
      <c r="J227" s="13"/>
      <c r="K227" s="18" t="s">
        <v>989</v>
      </c>
      <c r="L227" s="12">
        <v>33</v>
      </c>
      <c r="M227" s="12">
        <v>1</v>
      </c>
      <c r="N227" s="12">
        <v>55</v>
      </c>
      <c r="O227" s="12">
        <v>37</v>
      </c>
      <c r="P227" s="12">
        <v>0</v>
      </c>
      <c r="Q227" s="12">
        <v>0</v>
      </c>
      <c r="R227" s="12">
        <v>22</v>
      </c>
      <c r="S227" s="12">
        <v>48</v>
      </c>
      <c r="T227" s="12">
        <v>196</v>
      </c>
      <c r="U227" s="13"/>
      <c r="V227" s="13"/>
      <c r="W227" s="13"/>
      <c r="X227" s="13"/>
      <c r="Y227" s="13"/>
      <c r="Z227" s="13"/>
      <c r="AA227" s="13"/>
      <c r="AB227" s="13"/>
      <c r="AC227" s="13"/>
      <c r="AD227" s="13"/>
      <c r="AE227" s="13"/>
      <c r="AF227" s="13"/>
      <c r="AG227" s="13"/>
      <c r="AH227" s="13"/>
      <c r="AI227" s="13"/>
      <c r="AJ227" s="13"/>
      <c r="AK227" s="13"/>
    </row>
    <row r="228" spans="4:37" ht="13" x14ac:dyDescent="0.15">
      <c r="D228" s="32"/>
      <c r="E228" s="7" t="s">
        <v>85</v>
      </c>
      <c r="F228" s="9">
        <v>203</v>
      </c>
      <c r="G228" s="9">
        <v>0</v>
      </c>
      <c r="H228" s="9">
        <v>0</v>
      </c>
      <c r="I228" s="12">
        <v>203</v>
      </c>
      <c r="J228" s="13"/>
      <c r="K228" s="19" t="s">
        <v>990</v>
      </c>
      <c r="L228" s="9">
        <v>1</v>
      </c>
      <c r="M228" s="9">
        <v>0</v>
      </c>
      <c r="N228" s="9">
        <v>4</v>
      </c>
      <c r="O228" s="9">
        <v>0</v>
      </c>
      <c r="P228" s="9">
        <v>0</v>
      </c>
      <c r="Q228" s="9">
        <v>0</v>
      </c>
      <c r="R228" s="9">
        <v>0</v>
      </c>
      <c r="S228" s="9">
        <v>2</v>
      </c>
      <c r="T228" s="12">
        <v>7</v>
      </c>
      <c r="U228" s="13"/>
      <c r="V228" s="13"/>
      <c r="W228" s="13"/>
      <c r="X228" s="13"/>
      <c r="Y228" s="13"/>
      <c r="Z228" s="13"/>
      <c r="AA228" s="13"/>
      <c r="AB228" s="13"/>
      <c r="AC228" s="13"/>
      <c r="AD228" s="13"/>
      <c r="AE228" s="13"/>
      <c r="AF228" s="13"/>
      <c r="AG228" s="13"/>
      <c r="AH228" s="13"/>
      <c r="AI228" s="13"/>
      <c r="AJ228" s="13"/>
      <c r="AK228" s="13"/>
    </row>
    <row r="229" spans="4:37" ht="13" x14ac:dyDescent="0.15">
      <c r="D229" s="32"/>
      <c r="E229" s="7" t="s">
        <v>36</v>
      </c>
      <c r="F229" s="9">
        <v>4</v>
      </c>
      <c r="G229" s="9">
        <v>0</v>
      </c>
      <c r="H229" s="9">
        <v>0</v>
      </c>
      <c r="I229" s="12">
        <v>4</v>
      </c>
      <c r="J229" s="13"/>
      <c r="K229" s="19" t="s">
        <v>991</v>
      </c>
      <c r="L229" s="9">
        <v>5</v>
      </c>
      <c r="M229" s="9">
        <v>0</v>
      </c>
      <c r="N229" s="9">
        <v>1</v>
      </c>
      <c r="O229" s="9">
        <v>1</v>
      </c>
      <c r="P229" s="9">
        <v>0</v>
      </c>
      <c r="Q229" s="9">
        <v>0</v>
      </c>
      <c r="R229" s="9">
        <v>1</v>
      </c>
      <c r="S229" s="9">
        <v>2</v>
      </c>
      <c r="T229" s="12">
        <v>10</v>
      </c>
      <c r="U229" s="13"/>
      <c r="V229" s="13"/>
      <c r="W229" s="13"/>
      <c r="X229" s="13"/>
    </row>
    <row r="230" spans="4:37" ht="13" x14ac:dyDescent="0.15">
      <c r="D230" s="33"/>
      <c r="E230" s="7" t="s">
        <v>992</v>
      </c>
      <c r="F230" s="9">
        <v>6</v>
      </c>
      <c r="G230" s="9">
        <v>0</v>
      </c>
      <c r="H230" s="9">
        <v>0</v>
      </c>
      <c r="I230" s="12">
        <v>6</v>
      </c>
      <c r="J230" s="13"/>
      <c r="K230" s="19" t="s">
        <v>993</v>
      </c>
      <c r="L230" s="9">
        <v>1</v>
      </c>
      <c r="M230" s="9">
        <v>0</v>
      </c>
      <c r="N230" s="9">
        <v>1</v>
      </c>
      <c r="O230" s="9">
        <v>0</v>
      </c>
      <c r="P230" s="9">
        <v>0</v>
      </c>
      <c r="Q230" s="9">
        <v>0</v>
      </c>
      <c r="R230" s="9">
        <v>0</v>
      </c>
      <c r="S230" s="9">
        <v>1</v>
      </c>
      <c r="T230" s="12">
        <v>3</v>
      </c>
      <c r="U230" s="13"/>
      <c r="V230" s="13"/>
      <c r="W230" s="13"/>
      <c r="X230" s="13"/>
    </row>
    <row r="231" spans="4:37" ht="13" x14ac:dyDescent="0.15">
      <c r="D231" s="11" t="s">
        <v>994</v>
      </c>
      <c r="E231" s="11"/>
      <c r="F231" s="12">
        <v>1516</v>
      </c>
      <c r="G231" s="12">
        <v>2</v>
      </c>
      <c r="H231" s="12">
        <v>0</v>
      </c>
      <c r="I231" s="12">
        <v>1518</v>
      </c>
      <c r="J231" s="13"/>
      <c r="K231" s="19" t="s">
        <v>995</v>
      </c>
      <c r="L231" s="9">
        <v>1</v>
      </c>
      <c r="M231" s="9">
        <v>0</v>
      </c>
      <c r="N231" s="9">
        <v>1</v>
      </c>
      <c r="O231" s="9">
        <v>3</v>
      </c>
      <c r="P231" s="9">
        <v>0</v>
      </c>
      <c r="Q231" s="9">
        <v>0</v>
      </c>
      <c r="R231" s="9">
        <v>3</v>
      </c>
      <c r="S231" s="9">
        <v>0</v>
      </c>
      <c r="T231" s="12">
        <v>8</v>
      </c>
      <c r="U231" s="13"/>
      <c r="V231" s="13"/>
      <c r="W231" s="13"/>
      <c r="X231" s="13"/>
    </row>
    <row r="232" spans="4:37" ht="13" x14ac:dyDescent="0.15">
      <c r="D232" s="31" t="s">
        <v>165</v>
      </c>
      <c r="E232" s="7" t="s">
        <v>996</v>
      </c>
      <c r="F232" s="9">
        <v>5</v>
      </c>
      <c r="G232" s="9">
        <v>0</v>
      </c>
      <c r="H232" s="9">
        <v>0</v>
      </c>
      <c r="I232" s="12">
        <v>5</v>
      </c>
      <c r="J232" s="13"/>
      <c r="K232" s="19" t="s">
        <v>997</v>
      </c>
      <c r="L232" s="9">
        <v>0</v>
      </c>
      <c r="M232" s="9">
        <v>0</v>
      </c>
      <c r="N232" s="9">
        <v>0</v>
      </c>
      <c r="O232" s="9">
        <v>1</v>
      </c>
      <c r="P232" s="9">
        <v>0</v>
      </c>
      <c r="Q232" s="9">
        <v>0</v>
      </c>
      <c r="R232" s="9">
        <v>0</v>
      </c>
      <c r="S232" s="9">
        <v>0</v>
      </c>
      <c r="T232" s="12">
        <v>1</v>
      </c>
      <c r="U232" s="13"/>
      <c r="V232" s="13"/>
      <c r="W232" s="13"/>
      <c r="X232" s="13"/>
    </row>
    <row r="233" spans="4:37" ht="13" x14ac:dyDescent="0.15">
      <c r="D233" s="32"/>
      <c r="E233" s="7" t="s">
        <v>998</v>
      </c>
      <c r="F233" s="9">
        <v>11</v>
      </c>
      <c r="G233" s="9">
        <v>0</v>
      </c>
      <c r="H233" s="9">
        <v>0</v>
      </c>
      <c r="I233" s="12">
        <v>11</v>
      </c>
      <c r="J233" s="13"/>
      <c r="K233" s="19" t="s">
        <v>999</v>
      </c>
      <c r="L233" s="9">
        <v>1</v>
      </c>
      <c r="M233" s="9">
        <v>0</v>
      </c>
      <c r="N233" s="9">
        <v>2</v>
      </c>
      <c r="O233" s="9">
        <v>0</v>
      </c>
      <c r="P233" s="9">
        <v>0</v>
      </c>
      <c r="Q233" s="9">
        <v>0</v>
      </c>
      <c r="R233" s="9">
        <v>0</v>
      </c>
      <c r="S233" s="9">
        <v>2</v>
      </c>
      <c r="T233" s="12">
        <v>5</v>
      </c>
      <c r="U233" s="13"/>
      <c r="V233" s="13"/>
      <c r="W233" s="13"/>
      <c r="X233" s="13"/>
    </row>
    <row r="234" spans="4:37" ht="13" x14ac:dyDescent="0.15">
      <c r="D234" s="32"/>
      <c r="E234" s="7" t="s">
        <v>1000</v>
      </c>
      <c r="F234" s="9">
        <v>2</v>
      </c>
      <c r="G234" s="9">
        <v>0</v>
      </c>
      <c r="H234" s="9">
        <v>0</v>
      </c>
      <c r="I234" s="12">
        <v>2</v>
      </c>
      <c r="J234" s="13"/>
      <c r="K234" s="19" t="s">
        <v>1001</v>
      </c>
      <c r="L234" s="9">
        <v>3</v>
      </c>
      <c r="M234" s="9">
        <v>0</v>
      </c>
      <c r="N234" s="9">
        <v>1</v>
      </c>
      <c r="O234" s="9">
        <v>0</v>
      </c>
      <c r="P234" s="9">
        <v>0</v>
      </c>
      <c r="Q234" s="9">
        <v>0</v>
      </c>
      <c r="R234" s="9">
        <v>0</v>
      </c>
      <c r="S234" s="9">
        <v>1</v>
      </c>
      <c r="T234" s="12">
        <v>5</v>
      </c>
      <c r="U234" s="13"/>
      <c r="V234" s="13"/>
      <c r="W234" s="13"/>
      <c r="X234" s="13"/>
    </row>
    <row r="235" spans="4:37" ht="13" x14ac:dyDescent="0.15">
      <c r="D235" s="32"/>
      <c r="E235" s="7" t="s">
        <v>278</v>
      </c>
      <c r="F235" s="9">
        <v>1</v>
      </c>
      <c r="G235" s="9">
        <v>0</v>
      </c>
      <c r="H235" s="9">
        <v>0</v>
      </c>
      <c r="I235" s="12">
        <v>1</v>
      </c>
      <c r="J235" s="13"/>
      <c r="K235" s="19" t="s">
        <v>1002</v>
      </c>
      <c r="L235" s="9">
        <v>3</v>
      </c>
      <c r="M235" s="9">
        <v>0</v>
      </c>
      <c r="N235" s="9">
        <v>2</v>
      </c>
      <c r="O235" s="9">
        <v>0</v>
      </c>
      <c r="P235" s="9">
        <v>0</v>
      </c>
      <c r="Q235" s="9">
        <v>0</v>
      </c>
      <c r="R235" s="9">
        <v>0</v>
      </c>
      <c r="S235" s="9">
        <v>1</v>
      </c>
      <c r="T235" s="12">
        <v>6</v>
      </c>
      <c r="U235" s="13"/>
      <c r="V235" s="13"/>
      <c r="W235" s="13"/>
      <c r="X235" s="13"/>
    </row>
    <row r="236" spans="4:37" ht="13" x14ac:dyDescent="0.15">
      <c r="D236" s="32"/>
      <c r="E236" s="7" t="s">
        <v>288</v>
      </c>
      <c r="F236" s="9">
        <v>56</v>
      </c>
      <c r="G236" s="9">
        <v>0</v>
      </c>
      <c r="H236" s="9">
        <v>0</v>
      </c>
      <c r="I236" s="12">
        <v>56</v>
      </c>
      <c r="J236" s="13"/>
      <c r="K236" s="19" t="s">
        <v>1003</v>
      </c>
      <c r="L236" s="9">
        <v>0</v>
      </c>
      <c r="M236" s="9">
        <v>0</v>
      </c>
      <c r="N236" s="9">
        <v>1</v>
      </c>
      <c r="O236" s="9">
        <v>1</v>
      </c>
      <c r="P236" s="9">
        <v>0</v>
      </c>
      <c r="Q236" s="9">
        <v>0</v>
      </c>
      <c r="R236" s="9">
        <v>0</v>
      </c>
      <c r="S236" s="9">
        <v>2</v>
      </c>
      <c r="T236" s="12">
        <v>4</v>
      </c>
      <c r="U236" s="13"/>
      <c r="V236" s="13"/>
      <c r="W236" s="13"/>
      <c r="X236" s="13"/>
    </row>
    <row r="237" spans="4:37" ht="13" x14ac:dyDescent="0.15">
      <c r="D237" s="32"/>
      <c r="E237" s="7" t="s">
        <v>1004</v>
      </c>
      <c r="F237" s="9">
        <v>5</v>
      </c>
      <c r="G237" s="9">
        <v>0</v>
      </c>
      <c r="H237" s="9">
        <v>0</v>
      </c>
      <c r="I237" s="12">
        <v>5</v>
      </c>
      <c r="J237" s="13"/>
      <c r="K237" s="19" t="s">
        <v>1005</v>
      </c>
      <c r="L237" s="9">
        <v>1</v>
      </c>
      <c r="M237" s="9">
        <v>0</v>
      </c>
      <c r="N237" s="9">
        <v>3</v>
      </c>
      <c r="O237" s="9">
        <v>1</v>
      </c>
      <c r="P237" s="9">
        <v>0</v>
      </c>
      <c r="Q237" s="9">
        <v>0</v>
      </c>
      <c r="R237" s="9">
        <v>1</v>
      </c>
      <c r="S237" s="9">
        <v>1</v>
      </c>
      <c r="T237" s="12">
        <v>7</v>
      </c>
      <c r="U237" s="13"/>
      <c r="V237" s="13"/>
      <c r="W237" s="13"/>
      <c r="X237" s="13"/>
    </row>
    <row r="238" spans="4:37" ht="13" x14ac:dyDescent="0.15">
      <c r="D238" s="32"/>
      <c r="E238" s="7" t="s">
        <v>1006</v>
      </c>
      <c r="F238" s="9">
        <v>7</v>
      </c>
      <c r="G238" s="9">
        <v>0</v>
      </c>
      <c r="H238" s="9">
        <v>0</v>
      </c>
      <c r="I238" s="12">
        <v>7</v>
      </c>
      <c r="J238" s="13"/>
      <c r="K238" s="19" t="s">
        <v>1007</v>
      </c>
      <c r="L238" s="9">
        <v>0</v>
      </c>
      <c r="M238" s="9">
        <v>0</v>
      </c>
      <c r="N238" s="9">
        <v>1</v>
      </c>
      <c r="O238" s="9">
        <v>0</v>
      </c>
      <c r="P238" s="9">
        <v>0</v>
      </c>
      <c r="Q238" s="9">
        <v>0</v>
      </c>
      <c r="R238" s="9">
        <v>0</v>
      </c>
      <c r="S238" s="9">
        <v>0</v>
      </c>
      <c r="T238" s="12">
        <v>1</v>
      </c>
      <c r="U238" s="13"/>
      <c r="V238" s="13"/>
      <c r="W238" s="13"/>
      <c r="X238" s="13"/>
    </row>
    <row r="239" spans="4:37" ht="13" x14ac:dyDescent="0.15">
      <c r="D239" s="32"/>
      <c r="E239" s="7" t="s">
        <v>1008</v>
      </c>
      <c r="F239" s="9">
        <v>3</v>
      </c>
      <c r="G239" s="9">
        <v>0</v>
      </c>
      <c r="H239" s="9">
        <v>0</v>
      </c>
      <c r="I239" s="12">
        <v>3</v>
      </c>
      <c r="J239" s="13"/>
      <c r="K239" s="19" t="s">
        <v>1009</v>
      </c>
      <c r="L239" s="9">
        <v>0</v>
      </c>
      <c r="M239" s="9">
        <v>0</v>
      </c>
      <c r="N239" s="9">
        <v>1</v>
      </c>
      <c r="O239" s="9">
        <v>0</v>
      </c>
      <c r="P239" s="9">
        <v>0</v>
      </c>
      <c r="Q239" s="9">
        <v>0</v>
      </c>
      <c r="R239" s="9">
        <v>1</v>
      </c>
      <c r="S239" s="9">
        <v>2</v>
      </c>
      <c r="T239" s="12">
        <v>4</v>
      </c>
      <c r="U239" s="13"/>
      <c r="V239" s="13"/>
      <c r="W239" s="13"/>
      <c r="X239" s="13"/>
    </row>
    <row r="240" spans="4:37" ht="13" x14ac:dyDescent="0.15">
      <c r="D240" s="32"/>
      <c r="E240" s="7" t="s">
        <v>715</v>
      </c>
      <c r="F240" s="9">
        <v>46</v>
      </c>
      <c r="G240" s="9">
        <v>0</v>
      </c>
      <c r="H240" s="9">
        <v>0</v>
      </c>
      <c r="I240" s="12">
        <v>46</v>
      </c>
      <c r="J240" s="13"/>
      <c r="K240" s="19" t="s">
        <v>1010</v>
      </c>
      <c r="L240" s="9">
        <v>0</v>
      </c>
      <c r="M240" s="9">
        <v>0</v>
      </c>
      <c r="N240" s="9">
        <v>3</v>
      </c>
      <c r="O240" s="9">
        <v>3</v>
      </c>
      <c r="P240" s="9">
        <v>0</v>
      </c>
      <c r="Q240" s="9">
        <v>0</v>
      </c>
      <c r="R240" s="9">
        <v>0</v>
      </c>
      <c r="S240" s="9">
        <v>12</v>
      </c>
      <c r="T240" s="12">
        <v>18</v>
      </c>
      <c r="U240" s="13"/>
      <c r="V240" s="13"/>
      <c r="W240" s="13"/>
      <c r="X240" s="13"/>
    </row>
    <row r="241" spans="4:24" ht="13" x14ac:dyDescent="0.15">
      <c r="D241" s="32"/>
      <c r="E241" s="7" t="s">
        <v>319</v>
      </c>
      <c r="F241" s="9">
        <v>2</v>
      </c>
      <c r="G241" s="9">
        <v>0</v>
      </c>
      <c r="H241" s="9">
        <v>0</v>
      </c>
      <c r="I241" s="12">
        <v>2</v>
      </c>
      <c r="J241" s="13"/>
      <c r="K241" s="19" t="s">
        <v>1011</v>
      </c>
      <c r="L241" s="9">
        <v>0</v>
      </c>
      <c r="M241" s="9">
        <v>0</v>
      </c>
      <c r="N241" s="9">
        <v>3</v>
      </c>
      <c r="O241" s="9">
        <v>3</v>
      </c>
      <c r="P241" s="9">
        <v>0</v>
      </c>
      <c r="Q241" s="9">
        <v>0</v>
      </c>
      <c r="R241" s="9">
        <v>0</v>
      </c>
      <c r="S241" s="9">
        <v>0</v>
      </c>
      <c r="T241" s="12">
        <v>6</v>
      </c>
      <c r="U241" s="13"/>
      <c r="V241" s="13"/>
      <c r="W241" s="13"/>
      <c r="X241" s="13"/>
    </row>
    <row r="242" spans="4:24" ht="13" x14ac:dyDescent="0.15">
      <c r="D242" s="32"/>
      <c r="E242" s="7" t="s">
        <v>1012</v>
      </c>
      <c r="F242" s="9">
        <v>1</v>
      </c>
      <c r="G242" s="9">
        <v>0</v>
      </c>
      <c r="H242" s="9">
        <v>0</v>
      </c>
      <c r="I242" s="12">
        <v>1</v>
      </c>
      <c r="J242" s="13"/>
      <c r="K242" s="19" t="s">
        <v>1013</v>
      </c>
      <c r="L242" s="9">
        <v>0</v>
      </c>
      <c r="M242" s="9">
        <v>0</v>
      </c>
      <c r="N242" s="9">
        <v>3</v>
      </c>
      <c r="O242" s="9">
        <v>1</v>
      </c>
      <c r="P242" s="9">
        <v>0</v>
      </c>
      <c r="Q242" s="9">
        <v>0</v>
      </c>
      <c r="R242" s="9">
        <v>0</v>
      </c>
      <c r="S242" s="9">
        <v>1</v>
      </c>
      <c r="T242" s="12">
        <v>5</v>
      </c>
      <c r="U242" s="13"/>
      <c r="V242" s="13"/>
      <c r="W242" s="13"/>
      <c r="X242" s="13"/>
    </row>
    <row r="243" spans="4:24" ht="13" x14ac:dyDescent="0.15">
      <c r="D243" s="32"/>
      <c r="E243" s="7" t="s">
        <v>1014</v>
      </c>
      <c r="F243" s="9">
        <v>3</v>
      </c>
      <c r="G243" s="9">
        <v>0</v>
      </c>
      <c r="H243" s="9">
        <v>0</v>
      </c>
      <c r="I243" s="12">
        <v>3</v>
      </c>
      <c r="J243" s="13"/>
      <c r="K243" s="19" t="s">
        <v>1015</v>
      </c>
      <c r="L243" s="9">
        <v>1</v>
      </c>
      <c r="M243" s="9">
        <v>0</v>
      </c>
      <c r="N243" s="9">
        <v>1</v>
      </c>
      <c r="O243" s="9">
        <v>0</v>
      </c>
      <c r="P243" s="9">
        <v>0</v>
      </c>
      <c r="Q243" s="9">
        <v>0</v>
      </c>
      <c r="R243" s="9">
        <v>2</v>
      </c>
      <c r="S243" s="9">
        <v>0</v>
      </c>
      <c r="T243" s="12">
        <v>4</v>
      </c>
      <c r="U243" s="13"/>
      <c r="V243" s="13"/>
      <c r="W243" s="13"/>
      <c r="X243" s="13"/>
    </row>
    <row r="244" spans="4:24" ht="13" x14ac:dyDescent="0.15">
      <c r="D244" s="32"/>
      <c r="E244" s="7" t="s">
        <v>1016</v>
      </c>
      <c r="F244" s="9">
        <v>8</v>
      </c>
      <c r="G244" s="9">
        <v>0</v>
      </c>
      <c r="H244" s="9">
        <v>0</v>
      </c>
      <c r="I244" s="12">
        <v>8</v>
      </c>
      <c r="J244" s="13"/>
      <c r="K244" s="19" t="s">
        <v>1017</v>
      </c>
      <c r="L244" s="9">
        <v>1</v>
      </c>
      <c r="M244" s="9">
        <v>0</v>
      </c>
      <c r="N244" s="9">
        <v>1</v>
      </c>
      <c r="O244" s="9">
        <v>1</v>
      </c>
      <c r="P244" s="9">
        <v>0</v>
      </c>
      <c r="Q244" s="9">
        <v>0</v>
      </c>
      <c r="R244" s="9">
        <v>0</v>
      </c>
      <c r="S244" s="9">
        <v>0</v>
      </c>
      <c r="T244" s="12">
        <v>3</v>
      </c>
      <c r="U244" s="13"/>
      <c r="V244" s="13"/>
      <c r="W244" s="13"/>
      <c r="X244" s="13"/>
    </row>
    <row r="245" spans="4:24" ht="13" x14ac:dyDescent="0.15">
      <c r="D245" s="32"/>
      <c r="E245" s="7" t="s">
        <v>160</v>
      </c>
      <c r="F245" s="9">
        <v>3</v>
      </c>
      <c r="G245" s="9">
        <v>0</v>
      </c>
      <c r="H245" s="9">
        <v>0</v>
      </c>
      <c r="I245" s="12">
        <v>3</v>
      </c>
      <c r="J245" s="13"/>
      <c r="K245" s="19" t="s">
        <v>1018</v>
      </c>
      <c r="L245" s="9">
        <v>1</v>
      </c>
      <c r="M245" s="9">
        <v>0</v>
      </c>
      <c r="N245" s="9">
        <v>6</v>
      </c>
      <c r="O245" s="9">
        <v>4</v>
      </c>
      <c r="P245" s="9">
        <v>0</v>
      </c>
      <c r="Q245" s="9">
        <v>0</v>
      </c>
      <c r="R245" s="9">
        <v>0</v>
      </c>
      <c r="S245" s="9">
        <v>1</v>
      </c>
      <c r="T245" s="12">
        <v>12</v>
      </c>
      <c r="U245" s="13"/>
      <c r="V245" s="13"/>
      <c r="W245" s="13"/>
      <c r="X245" s="13"/>
    </row>
    <row r="246" spans="4:24" ht="13" x14ac:dyDescent="0.15">
      <c r="D246" s="32"/>
      <c r="E246" s="7" t="s">
        <v>39</v>
      </c>
      <c r="F246" s="9">
        <v>54</v>
      </c>
      <c r="G246" s="9">
        <v>0</v>
      </c>
      <c r="H246" s="9">
        <v>0</v>
      </c>
      <c r="I246" s="12">
        <v>54</v>
      </c>
      <c r="J246" s="13"/>
      <c r="K246" s="19" t="s">
        <v>1019</v>
      </c>
      <c r="L246" s="9">
        <v>2</v>
      </c>
      <c r="M246" s="9">
        <v>0</v>
      </c>
      <c r="N246" s="9">
        <v>1</v>
      </c>
      <c r="O246" s="9">
        <v>7</v>
      </c>
      <c r="P246" s="9">
        <v>0</v>
      </c>
      <c r="Q246" s="9">
        <v>0</v>
      </c>
      <c r="R246" s="9">
        <v>0</v>
      </c>
      <c r="S246" s="9">
        <v>10</v>
      </c>
      <c r="T246" s="12">
        <v>20</v>
      </c>
      <c r="U246" s="13"/>
      <c r="V246" s="13"/>
      <c r="W246" s="13"/>
      <c r="X246" s="13"/>
    </row>
    <row r="247" spans="4:24" ht="13" x14ac:dyDescent="0.15">
      <c r="D247" s="32"/>
      <c r="E247" s="7" t="s">
        <v>1020</v>
      </c>
      <c r="F247" s="9">
        <v>1</v>
      </c>
      <c r="G247" s="9">
        <v>0</v>
      </c>
      <c r="H247" s="9">
        <v>0</v>
      </c>
      <c r="I247" s="12">
        <v>1</v>
      </c>
      <c r="J247" s="13"/>
      <c r="K247" s="19" t="s">
        <v>1021</v>
      </c>
      <c r="L247" s="9">
        <v>3</v>
      </c>
      <c r="M247" s="9">
        <v>0</v>
      </c>
      <c r="N247" s="9">
        <v>4</v>
      </c>
      <c r="O247" s="9">
        <v>2</v>
      </c>
      <c r="P247" s="9">
        <v>0</v>
      </c>
      <c r="Q247" s="9">
        <v>0</v>
      </c>
      <c r="R247" s="9">
        <v>3</v>
      </c>
      <c r="S247" s="9">
        <v>0</v>
      </c>
      <c r="T247" s="12">
        <v>12</v>
      </c>
      <c r="U247" s="13"/>
      <c r="V247" s="13"/>
      <c r="W247" s="13"/>
      <c r="X247" s="13"/>
    </row>
    <row r="248" spans="4:24" ht="13" x14ac:dyDescent="0.15">
      <c r="D248" s="32"/>
      <c r="E248" s="7" t="s">
        <v>1022</v>
      </c>
      <c r="F248" s="9">
        <v>3</v>
      </c>
      <c r="G248" s="9">
        <v>0</v>
      </c>
      <c r="H248" s="9">
        <v>0</v>
      </c>
      <c r="I248" s="12">
        <v>3</v>
      </c>
      <c r="J248" s="13"/>
      <c r="K248" s="19" t="s">
        <v>1023</v>
      </c>
      <c r="L248" s="9">
        <v>4</v>
      </c>
      <c r="M248" s="9">
        <v>0</v>
      </c>
      <c r="N248" s="9">
        <v>3</v>
      </c>
      <c r="O248" s="9">
        <v>2</v>
      </c>
      <c r="P248" s="9">
        <v>0</v>
      </c>
      <c r="Q248" s="9">
        <v>0</v>
      </c>
      <c r="R248" s="9">
        <v>3</v>
      </c>
      <c r="S248" s="9">
        <v>1</v>
      </c>
      <c r="T248" s="12">
        <v>13</v>
      </c>
      <c r="U248" s="13"/>
      <c r="V248" s="13"/>
      <c r="W248" s="13"/>
      <c r="X248" s="13"/>
    </row>
    <row r="249" spans="4:24" ht="13" x14ac:dyDescent="0.15">
      <c r="D249" s="32"/>
      <c r="E249" s="7" t="s">
        <v>395</v>
      </c>
      <c r="F249" s="9">
        <v>1</v>
      </c>
      <c r="G249" s="9">
        <v>0</v>
      </c>
      <c r="H249" s="9">
        <v>0</v>
      </c>
      <c r="I249" s="12">
        <v>1</v>
      </c>
      <c r="J249" s="13"/>
      <c r="K249" s="19" t="s">
        <v>1024</v>
      </c>
      <c r="L249" s="9">
        <v>5</v>
      </c>
      <c r="M249" s="9">
        <v>1</v>
      </c>
      <c r="N249" s="9">
        <v>9</v>
      </c>
      <c r="O249" s="9">
        <v>5</v>
      </c>
      <c r="P249" s="9">
        <v>0</v>
      </c>
      <c r="Q249" s="9">
        <v>0</v>
      </c>
      <c r="R249" s="9">
        <v>5</v>
      </c>
      <c r="S249" s="9">
        <v>7</v>
      </c>
      <c r="T249" s="12">
        <v>32</v>
      </c>
      <c r="U249" s="13"/>
      <c r="V249" s="13"/>
      <c r="W249" s="13"/>
      <c r="X249" s="13"/>
    </row>
    <row r="250" spans="4:24" ht="13" x14ac:dyDescent="0.15">
      <c r="D250" s="32"/>
      <c r="E250" s="7" t="s">
        <v>1025</v>
      </c>
      <c r="F250" s="9">
        <v>1</v>
      </c>
      <c r="G250" s="9">
        <v>0</v>
      </c>
      <c r="H250" s="9">
        <v>0</v>
      </c>
      <c r="I250" s="12">
        <v>1</v>
      </c>
      <c r="J250" s="13"/>
      <c r="K250" s="19" t="s">
        <v>1026</v>
      </c>
      <c r="L250" s="9">
        <v>0</v>
      </c>
      <c r="M250" s="9">
        <v>0</v>
      </c>
      <c r="N250" s="9">
        <v>0</v>
      </c>
      <c r="O250" s="9">
        <v>0</v>
      </c>
      <c r="P250" s="9">
        <v>0</v>
      </c>
      <c r="Q250" s="9">
        <v>0</v>
      </c>
      <c r="R250" s="9">
        <v>3</v>
      </c>
      <c r="S250" s="9">
        <v>0</v>
      </c>
      <c r="T250" s="12">
        <v>3</v>
      </c>
      <c r="U250" s="13"/>
      <c r="V250" s="13"/>
      <c r="W250" s="13"/>
      <c r="X250" s="13"/>
    </row>
    <row r="251" spans="4:24" ht="13" x14ac:dyDescent="0.15">
      <c r="D251" s="32"/>
      <c r="E251" s="7" t="s">
        <v>400</v>
      </c>
      <c r="F251" s="9">
        <v>6</v>
      </c>
      <c r="G251" s="9">
        <v>0</v>
      </c>
      <c r="H251" s="9">
        <v>0</v>
      </c>
      <c r="I251" s="12">
        <v>6</v>
      </c>
      <c r="J251" s="13"/>
      <c r="K251" s="19" t="s">
        <v>1027</v>
      </c>
      <c r="L251" s="9">
        <v>0</v>
      </c>
      <c r="M251" s="9">
        <v>0</v>
      </c>
      <c r="N251" s="9">
        <v>3</v>
      </c>
      <c r="O251" s="9">
        <v>2</v>
      </c>
      <c r="P251" s="9">
        <v>0</v>
      </c>
      <c r="Q251" s="9">
        <v>0</v>
      </c>
      <c r="R251" s="9">
        <v>0</v>
      </c>
      <c r="S251" s="9">
        <v>2</v>
      </c>
      <c r="T251" s="12">
        <v>7</v>
      </c>
      <c r="U251" s="13"/>
      <c r="V251" s="13"/>
      <c r="W251" s="13"/>
      <c r="X251" s="13"/>
    </row>
    <row r="252" spans="4:24" ht="13" x14ac:dyDescent="0.15">
      <c r="D252" s="32"/>
      <c r="E252" s="7" t="s">
        <v>1028</v>
      </c>
      <c r="F252" s="9">
        <v>1</v>
      </c>
      <c r="G252" s="9">
        <v>0</v>
      </c>
      <c r="H252" s="9">
        <v>0</v>
      </c>
      <c r="I252" s="12">
        <v>1</v>
      </c>
      <c r="J252" s="13"/>
      <c r="K252" s="18" t="s">
        <v>1029</v>
      </c>
      <c r="L252" s="12">
        <v>6</v>
      </c>
      <c r="M252" s="12">
        <v>0</v>
      </c>
      <c r="N252" s="12">
        <v>113</v>
      </c>
      <c r="O252" s="12">
        <v>67</v>
      </c>
      <c r="P252" s="12">
        <v>0</v>
      </c>
      <c r="Q252" s="12">
        <v>0</v>
      </c>
      <c r="R252" s="12">
        <v>21</v>
      </c>
      <c r="S252" s="12">
        <v>0</v>
      </c>
      <c r="T252" s="12">
        <v>207</v>
      </c>
      <c r="U252" s="13"/>
      <c r="V252" s="13"/>
      <c r="W252" s="13"/>
      <c r="X252" s="13"/>
    </row>
    <row r="253" spans="4:24" ht="13" x14ac:dyDescent="0.15">
      <c r="D253" s="32"/>
      <c r="E253" s="7" t="s">
        <v>1030</v>
      </c>
      <c r="F253" s="9">
        <v>2</v>
      </c>
      <c r="G253" s="9">
        <v>0</v>
      </c>
      <c r="H253" s="9">
        <v>0</v>
      </c>
      <c r="I253" s="12">
        <v>2</v>
      </c>
      <c r="J253" s="13"/>
      <c r="K253" s="19" t="s">
        <v>1031</v>
      </c>
      <c r="L253" s="9">
        <v>0</v>
      </c>
      <c r="M253" s="9">
        <v>0</v>
      </c>
      <c r="N253" s="9">
        <v>5</v>
      </c>
      <c r="O253" s="9">
        <v>1</v>
      </c>
      <c r="P253" s="9">
        <v>0</v>
      </c>
      <c r="Q253" s="9">
        <v>0</v>
      </c>
      <c r="R253" s="9">
        <v>0</v>
      </c>
      <c r="S253" s="9">
        <v>0</v>
      </c>
      <c r="T253" s="12">
        <v>6</v>
      </c>
      <c r="U253" s="13"/>
      <c r="V253" s="13"/>
      <c r="W253" s="13"/>
      <c r="X253" s="13"/>
    </row>
    <row r="254" spans="4:24" ht="13" x14ac:dyDescent="0.15">
      <c r="D254" s="32"/>
      <c r="E254" s="7" t="s">
        <v>1032</v>
      </c>
      <c r="F254" s="9">
        <v>21</v>
      </c>
      <c r="G254" s="9">
        <v>0</v>
      </c>
      <c r="H254" s="9">
        <v>0</v>
      </c>
      <c r="I254" s="12">
        <v>21</v>
      </c>
      <c r="J254" s="13"/>
      <c r="K254" s="19" t="s">
        <v>1033</v>
      </c>
      <c r="L254" s="9">
        <v>0</v>
      </c>
      <c r="M254" s="9">
        <v>0</v>
      </c>
      <c r="N254" s="9">
        <v>4</v>
      </c>
      <c r="O254" s="9">
        <v>5</v>
      </c>
      <c r="P254" s="9">
        <v>0</v>
      </c>
      <c r="Q254" s="9">
        <v>0</v>
      </c>
      <c r="R254" s="9">
        <v>0</v>
      </c>
      <c r="S254" s="9">
        <v>0</v>
      </c>
      <c r="T254" s="12">
        <v>9</v>
      </c>
      <c r="U254" s="13"/>
      <c r="V254" s="13"/>
      <c r="W254" s="13"/>
      <c r="X254" s="13"/>
    </row>
    <row r="255" spans="4:24" ht="13" x14ac:dyDescent="0.15">
      <c r="D255" s="32"/>
      <c r="E255" s="7" t="s">
        <v>1034</v>
      </c>
      <c r="F255" s="9">
        <v>1</v>
      </c>
      <c r="G255" s="9">
        <v>0</v>
      </c>
      <c r="H255" s="9">
        <v>0</v>
      </c>
      <c r="I255" s="12">
        <v>1</v>
      </c>
      <c r="J255" s="13"/>
      <c r="K255" s="19" t="s">
        <v>1035</v>
      </c>
      <c r="L255" s="9">
        <v>0</v>
      </c>
      <c r="M255" s="9">
        <v>0</v>
      </c>
      <c r="N255" s="9">
        <v>3</v>
      </c>
      <c r="O255" s="9">
        <v>0</v>
      </c>
      <c r="P255" s="9">
        <v>0</v>
      </c>
      <c r="Q255" s="9">
        <v>0</v>
      </c>
      <c r="R255" s="9">
        <v>2</v>
      </c>
      <c r="S255" s="9">
        <v>0</v>
      </c>
      <c r="T255" s="12">
        <v>5</v>
      </c>
      <c r="U255" s="13"/>
      <c r="V255" s="13"/>
      <c r="W255" s="13"/>
      <c r="X255" s="13"/>
    </row>
    <row r="256" spans="4:24" ht="13" x14ac:dyDescent="0.15">
      <c r="D256" s="32"/>
      <c r="E256" s="7" t="s">
        <v>72</v>
      </c>
      <c r="F256" s="9">
        <v>4</v>
      </c>
      <c r="G256" s="9">
        <v>0</v>
      </c>
      <c r="H256" s="9">
        <v>0</v>
      </c>
      <c r="I256" s="12">
        <v>4</v>
      </c>
      <c r="J256" s="13"/>
      <c r="K256" s="19" t="s">
        <v>1036</v>
      </c>
      <c r="L256" s="9">
        <v>0</v>
      </c>
      <c r="M256" s="9">
        <v>0</v>
      </c>
      <c r="N256" s="9">
        <v>2</v>
      </c>
      <c r="O256" s="9">
        <v>2</v>
      </c>
      <c r="P256" s="9">
        <v>0</v>
      </c>
      <c r="Q256" s="9">
        <v>0</v>
      </c>
      <c r="R256" s="9">
        <v>0</v>
      </c>
      <c r="S256" s="9">
        <v>0</v>
      </c>
      <c r="T256" s="12">
        <v>4</v>
      </c>
      <c r="U256" s="13"/>
      <c r="V256" s="13"/>
      <c r="W256" s="13"/>
      <c r="X256" s="13"/>
    </row>
    <row r="257" spans="4:24" ht="13" x14ac:dyDescent="0.15">
      <c r="D257" s="32"/>
      <c r="E257" s="7" t="s">
        <v>1037</v>
      </c>
      <c r="F257" s="9">
        <v>2</v>
      </c>
      <c r="G257" s="9">
        <v>0</v>
      </c>
      <c r="H257" s="9">
        <v>0</v>
      </c>
      <c r="I257" s="12">
        <v>2</v>
      </c>
      <c r="J257" s="13"/>
      <c r="K257" s="19" t="s">
        <v>1038</v>
      </c>
      <c r="L257" s="9">
        <v>0</v>
      </c>
      <c r="M257" s="9">
        <v>0</v>
      </c>
      <c r="N257" s="9">
        <v>7</v>
      </c>
      <c r="O257" s="9">
        <v>3</v>
      </c>
      <c r="P257" s="9">
        <v>0</v>
      </c>
      <c r="Q257" s="9">
        <v>0</v>
      </c>
      <c r="R257" s="9">
        <v>0</v>
      </c>
      <c r="S257" s="9">
        <v>0</v>
      </c>
      <c r="T257" s="12">
        <v>10</v>
      </c>
      <c r="U257" s="13"/>
      <c r="V257" s="13"/>
      <c r="W257" s="13"/>
      <c r="X257" s="13"/>
    </row>
    <row r="258" spans="4:24" ht="13" x14ac:dyDescent="0.15">
      <c r="D258" s="32"/>
      <c r="E258" s="7" t="s">
        <v>119</v>
      </c>
      <c r="F258" s="9">
        <v>95</v>
      </c>
      <c r="G258" s="9">
        <v>0</v>
      </c>
      <c r="H258" s="9">
        <v>0</v>
      </c>
      <c r="I258" s="12">
        <v>95</v>
      </c>
      <c r="J258" s="13"/>
      <c r="K258" s="19" t="s">
        <v>1039</v>
      </c>
      <c r="L258" s="9">
        <v>0</v>
      </c>
      <c r="M258" s="9">
        <v>0</v>
      </c>
      <c r="N258" s="9">
        <v>10</v>
      </c>
      <c r="O258" s="9">
        <v>6</v>
      </c>
      <c r="P258" s="9">
        <v>0</v>
      </c>
      <c r="Q258" s="9">
        <v>0</v>
      </c>
      <c r="R258" s="9">
        <v>0</v>
      </c>
      <c r="S258" s="9">
        <v>0</v>
      </c>
      <c r="T258" s="12">
        <v>16</v>
      </c>
      <c r="U258" s="13"/>
      <c r="V258" s="13"/>
      <c r="W258" s="13"/>
      <c r="X258" s="13"/>
    </row>
    <row r="259" spans="4:24" ht="13" x14ac:dyDescent="0.15">
      <c r="D259" s="32"/>
      <c r="E259" s="7" t="s">
        <v>77</v>
      </c>
      <c r="F259" s="9">
        <v>41</v>
      </c>
      <c r="G259" s="9">
        <v>0</v>
      </c>
      <c r="H259" s="9">
        <v>0</v>
      </c>
      <c r="I259" s="12">
        <v>41</v>
      </c>
      <c r="J259" s="13"/>
      <c r="K259" s="19" t="s">
        <v>1040</v>
      </c>
      <c r="L259" s="9">
        <v>0</v>
      </c>
      <c r="M259" s="9">
        <v>0</v>
      </c>
      <c r="N259" s="9">
        <v>3</v>
      </c>
      <c r="O259" s="9">
        <v>2</v>
      </c>
      <c r="P259" s="9">
        <v>0</v>
      </c>
      <c r="Q259" s="9">
        <v>0</v>
      </c>
      <c r="R259" s="9">
        <v>1</v>
      </c>
      <c r="S259" s="9">
        <v>0</v>
      </c>
      <c r="T259" s="12">
        <v>6</v>
      </c>
      <c r="U259" s="13"/>
      <c r="V259" s="13"/>
      <c r="W259" s="13"/>
      <c r="X259" s="13"/>
    </row>
    <row r="260" spans="4:24" ht="13" x14ac:dyDescent="0.15">
      <c r="D260" s="32"/>
      <c r="E260" s="7" t="s">
        <v>1041</v>
      </c>
      <c r="F260" s="9">
        <v>1</v>
      </c>
      <c r="G260" s="9">
        <v>0</v>
      </c>
      <c r="H260" s="9">
        <v>0</v>
      </c>
      <c r="I260" s="12">
        <v>1</v>
      </c>
      <c r="J260" s="13"/>
      <c r="K260" s="19" t="s">
        <v>1042</v>
      </c>
      <c r="L260" s="9">
        <v>0</v>
      </c>
      <c r="M260" s="9">
        <v>0</v>
      </c>
      <c r="N260" s="9">
        <v>2</v>
      </c>
      <c r="O260" s="9">
        <v>4</v>
      </c>
      <c r="P260" s="9">
        <v>0</v>
      </c>
      <c r="Q260" s="9">
        <v>0</v>
      </c>
      <c r="R260" s="9">
        <v>0</v>
      </c>
      <c r="S260" s="9">
        <v>0</v>
      </c>
      <c r="T260" s="12">
        <v>6</v>
      </c>
      <c r="U260" s="13"/>
      <c r="V260" s="13"/>
      <c r="W260" s="13"/>
      <c r="X260" s="13"/>
    </row>
    <row r="261" spans="4:24" ht="13" x14ac:dyDescent="0.15">
      <c r="D261" s="32"/>
      <c r="E261" s="7" t="s">
        <v>1043</v>
      </c>
      <c r="F261" s="9">
        <v>1</v>
      </c>
      <c r="G261" s="9">
        <v>0</v>
      </c>
      <c r="H261" s="9">
        <v>0</v>
      </c>
      <c r="I261" s="12">
        <v>1</v>
      </c>
      <c r="J261" s="13"/>
      <c r="K261" s="19" t="s">
        <v>1044</v>
      </c>
      <c r="L261" s="9">
        <v>0</v>
      </c>
      <c r="M261" s="9">
        <v>0</v>
      </c>
      <c r="N261" s="9">
        <v>2</v>
      </c>
      <c r="O261" s="9">
        <v>0</v>
      </c>
      <c r="P261" s="9">
        <v>0</v>
      </c>
      <c r="Q261" s="9">
        <v>0</v>
      </c>
      <c r="R261" s="9">
        <v>0</v>
      </c>
      <c r="S261" s="9">
        <v>0</v>
      </c>
      <c r="T261" s="12">
        <v>2</v>
      </c>
      <c r="U261" s="13"/>
      <c r="V261" s="13"/>
      <c r="W261" s="13"/>
      <c r="X261" s="13"/>
    </row>
    <row r="262" spans="4:24" ht="13" x14ac:dyDescent="0.15">
      <c r="D262" s="32"/>
      <c r="E262" s="7" t="s">
        <v>338</v>
      </c>
      <c r="F262" s="9">
        <v>4</v>
      </c>
      <c r="G262" s="9">
        <v>0</v>
      </c>
      <c r="H262" s="9">
        <v>0</v>
      </c>
      <c r="I262" s="12">
        <v>4</v>
      </c>
      <c r="J262" s="13"/>
      <c r="K262" s="19" t="s">
        <v>1045</v>
      </c>
      <c r="L262" s="9">
        <v>0</v>
      </c>
      <c r="M262" s="9">
        <v>0</v>
      </c>
      <c r="N262" s="9">
        <v>2</v>
      </c>
      <c r="O262" s="9">
        <v>0</v>
      </c>
      <c r="P262" s="9">
        <v>0</v>
      </c>
      <c r="Q262" s="9">
        <v>0</v>
      </c>
      <c r="R262" s="9">
        <v>0</v>
      </c>
      <c r="S262" s="9">
        <v>0</v>
      </c>
      <c r="T262" s="12">
        <v>2</v>
      </c>
      <c r="U262" s="13"/>
      <c r="V262" s="13"/>
      <c r="W262" s="13"/>
      <c r="X262" s="13"/>
    </row>
    <row r="263" spans="4:24" ht="13" x14ac:dyDescent="0.15">
      <c r="D263" s="32"/>
      <c r="E263" s="7" t="s">
        <v>517</v>
      </c>
      <c r="F263" s="9">
        <v>1</v>
      </c>
      <c r="G263" s="9">
        <v>0</v>
      </c>
      <c r="H263" s="9">
        <v>0</v>
      </c>
      <c r="I263" s="12">
        <v>1</v>
      </c>
      <c r="J263" s="13"/>
      <c r="K263" s="19" t="s">
        <v>1046</v>
      </c>
      <c r="L263" s="9">
        <v>0</v>
      </c>
      <c r="M263" s="9">
        <v>0</v>
      </c>
      <c r="N263" s="9">
        <v>11</v>
      </c>
      <c r="O263" s="9">
        <v>1</v>
      </c>
      <c r="P263" s="9">
        <v>0</v>
      </c>
      <c r="Q263" s="9">
        <v>0</v>
      </c>
      <c r="R263" s="9">
        <v>0</v>
      </c>
      <c r="S263" s="9">
        <v>0</v>
      </c>
      <c r="T263" s="12">
        <v>12</v>
      </c>
      <c r="U263" s="13"/>
      <c r="V263" s="13"/>
      <c r="W263" s="13"/>
      <c r="X263" s="13"/>
    </row>
    <row r="264" spans="4:24" ht="13" x14ac:dyDescent="0.15">
      <c r="D264" s="32"/>
      <c r="E264" s="7" t="s">
        <v>1047</v>
      </c>
      <c r="F264" s="9">
        <v>1</v>
      </c>
      <c r="G264" s="9">
        <v>0</v>
      </c>
      <c r="H264" s="9">
        <v>0</v>
      </c>
      <c r="I264" s="12">
        <v>1</v>
      </c>
      <c r="J264" s="13"/>
      <c r="K264" s="19" t="s">
        <v>1048</v>
      </c>
      <c r="L264" s="9">
        <v>0</v>
      </c>
      <c r="M264" s="9">
        <v>0</v>
      </c>
      <c r="N264" s="9">
        <v>2</v>
      </c>
      <c r="O264" s="9">
        <v>5</v>
      </c>
      <c r="P264" s="9">
        <v>0</v>
      </c>
      <c r="Q264" s="9">
        <v>0</v>
      </c>
      <c r="R264" s="9">
        <v>2</v>
      </c>
      <c r="S264" s="9">
        <v>0</v>
      </c>
      <c r="T264" s="12">
        <v>9</v>
      </c>
      <c r="U264" s="13"/>
      <c r="V264" s="13"/>
      <c r="W264" s="13"/>
      <c r="X264" s="13"/>
    </row>
    <row r="265" spans="4:24" ht="13" x14ac:dyDescent="0.15">
      <c r="D265" s="32"/>
      <c r="E265" s="7" t="s">
        <v>165</v>
      </c>
      <c r="F265" s="9">
        <v>19</v>
      </c>
      <c r="G265" s="9">
        <v>0</v>
      </c>
      <c r="H265" s="9">
        <v>0</v>
      </c>
      <c r="I265" s="12">
        <v>19</v>
      </c>
      <c r="J265" s="13"/>
      <c r="K265" s="19" t="s">
        <v>1049</v>
      </c>
      <c r="L265" s="9">
        <v>0</v>
      </c>
      <c r="M265" s="9">
        <v>0</v>
      </c>
      <c r="N265" s="9">
        <v>5</v>
      </c>
      <c r="O265" s="9">
        <v>1</v>
      </c>
      <c r="P265" s="9">
        <v>0</v>
      </c>
      <c r="Q265" s="9">
        <v>0</v>
      </c>
      <c r="R265" s="9">
        <v>6</v>
      </c>
      <c r="S265" s="9">
        <v>0</v>
      </c>
      <c r="T265" s="12">
        <v>12</v>
      </c>
      <c r="U265" s="13"/>
      <c r="V265" s="13"/>
      <c r="W265" s="13"/>
      <c r="X265" s="13"/>
    </row>
    <row r="266" spans="4:24" ht="13" x14ac:dyDescent="0.15">
      <c r="D266" s="32"/>
      <c r="E266" s="7" t="s">
        <v>1050</v>
      </c>
      <c r="F266" s="9">
        <v>5</v>
      </c>
      <c r="G266" s="9">
        <v>0</v>
      </c>
      <c r="H266" s="9">
        <v>0</v>
      </c>
      <c r="I266" s="12">
        <v>5</v>
      </c>
      <c r="J266" s="13"/>
      <c r="K266" s="19" t="s">
        <v>1051</v>
      </c>
      <c r="L266" s="9">
        <v>0</v>
      </c>
      <c r="M266" s="9">
        <v>0</v>
      </c>
      <c r="N266" s="9">
        <v>4</v>
      </c>
      <c r="O266" s="9">
        <v>3</v>
      </c>
      <c r="P266" s="9">
        <v>0</v>
      </c>
      <c r="Q266" s="9">
        <v>0</v>
      </c>
      <c r="R266" s="9">
        <v>1</v>
      </c>
      <c r="S266" s="9">
        <v>0</v>
      </c>
      <c r="T266" s="12">
        <v>8</v>
      </c>
      <c r="U266" s="13"/>
      <c r="V266" s="13"/>
      <c r="W266" s="13"/>
      <c r="X266" s="13"/>
    </row>
    <row r="267" spans="4:24" ht="13" x14ac:dyDescent="0.15">
      <c r="D267" s="32"/>
      <c r="E267" s="7" t="s">
        <v>1052</v>
      </c>
      <c r="F267" s="9">
        <v>18</v>
      </c>
      <c r="G267" s="9">
        <v>0</v>
      </c>
      <c r="H267" s="9">
        <v>0</v>
      </c>
      <c r="I267" s="12">
        <v>18</v>
      </c>
      <c r="J267" s="13"/>
      <c r="K267" s="19" t="s">
        <v>1053</v>
      </c>
      <c r="L267" s="9">
        <v>0</v>
      </c>
      <c r="M267" s="9">
        <v>0</v>
      </c>
      <c r="N267" s="9">
        <v>3</v>
      </c>
      <c r="O267" s="9">
        <v>2</v>
      </c>
      <c r="P267" s="9">
        <v>0</v>
      </c>
      <c r="Q267" s="9">
        <v>0</v>
      </c>
      <c r="R267" s="9">
        <v>0</v>
      </c>
      <c r="S267" s="9">
        <v>0</v>
      </c>
      <c r="T267" s="12">
        <v>5</v>
      </c>
      <c r="U267" s="13"/>
      <c r="V267" s="13"/>
      <c r="W267" s="13"/>
      <c r="X267" s="13"/>
    </row>
    <row r="268" spans="4:24" ht="13" x14ac:dyDescent="0.15">
      <c r="D268" s="32"/>
      <c r="E268" s="7" t="s">
        <v>1054</v>
      </c>
      <c r="F268" s="9">
        <v>14</v>
      </c>
      <c r="G268" s="9">
        <v>0</v>
      </c>
      <c r="H268" s="9">
        <v>0</v>
      </c>
      <c r="I268" s="12">
        <v>14</v>
      </c>
      <c r="J268" s="13"/>
      <c r="K268" s="19" t="s">
        <v>1055</v>
      </c>
      <c r="L268" s="9">
        <v>1</v>
      </c>
      <c r="M268" s="9">
        <v>0</v>
      </c>
      <c r="N268" s="9">
        <v>1</v>
      </c>
      <c r="O268" s="9">
        <v>2</v>
      </c>
      <c r="P268" s="9">
        <v>0</v>
      </c>
      <c r="Q268" s="9">
        <v>0</v>
      </c>
      <c r="R268" s="9">
        <v>0</v>
      </c>
      <c r="S268" s="9">
        <v>0</v>
      </c>
      <c r="T268" s="12">
        <v>4</v>
      </c>
      <c r="U268" s="13"/>
      <c r="V268" s="13"/>
      <c r="W268" s="13"/>
      <c r="X268" s="13"/>
    </row>
    <row r="269" spans="4:24" ht="13" x14ac:dyDescent="0.15">
      <c r="D269" s="32"/>
      <c r="E269" s="7" t="s">
        <v>224</v>
      </c>
      <c r="F269" s="9">
        <v>5</v>
      </c>
      <c r="G269" s="9">
        <v>0</v>
      </c>
      <c r="H269" s="9">
        <v>0</v>
      </c>
      <c r="I269" s="12">
        <v>5</v>
      </c>
      <c r="J269" s="13"/>
      <c r="K269" s="19" t="s">
        <v>1056</v>
      </c>
      <c r="L269" s="9">
        <v>0</v>
      </c>
      <c r="M269" s="9">
        <v>0</v>
      </c>
      <c r="N269" s="9">
        <v>4</v>
      </c>
      <c r="O269" s="9">
        <v>0</v>
      </c>
      <c r="P269" s="9">
        <v>0</v>
      </c>
      <c r="Q269" s="9">
        <v>0</v>
      </c>
      <c r="R269" s="9">
        <v>0</v>
      </c>
      <c r="S269" s="9">
        <v>0</v>
      </c>
      <c r="T269" s="12">
        <v>4</v>
      </c>
      <c r="U269" s="13"/>
      <c r="V269" s="13"/>
      <c r="W269" s="13"/>
      <c r="X269" s="13"/>
    </row>
    <row r="270" spans="4:24" ht="13" x14ac:dyDescent="0.15">
      <c r="D270" s="32"/>
      <c r="E270" s="7" t="s">
        <v>849</v>
      </c>
      <c r="F270" s="9">
        <v>3</v>
      </c>
      <c r="G270" s="9">
        <v>0</v>
      </c>
      <c r="H270" s="9">
        <v>0</v>
      </c>
      <c r="I270" s="12">
        <v>3</v>
      </c>
      <c r="J270" s="13"/>
      <c r="K270" s="19" t="s">
        <v>1057</v>
      </c>
      <c r="L270" s="9">
        <v>0</v>
      </c>
      <c r="M270" s="9">
        <v>0</v>
      </c>
      <c r="N270" s="9">
        <v>0</v>
      </c>
      <c r="O270" s="9">
        <v>1</v>
      </c>
      <c r="P270" s="9">
        <v>0</v>
      </c>
      <c r="Q270" s="9">
        <v>0</v>
      </c>
      <c r="R270" s="9">
        <v>0</v>
      </c>
      <c r="S270" s="9">
        <v>0</v>
      </c>
      <c r="T270" s="12">
        <v>1</v>
      </c>
      <c r="U270" s="13"/>
      <c r="V270" s="13"/>
      <c r="W270" s="13"/>
      <c r="X270" s="13"/>
    </row>
    <row r="271" spans="4:24" ht="13" x14ac:dyDescent="0.15">
      <c r="D271" s="32"/>
      <c r="E271" s="7" t="s">
        <v>1058</v>
      </c>
      <c r="F271" s="9">
        <v>2</v>
      </c>
      <c r="G271" s="9">
        <v>0</v>
      </c>
      <c r="H271" s="9">
        <v>0</v>
      </c>
      <c r="I271" s="12">
        <v>2</v>
      </c>
      <c r="J271" s="13"/>
      <c r="K271" s="19" t="s">
        <v>1059</v>
      </c>
      <c r="L271" s="9">
        <v>1</v>
      </c>
      <c r="M271" s="9">
        <v>0</v>
      </c>
      <c r="N271" s="9">
        <v>1</v>
      </c>
      <c r="O271" s="9">
        <v>2</v>
      </c>
      <c r="P271" s="9">
        <v>0</v>
      </c>
      <c r="Q271" s="9">
        <v>0</v>
      </c>
      <c r="R271" s="9">
        <v>0</v>
      </c>
      <c r="S271" s="9">
        <v>0</v>
      </c>
      <c r="T271" s="12">
        <v>4</v>
      </c>
      <c r="U271" s="13"/>
      <c r="V271" s="13"/>
      <c r="W271" s="13"/>
      <c r="X271" s="13"/>
    </row>
    <row r="272" spans="4:24" ht="13" x14ac:dyDescent="0.15">
      <c r="D272" s="32"/>
      <c r="E272" s="7" t="s">
        <v>1060</v>
      </c>
      <c r="F272" s="9">
        <v>3</v>
      </c>
      <c r="G272" s="9">
        <v>0</v>
      </c>
      <c r="H272" s="9">
        <v>0</v>
      </c>
      <c r="I272" s="12">
        <v>3</v>
      </c>
      <c r="J272" s="13"/>
      <c r="K272" s="19" t="s">
        <v>1061</v>
      </c>
      <c r="L272" s="9">
        <v>0</v>
      </c>
      <c r="M272" s="9">
        <v>0</v>
      </c>
      <c r="N272" s="9">
        <v>3</v>
      </c>
      <c r="O272" s="9">
        <v>7</v>
      </c>
      <c r="P272" s="9">
        <v>0</v>
      </c>
      <c r="Q272" s="9">
        <v>0</v>
      </c>
      <c r="R272" s="9">
        <v>1</v>
      </c>
      <c r="S272" s="9">
        <v>0</v>
      </c>
      <c r="T272" s="12">
        <v>11</v>
      </c>
      <c r="U272" s="13"/>
      <c r="V272" s="13"/>
      <c r="W272" s="13"/>
      <c r="X272" s="13"/>
    </row>
    <row r="273" spans="4:24" ht="13" x14ac:dyDescent="0.15">
      <c r="D273" s="32"/>
      <c r="E273" s="7" t="s">
        <v>1062</v>
      </c>
      <c r="F273" s="9">
        <v>2</v>
      </c>
      <c r="G273" s="9">
        <v>0</v>
      </c>
      <c r="H273" s="9">
        <v>0</v>
      </c>
      <c r="I273" s="12">
        <v>2</v>
      </c>
      <c r="J273" s="13"/>
      <c r="K273" s="19" t="s">
        <v>1063</v>
      </c>
      <c r="L273" s="9">
        <v>0</v>
      </c>
      <c r="M273" s="9">
        <v>0</v>
      </c>
      <c r="N273" s="9">
        <v>5</v>
      </c>
      <c r="O273" s="9">
        <v>1</v>
      </c>
      <c r="P273" s="9">
        <v>0</v>
      </c>
      <c r="Q273" s="9">
        <v>0</v>
      </c>
      <c r="R273" s="9">
        <v>0</v>
      </c>
      <c r="S273" s="9">
        <v>0</v>
      </c>
      <c r="T273" s="12">
        <v>6</v>
      </c>
      <c r="U273" s="13"/>
      <c r="V273" s="13"/>
      <c r="W273" s="13"/>
      <c r="X273" s="13"/>
    </row>
    <row r="274" spans="4:24" ht="13" x14ac:dyDescent="0.15">
      <c r="D274" s="32"/>
      <c r="E274" s="7" t="s">
        <v>1064</v>
      </c>
      <c r="F274" s="9">
        <v>5</v>
      </c>
      <c r="G274" s="9">
        <v>0</v>
      </c>
      <c r="H274" s="9">
        <v>0</v>
      </c>
      <c r="I274" s="12">
        <v>5</v>
      </c>
      <c r="J274" s="13"/>
      <c r="K274" s="19" t="s">
        <v>1065</v>
      </c>
      <c r="L274" s="9">
        <v>1</v>
      </c>
      <c r="M274" s="9">
        <v>0</v>
      </c>
      <c r="N274" s="9">
        <v>3</v>
      </c>
      <c r="O274" s="9">
        <v>4</v>
      </c>
      <c r="P274" s="9">
        <v>0</v>
      </c>
      <c r="Q274" s="9">
        <v>0</v>
      </c>
      <c r="R274" s="9">
        <v>1</v>
      </c>
      <c r="S274" s="9">
        <v>0</v>
      </c>
      <c r="T274" s="12">
        <v>9</v>
      </c>
      <c r="U274" s="13"/>
      <c r="V274" s="13"/>
      <c r="W274" s="13"/>
      <c r="X274" s="13"/>
    </row>
    <row r="275" spans="4:24" ht="13" x14ac:dyDescent="0.15">
      <c r="D275" s="32"/>
      <c r="E275" s="7" t="s">
        <v>1066</v>
      </c>
      <c r="F275" s="9">
        <v>3</v>
      </c>
      <c r="G275" s="9">
        <v>0</v>
      </c>
      <c r="H275" s="9">
        <v>0</v>
      </c>
      <c r="I275" s="12">
        <v>3</v>
      </c>
      <c r="J275" s="13"/>
      <c r="K275" s="19" t="s">
        <v>1067</v>
      </c>
      <c r="L275" s="9">
        <v>1</v>
      </c>
      <c r="M275" s="9">
        <v>0</v>
      </c>
      <c r="N275" s="9">
        <v>6</v>
      </c>
      <c r="O275" s="9">
        <v>2</v>
      </c>
      <c r="P275" s="9">
        <v>0</v>
      </c>
      <c r="Q275" s="9">
        <v>0</v>
      </c>
      <c r="R275" s="9">
        <v>1</v>
      </c>
      <c r="S275" s="9">
        <v>0</v>
      </c>
      <c r="T275" s="12">
        <v>10</v>
      </c>
      <c r="U275" s="13"/>
      <c r="V275" s="13"/>
      <c r="W275" s="13"/>
      <c r="X275" s="13"/>
    </row>
    <row r="276" spans="4:24" ht="13" x14ac:dyDescent="0.15">
      <c r="D276" s="32"/>
      <c r="E276" s="7" t="s">
        <v>580</v>
      </c>
      <c r="F276" s="9">
        <v>2</v>
      </c>
      <c r="G276" s="9">
        <v>0</v>
      </c>
      <c r="H276" s="9">
        <v>0</v>
      </c>
      <c r="I276" s="12">
        <v>2</v>
      </c>
      <c r="J276" s="13"/>
      <c r="K276" s="19" t="s">
        <v>1068</v>
      </c>
      <c r="L276" s="9">
        <v>0</v>
      </c>
      <c r="M276" s="9">
        <v>0</v>
      </c>
      <c r="N276" s="9">
        <v>3</v>
      </c>
      <c r="O276" s="9">
        <v>0</v>
      </c>
      <c r="P276" s="9">
        <v>0</v>
      </c>
      <c r="Q276" s="9">
        <v>0</v>
      </c>
      <c r="R276" s="9">
        <v>1</v>
      </c>
      <c r="S276" s="9">
        <v>0</v>
      </c>
      <c r="T276" s="12">
        <v>4</v>
      </c>
      <c r="U276" s="13"/>
      <c r="V276" s="13"/>
      <c r="W276" s="13"/>
      <c r="X276" s="13"/>
    </row>
    <row r="277" spans="4:24" ht="13" x14ac:dyDescent="0.15">
      <c r="D277" s="32"/>
      <c r="E277" s="7" t="s">
        <v>1069</v>
      </c>
      <c r="F277" s="9">
        <v>5</v>
      </c>
      <c r="G277" s="9">
        <v>0</v>
      </c>
      <c r="H277" s="9">
        <v>0</v>
      </c>
      <c r="I277" s="12">
        <v>5</v>
      </c>
      <c r="J277" s="13"/>
      <c r="K277" s="19" t="s">
        <v>1070</v>
      </c>
      <c r="L277" s="9">
        <v>0</v>
      </c>
      <c r="M277" s="9">
        <v>0</v>
      </c>
      <c r="N277" s="9">
        <v>1</v>
      </c>
      <c r="O277" s="9">
        <v>0</v>
      </c>
      <c r="P277" s="9">
        <v>0</v>
      </c>
      <c r="Q277" s="9">
        <v>0</v>
      </c>
      <c r="R277" s="9">
        <v>0</v>
      </c>
      <c r="S277" s="9">
        <v>0</v>
      </c>
      <c r="T277" s="12">
        <v>1</v>
      </c>
      <c r="U277" s="13"/>
      <c r="V277" s="13"/>
      <c r="W277" s="13"/>
      <c r="X277" s="13"/>
    </row>
    <row r="278" spans="4:24" ht="13" x14ac:dyDescent="0.15">
      <c r="D278" s="32"/>
      <c r="E278" s="7" t="s">
        <v>1071</v>
      </c>
      <c r="F278" s="9">
        <v>7</v>
      </c>
      <c r="G278" s="9">
        <v>0</v>
      </c>
      <c r="H278" s="9">
        <v>0</v>
      </c>
      <c r="I278" s="12">
        <v>7</v>
      </c>
      <c r="J278" s="13"/>
      <c r="K278" s="19" t="s">
        <v>1072</v>
      </c>
      <c r="L278" s="9">
        <v>0</v>
      </c>
      <c r="M278" s="9">
        <v>0</v>
      </c>
      <c r="N278" s="9">
        <v>4</v>
      </c>
      <c r="O278" s="9">
        <v>1</v>
      </c>
      <c r="P278" s="9">
        <v>0</v>
      </c>
      <c r="Q278" s="9">
        <v>0</v>
      </c>
      <c r="R278" s="9">
        <v>0</v>
      </c>
      <c r="S278" s="9">
        <v>0</v>
      </c>
      <c r="T278" s="12">
        <v>5</v>
      </c>
      <c r="U278" s="13"/>
      <c r="V278" s="13"/>
      <c r="W278" s="13"/>
      <c r="X278" s="13"/>
    </row>
    <row r="279" spans="4:24" ht="13" x14ac:dyDescent="0.15">
      <c r="D279" s="32"/>
      <c r="E279" s="7" t="s">
        <v>1073</v>
      </c>
      <c r="F279" s="9">
        <v>5</v>
      </c>
      <c r="G279" s="9">
        <v>0</v>
      </c>
      <c r="H279" s="9">
        <v>0</v>
      </c>
      <c r="I279" s="12">
        <v>5</v>
      </c>
      <c r="J279" s="13"/>
      <c r="K279" s="19" t="s">
        <v>1074</v>
      </c>
      <c r="L279" s="9">
        <v>0</v>
      </c>
      <c r="M279" s="9">
        <v>0</v>
      </c>
      <c r="N279" s="9">
        <v>3</v>
      </c>
      <c r="O279" s="9">
        <v>3</v>
      </c>
      <c r="P279" s="9">
        <v>0</v>
      </c>
      <c r="Q279" s="9">
        <v>0</v>
      </c>
      <c r="R279" s="9">
        <v>2</v>
      </c>
      <c r="S279" s="9">
        <v>0</v>
      </c>
      <c r="T279" s="12">
        <v>8</v>
      </c>
      <c r="U279" s="13"/>
      <c r="V279" s="13"/>
      <c r="W279" s="13"/>
      <c r="X279" s="13"/>
    </row>
    <row r="280" spans="4:24" ht="13" x14ac:dyDescent="0.15">
      <c r="D280" s="32"/>
      <c r="E280" s="7" t="s">
        <v>597</v>
      </c>
      <c r="F280" s="9">
        <v>1</v>
      </c>
      <c r="G280" s="9">
        <v>0</v>
      </c>
      <c r="H280" s="9">
        <v>0</v>
      </c>
      <c r="I280" s="12">
        <v>1</v>
      </c>
      <c r="J280" s="13"/>
      <c r="K280" s="19" t="s">
        <v>1075</v>
      </c>
      <c r="L280" s="9">
        <v>0</v>
      </c>
      <c r="M280" s="9">
        <v>0</v>
      </c>
      <c r="N280" s="9">
        <v>9</v>
      </c>
      <c r="O280" s="9">
        <v>9</v>
      </c>
      <c r="P280" s="9">
        <v>0</v>
      </c>
      <c r="Q280" s="9">
        <v>0</v>
      </c>
      <c r="R280" s="9">
        <v>0</v>
      </c>
      <c r="S280" s="9">
        <v>0</v>
      </c>
      <c r="T280" s="12">
        <v>18</v>
      </c>
      <c r="U280" s="13"/>
      <c r="V280" s="13"/>
      <c r="W280" s="13"/>
      <c r="X280" s="13"/>
    </row>
    <row r="281" spans="4:24" ht="13" x14ac:dyDescent="0.15">
      <c r="D281" s="32"/>
      <c r="E281" s="7" t="s">
        <v>1076</v>
      </c>
      <c r="F281" s="9">
        <v>17</v>
      </c>
      <c r="G281" s="9">
        <v>0</v>
      </c>
      <c r="H281" s="9">
        <v>0</v>
      </c>
      <c r="I281" s="12">
        <v>17</v>
      </c>
      <c r="J281" s="13"/>
      <c r="K281" s="19" t="s">
        <v>1077</v>
      </c>
      <c r="L281" s="9">
        <v>2</v>
      </c>
      <c r="M281" s="9">
        <v>0</v>
      </c>
      <c r="N281" s="9">
        <v>5</v>
      </c>
      <c r="O281" s="9">
        <v>0</v>
      </c>
      <c r="P281" s="9">
        <v>0</v>
      </c>
      <c r="Q281" s="9">
        <v>0</v>
      </c>
      <c r="R281" s="9">
        <v>3</v>
      </c>
      <c r="S281" s="9">
        <v>0</v>
      </c>
      <c r="T281" s="12">
        <v>10</v>
      </c>
      <c r="U281" s="13"/>
      <c r="V281" s="13"/>
      <c r="W281" s="13"/>
      <c r="X281" s="13"/>
    </row>
    <row r="282" spans="4:24" ht="13" x14ac:dyDescent="0.15">
      <c r="D282" s="32"/>
      <c r="E282" s="7" t="s">
        <v>1078</v>
      </c>
      <c r="F282" s="9">
        <v>1</v>
      </c>
      <c r="G282" s="9">
        <v>0</v>
      </c>
      <c r="H282" s="9">
        <v>0</v>
      </c>
      <c r="I282" s="12">
        <v>1</v>
      </c>
      <c r="J282" s="13"/>
      <c r="K282" s="18" t="s">
        <v>1079</v>
      </c>
      <c r="L282" s="12">
        <v>7</v>
      </c>
      <c r="M282" s="12">
        <v>1</v>
      </c>
      <c r="N282" s="12">
        <v>109</v>
      </c>
      <c r="O282" s="12">
        <v>58</v>
      </c>
      <c r="P282" s="12">
        <v>0</v>
      </c>
      <c r="Q282" s="12">
        <v>0</v>
      </c>
      <c r="R282" s="12">
        <v>28</v>
      </c>
      <c r="S282" s="12">
        <v>0</v>
      </c>
      <c r="T282" s="12">
        <v>203</v>
      </c>
      <c r="U282" s="13"/>
      <c r="V282" s="13"/>
      <c r="W282" s="13"/>
      <c r="X282" s="13"/>
    </row>
    <row r="283" spans="4:24" ht="13" x14ac:dyDescent="0.15">
      <c r="D283" s="32"/>
      <c r="E283" s="7" t="s">
        <v>600</v>
      </c>
      <c r="F283" s="9">
        <v>4</v>
      </c>
      <c r="G283" s="9">
        <v>0</v>
      </c>
      <c r="H283" s="9">
        <v>0</v>
      </c>
      <c r="I283" s="12">
        <v>4</v>
      </c>
      <c r="J283" s="13"/>
      <c r="K283" s="19" t="s">
        <v>1080</v>
      </c>
      <c r="L283" s="9">
        <v>1</v>
      </c>
      <c r="M283" s="9">
        <v>0</v>
      </c>
      <c r="N283" s="9">
        <v>3</v>
      </c>
      <c r="O283" s="9">
        <v>1</v>
      </c>
      <c r="P283" s="9">
        <v>0</v>
      </c>
      <c r="Q283" s="9">
        <v>0</v>
      </c>
      <c r="R283" s="9">
        <v>0</v>
      </c>
      <c r="S283" s="9">
        <v>0</v>
      </c>
      <c r="T283" s="12">
        <v>5</v>
      </c>
      <c r="U283" s="13"/>
      <c r="V283" s="13"/>
      <c r="W283" s="13"/>
      <c r="X283" s="13"/>
    </row>
    <row r="284" spans="4:24" ht="13" x14ac:dyDescent="0.15">
      <c r="D284" s="32"/>
      <c r="E284" s="7" t="s">
        <v>145</v>
      </c>
      <c r="F284" s="9">
        <v>12</v>
      </c>
      <c r="G284" s="9">
        <v>0</v>
      </c>
      <c r="H284" s="9">
        <v>0</v>
      </c>
      <c r="I284" s="12">
        <v>12</v>
      </c>
      <c r="J284" s="13"/>
      <c r="K284" s="19" t="s">
        <v>1081</v>
      </c>
      <c r="L284" s="9">
        <v>0</v>
      </c>
      <c r="M284" s="9">
        <v>0</v>
      </c>
      <c r="N284" s="9">
        <v>6</v>
      </c>
      <c r="O284" s="9">
        <v>0</v>
      </c>
      <c r="P284" s="9">
        <v>0</v>
      </c>
      <c r="Q284" s="9">
        <v>0</v>
      </c>
      <c r="R284" s="9">
        <v>1</v>
      </c>
      <c r="S284" s="9">
        <v>0</v>
      </c>
      <c r="T284" s="12">
        <v>7</v>
      </c>
      <c r="U284" s="13"/>
      <c r="V284" s="13"/>
      <c r="W284" s="13"/>
      <c r="X284" s="13"/>
    </row>
    <row r="285" spans="4:24" ht="13" x14ac:dyDescent="0.15">
      <c r="D285" s="32"/>
      <c r="E285" s="7" t="s">
        <v>1082</v>
      </c>
      <c r="F285" s="9">
        <v>1</v>
      </c>
      <c r="G285" s="9">
        <v>0</v>
      </c>
      <c r="H285" s="9">
        <v>0</v>
      </c>
      <c r="I285" s="12">
        <v>1</v>
      </c>
      <c r="J285" s="13"/>
      <c r="K285" s="19" t="s">
        <v>1083</v>
      </c>
      <c r="L285" s="9">
        <v>0</v>
      </c>
      <c r="M285" s="9">
        <v>1</v>
      </c>
      <c r="N285" s="9">
        <v>4</v>
      </c>
      <c r="O285" s="9">
        <v>5</v>
      </c>
      <c r="P285" s="9">
        <v>0</v>
      </c>
      <c r="Q285" s="9">
        <v>0</v>
      </c>
      <c r="R285" s="9">
        <v>1</v>
      </c>
      <c r="S285" s="9">
        <v>0</v>
      </c>
      <c r="T285" s="12">
        <v>11</v>
      </c>
      <c r="U285" s="13"/>
      <c r="V285" s="13"/>
      <c r="W285" s="13"/>
      <c r="X285" s="13"/>
    </row>
    <row r="286" spans="4:24" ht="13" x14ac:dyDescent="0.15">
      <c r="D286" s="32"/>
      <c r="E286" s="7" t="s">
        <v>1084</v>
      </c>
      <c r="F286" s="9">
        <v>21</v>
      </c>
      <c r="G286" s="9">
        <v>0</v>
      </c>
      <c r="H286" s="9">
        <v>0</v>
      </c>
      <c r="I286" s="12">
        <v>21</v>
      </c>
      <c r="J286" s="13"/>
      <c r="K286" s="19" t="s">
        <v>1085</v>
      </c>
      <c r="L286" s="9">
        <v>1</v>
      </c>
      <c r="M286" s="9">
        <v>0</v>
      </c>
      <c r="N286" s="9">
        <v>6</v>
      </c>
      <c r="O286" s="9">
        <v>2</v>
      </c>
      <c r="P286" s="9">
        <v>0</v>
      </c>
      <c r="Q286" s="9">
        <v>0</v>
      </c>
      <c r="R286" s="9">
        <v>1</v>
      </c>
      <c r="S286" s="9">
        <v>0</v>
      </c>
      <c r="T286" s="12">
        <v>10</v>
      </c>
      <c r="U286" s="13"/>
      <c r="V286" s="13"/>
      <c r="W286" s="13"/>
      <c r="X286" s="13"/>
    </row>
    <row r="287" spans="4:24" ht="13" x14ac:dyDescent="0.15">
      <c r="D287" s="32"/>
      <c r="E287" s="7" t="s">
        <v>1086</v>
      </c>
      <c r="F287" s="9">
        <v>1</v>
      </c>
      <c r="G287" s="9">
        <v>0</v>
      </c>
      <c r="H287" s="9">
        <v>0</v>
      </c>
      <c r="I287" s="12">
        <v>1</v>
      </c>
      <c r="J287" s="13"/>
      <c r="K287" s="19" t="s">
        <v>1087</v>
      </c>
      <c r="L287" s="9">
        <v>0</v>
      </c>
      <c r="M287" s="9">
        <v>0</v>
      </c>
      <c r="N287" s="9">
        <v>7</v>
      </c>
      <c r="O287" s="9">
        <v>0</v>
      </c>
      <c r="P287" s="9">
        <v>0</v>
      </c>
      <c r="Q287" s="9">
        <v>0</v>
      </c>
      <c r="R287" s="9">
        <v>1</v>
      </c>
      <c r="S287" s="9">
        <v>0</v>
      </c>
      <c r="T287" s="12">
        <v>8</v>
      </c>
      <c r="U287" s="13"/>
      <c r="V287" s="13"/>
      <c r="W287" s="13"/>
      <c r="X287" s="13"/>
    </row>
    <row r="288" spans="4:24" ht="13" x14ac:dyDescent="0.15">
      <c r="D288" s="32"/>
      <c r="E288" s="7" t="s">
        <v>1088</v>
      </c>
      <c r="F288" s="9">
        <v>6</v>
      </c>
      <c r="G288" s="9">
        <v>0</v>
      </c>
      <c r="H288" s="9">
        <v>0</v>
      </c>
      <c r="I288" s="12">
        <v>6</v>
      </c>
      <c r="J288" s="13"/>
      <c r="K288" s="19" t="s">
        <v>1089</v>
      </c>
      <c r="L288" s="9">
        <v>4</v>
      </c>
      <c r="M288" s="9">
        <v>0</v>
      </c>
      <c r="N288" s="9">
        <v>7</v>
      </c>
      <c r="O288" s="9">
        <v>2</v>
      </c>
      <c r="P288" s="9">
        <v>0</v>
      </c>
      <c r="Q288" s="9">
        <v>0</v>
      </c>
      <c r="R288" s="9">
        <v>2</v>
      </c>
      <c r="S288" s="9">
        <v>0</v>
      </c>
      <c r="T288" s="12">
        <v>15</v>
      </c>
      <c r="U288" s="13"/>
      <c r="V288" s="13"/>
      <c r="W288" s="13"/>
      <c r="X288" s="13"/>
    </row>
    <row r="289" spans="4:24" ht="13" x14ac:dyDescent="0.15">
      <c r="D289" s="32"/>
      <c r="E289" s="7" t="s">
        <v>632</v>
      </c>
      <c r="F289" s="9">
        <v>3</v>
      </c>
      <c r="G289" s="9">
        <v>0</v>
      </c>
      <c r="H289" s="9">
        <v>0</v>
      </c>
      <c r="I289" s="12">
        <v>3</v>
      </c>
      <c r="J289" s="13"/>
      <c r="K289" s="19" t="s">
        <v>1090</v>
      </c>
      <c r="L289" s="9">
        <v>0</v>
      </c>
      <c r="M289" s="9">
        <v>0</v>
      </c>
      <c r="N289" s="9">
        <v>1</v>
      </c>
      <c r="O289" s="9">
        <v>0</v>
      </c>
      <c r="P289" s="9">
        <v>0</v>
      </c>
      <c r="Q289" s="9">
        <v>0</v>
      </c>
      <c r="R289" s="9">
        <v>0</v>
      </c>
      <c r="S289" s="9">
        <v>0</v>
      </c>
      <c r="T289" s="12">
        <v>1</v>
      </c>
      <c r="U289" s="13"/>
      <c r="V289" s="13"/>
      <c r="W289" s="13"/>
      <c r="X289" s="13"/>
    </row>
    <row r="290" spans="4:24" ht="13" x14ac:dyDescent="0.15">
      <c r="D290" s="32"/>
      <c r="E290" s="7" t="s">
        <v>1091</v>
      </c>
      <c r="F290" s="9">
        <v>51</v>
      </c>
      <c r="G290" s="9">
        <v>0</v>
      </c>
      <c r="H290" s="9">
        <v>0</v>
      </c>
      <c r="I290" s="12">
        <v>51</v>
      </c>
      <c r="J290" s="13"/>
      <c r="K290" s="19" t="s">
        <v>1092</v>
      </c>
      <c r="L290" s="9">
        <v>0</v>
      </c>
      <c r="M290" s="9">
        <v>0</v>
      </c>
      <c r="N290" s="9">
        <v>2</v>
      </c>
      <c r="O290" s="9">
        <v>1</v>
      </c>
      <c r="P290" s="9">
        <v>0</v>
      </c>
      <c r="Q290" s="9">
        <v>0</v>
      </c>
      <c r="R290" s="9">
        <v>0</v>
      </c>
      <c r="S290" s="9">
        <v>0</v>
      </c>
      <c r="T290" s="12">
        <v>3</v>
      </c>
      <c r="U290" s="13"/>
      <c r="V290" s="13"/>
      <c r="W290" s="13"/>
      <c r="X290" s="13"/>
    </row>
    <row r="291" spans="4:24" ht="13" x14ac:dyDescent="0.15">
      <c r="D291" s="32"/>
      <c r="E291" s="7" t="s">
        <v>645</v>
      </c>
      <c r="F291" s="9">
        <v>5</v>
      </c>
      <c r="G291" s="9">
        <v>0</v>
      </c>
      <c r="H291" s="9">
        <v>0</v>
      </c>
      <c r="I291" s="12">
        <v>5</v>
      </c>
      <c r="J291" s="13"/>
      <c r="K291" s="19" t="s">
        <v>1093</v>
      </c>
      <c r="L291" s="9">
        <v>0</v>
      </c>
      <c r="M291" s="9">
        <v>0</v>
      </c>
      <c r="N291" s="9">
        <v>3</v>
      </c>
      <c r="O291" s="9">
        <v>1</v>
      </c>
      <c r="P291" s="9">
        <v>0</v>
      </c>
      <c r="Q291" s="9">
        <v>0</v>
      </c>
      <c r="R291" s="9">
        <v>1</v>
      </c>
      <c r="S291" s="9">
        <v>0</v>
      </c>
      <c r="T291" s="12">
        <v>5</v>
      </c>
      <c r="U291" s="13"/>
      <c r="V291" s="13"/>
      <c r="W291" s="13"/>
      <c r="X291" s="13"/>
    </row>
    <row r="292" spans="4:24" ht="13" x14ac:dyDescent="0.15">
      <c r="D292" s="32"/>
      <c r="E292" s="7" t="s">
        <v>655</v>
      </c>
      <c r="F292" s="9">
        <v>2</v>
      </c>
      <c r="G292" s="9">
        <v>0</v>
      </c>
      <c r="H292" s="9">
        <v>0</v>
      </c>
      <c r="I292" s="12">
        <v>2</v>
      </c>
      <c r="J292" s="13"/>
      <c r="K292" s="19" t="s">
        <v>1094</v>
      </c>
      <c r="L292" s="9">
        <v>0</v>
      </c>
      <c r="M292" s="9">
        <v>0</v>
      </c>
      <c r="N292" s="9">
        <v>9</v>
      </c>
      <c r="O292" s="9">
        <v>3</v>
      </c>
      <c r="P292" s="9">
        <v>0</v>
      </c>
      <c r="Q292" s="9">
        <v>0</v>
      </c>
      <c r="R292" s="9">
        <v>3</v>
      </c>
      <c r="S292" s="9">
        <v>0</v>
      </c>
      <c r="T292" s="12">
        <v>15</v>
      </c>
      <c r="U292" s="13"/>
      <c r="V292" s="13"/>
      <c r="W292" s="13"/>
      <c r="X292" s="13"/>
    </row>
    <row r="293" spans="4:24" ht="13" x14ac:dyDescent="0.15">
      <c r="D293" s="32"/>
      <c r="E293" s="7" t="s">
        <v>1095</v>
      </c>
      <c r="F293" s="9">
        <v>2</v>
      </c>
      <c r="G293" s="9">
        <v>0</v>
      </c>
      <c r="H293" s="9">
        <v>0</v>
      </c>
      <c r="I293" s="12">
        <v>2</v>
      </c>
      <c r="J293" s="13"/>
      <c r="K293" s="19" t="s">
        <v>1096</v>
      </c>
      <c r="L293" s="9">
        <v>0</v>
      </c>
      <c r="M293" s="9">
        <v>0</v>
      </c>
      <c r="N293" s="9">
        <v>5</v>
      </c>
      <c r="O293" s="9">
        <v>0</v>
      </c>
      <c r="P293" s="9">
        <v>0</v>
      </c>
      <c r="Q293" s="9">
        <v>0</v>
      </c>
      <c r="R293" s="9">
        <v>1</v>
      </c>
      <c r="S293" s="9">
        <v>0</v>
      </c>
      <c r="T293" s="12">
        <v>6</v>
      </c>
      <c r="U293" s="13"/>
      <c r="V293" s="13"/>
      <c r="W293" s="13"/>
      <c r="X293" s="13"/>
    </row>
    <row r="294" spans="4:24" ht="13" x14ac:dyDescent="0.15">
      <c r="D294" s="33"/>
      <c r="E294" s="7" t="s">
        <v>1097</v>
      </c>
      <c r="F294" s="9">
        <v>165</v>
      </c>
      <c r="G294" s="9">
        <v>0</v>
      </c>
      <c r="H294" s="9">
        <v>0</v>
      </c>
      <c r="I294" s="12">
        <v>165</v>
      </c>
      <c r="J294" s="13"/>
      <c r="K294" s="19" t="s">
        <v>1098</v>
      </c>
      <c r="L294" s="9">
        <v>0</v>
      </c>
      <c r="M294" s="9">
        <v>0</v>
      </c>
      <c r="N294" s="9">
        <v>2</v>
      </c>
      <c r="O294" s="9">
        <v>4</v>
      </c>
      <c r="P294" s="9">
        <v>0</v>
      </c>
      <c r="Q294" s="9">
        <v>0</v>
      </c>
      <c r="R294" s="9">
        <v>2</v>
      </c>
      <c r="S294" s="9">
        <v>0</v>
      </c>
      <c r="T294" s="12">
        <v>8</v>
      </c>
      <c r="U294" s="13"/>
      <c r="V294" s="13"/>
      <c r="W294" s="13"/>
      <c r="X294" s="13"/>
    </row>
    <row r="295" spans="4:24" ht="13" x14ac:dyDescent="0.15">
      <c r="D295" s="11" t="s">
        <v>1099</v>
      </c>
      <c r="E295" s="11"/>
      <c r="F295" s="12">
        <v>784</v>
      </c>
      <c r="G295" s="12">
        <v>0</v>
      </c>
      <c r="H295" s="12">
        <v>0</v>
      </c>
      <c r="I295" s="12">
        <v>784</v>
      </c>
      <c r="J295" s="13"/>
      <c r="K295" s="19" t="s">
        <v>1100</v>
      </c>
      <c r="L295" s="9">
        <v>0</v>
      </c>
      <c r="M295" s="9">
        <v>0</v>
      </c>
      <c r="N295" s="9">
        <v>3</v>
      </c>
      <c r="O295" s="9">
        <v>4</v>
      </c>
      <c r="P295" s="9">
        <v>0</v>
      </c>
      <c r="Q295" s="9">
        <v>0</v>
      </c>
      <c r="R295" s="9">
        <v>1</v>
      </c>
      <c r="S295" s="9">
        <v>0</v>
      </c>
      <c r="T295" s="12">
        <v>8</v>
      </c>
      <c r="U295" s="13"/>
      <c r="V295" s="13"/>
      <c r="W295" s="13"/>
      <c r="X295" s="13"/>
    </row>
    <row r="296" spans="4:24" ht="13" x14ac:dyDescent="0.15">
      <c r="D296" s="31" t="s">
        <v>28</v>
      </c>
      <c r="E296" s="7" t="s">
        <v>1000</v>
      </c>
      <c r="F296" s="9">
        <v>80</v>
      </c>
      <c r="G296" s="9">
        <v>0</v>
      </c>
      <c r="H296" s="9">
        <v>0</v>
      </c>
      <c r="I296" s="12">
        <v>80</v>
      </c>
      <c r="J296" s="13"/>
      <c r="K296" s="19" t="s">
        <v>1101</v>
      </c>
      <c r="L296" s="9">
        <v>0</v>
      </c>
      <c r="M296" s="9">
        <v>0</v>
      </c>
      <c r="N296" s="9">
        <v>3</v>
      </c>
      <c r="O296" s="9">
        <v>4</v>
      </c>
      <c r="P296" s="9">
        <v>0</v>
      </c>
      <c r="Q296" s="9">
        <v>0</v>
      </c>
      <c r="R296" s="9">
        <v>0</v>
      </c>
      <c r="S296" s="9">
        <v>0</v>
      </c>
      <c r="T296" s="12">
        <v>7</v>
      </c>
      <c r="U296" s="13"/>
      <c r="V296" s="13"/>
      <c r="W296" s="13"/>
      <c r="X296" s="13"/>
    </row>
    <row r="297" spans="4:24" ht="13" x14ac:dyDescent="0.15">
      <c r="D297" s="32"/>
      <c r="E297" s="7" t="s">
        <v>1102</v>
      </c>
      <c r="F297" s="9">
        <v>2</v>
      </c>
      <c r="G297" s="9">
        <v>0</v>
      </c>
      <c r="H297" s="9">
        <v>0</v>
      </c>
      <c r="I297" s="12">
        <v>2</v>
      </c>
      <c r="J297" s="13"/>
      <c r="K297" s="19" t="s">
        <v>1103</v>
      </c>
      <c r="L297" s="9">
        <v>1</v>
      </c>
      <c r="M297" s="9">
        <v>0</v>
      </c>
      <c r="N297" s="9">
        <v>3</v>
      </c>
      <c r="O297" s="9">
        <v>1</v>
      </c>
      <c r="P297" s="9">
        <v>0</v>
      </c>
      <c r="Q297" s="9">
        <v>0</v>
      </c>
      <c r="R297" s="9">
        <v>2</v>
      </c>
      <c r="S297" s="9">
        <v>0</v>
      </c>
      <c r="T297" s="12">
        <v>7</v>
      </c>
      <c r="U297" s="13"/>
      <c r="V297" s="13"/>
      <c r="W297" s="13"/>
      <c r="X297" s="13"/>
    </row>
    <row r="298" spans="4:24" ht="13" x14ac:dyDescent="0.15">
      <c r="D298" s="32"/>
      <c r="E298" s="7" t="s">
        <v>27</v>
      </c>
      <c r="F298" s="9">
        <v>71</v>
      </c>
      <c r="G298" s="9">
        <v>0</v>
      </c>
      <c r="H298" s="9">
        <v>2</v>
      </c>
      <c r="I298" s="12">
        <v>73</v>
      </c>
      <c r="J298" s="13"/>
      <c r="K298" s="19" t="s">
        <v>1104</v>
      </c>
      <c r="L298" s="9">
        <v>0</v>
      </c>
      <c r="M298" s="9">
        <v>0</v>
      </c>
      <c r="N298" s="9">
        <v>4</v>
      </c>
      <c r="O298" s="9">
        <v>3</v>
      </c>
      <c r="P298" s="9">
        <v>0</v>
      </c>
      <c r="Q298" s="9">
        <v>0</v>
      </c>
      <c r="R298" s="9">
        <v>0</v>
      </c>
      <c r="S298" s="9">
        <v>0</v>
      </c>
      <c r="T298" s="12">
        <v>7</v>
      </c>
      <c r="U298" s="13"/>
      <c r="V298" s="13"/>
      <c r="W298" s="13"/>
      <c r="X298" s="13"/>
    </row>
    <row r="299" spans="4:24" ht="13" x14ac:dyDescent="0.15">
      <c r="D299" s="32"/>
      <c r="E299" s="7" t="s">
        <v>1105</v>
      </c>
      <c r="F299" s="9">
        <v>2</v>
      </c>
      <c r="G299" s="9">
        <v>0</v>
      </c>
      <c r="H299" s="9">
        <v>0</v>
      </c>
      <c r="I299" s="12">
        <v>2</v>
      </c>
      <c r="J299" s="13"/>
      <c r="K299" s="19" t="s">
        <v>1106</v>
      </c>
      <c r="L299" s="9">
        <v>0</v>
      </c>
      <c r="M299" s="9">
        <v>0</v>
      </c>
      <c r="N299" s="9">
        <v>4</v>
      </c>
      <c r="O299" s="9">
        <v>0</v>
      </c>
      <c r="P299" s="9">
        <v>0</v>
      </c>
      <c r="Q299" s="9">
        <v>0</v>
      </c>
      <c r="R299" s="9">
        <v>2</v>
      </c>
      <c r="S299" s="9">
        <v>0</v>
      </c>
      <c r="T299" s="12">
        <v>6</v>
      </c>
      <c r="U299" s="13"/>
      <c r="V299" s="13"/>
      <c r="W299" s="13"/>
      <c r="X299" s="13"/>
    </row>
    <row r="300" spans="4:24" ht="13" x14ac:dyDescent="0.15">
      <c r="D300" s="32"/>
      <c r="E300" s="7" t="s">
        <v>1107</v>
      </c>
      <c r="F300" s="9">
        <v>5</v>
      </c>
      <c r="G300" s="9">
        <v>0</v>
      </c>
      <c r="H300" s="9">
        <v>0</v>
      </c>
      <c r="I300" s="12">
        <v>5</v>
      </c>
      <c r="J300" s="13"/>
      <c r="K300" s="19" t="s">
        <v>1108</v>
      </c>
      <c r="L300" s="9">
        <v>0</v>
      </c>
      <c r="M300" s="9">
        <v>0</v>
      </c>
      <c r="N300" s="9">
        <v>3</v>
      </c>
      <c r="O300" s="9">
        <v>3</v>
      </c>
      <c r="P300" s="9">
        <v>0</v>
      </c>
      <c r="Q300" s="9">
        <v>0</v>
      </c>
      <c r="R300" s="9">
        <v>1</v>
      </c>
      <c r="S300" s="9">
        <v>0</v>
      </c>
      <c r="T300" s="12">
        <v>7</v>
      </c>
      <c r="U300" s="13"/>
      <c r="V300" s="13"/>
      <c r="W300" s="13"/>
      <c r="X300" s="13"/>
    </row>
    <row r="301" spans="4:24" ht="13" x14ac:dyDescent="0.15">
      <c r="D301" s="32"/>
      <c r="E301" s="7" t="s">
        <v>1109</v>
      </c>
      <c r="F301" s="9">
        <v>2</v>
      </c>
      <c r="G301" s="9">
        <v>0</v>
      </c>
      <c r="H301" s="9">
        <v>0</v>
      </c>
      <c r="I301" s="12">
        <v>2</v>
      </c>
      <c r="J301" s="13"/>
      <c r="K301" s="19" t="s">
        <v>1110</v>
      </c>
      <c r="L301" s="9">
        <v>0</v>
      </c>
      <c r="M301" s="9">
        <v>0</v>
      </c>
      <c r="N301" s="9">
        <v>2</v>
      </c>
      <c r="O301" s="9">
        <v>0</v>
      </c>
      <c r="P301" s="9">
        <v>0</v>
      </c>
      <c r="Q301" s="9">
        <v>0</v>
      </c>
      <c r="R301" s="9">
        <v>1</v>
      </c>
      <c r="S301" s="9">
        <v>0</v>
      </c>
      <c r="T301" s="12">
        <v>3</v>
      </c>
      <c r="U301" s="13"/>
      <c r="V301" s="13"/>
      <c r="W301" s="13"/>
      <c r="X301" s="13"/>
    </row>
    <row r="302" spans="4:24" ht="13" x14ac:dyDescent="0.15">
      <c r="D302" s="32"/>
      <c r="E302" s="7" t="s">
        <v>1111</v>
      </c>
      <c r="F302" s="9">
        <v>3</v>
      </c>
      <c r="G302" s="9">
        <v>0</v>
      </c>
      <c r="H302" s="9">
        <v>0</v>
      </c>
      <c r="I302" s="12">
        <v>3</v>
      </c>
      <c r="J302" s="13"/>
      <c r="K302" s="19" t="s">
        <v>1112</v>
      </c>
      <c r="L302" s="9">
        <v>0</v>
      </c>
      <c r="M302" s="9">
        <v>0</v>
      </c>
      <c r="N302" s="9">
        <v>4</v>
      </c>
      <c r="O302" s="9">
        <v>2</v>
      </c>
      <c r="P302" s="9">
        <v>0</v>
      </c>
      <c r="Q302" s="9">
        <v>0</v>
      </c>
      <c r="R302" s="9">
        <v>2</v>
      </c>
      <c r="S302" s="9">
        <v>0</v>
      </c>
      <c r="T302" s="12">
        <v>8</v>
      </c>
      <c r="U302" s="13"/>
      <c r="V302" s="13"/>
      <c r="W302" s="13"/>
      <c r="X302" s="13"/>
    </row>
    <row r="303" spans="4:24" ht="13" x14ac:dyDescent="0.15">
      <c r="D303" s="32"/>
      <c r="E303" s="7" t="s">
        <v>715</v>
      </c>
      <c r="F303" s="9">
        <v>6</v>
      </c>
      <c r="G303" s="9">
        <v>0</v>
      </c>
      <c r="H303" s="9">
        <v>0</v>
      </c>
      <c r="I303" s="12">
        <v>6</v>
      </c>
      <c r="J303" s="13"/>
      <c r="K303" s="19" t="s">
        <v>1113</v>
      </c>
      <c r="L303" s="9">
        <v>0</v>
      </c>
      <c r="M303" s="9">
        <v>0</v>
      </c>
      <c r="N303" s="9">
        <v>4</v>
      </c>
      <c r="O303" s="9">
        <v>3</v>
      </c>
      <c r="P303" s="9">
        <v>0</v>
      </c>
      <c r="Q303" s="9">
        <v>0</v>
      </c>
      <c r="R303" s="9">
        <v>4</v>
      </c>
      <c r="S303" s="9">
        <v>0</v>
      </c>
      <c r="T303" s="12">
        <v>11</v>
      </c>
      <c r="U303" s="13"/>
      <c r="V303" s="13"/>
      <c r="W303" s="13"/>
      <c r="X303" s="13"/>
    </row>
    <row r="304" spans="4:24" ht="13" x14ac:dyDescent="0.15">
      <c r="D304" s="32"/>
      <c r="E304" s="7" t="s">
        <v>1114</v>
      </c>
      <c r="F304" s="9">
        <v>3</v>
      </c>
      <c r="G304" s="9">
        <v>0</v>
      </c>
      <c r="H304" s="9">
        <v>0</v>
      </c>
      <c r="I304" s="12">
        <v>3</v>
      </c>
      <c r="J304" s="13"/>
      <c r="K304" s="19" t="s">
        <v>1115</v>
      </c>
      <c r="L304" s="9">
        <v>0</v>
      </c>
      <c r="M304" s="9">
        <v>0</v>
      </c>
      <c r="N304" s="9">
        <v>9</v>
      </c>
      <c r="O304" s="9">
        <v>7</v>
      </c>
      <c r="P304" s="9">
        <v>0</v>
      </c>
      <c r="Q304" s="9">
        <v>0</v>
      </c>
      <c r="R304" s="9">
        <v>0</v>
      </c>
      <c r="S304" s="9">
        <v>0</v>
      </c>
      <c r="T304" s="12">
        <v>16</v>
      </c>
      <c r="U304" s="13"/>
      <c r="V304" s="13"/>
      <c r="W304" s="13"/>
      <c r="X304" s="13"/>
    </row>
    <row r="305" spans="4:24" ht="13" x14ac:dyDescent="0.15">
      <c r="D305" s="32"/>
      <c r="E305" s="7" t="s">
        <v>1116</v>
      </c>
      <c r="F305" s="9">
        <v>7</v>
      </c>
      <c r="G305" s="9">
        <v>0</v>
      </c>
      <c r="H305" s="9">
        <v>0</v>
      </c>
      <c r="I305" s="12">
        <v>7</v>
      </c>
      <c r="J305" s="13"/>
      <c r="K305" s="19" t="s">
        <v>1117</v>
      </c>
      <c r="L305" s="9">
        <v>0</v>
      </c>
      <c r="M305" s="9">
        <v>0</v>
      </c>
      <c r="N305" s="9">
        <v>8</v>
      </c>
      <c r="O305" s="9">
        <v>6</v>
      </c>
      <c r="P305" s="9">
        <v>0</v>
      </c>
      <c r="Q305" s="9">
        <v>0</v>
      </c>
      <c r="R305" s="9">
        <v>1</v>
      </c>
      <c r="S305" s="9">
        <v>0</v>
      </c>
      <c r="T305" s="12">
        <v>15</v>
      </c>
      <c r="U305" s="13"/>
      <c r="V305" s="13"/>
      <c r="W305" s="13"/>
      <c r="X305" s="13"/>
    </row>
    <row r="306" spans="4:24" ht="13" x14ac:dyDescent="0.15">
      <c r="D306" s="32"/>
      <c r="E306" s="7" t="s">
        <v>719</v>
      </c>
      <c r="F306" s="9">
        <v>4</v>
      </c>
      <c r="G306" s="9">
        <v>0</v>
      </c>
      <c r="H306" s="9">
        <v>0</v>
      </c>
      <c r="I306" s="12">
        <v>4</v>
      </c>
      <c r="J306" s="13"/>
      <c r="K306" s="19" t="s">
        <v>1118</v>
      </c>
      <c r="L306" s="9">
        <v>0</v>
      </c>
      <c r="M306" s="9">
        <v>0</v>
      </c>
      <c r="N306" s="9">
        <v>2</v>
      </c>
      <c r="O306" s="9">
        <v>2</v>
      </c>
      <c r="P306" s="9">
        <v>0</v>
      </c>
      <c r="Q306" s="9">
        <v>0</v>
      </c>
      <c r="R306" s="9">
        <v>1</v>
      </c>
      <c r="S306" s="9">
        <v>0</v>
      </c>
      <c r="T306" s="12">
        <v>5</v>
      </c>
      <c r="U306" s="13"/>
      <c r="V306" s="13"/>
      <c r="W306" s="13"/>
      <c r="X306" s="13"/>
    </row>
    <row r="307" spans="4:24" ht="13" x14ac:dyDescent="0.15">
      <c r="D307" s="32"/>
      <c r="E307" s="7" t="s">
        <v>199</v>
      </c>
      <c r="F307" s="9">
        <v>1</v>
      </c>
      <c r="G307" s="9">
        <v>0</v>
      </c>
      <c r="H307" s="9">
        <v>0</v>
      </c>
      <c r="I307" s="12">
        <v>1</v>
      </c>
      <c r="J307" s="13"/>
      <c r="K307" s="19" t="s">
        <v>1119</v>
      </c>
      <c r="L307" s="9">
        <v>0</v>
      </c>
      <c r="M307" s="9">
        <v>0</v>
      </c>
      <c r="N307" s="9">
        <v>5</v>
      </c>
      <c r="O307" s="9">
        <v>4</v>
      </c>
      <c r="P307" s="9">
        <v>0</v>
      </c>
      <c r="Q307" s="9">
        <v>0</v>
      </c>
      <c r="R307" s="9">
        <v>0</v>
      </c>
      <c r="S307" s="9">
        <v>0</v>
      </c>
      <c r="T307" s="12">
        <v>9</v>
      </c>
      <c r="U307" s="13"/>
      <c r="V307" s="13"/>
      <c r="W307" s="13"/>
      <c r="X307" s="13"/>
    </row>
    <row r="308" spans="4:24" ht="13" x14ac:dyDescent="0.15">
      <c r="D308" s="32"/>
      <c r="E308" s="7" t="s">
        <v>735</v>
      </c>
      <c r="F308" s="9">
        <v>1</v>
      </c>
      <c r="G308" s="9">
        <v>0</v>
      </c>
      <c r="H308" s="9">
        <v>0</v>
      </c>
      <c r="I308" s="12">
        <v>1</v>
      </c>
      <c r="J308" s="13"/>
      <c r="K308" s="18" t="s">
        <v>1120</v>
      </c>
      <c r="L308" s="12">
        <v>0</v>
      </c>
      <c r="M308" s="12">
        <v>0</v>
      </c>
      <c r="N308" s="12">
        <v>68</v>
      </c>
      <c r="O308" s="12">
        <v>54</v>
      </c>
      <c r="P308" s="12">
        <v>95</v>
      </c>
      <c r="Q308" s="12">
        <v>0</v>
      </c>
      <c r="R308" s="12">
        <v>45</v>
      </c>
      <c r="S308" s="12">
        <v>0</v>
      </c>
      <c r="T308" s="12">
        <v>262</v>
      </c>
      <c r="U308" s="13"/>
      <c r="V308" s="13"/>
      <c r="W308" s="13"/>
      <c r="X308" s="13"/>
    </row>
    <row r="309" spans="4:24" ht="13" x14ac:dyDescent="0.15">
      <c r="D309" s="32"/>
      <c r="E309" s="7" t="s">
        <v>738</v>
      </c>
      <c r="F309" s="9">
        <v>1</v>
      </c>
      <c r="G309" s="9">
        <v>0</v>
      </c>
      <c r="H309" s="9">
        <v>0</v>
      </c>
      <c r="I309" s="12">
        <v>1</v>
      </c>
      <c r="J309" s="13"/>
      <c r="K309" s="19" t="s">
        <v>1121</v>
      </c>
      <c r="L309" s="9">
        <v>0</v>
      </c>
      <c r="M309" s="9">
        <v>0</v>
      </c>
      <c r="N309" s="9">
        <v>7</v>
      </c>
      <c r="O309" s="9">
        <v>1</v>
      </c>
      <c r="P309" s="9">
        <v>0</v>
      </c>
      <c r="Q309" s="9">
        <v>0</v>
      </c>
      <c r="R309" s="9">
        <v>3</v>
      </c>
      <c r="S309" s="9">
        <v>0</v>
      </c>
      <c r="T309" s="12">
        <v>11</v>
      </c>
      <c r="U309" s="13"/>
      <c r="V309" s="13"/>
      <c r="W309" s="13"/>
      <c r="X309" s="13"/>
    </row>
    <row r="310" spans="4:24" ht="13" x14ac:dyDescent="0.15">
      <c r="D310" s="32"/>
      <c r="E310" s="7" t="s">
        <v>160</v>
      </c>
      <c r="F310" s="9">
        <v>3</v>
      </c>
      <c r="G310" s="9">
        <v>0</v>
      </c>
      <c r="H310" s="9">
        <v>0</v>
      </c>
      <c r="I310" s="12">
        <v>3</v>
      </c>
      <c r="J310" s="13"/>
      <c r="K310" s="19" t="s">
        <v>1122</v>
      </c>
      <c r="L310" s="9">
        <v>0</v>
      </c>
      <c r="M310" s="9">
        <v>0</v>
      </c>
      <c r="N310" s="9">
        <v>2</v>
      </c>
      <c r="O310" s="9">
        <v>2</v>
      </c>
      <c r="P310" s="9">
        <v>0</v>
      </c>
      <c r="Q310" s="9">
        <v>0</v>
      </c>
      <c r="R310" s="9">
        <v>1</v>
      </c>
      <c r="S310" s="9">
        <v>0</v>
      </c>
      <c r="T310" s="12">
        <v>5</v>
      </c>
      <c r="U310" s="13"/>
      <c r="V310" s="13"/>
      <c r="W310" s="13"/>
      <c r="X310" s="13"/>
    </row>
    <row r="311" spans="4:24" ht="13" x14ac:dyDescent="0.15">
      <c r="D311" s="32"/>
      <c r="E311" s="7" t="s">
        <v>1123</v>
      </c>
      <c r="F311" s="9">
        <v>1</v>
      </c>
      <c r="G311" s="9">
        <v>0</v>
      </c>
      <c r="H311" s="9">
        <v>0</v>
      </c>
      <c r="I311" s="12">
        <v>1</v>
      </c>
      <c r="J311" s="13"/>
      <c r="K311" s="19" t="s">
        <v>1124</v>
      </c>
      <c r="L311" s="9">
        <v>0</v>
      </c>
      <c r="M311" s="9">
        <v>0</v>
      </c>
      <c r="N311" s="9">
        <v>4</v>
      </c>
      <c r="O311" s="9">
        <v>6</v>
      </c>
      <c r="P311" s="9">
        <v>5</v>
      </c>
      <c r="Q311" s="9">
        <v>0</v>
      </c>
      <c r="R311" s="9">
        <v>2</v>
      </c>
      <c r="S311" s="9">
        <v>0</v>
      </c>
      <c r="T311" s="12">
        <v>17</v>
      </c>
      <c r="U311" s="13"/>
      <c r="V311" s="13"/>
      <c r="W311" s="13"/>
      <c r="X311" s="13"/>
    </row>
    <row r="312" spans="4:24" ht="13" x14ac:dyDescent="0.15">
      <c r="D312" s="32"/>
      <c r="E312" s="7" t="s">
        <v>358</v>
      </c>
      <c r="F312" s="9">
        <v>1</v>
      </c>
      <c r="G312" s="9">
        <v>0</v>
      </c>
      <c r="H312" s="9">
        <v>0</v>
      </c>
      <c r="I312" s="12">
        <v>1</v>
      </c>
      <c r="J312" s="13"/>
      <c r="K312" s="19" t="s">
        <v>1125</v>
      </c>
      <c r="L312" s="9">
        <v>0</v>
      </c>
      <c r="M312" s="9">
        <v>0</v>
      </c>
      <c r="N312" s="9">
        <v>1</v>
      </c>
      <c r="O312" s="9">
        <v>0</v>
      </c>
      <c r="P312" s="9">
        <v>2</v>
      </c>
      <c r="Q312" s="9">
        <v>0</v>
      </c>
      <c r="R312" s="9">
        <v>0</v>
      </c>
      <c r="S312" s="9">
        <v>0</v>
      </c>
      <c r="T312" s="12">
        <v>3</v>
      </c>
      <c r="U312" s="13"/>
      <c r="V312" s="13"/>
      <c r="W312" s="13"/>
      <c r="X312" s="13"/>
    </row>
    <row r="313" spans="4:24" ht="13" x14ac:dyDescent="0.15">
      <c r="D313" s="32"/>
      <c r="E313" s="7" t="s">
        <v>39</v>
      </c>
      <c r="F313" s="9">
        <v>2</v>
      </c>
      <c r="G313" s="9">
        <v>0</v>
      </c>
      <c r="H313" s="9">
        <v>0</v>
      </c>
      <c r="I313" s="12">
        <v>2</v>
      </c>
      <c r="J313" s="13"/>
      <c r="K313" s="19" t="s">
        <v>1126</v>
      </c>
      <c r="L313" s="9">
        <v>0</v>
      </c>
      <c r="M313" s="9">
        <v>0</v>
      </c>
      <c r="N313" s="9">
        <v>3</v>
      </c>
      <c r="O313" s="9">
        <v>3</v>
      </c>
      <c r="P313" s="9">
        <v>2</v>
      </c>
      <c r="Q313" s="9">
        <v>0</v>
      </c>
      <c r="R313" s="9">
        <v>3</v>
      </c>
      <c r="S313" s="9">
        <v>0</v>
      </c>
      <c r="T313" s="12">
        <v>11</v>
      </c>
      <c r="U313" s="13"/>
      <c r="V313" s="13"/>
      <c r="W313" s="13"/>
      <c r="X313" s="13"/>
    </row>
    <row r="314" spans="4:24" ht="13" x14ac:dyDescent="0.15">
      <c r="D314" s="32"/>
      <c r="E314" s="7" t="s">
        <v>1127</v>
      </c>
      <c r="F314" s="9">
        <v>8</v>
      </c>
      <c r="G314" s="9">
        <v>0</v>
      </c>
      <c r="H314" s="9">
        <v>0</v>
      </c>
      <c r="I314" s="12">
        <v>8</v>
      </c>
      <c r="J314" s="13"/>
      <c r="K314" s="19" t="s">
        <v>1128</v>
      </c>
      <c r="L314" s="9">
        <v>0</v>
      </c>
      <c r="M314" s="9">
        <v>0</v>
      </c>
      <c r="N314" s="9">
        <v>1</v>
      </c>
      <c r="O314" s="9">
        <v>1</v>
      </c>
      <c r="P314" s="9">
        <v>3</v>
      </c>
      <c r="Q314" s="9">
        <v>0</v>
      </c>
      <c r="R314" s="9">
        <v>0</v>
      </c>
      <c r="S314" s="9">
        <v>0</v>
      </c>
      <c r="T314" s="12">
        <v>5</v>
      </c>
      <c r="U314" s="13"/>
      <c r="V314" s="13"/>
      <c r="W314" s="13"/>
      <c r="X314" s="13"/>
    </row>
    <row r="315" spans="4:24" ht="13" x14ac:dyDescent="0.15">
      <c r="D315" s="32"/>
      <c r="E315" s="7" t="s">
        <v>1129</v>
      </c>
      <c r="F315" s="9">
        <v>12</v>
      </c>
      <c r="G315" s="9">
        <v>0</v>
      </c>
      <c r="H315" s="9">
        <v>0</v>
      </c>
      <c r="I315" s="12">
        <v>12</v>
      </c>
      <c r="J315" s="13"/>
      <c r="K315" s="19" t="s">
        <v>1130</v>
      </c>
      <c r="L315" s="9">
        <v>0</v>
      </c>
      <c r="M315" s="9">
        <v>0</v>
      </c>
      <c r="N315" s="9">
        <v>1</v>
      </c>
      <c r="O315" s="9">
        <v>1</v>
      </c>
      <c r="P315" s="9">
        <v>9</v>
      </c>
      <c r="Q315" s="9">
        <v>0</v>
      </c>
      <c r="R315" s="9">
        <v>3</v>
      </c>
      <c r="S315" s="9">
        <v>0</v>
      </c>
      <c r="T315" s="12">
        <v>14</v>
      </c>
      <c r="U315" s="13"/>
      <c r="V315" s="13"/>
      <c r="W315" s="13"/>
      <c r="X315" s="13"/>
    </row>
    <row r="316" spans="4:24" ht="13" x14ac:dyDescent="0.15">
      <c r="D316" s="32"/>
      <c r="E316" s="7" t="s">
        <v>1131</v>
      </c>
      <c r="F316" s="9">
        <v>2</v>
      </c>
      <c r="G316" s="9">
        <v>0</v>
      </c>
      <c r="H316" s="9">
        <v>0</v>
      </c>
      <c r="I316" s="12">
        <v>2</v>
      </c>
      <c r="J316" s="13"/>
      <c r="K316" s="19" t="s">
        <v>1132</v>
      </c>
      <c r="L316" s="9">
        <v>0</v>
      </c>
      <c r="M316" s="9">
        <v>0</v>
      </c>
      <c r="N316" s="9">
        <v>2</v>
      </c>
      <c r="O316" s="9">
        <v>3</v>
      </c>
      <c r="P316" s="9">
        <v>6</v>
      </c>
      <c r="Q316" s="9">
        <v>0</v>
      </c>
      <c r="R316" s="9">
        <v>0</v>
      </c>
      <c r="S316" s="9">
        <v>0</v>
      </c>
      <c r="T316" s="12">
        <v>11</v>
      </c>
      <c r="U316" s="13"/>
      <c r="V316" s="13"/>
      <c r="W316" s="13"/>
      <c r="X316" s="13"/>
    </row>
    <row r="317" spans="4:24" ht="13" x14ac:dyDescent="0.15">
      <c r="D317" s="32"/>
      <c r="E317" s="7" t="s">
        <v>1133</v>
      </c>
      <c r="F317" s="9">
        <v>1</v>
      </c>
      <c r="G317" s="9">
        <v>0</v>
      </c>
      <c r="H317" s="9">
        <v>0</v>
      </c>
      <c r="I317" s="12">
        <v>1</v>
      </c>
      <c r="J317" s="13"/>
      <c r="K317" s="19" t="s">
        <v>1134</v>
      </c>
      <c r="L317" s="9">
        <v>0</v>
      </c>
      <c r="M317" s="9">
        <v>0</v>
      </c>
      <c r="N317" s="9">
        <v>6</v>
      </c>
      <c r="O317" s="9">
        <v>1</v>
      </c>
      <c r="P317" s="9">
        <v>2</v>
      </c>
      <c r="Q317" s="9">
        <v>0</v>
      </c>
      <c r="R317" s="9">
        <v>0</v>
      </c>
      <c r="S317" s="9">
        <v>0</v>
      </c>
      <c r="T317" s="12">
        <v>9</v>
      </c>
      <c r="U317" s="13"/>
      <c r="V317" s="13"/>
      <c r="W317" s="13"/>
      <c r="X317" s="13"/>
    </row>
    <row r="318" spans="4:24" ht="13" x14ac:dyDescent="0.15">
      <c r="D318" s="32"/>
      <c r="E318" s="7" t="s">
        <v>28</v>
      </c>
      <c r="F318" s="9">
        <v>19</v>
      </c>
      <c r="G318" s="9">
        <v>0</v>
      </c>
      <c r="H318" s="9">
        <v>0</v>
      </c>
      <c r="I318" s="12">
        <v>19</v>
      </c>
      <c r="J318" s="13"/>
      <c r="K318" s="19" t="s">
        <v>1135</v>
      </c>
      <c r="L318" s="9">
        <v>0</v>
      </c>
      <c r="M318" s="9">
        <v>0</v>
      </c>
      <c r="N318" s="9">
        <v>4</v>
      </c>
      <c r="O318" s="9">
        <v>3</v>
      </c>
      <c r="P318" s="9">
        <v>3</v>
      </c>
      <c r="Q318" s="9">
        <v>0</v>
      </c>
      <c r="R318" s="9">
        <v>3</v>
      </c>
      <c r="S318" s="9">
        <v>0</v>
      </c>
      <c r="T318" s="12">
        <v>13</v>
      </c>
      <c r="U318" s="13"/>
      <c r="V318" s="13"/>
      <c r="W318" s="13"/>
      <c r="X318" s="13"/>
    </row>
    <row r="319" spans="4:24" ht="13" x14ac:dyDescent="0.15">
      <c r="D319" s="32"/>
      <c r="E319" s="7" t="s">
        <v>1136</v>
      </c>
      <c r="F319" s="9">
        <v>1</v>
      </c>
      <c r="G319" s="9">
        <v>0</v>
      </c>
      <c r="H319" s="9">
        <v>0</v>
      </c>
      <c r="I319" s="12">
        <v>1</v>
      </c>
      <c r="J319" s="13"/>
      <c r="K319" s="19" t="s">
        <v>1137</v>
      </c>
      <c r="L319" s="9">
        <v>0</v>
      </c>
      <c r="M319" s="9">
        <v>0</v>
      </c>
      <c r="N319" s="9">
        <v>1</v>
      </c>
      <c r="O319" s="9">
        <v>5</v>
      </c>
      <c r="P319" s="9">
        <v>5</v>
      </c>
      <c r="Q319" s="9">
        <v>0</v>
      </c>
      <c r="R319" s="9">
        <v>3</v>
      </c>
      <c r="S319" s="9">
        <v>0</v>
      </c>
      <c r="T319" s="12">
        <v>14</v>
      </c>
      <c r="U319" s="13"/>
      <c r="V319" s="13"/>
      <c r="W319" s="13"/>
      <c r="X319" s="13"/>
    </row>
    <row r="320" spans="4:24" ht="13" x14ac:dyDescent="0.15">
      <c r="D320" s="32"/>
      <c r="E320" s="7" t="s">
        <v>1138</v>
      </c>
      <c r="F320" s="9">
        <v>1</v>
      </c>
      <c r="G320" s="9">
        <v>0</v>
      </c>
      <c r="H320" s="9">
        <v>0</v>
      </c>
      <c r="I320" s="12">
        <v>1</v>
      </c>
      <c r="J320" s="13"/>
      <c r="K320" s="19" t="s">
        <v>1139</v>
      </c>
      <c r="L320" s="9">
        <v>0</v>
      </c>
      <c r="M320" s="9">
        <v>0</v>
      </c>
      <c r="N320" s="9">
        <v>3</v>
      </c>
      <c r="O320" s="9">
        <v>0</v>
      </c>
      <c r="P320" s="9">
        <v>1</v>
      </c>
      <c r="Q320" s="9">
        <v>0</v>
      </c>
      <c r="R320" s="9">
        <v>0</v>
      </c>
      <c r="S320" s="9">
        <v>0</v>
      </c>
      <c r="T320" s="12">
        <v>4</v>
      </c>
      <c r="U320" s="13"/>
      <c r="V320" s="13"/>
      <c r="W320" s="13"/>
      <c r="X320" s="13"/>
    </row>
    <row r="321" spans="4:24" ht="13" x14ac:dyDescent="0.15">
      <c r="D321" s="32"/>
      <c r="E321" s="7" t="s">
        <v>1140</v>
      </c>
      <c r="F321" s="9">
        <v>9</v>
      </c>
      <c r="G321" s="9">
        <v>0</v>
      </c>
      <c r="H321" s="9">
        <v>0</v>
      </c>
      <c r="I321" s="12">
        <v>9</v>
      </c>
      <c r="J321" s="13"/>
      <c r="K321" s="19" t="s">
        <v>1141</v>
      </c>
      <c r="L321" s="9">
        <v>0</v>
      </c>
      <c r="M321" s="9">
        <v>0</v>
      </c>
      <c r="N321" s="9">
        <v>0</v>
      </c>
      <c r="O321" s="9">
        <v>0</v>
      </c>
      <c r="P321" s="9">
        <v>2</v>
      </c>
      <c r="Q321" s="9">
        <v>0</v>
      </c>
      <c r="R321" s="9">
        <v>0</v>
      </c>
      <c r="S321" s="9">
        <v>0</v>
      </c>
      <c r="T321" s="12">
        <v>2</v>
      </c>
      <c r="U321" s="13"/>
      <c r="V321" s="13"/>
      <c r="W321" s="13"/>
      <c r="X321" s="13"/>
    </row>
    <row r="322" spans="4:24" ht="13" x14ac:dyDescent="0.15">
      <c r="D322" s="32"/>
      <c r="E322" s="7" t="s">
        <v>807</v>
      </c>
      <c r="F322" s="9">
        <v>3</v>
      </c>
      <c r="G322" s="9">
        <v>0</v>
      </c>
      <c r="H322" s="9">
        <v>2</v>
      </c>
      <c r="I322" s="12">
        <v>5</v>
      </c>
      <c r="J322" s="13"/>
      <c r="K322" s="19" t="s">
        <v>1142</v>
      </c>
      <c r="L322" s="9">
        <v>0</v>
      </c>
      <c r="M322" s="9">
        <v>0</v>
      </c>
      <c r="N322" s="9">
        <v>3</v>
      </c>
      <c r="O322" s="9">
        <v>3</v>
      </c>
      <c r="P322" s="9">
        <v>4</v>
      </c>
      <c r="Q322" s="9">
        <v>0</v>
      </c>
      <c r="R322" s="9">
        <v>1</v>
      </c>
      <c r="S322" s="9">
        <v>0</v>
      </c>
      <c r="T322" s="12">
        <v>11</v>
      </c>
      <c r="U322" s="13"/>
      <c r="V322" s="13"/>
      <c r="W322" s="13"/>
      <c r="X322" s="13"/>
    </row>
    <row r="323" spans="4:24" ht="13" x14ac:dyDescent="0.15">
      <c r="D323" s="32"/>
      <c r="E323" s="7" t="s">
        <v>1143</v>
      </c>
      <c r="F323" s="9">
        <v>2</v>
      </c>
      <c r="G323" s="9">
        <v>0</v>
      </c>
      <c r="H323" s="9">
        <v>0</v>
      </c>
      <c r="I323" s="12">
        <v>2</v>
      </c>
      <c r="J323" s="13"/>
      <c r="K323" s="19" t="s">
        <v>1144</v>
      </c>
      <c r="L323" s="9">
        <v>0</v>
      </c>
      <c r="M323" s="9">
        <v>0</v>
      </c>
      <c r="N323" s="9">
        <v>0</v>
      </c>
      <c r="O323" s="9">
        <v>1</v>
      </c>
      <c r="P323" s="9">
        <v>8</v>
      </c>
      <c r="Q323" s="9">
        <v>0</v>
      </c>
      <c r="R323" s="9">
        <v>2</v>
      </c>
      <c r="S323" s="9">
        <v>0</v>
      </c>
      <c r="T323" s="12">
        <v>11</v>
      </c>
      <c r="U323" s="13"/>
      <c r="V323" s="13"/>
      <c r="W323" s="13"/>
      <c r="X323" s="13"/>
    </row>
    <row r="324" spans="4:24" ht="13" x14ac:dyDescent="0.15">
      <c r="D324" s="32"/>
      <c r="E324" s="7" t="s">
        <v>206</v>
      </c>
      <c r="F324" s="9">
        <v>2</v>
      </c>
      <c r="G324" s="9">
        <v>0</v>
      </c>
      <c r="H324" s="9">
        <v>0</v>
      </c>
      <c r="I324" s="12">
        <v>2</v>
      </c>
      <c r="J324" s="13"/>
      <c r="K324" s="19" t="s">
        <v>1145</v>
      </c>
      <c r="L324" s="9">
        <v>0</v>
      </c>
      <c r="M324" s="9">
        <v>0</v>
      </c>
      <c r="N324" s="9">
        <v>3</v>
      </c>
      <c r="O324" s="9">
        <v>4</v>
      </c>
      <c r="P324" s="9">
        <v>6</v>
      </c>
      <c r="Q324" s="9">
        <v>0</v>
      </c>
      <c r="R324" s="9">
        <v>0</v>
      </c>
      <c r="S324" s="9">
        <v>0</v>
      </c>
      <c r="T324" s="12">
        <v>13</v>
      </c>
      <c r="U324" s="13"/>
      <c r="V324" s="13"/>
      <c r="W324" s="13"/>
      <c r="X324" s="13"/>
    </row>
    <row r="325" spans="4:24" ht="13" x14ac:dyDescent="0.15">
      <c r="D325" s="32"/>
      <c r="E325" s="7" t="s">
        <v>1146</v>
      </c>
      <c r="F325" s="9">
        <v>1</v>
      </c>
      <c r="G325" s="9">
        <v>0</v>
      </c>
      <c r="H325" s="9">
        <v>0</v>
      </c>
      <c r="I325" s="12">
        <v>1</v>
      </c>
      <c r="J325" s="13"/>
      <c r="K325" s="19" t="s">
        <v>1147</v>
      </c>
      <c r="L325" s="9">
        <v>0</v>
      </c>
      <c r="M325" s="9">
        <v>0</v>
      </c>
      <c r="N325" s="9">
        <v>0</v>
      </c>
      <c r="O325" s="9">
        <v>2</v>
      </c>
      <c r="P325" s="9">
        <v>2</v>
      </c>
      <c r="Q325" s="9">
        <v>0</v>
      </c>
      <c r="R325" s="9">
        <v>1</v>
      </c>
      <c r="S325" s="9">
        <v>0</v>
      </c>
      <c r="T325" s="12">
        <v>5</v>
      </c>
      <c r="U325" s="13"/>
      <c r="V325" s="13"/>
      <c r="W325" s="13"/>
      <c r="X325" s="13"/>
    </row>
    <row r="326" spans="4:24" ht="13" x14ac:dyDescent="0.15">
      <c r="D326" s="32"/>
      <c r="E326" s="7" t="s">
        <v>1148</v>
      </c>
      <c r="F326" s="9">
        <v>3</v>
      </c>
      <c r="G326" s="9">
        <v>0</v>
      </c>
      <c r="H326" s="9">
        <v>0</v>
      </c>
      <c r="I326" s="12">
        <v>3</v>
      </c>
      <c r="J326" s="13"/>
      <c r="K326" s="19" t="s">
        <v>1149</v>
      </c>
      <c r="L326" s="9">
        <v>0</v>
      </c>
      <c r="M326" s="9">
        <v>0</v>
      </c>
      <c r="N326" s="9">
        <v>0</v>
      </c>
      <c r="O326" s="9">
        <v>1</v>
      </c>
      <c r="P326" s="9">
        <v>3</v>
      </c>
      <c r="Q326" s="9">
        <v>0</v>
      </c>
      <c r="R326" s="9">
        <v>3</v>
      </c>
      <c r="S326" s="9">
        <v>0</v>
      </c>
      <c r="T326" s="12">
        <v>7</v>
      </c>
      <c r="U326" s="13"/>
      <c r="V326" s="13"/>
      <c r="W326" s="13"/>
      <c r="X326" s="13"/>
    </row>
    <row r="327" spans="4:24" ht="13" x14ac:dyDescent="0.15">
      <c r="D327" s="32"/>
      <c r="E327" s="7" t="s">
        <v>1150</v>
      </c>
      <c r="F327" s="9">
        <v>1</v>
      </c>
      <c r="G327" s="9">
        <v>0</v>
      </c>
      <c r="H327" s="9">
        <v>0</v>
      </c>
      <c r="I327" s="12">
        <v>1</v>
      </c>
      <c r="J327" s="13"/>
      <c r="K327" s="19" t="s">
        <v>1151</v>
      </c>
      <c r="L327" s="9">
        <v>0</v>
      </c>
      <c r="M327" s="9">
        <v>0</v>
      </c>
      <c r="N327" s="9">
        <v>1</v>
      </c>
      <c r="O327" s="9">
        <v>1</v>
      </c>
      <c r="P327" s="9">
        <v>0</v>
      </c>
      <c r="Q327" s="9">
        <v>0</v>
      </c>
      <c r="R327" s="9">
        <v>1</v>
      </c>
      <c r="S327" s="9">
        <v>0</v>
      </c>
      <c r="T327" s="12">
        <v>3</v>
      </c>
      <c r="U327" s="13"/>
      <c r="V327" s="13"/>
      <c r="W327" s="13"/>
      <c r="X327" s="13"/>
    </row>
    <row r="328" spans="4:24" ht="13" x14ac:dyDescent="0.15">
      <c r="D328" s="33"/>
      <c r="E328" s="7" t="s">
        <v>655</v>
      </c>
      <c r="F328" s="9">
        <v>3</v>
      </c>
      <c r="G328" s="9">
        <v>0</v>
      </c>
      <c r="H328" s="9">
        <v>0</v>
      </c>
      <c r="I328" s="12">
        <v>3</v>
      </c>
      <c r="J328" s="13"/>
      <c r="K328" s="19" t="s">
        <v>1152</v>
      </c>
      <c r="L328" s="9">
        <v>0</v>
      </c>
      <c r="M328" s="9">
        <v>0</v>
      </c>
      <c r="N328" s="9">
        <v>0</v>
      </c>
      <c r="O328" s="9">
        <v>0</v>
      </c>
      <c r="P328" s="9">
        <v>4</v>
      </c>
      <c r="Q328" s="9">
        <v>0</v>
      </c>
      <c r="R328" s="9">
        <v>0</v>
      </c>
      <c r="S328" s="9">
        <v>0</v>
      </c>
      <c r="T328" s="12">
        <v>4</v>
      </c>
      <c r="U328" s="13"/>
      <c r="V328" s="13"/>
      <c r="W328" s="13"/>
      <c r="X328" s="13"/>
    </row>
    <row r="329" spans="4:24" ht="13" x14ac:dyDescent="0.15">
      <c r="D329" s="11" t="s">
        <v>1153</v>
      </c>
      <c r="E329" s="11"/>
      <c r="F329" s="12">
        <v>263</v>
      </c>
      <c r="G329" s="12">
        <v>0</v>
      </c>
      <c r="H329" s="12">
        <v>4</v>
      </c>
      <c r="I329" s="12">
        <v>267</v>
      </c>
      <c r="J329" s="13"/>
      <c r="K329" s="19" t="s">
        <v>1154</v>
      </c>
      <c r="L329" s="9">
        <v>0</v>
      </c>
      <c r="M329" s="9">
        <v>0</v>
      </c>
      <c r="N329" s="9">
        <v>1</v>
      </c>
      <c r="O329" s="9">
        <v>2</v>
      </c>
      <c r="P329" s="9">
        <v>5</v>
      </c>
      <c r="Q329" s="9">
        <v>0</v>
      </c>
      <c r="R329" s="9">
        <v>1</v>
      </c>
      <c r="S329" s="9">
        <v>0</v>
      </c>
      <c r="T329" s="12">
        <v>9</v>
      </c>
      <c r="U329" s="13"/>
      <c r="V329" s="13"/>
      <c r="W329" s="13"/>
      <c r="X329" s="13"/>
    </row>
    <row r="330" spans="4:24" ht="13" x14ac:dyDescent="0.15">
      <c r="D330" s="31" t="s">
        <v>137</v>
      </c>
      <c r="E330" s="7" t="s">
        <v>301</v>
      </c>
      <c r="F330" s="9">
        <v>2</v>
      </c>
      <c r="G330" s="9">
        <v>0</v>
      </c>
      <c r="H330" s="9">
        <v>0</v>
      </c>
      <c r="I330" s="12">
        <v>2</v>
      </c>
      <c r="J330" s="13"/>
      <c r="K330" s="19" t="s">
        <v>1155</v>
      </c>
      <c r="L330" s="9">
        <v>0</v>
      </c>
      <c r="M330" s="9">
        <v>0</v>
      </c>
      <c r="N330" s="9">
        <v>5</v>
      </c>
      <c r="O330" s="9">
        <v>1</v>
      </c>
      <c r="P330" s="9">
        <v>2</v>
      </c>
      <c r="Q330" s="9">
        <v>0</v>
      </c>
      <c r="R330" s="9">
        <v>4</v>
      </c>
      <c r="S330" s="9">
        <v>0</v>
      </c>
      <c r="T330" s="12">
        <v>12</v>
      </c>
      <c r="U330" s="13"/>
      <c r="V330" s="13"/>
      <c r="W330" s="13"/>
      <c r="X330" s="13"/>
    </row>
    <row r="331" spans="4:24" ht="13" x14ac:dyDescent="0.15">
      <c r="D331" s="32"/>
      <c r="E331" s="7" t="s">
        <v>715</v>
      </c>
      <c r="F331" s="9">
        <v>1</v>
      </c>
      <c r="G331" s="9">
        <v>0</v>
      </c>
      <c r="H331" s="9">
        <v>0</v>
      </c>
      <c r="I331" s="12">
        <v>1</v>
      </c>
      <c r="J331" s="13"/>
      <c r="K331" s="19" t="s">
        <v>1156</v>
      </c>
      <c r="L331" s="9">
        <v>0</v>
      </c>
      <c r="M331" s="9">
        <v>0</v>
      </c>
      <c r="N331" s="9">
        <v>2</v>
      </c>
      <c r="O331" s="9">
        <v>5</v>
      </c>
      <c r="P331" s="9">
        <v>4</v>
      </c>
      <c r="Q331" s="9">
        <v>0</v>
      </c>
      <c r="R331" s="9">
        <v>1</v>
      </c>
      <c r="S331" s="9">
        <v>0</v>
      </c>
      <c r="T331" s="12">
        <v>12</v>
      </c>
      <c r="U331" s="13"/>
      <c r="V331" s="13"/>
      <c r="W331" s="13"/>
      <c r="X331" s="13"/>
    </row>
    <row r="332" spans="4:24" ht="13" x14ac:dyDescent="0.15">
      <c r="D332" s="32"/>
      <c r="E332" s="7" t="s">
        <v>1157</v>
      </c>
      <c r="F332" s="9">
        <v>1</v>
      </c>
      <c r="G332" s="9">
        <v>0</v>
      </c>
      <c r="H332" s="9">
        <v>0</v>
      </c>
      <c r="I332" s="12">
        <v>1</v>
      </c>
      <c r="J332" s="13"/>
      <c r="K332" s="19" t="s">
        <v>1158</v>
      </c>
      <c r="L332" s="9">
        <v>0</v>
      </c>
      <c r="M332" s="9">
        <v>0</v>
      </c>
      <c r="N332" s="9">
        <v>2</v>
      </c>
      <c r="O332" s="9">
        <v>3</v>
      </c>
      <c r="P332" s="9">
        <v>5</v>
      </c>
      <c r="Q332" s="9">
        <v>0</v>
      </c>
      <c r="R332" s="9">
        <v>0</v>
      </c>
      <c r="S332" s="9">
        <v>0</v>
      </c>
      <c r="T332" s="12">
        <v>10</v>
      </c>
      <c r="U332" s="13"/>
      <c r="V332" s="13"/>
      <c r="W332" s="13"/>
      <c r="X332" s="13"/>
    </row>
    <row r="333" spans="4:24" ht="13" x14ac:dyDescent="0.15">
      <c r="D333" s="32"/>
      <c r="E333" s="7" t="s">
        <v>222</v>
      </c>
      <c r="F333" s="9">
        <v>20</v>
      </c>
      <c r="G333" s="9">
        <v>0</v>
      </c>
      <c r="H333" s="9">
        <v>0</v>
      </c>
      <c r="I333" s="12">
        <v>20</v>
      </c>
      <c r="J333" s="13"/>
      <c r="K333" s="19" t="s">
        <v>1159</v>
      </c>
      <c r="L333" s="9">
        <v>0</v>
      </c>
      <c r="M333" s="9">
        <v>0</v>
      </c>
      <c r="N333" s="9">
        <v>5</v>
      </c>
      <c r="O333" s="9">
        <v>1</v>
      </c>
      <c r="P333" s="9">
        <v>2</v>
      </c>
      <c r="Q333" s="9">
        <v>0</v>
      </c>
      <c r="R333" s="9">
        <v>0</v>
      </c>
      <c r="S333" s="9">
        <v>0</v>
      </c>
      <c r="T333" s="12">
        <v>8</v>
      </c>
      <c r="U333" s="13"/>
      <c r="V333" s="13"/>
      <c r="W333" s="13"/>
      <c r="X333" s="13"/>
    </row>
    <row r="334" spans="4:24" ht="13" x14ac:dyDescent="0.15">
      <c r="D334" s="32"/>
      <c r="E334" s="7" t="s">
        <v>414</v>
      </c>
      <c r="F334" s="9">
        <v>1</v>
      </c>
      <c r="G334" s="9">
        <v>0</v>
      </c>
      <c r="H334" s="9">
        <v>0</v>
      </c>
      <c r="I334" s="12">
        <v>1</v>
      </c>
      <c r="J334" s="13"/>
      <c r="K334" s="19" t="s">
        <v>1160</v>
      </c>
      <c r="L334" s="9">
        <v>0</v>
      </c>
      <c r="M334" s="9">
        <v>0</v>
      </c>
      <c r="N334" s="9">
        <v>5</v>
      </c>
      <c r="O334" s="9">
        <v>0</v>
      </c>
      <c r="P334" s="9">
        <v>3</v>
      </c>
      <c r="Q334" s="9">
        <v>0</v>
      </c>
      <c r="R334" s="9">
        <v>11</v>
      </c>
      <c r="S334" s="9">
        <v>0</v>
      </c>
      <c r="T334" s="12">
        <v>19</v>
      </c>
      <c r="U334" s="13"/>
      <c r="V334" s="13"/>
      <c r="W334" s="13"/>
      <c r="X334" s="13"/>
    </row>
    <row r="335" spans="4:24" ht="13" x14ac:dyDescent="0.15">
      <c r="D335" s="32"/>
      <c r="E335" s="7" t="s">
        <v>1161</v>
      </c>
      <c r="F335" s="9">
        <v>1</v>
      </c>
      <c r="G335" s="9">
        <v>0</v>
      </c>
      <c r="H335" s="9">
        <v>0</v>
      </c>
      <c r="I335" s="12">
        <v>1</v>
      </c>
      <c r="J335" s="13"/>
      <c r="K335" s="19" t="s">
        <v>1162</v>
      </c>
      <c r="L335" s="9">
        <v>0</v>
      </c>
      <c r="M335" s="9">
        <v>0</v>
      </c>
      <c r="N335" s="9">
        <v>5</v>
      </c>
      <c r="O335" s="9">
        <v>4</v>
      </c>
      <c r="P335" s="9">
        <v>2</v>
      </c>
      <c r="Q335" s="9">
        <v>0</v>
      </c>
      <c r="R335" s="9">
        <v>1</v>
      </c>
      <c r="S335" s="9">
        <v>0</v>
      </c>
      <c r="T335" s="12">
        <v>12</v>
      </c>
      <c r="U335" s="13"/>
      <c r="V335" s="13"/>
      <c r="W335" s="13"/>
      <c r="X335" s="13"/>
    </row>
    <row r="336" spans="4:24" ht="13" x14ac:dyDescent="0.15">
      <c r="D336" s="32"/>
      <c r="E336" s="7" t="s">
        <v>136</v>
      </c>
      <c r="F336" s="9">
        <v>6</v>
      </c>
      <c r="G336" s="9">
        <v>0</v>
      </c>
      <c r="H336" s="9">
        <v>1</v>
      </c>
      <c r="I336" s="12">
        <v>7</v>
      </c>
      <c r="J336" s="13"/>
      <c r="K336" s="19" t="s">
        <v>1163</v>
      </c>
      <c r="L336" s="9">
        <v>0</v>
      </c>
      <c r="M336" s="9">
        <v>0</v>
      </c>
      <c r="N336" s="9">
        <v>1</v>
      </c>
      <c r="O336" s="9">
        <v>0</v>
      </c>
      <c r="P336" s="9">
        <v>5</v>
      </c>
      <c r="Q336" s="9">
        <v>0</v>
      </c>
      <c r="R336" s="9">
        <v>1</v>
      </c>
      <c r="S336" s="9">
        <v>0</v>
      </c>
      <c r="T336" s="12">
        <v>7</v>
      </c>
      <c r="U336" s="13"/>
      <c r="V336" s="13"/>
      <c r="W336" s="13"/>
      <c r="X336" s="13"/>
    </row>
    <row r="337" spans="4:24" ht="13" x14ac:dyDescent="0.15">
      <c r="D337" s="32"/>
      <c r="E337" s="7" t="s">
        <v>139</v>
      </c>
      <c r="F337" s="9">
        <v>2</v>
      </c>
      <c r="G337" s="9">
        <v>0</v>
      </c>
      <c r="H337" s="9">
        <v>0</v>
      </c>
      <c r="I337" s="12">
        <v>2</v>
      </c>
      <c r="J337" s="13"/>
      <c r="K337" s="18" t="s">
        <v>1164</v>
      </c>
      <c r="L337" s="12">
        <v>6</v>
      </c>
      <c r="M337" s="12">
        <v>5</v>
      </c>
      <c r="N337" s="12">
        <v>62</v>
      </c>
      <c r="O337" s="12">
        <v>47</v>
      </c>
      <c r="P337" s="12">
        <v>91</v>
      </c>
      <c r="Q337" s="12">
        <v>0</v>
      </c>
      <c r="R337" s="12">
        <v>22</v>
      </c>
      <c r="S337" s="12">
        <v>0</v>
      </c>
      <c r="T337" s="12">
        <v>233</v>
      </c>
      <c r="U337" s="13"/>
      <c r="V337" s="13"/>
      <c r="W337" s="13"/>
      <c r="X337" s="13"/>
    </row>
    <row r="338" spans="4:24" ht="13" x14ac:dyDescent="0.15">
      <c r="D338" s="32"/>
      <c r="E338" s="7" t="s">
        <v>77</v>
      </c>
      <c r="F338" s="9">
        <v>2</v>
      </c>
      <c r="G338" s="9">
        <v>0</v>
      </c>
      <c r="H338" s="9">
        <v>0</v>
      </c>
      <c r="I338" s="12">
        <v>2</v>
      </c>
      <c r="J338" s="13"/>
      <c r="K338" s="19" t="s">
        <v>1165</v>
      </c>
      <c r="L338" s="9">
        <v>0</v>
      </c>
      <c r="M338" s="9">
        <v>0</v>
      </c>
      <c r="N338" s="9">
        <v>2</v>
      </c>
      <c r="O338" s="9">
        <v>1</v>
      </c>
      <c r="P338" s="9">
        <v>6</v>
      </c>
      <c r="Q338" s="9">
        <v>0</v>
      </c>
      <c r="R338" s="9">
        <v>0</v>
      </c>
      <c r="S338" s="9">
        <v>0</v>
      </c>
      <c r="T338" s="12">
        <v>9</v>
      </c>
      <c r="U338" s="13"/>
      <c r="V338" s="13"/>
      <c r="W338" s="13"/>
      <c r="X338" s="13"/>
    </row>
    <row r="339" spans="4:24" ht="13" x14ac:dyDescent="0.15">
      <c r="D339" s="32"/>
      <c r="E339" s="7" t="s">
        <v>1143</v>
      </c>
      <c r="F339" s="9">
        <v>0</v>
      </c>
      <c r="G339" s="9">
        <v>0</v>
      </c>
      <c r="H339" s="9">
        <v>1</v>
      </c>
      <c r="I339" s="12">
        <v>1</v>
      </c>
      <c r="J339" s="13"/>
      <c r="K339" s="19" t="s">
        <v>1166</v>
      </c>
      <c r="L339" s="9">
        <v>0</v>
      </c>
      <c r="M339" s="9">
        <v>0</v>
      </c>
      <c r="N339" s="9">
        <v>3</v>
      </c>
      <c r="O339" s="9">
        <v>1</v>
      </c>
      <c r="P339" s="9">
        <v>2</v>
      </c>
      <c r="Q339" s="9">
        <v>0</v>
      </c>
      <c r="R339" s="9">
        <v>0</v>
      </c>
      <c r="S339" s="9">
        <v>0</v>
      </c>
      <c r="T339" s="12">
        <v>6</v>
      </c>
      <c r="U339" s="13"/>
      <c r="V339" s="13"/>
      <c r="W339" s="13"/>
      <c r="X339" s="13"/>
    </row>
    <row r="340" spans="4:24" ht="13" x14ac:dyDescent="0.15">
      <c r="D340" s="32"/>
      <c r="E340" s="7" t="s">
        <v>431</v>
      </c>
      <c r="F340" s="9">
        <v>20</v>
      </c>
      <c r="G340" s="9">
        <v>0</v>
      </c>
      <c r="H340" s="9">
        <v>0</v>
      </c>
      <c r="I340" s="12">
        <v>20</v>
      </c>
      <c r="J340" s="13"/>
      <c r="K340" s="19" t="s">
        <v>1167</v>
      </c>
      <c r="L340" s="9">
        <v>0</v>
      </c>
      <c r="M340" s="9">
        <v>0</v>
      </c>
      <c r="N340" s="9">
        <v>0</v>
      </c>
      <c r="O340" s="9">
        <v>0</v>
      </c>
      <c r="P340" s="9">
        <v>1</v>
      </c>
      <c r="Q340" s="9">
        <v>0</v>
      </c>
      <c r="R340" s="9">
        <v>0</v>
      </c>
      <c r="S340" s="9">
        <v>0</v>
      </c>
      <c r="T340" s="12">
        <v>1</v>
      </c>
      <c r="U340" s="13"/>
      <c r="V340" s="13"/>
      <c r="W340" s="13"/>
      <c r="X340" s="13"/>
    </row>
    <row r="341" spans="4:24" ht="13" x14ac:dyDescent="0.15">
      <c r="D341" s="33"/>
      <c r="E341" s="7" t="s">
        <v>905</v>
      </c>
      <c r="F341" s="9">
        <v>3</v>
      </c>
      <c r="G341" s="9">
        <v>0</v>
      </c>
      <c r="H341" s="9">
        <v>0</v>
      </c>
      <c r="I341" s="12">
        <v>3</v>
      </c>
      <c r="J341" s="13"/>
      <c r="K341" s="19" t="s">
        <v>1168</v>
      </c>
      <c r="L341" s="9">
        <v>0</v>
      </c>
      <c r="M341" s="9">
        <v>0</v>
      </c>
      <c r="N341" s="9">
        <v>1</v>
      </c>
      <c r="O341" s="9">
        <v>3</v>
      </c>
      <c r="P341" s="9">
        <v>1</v>
      </c>
      <c r="Q341" s="9">
        <v>0</v>
      </c>
      <c r="R341" s="9">
        <v>1</v>
      </c>
      <c r="S341" s="9">
        <v>0</v>
      </c>
      <c r="T341" s="12">
        <v>6</v>
      </c>
      <c r="U341" s="13"/>
      <c r="V341" s="13"/>
      <c r="W341" s="13"/>
      <c r="X341" s="13"/>
    </row>
    <row r="342" spans="4:24" ht="13" x14ac:dyDescent="0.15">
      <c r="D342" s="11" t="s">
        <v>1169</v>
      </c>
      <c r="E342" s="11"/>
      <c r="F342" s="12">
        <v>59</v>
      </c>
      <c r="G342" s="12">
        <v>0</v>
      </c>
      <c r="H342" s="12">
        <v>2</v>
      </c>
      <c r="I342" s="12">
        <v>61</v>
      </c>
      <c r="J342" s="13"/>
      <c r="K342" s="19" t="s">
        <v>1170</v>
      </c>
      <c r="L342" s="9">
        <v>0</v>
      </c>
      <c r="M342" s="9">
        <v>0</v>
      </c>
      <c r="N342" s="9">
        <v>2</v>
      </c>
      <c r="O342" s="9">
        <v>2</v>
      </c>
      <c r="P342" s="9">
        <v>2</v>
      </c>
      <c r="Q342" s="9">
        <v>0</v>
      </c>
      <c r="R342" s="9">
        <v>0</v>
      </c>
      <c r="S342" s="9">
        <v>0</v>
      </c>
      <c r="T342" s="12">
        <v>6</v>
      </c>
      <c r="U342" s="13"/>
      <c r="V342" s="13"/>
      <c r="W342" s="13"/>
      <c r="X342" s="13"/>
    </row>
    <row r="343" spans="4:24" ht="13" x14ac:dyDescent="0.15">
      <c r="D343" s="31" t="s">
        <v>168</v>
      </c>
      <c r="E343" s="7" t="s">
        <v>707</v>
      </c>
      <c r="F343" s="9">
        <v>1</v>
      </c>
      <c r="G343" s="9">
        <v>0</v>
      </c>
      <c r="H343" s="9">
        <v>0</v>
      </c>
      <c r="I343" s="12">
        <v>1</v>
      </c>
      <c r="J343" s="13"/>
      <c r="K343" s="19" t="s">
        <v>1171</v>
      </c>
      <c r="L343" s="9">
        <v>0</v>
      </c>
      <c r="M343" s="9">
        <v>0</v>
      </c>
      <c r="N343" s="9">
        <v>4</v>
      </c>
      <c r="O343" s="9">
        <v>2</v>
      </c>
      <c r="P343" s="9">
        <v>4</v>
      </c>
      <c r="Q343" s="9">
        <v>0</v>
      </c>
      <c r="R343" s="9">
        <v>0</v>
      </c>
      <c r="S343" s="9">
        <v>0</v>
      </c>
      <c r="T343" s="12">
        <v>10</v>
      </c>
      <c r="U343" s="13"/>
      <c r="V343" s="13"/>
      <c r="W343" s="13"/>
      <c r="X343" s="13"/>
    </row>
    <row r="344" spans="4:24" ht="13" x14ac:dyDescent="0.15">
      <c r="D344" s="32"/>
      <c r="E344" s="7" t="s">
        <v>1172</v>
      </c>
      <c r="F344" s="9">
        <v>3</v>
      </c>
      <c r="G344" s="9">
        <v>0</v>
      </c>
      <c r="H344" s="9">
        <v>1</v>
      </c>
      <c r="I344" s="12">
        <v>4</v>
      </c>
      <c r="J344" s="13"/>
      <c r="K344" s="19" t="s">
        <v>1173</v>
      </c>
      <c r="L344" s="9">
        <v>0</v>
      </c>
      <c r="M344" s="9">
        <v>0</v>
      </c>
      <c r="N344" s="9">
        <v>3</v>
      </c>
      <c r="O344" s="9">
        <v>1</v>
      </c>
      <c r="P344" s="9">
        <v>4</v>
      </c>
      <c r="Q344" s="9">
        <v>0</v>
      </c>
      <c r="R344" s="9">
        <v>1</v>
      </c>
      <c r="S344" s="9">
        <v>0</v>
      </c>
      <c r="T344" s="12">
        <v>9</v>
      </c>
      <c r="U344" s="13"/>
      <c r="V344" s="13"/>
      <c r="W344" s="13"/>
      <c r="X344" s="13"/>
    </row>
    <row r="345" spans="4:24" ht="13" x14ac:dyDescent="0.15">
      <c r="D345" s="32"/>
      <c r="E345" s="7" t="s">
        <v>571</v>
      </c>
      <c r="F345" s="9">
        <v>1</v>
      </c>
      <c r="G345" s="9">
        <v>0</v>
      </c>
      <c r="H345" s="9">
        <v>0</v>
      </c>
      <c r="I345" s="12">
        <v>1</v>
      </c>
      <c r="J345" s="13"/>
      <c r="K345" s="19" t="s">
        <v>1174</v>
      </c>
      <c r="L345" s="9">
        <v>0</v>
      </c>
      <c r="M345" s="9">
        <v>0</v>
      </c>
      <c r="N345" s="9">
        <v>1</v>
      </c>
      <c r="O345" s="9">
        <v>0</v>
      </c>
      <c r="P345" s="9">
        <v>7</v>
      </c>
      <c r="Q345" s="9">
        <v>0</v>
      </c>
      <c r="R345" s="9">
        <v>3</v>
      </c>
      <c r="S345" s="9">
        <v>0</v>
      </c>
      <c r="T345" s="12">
        <v>11</v>
      </c>
      <c r="U345" s="13"/>
      <c r="V345" s="13"/>
      <c r="W345" s="13"/>
      <c r="X345" s="13"/>
    </row>
    <row r="346" spans="4:24" ht="13" x14ac:dyDescent="0.15">
      <c r="D346" s="32"/>
      <c r="E346" s="7" t="s">
        <v>164</v>
      </c>
      <c r="F346" s="9">
        <v>1</v>
      </c>
      <c r="G346" s="9">
        <v>0</v>
      </c>
      <c r="H346" s="9">
        <v>0</v>
      </c>
      <c r="I346" s="12">
        <v>1</v>
      </c>
      <c r="J346" s="13"/>
      <c r="K346" s="19" t="s">
        <v>1175</v>
      </c>
      <c r="L346" s="9">
        <v>0</v>
      </c>
      <c r="M346" s="9">
        <v>0</v>
      </c>
      <c r="N346" s="9">
        <v>0</v>
      </c>
      <c r="O346" s="9">
        <v>0</v>
      </c>
      <c r="P346" s="9">
        <v>1</v>
      </c>
      <c r="Q346" s="9">
        <v>0</v>
      </c>
      <c r="R346" s="9">
        <v>0</v>
      </c>
      <c r="S346" s="9">
        <v>0</v>
      </c>
      <c r="T346" s="12">
        <v>1</v>
      </c>
      <c r="U346" s="13"/>
      <c r="V346" s="13"/>
      <c r="W346" s="13"/>
      <c r="X346" s="13"/>
    </row>
    <row r="347" spans="4:24" ht="13" x14ac:dyDescent="0.15">
      <c r="D347" s="32"/>
      <c r="E347" s="7" t="s">
        <v>1146</v>
      </c>
      <c r="F347" s="9">
        <v>2</v>
      </c>
      <c r="G347" s="9">
        <v>0</v>
      </c>
      <c r="H347" s="9">
        <v>0</v>
      </c>
      <c r="I347" s="12">
        <v>2</v>
      </c>
      <c r="J347" s="13"/>
      <c r="K347" s="19" t="s">
        <v>1176</v>
      </c>
      <c r="L347" s="9">
        <v>0</v>
      </c>
      <c r="M347" s="9">
        <v>0</v>
      </c>
      <c r="N347" s="9">
        <v>3</v>
      </c>
      <c r="O347" s="9">
        <v>3</v>
      </c>
      <c r="P347" s="9">
        <v>1</v>
      </c>
      <c r="Q347" s="9">
        <v>0</v>
      </c>
      <c r="R347" s="9">
        <v>0</v>
      </c>
      <c r="S347" s="9">
        <v>0</v>
      </c>
      <c r="T347" s="12">
        <v>7</v>
      </c>
      <c r="U347" s="13"/>
      <c r="V347" s="13"/>
      <c r="W347" s="13"/>
      <c r="X347" s="13"/>
    </row>
    <row r="348" spans="4:24" ht="13" x14ac:dyDescent="0.15">
      <c r="D348" s="32"/>
      <c r="E348" s="7" t="s">
        <v>1148</v>
      </c>
      <c r="F348" s="9">
        <v>6</v>
      </c>
      <c r="G348" s="9">
        <v>0</v>
      </c>
      <c r="H348" s="9">
        <v>0</v>
      </c>
      <c r="I348" s="12">
        <v>6</v>
      </c>
      <c r="J348" s="13"/>
      <c r="K348" s="19" t="s">
        <v>1177</v>
      </c>
      <c r="L348" s="9">
        <v>0</v>
      </c>
      <c r="M348" s="9">
        <v>0</v>
      </c>
      <c r="N348" s="9">
        <v>2</v>
      </c>
      <c r="O348" s="9">
        <v>0</v>
      </c>
      <c r="P348" s="9">
        <v>1</v>
      </c>
      <c r="Q348" s="9">
        <v>0</v>
      </c>
      <c r="R348" s="9">
        <v>0</v>
      </c>
      <c r="S348" s="9">
        <v>0</v>
      </c>
      <c r="T348" s="12">
        <v>3</v>
      </c>
      <c r="U348" s="13"/>
      <c r="V348" s="13"/>
      <c r="W348" s="13"/>
      <c r="X348" s="13"/>
    </row>
    <row r="349" spans="4:24" ht="13" x14ac:dyDescent="0.15">
      <c r="D349" s="32"/>
      <c r="E349" s="7" t="s">
        <v>1082</v>
      </c>
      <c r="F349" s="9">
        <v>1</v>
      </c>
      <c r="G349" s="9">
        <v>0</v>
      </c>
      <c r="H349" s="9">
        <v>0</v>
      </c>
      <c r="I349" s="12">
        <v>1</v>
      </c>
      <c r="J349" s="13"/>
      <c r="K349" s="19" t="s">
        <v>1178</v>
      </c>
      <c r="L349" s="9">
        <v>0</v>
      </c>
      <c r="M349" s="9">
        <v>0</v>
      </c>
      <c r="N349" s="9">
        <v>3</v>
      </c>
      <c r="O349" s="9">
        <v>1</v>
      </c>
      <c r="P349" s="9">
        <v>4</v>
      </c>
      <c r="Q349" s="9">
        <v>0</v>
      </c>
      <c r="R349" s="9">
        <v>0</v>
      </c>
      <c r="S349" s="9">
        <v>0</v>
      </c>
      <c r="T349" s="12">
        <v>8</v>
      </c>
      <c r="U349" s="13"/>
      <c r="V349" s="13"/>
      <c r="W349" s="13"/>
      <c r="X349" s="13"/>
    </row>
    <row r="350" spans="4:24" ht="13" x14ac:dyDescent="0.15">
      <c r="D350" s="33"/>
      <c r="E350" s="7" t="s">
        <v>276</v>
      </c>
      <c r="F350" s="9">
        <v>1</v>
      </c>
      <c r="G350" s="9">
        <v>0</v>
      </c>
      <c r="H350" s="9">
        <v>0</v>
      </c>
      <c r="I350" s="12">
        <v>1</v>
      </c>
      <c r="J350" s="13"/>
      <c r="K350" s="19" t="s">
        <v>1179</v>
      </c>
      <c r="L350" s="9">
        <v>0</v>
      </c>
      <c r="M350" s="9">
        <v>0</v>
      </c>
      <c r="N350" s="9">
        <v>1</v>
      </c>
      <c r="O350" s="9">
        <v>0</v>
      </c>
      <c r="P350" s="9">
        <v>7</v>
      </c>
      <c r="Q350" s="9">
        <v>0</v>
      </c>
      <c r="R350" s="9">
        <v>1</v>
      </c>
      <c r="S350" s="9">
        <v>0</v>
      </c>
      <c r="T350" s="12">
        <v>9</v>
      </c>
      <c r="U350" s="13"/>
      <c r="V350" s="13"/>
      <c r="W350" s="13"/>
      <c r="X350" s="13"/>
    </row>
    <row r="351" spans="4:24" ht="13" x14ac:dyDescent="0.15">
      <c r="D351" s="11" t="s">
        <v>1180</v>
      </c>
      <c r="E351" s="11"/>
      <c r="F351" s="12">
        <v>16</v>
      </c>
      <c r="G351" s="12">
        <v>0</v>
      </c>
      <c r="H351" s="12">
        <v>1</v>
      </c>
      <c r="I351" s="12">
        <v>17</v>
      </c>
      <c r="J351" s="13"/>
      <c r="K351" s="19" t="s">
        <v>1181</v>
      </c>
      <c r="L351" s="9">
        <v>0</v>
      </c>
      <c r="M351" s="9">
        <v>0</v>
      </c>
      <c r="N351" s="9">
        <v>1</v>
      </c>
      <c r="O351" s="9">
        <v>0</v>
      </c>
      <c r="P351" s="9">
        <v>5</v>
      </c>
      <c r="Q351" s="9">
        <v>0</v>
      </c>
      <c r="R351" s="9">
        <v>2</v>
      </c>
      <c r="S351" s="9">
        <v>0</v>
      </c>
      <c r="T351" s="12">
        <v>8</v>
      </c>
      <c r="U351" s="13"/>
      <c r="V351" s="13"/>
      <c r="W351" s="13"/>
      <c r="X351" s="13"/>
    </row>
    <row r="352" spans="4:24" ht="13" x14ac:dyDescent="0.15">
      <c r="D352" s="31" t="s">
        <v>35</v>
      </c>
      <c r="E352" s="7" t="s">
        <v>1182</v>
      </c>
      <c r="F352" s="9">
        <v>6</v>
      </c>
      <c r="G352" s="9">
        <v>0</v>
      </c>
      <c r="H352" s="9">
        <v>0</v>
      </c>
      <c r="I352" s="12">
        <v>6</v>
      </c>
      <c r="J352" s="13"/>
      <c r="K352" s="19" t="s">
        <v>1183</v>
      </c>
      <c r="L352" s="9">
        <v>0</v>
      </c>
      <c r="M352" s="9">
        <v>0</v>
      </c>
      <c r="N352" s="9">
        <v>2</v>
      </c>
      <c r="O352" s="9">
        <v>2</v>
      </c>
      <c r="P352" s="9">
        <v>6</v>
      </c>
      <c r="Q352" s="9">
        <v>0</v>
      </c>
      <c r="R352" s="9">
        <v>0</v>
      </c>
      <c r="S352" s="9">
        <v>0</v>
      </c>
      <c r="T352" s="12">
        <v>10</v>
      </c>
      <c r="U352" s="13"/>
      <c r="V352" s="13"/>
      <c r="W352" s="13"/>
      <c r="X352" s="13"/>
    </row>
    <row r="353" spans="4:24" ht="13" x14ac:dyDescent="0.15">
      <c r="D353" s="32"/>
      <c r="E353" s="7" t="s">
        <v>278</v>
      </c>
      <c r="F353" s="9">
        <v>4</v>
      </c>
      <c r="G353" s="9">
        <v>0</v>
      </c>
      <c r="H353" s="9">
        <v>0</v>
      </c>
      <c r="I353" s="12">
        <v>4</v>
      </c>
      <c r="J353" s="13"/>
      <c r="K353" s="19" t="s">
        <v>1184</v>
      </c>
      <c r="L353" s="9">
        <v>0</v>
      </c>
      <c r="M353" s="9">
        <v>0</v>
      </c>
      <c r="N353" s="9">
        <v>3</v>
      </c>
      <c r="O353" s="9">
        <v>0</v>
      </c>
      <c r="P353" s="9">
        <v>2</v>
      </c>
      <c r="Q353" s="9">
        <v>0</v>
      </c>
      <c r="R353" s="9">
        <v>0</v>
      </c>
      <c r="S353" s="9">
        <v>0</v>
      </c>
      <c r="T353" s="12">
        <v>5</v>
      </c>
      <c r="U353" s="13"/>
      <c r="V353" s="13"/>
      <c r="W353" s="13"/>
      <c r="X353" s="13"/>
    </row>
    <row r="354" spans="4:24" ht="13" x14ac:dyDescent="0.15">
      <c r="D354" s="32"/>
      <c r="E354" s="7" t="s">
        <v>692</v>
      </c>
      <c r="F354" s="9">
        <v>12</v>
      </c>
      <c r="G354" s="9">
        <v>0</v>
      </c>
      <c r="H354" s="9">
        <v>0</v>
      </c>
      <c r="I354" s="12">
        <v>12</v>
      </c>
      <c r="J354" s="13"/>
      <c r="K354" s="19" t="s">
        <v>1185</v>
      </c>
      <c r="L354" s="9">
        <v>5</v>
      </c>
      <c r="M354" s="9">
        <v>4</v>
      </c>
      <c r="N354" s="9">
        <v>20</v>
      </c>
      <c r="O354" s="9">
        <v>13</v>
      </c>
      <c r="P354" s="9">
        <v>5</v>
      </c>
      <c r="Q354" s="9">
        <v>0</v>
      </c>
      <c r="R354" s="9">
        <v>7</v>
      </c>
      <c r="S354" s="9">
        <v>0</v>
      </c>
      <c r="T354" s="12">
        <v>54</v>
      </c>
      <c r="U354" s="13"/>
      <c r="V354" s="13"/>
      <c r="W354" s="13"/>
      <c r="X354" s="13"/>
    </row>
    <row r="355" spans="4:24" ht="13" x14ac:dyDescent="0.15">
      <c r="D355" s="32"/>
      <c r="E355" s="7" t="s">
        <v>707</v>
      </c>
      <c r="F355" s="9">
        <v>36</v>
      </c>
      <c r="G355" s="9">
        <v>0</v>
      </c>
      <c r="H355" s="9">
        <v>0</v>
      </c>
      <c r="I355" s="12">
        <v>36</v>
      </c>
      <c r="J355" s="13"/>
      <c r="K355" s="19" t="s">
        <v>1186</v>
      </c>
      <c r="L355" s="9">
        <v>0</v>
      </c>
      <c r="M355" s="9">
        <v>0</v>
      </c>
      <c r="N355" s="9">
        <v>3</v>
      </c>
      <c r="O355" s="9">
        <v>1</v>
      </c>
      <c r="P355" s="9">
        <v>1</v>
      </c>
      <c r="Q355" s="9">
        <v>0</v>
      </c>
      <c r="R355" s="9">
        <v>1</v>
      </c>
      <c r="S355" s="9">
        <v>0</v>
      </c>
      <c r="T355" s="12">
        <v>6</v>
      </c>
      <c r="U355" s="13"/>
      <c r="V355" s="13"/>
      <c r="W355" s="13"/>
      <c r="X355" s="13"/>
    </row>
    <row r="356" spans="4:24" ht="13" x14ac:dyDescent="0.15">
      <c r="D356" s="32"/>
      <c r="E356" s="7" t="s">
        <v>1187</v>
      </c>
      <c r="F356" s="9">
        <v>27</v>
      </c>
      <c r="G356" s="9">
        <v>0</v>
      </c>
      <c r="H356" s="9">
        <v>0</v>
      </c>
      <c r="I356" s="12">
        <v>27</v>
      </c>
      <c r="J356" s="13"/>
      <c r="K356" s="19" t="s">
        <v>1188</v>
      </c>
      <c r="L356" s="9">
        <v>0</v>
      </c>
      <c r="M356" s="9">
        <v>0</v>
      </c>
      <c r="N356" s="9">
        <v>2</v>
      </c>
      <c r="O356" s="9">
        <v>4</v>
      </c>
      <c r="P356" s="9">
        <v>6</v>
      </c>
      <c r="Q356" s="9">
        <v>0</v>
      </c>
      <c r="R356" s="9">
        <v>0</v>
      </c>
      <c r="S356" s="9">
        <v>0</v>
      </c>
      <c r="T356" s="12">
        <v>12</v>
      </c>
      <c r="U356" s="13"/>
      <c r="V356" s="13"/>
      <c r="W356" s="13"/>
      <c r="X356" s="13"/>
    </row>
    <row r="357" spans="4:24" ht="13" x14ac:dyDescent="0.15">
      <c r="D357" s="32"/>
      <c r="E357" s="7" t="s">
        <v>1189</v>
      </c>
      <c r="F357" s="9">
        <v>1</v>
      </c>
      <c r="G357" s="9">
        <v>0</v>
      </c>
      <c r="H357" s="9">
        <v>0</v>
      </c>
      <c r="I357" s="12">
        <v>1</v>
      </c>
      <c r="J357" s="13"/>
      <c r="K357" s="19" t="s">
        <v>1190</v>
      </c>
      <c r="L357" s="9">
        <v>0</v>
      </c>
      <c r="M357" s="9">
        <v>0</v>
      </c>
      <c r="N357" s="9">
        <v>1</v>
      </c>
      <c r="O357" s="9">
        <v>0</v>
      </c>
      <c r="P357" s="9">
        <v>3</v>
      </c>
      <c r="Q357" s="9">
        <v>0</v>
      </c>
      <c r="R357" s="9">
        <v>3</v>
      </c>
      <c r="S357" s="9">
        <v>0</v>
      </c>
      <c r="T357" s="12">
        <v>7</v>
      </c>
      <c r="U357" s="13"/>
      <c r="V357" s="13"/>
      <c r="W357" s="13"/>
      <c r="X357" s="13"/>
    </row>
    <row r="358" spans="4:24" ht="13" x14ac:dyDescent="0.15">
      <c r="D358" s="32"/>
      <c r="E358" s="7" t="s">
        <v>1191</v>
      </c>
      <c r="F358" s="9">
        <v>1</v>
      </c>
      <c r="G358" s="9">
        <v>0</v>
      </c>
      <c r="H358" s="9">
        <v>0</v>
      </c>
      <c r="I358" s="12">
        <v>1</v>
      </c>
      <c r="J358" s="13"/>
      <c r="K358" s="19" t="s">
        <v>1192</v>
      </c>
      <c r="L358" s="9">
        <v>0</v>
      </c>
      <c r="M358" s="9">
        <v>0</v>
      </c>
      <c r="N358" s="9">
        <v>1</v>
      </c>
      <c r="O358" s="9">
        <v>9</v>
      </c>
      <c r="P358" s="9">
        <v>7</v>
      </c>
      <c r="Q358" s="9">
        <v>0</v>
      </c>
      <c r="R358" s="9">
        <v>3</v>
      </c>
      <c r="S358" s="9">
        <v>0</v>
      </c>
      <c r="T358" s="12">
        <v>20</v>
      </c>
      <c r="U358" s="13"/>
      <c r="V358" s="13"/>
      <c r="W358" s="13"/>
      <c r="X358" s="13"/>
    </row>
    <row r="359" spans="4:24" ht="13" x14ac:dyDescent="0.15">
      <c r="D359" s="32"/>
      <c r="E359" s="7" t="s">
        <v>1193</v>
      </c>
      <c r="F359" s="9">
        <v>1</v>
      </c>
      <c r="G359" s="9">
        <v>0</v>
      </c>
      <c r="H359" s="9">
        <v>0</v>
      </c>
      <c r="I359" s="12">
        <v>1</v>
      </c>
      <c r="J359" s="13"/>
      <c r="K359" s="19" t="s">
        <v>1194</v>
      </c>
      <c r="L359" s="9">
        <v>0</v>
      </c>
      <c r="M359" s="9">
        <v>0</v>
      </c>
      <c r="N359" s="9">
        <v>0</v>
      </c>
      <c r="O359" s="9">
        <v>0</v>
      </c>
      <c r="P359" s="9">
        <v>2</v>
      </c>
      <c r="Q359" s="9">
        <v>0</v>
      </c>
      <c r="R359" s="9">
        <v>0</v>
      </c>
      <c r="S359" s="9">
        <v>0</v>
      </c>
      <c r="T359" s="12">
        <v>2</v>
      </c>
      <c r="U359" s="13"/>
      <c r="V359" s="13"/>
      <c r="W359" s="13"/>
      <c r="X359" s="13"/>
    </row>
    <row r="360" spans="4:24" ht="13" x14ac:dyDescent="0.15">
      <c r="D360" s="32"/>
      <c r="E360" s="7" t="s">
        <v>389</v>
      </c>
      <c r="F360" s="9">
        <v>3</v>
      </c>
      <c r="G360" s="9">
        <v>0</v>
      </c>
      <c r="H360" s="9">
        <v>0</v>
      </c>
      <c r="I360" s="12">
        <v>3</v>
      </c>
      <c r="J360" s="13"/>
      <c r="K360" s="19" t="s">
        <v>1195</v>
      </c>
      <c r="L360" s="9">
        <v>0</v>
      </c>
      <c r="M360" s="9">
        <v>0</v>
      </c>
      <c r="N360" s="9">
        <v>2</v>
      </c>
      <c r="O360" s="9">
        <v>2</v>
      </c>
      <c r="P360" s="9">
        <v>7</v>
      </c>
      <c r="Q360" s="9">
        <v>0</v>
      </c>
      <c r="R360" s="9">
        <v>0</v>
      </c>
      <c r="S360" s="9">
        <v>0</v>
      </c>
      <c r="T360" s="12">
        <v>11</v>
      </c>
      <c r="U360" s="13"/>
      <c r="V360" s="13"/>
      <c r="W360" s="13"/>
      <c r="X360" s="13"/>
    </row>
    <row r="361" spans="4:24" ht="13" x14ac:dyDescent="0.15">
      <c r="D361" s="32"/>
      <c r="E361" s="7" t="s">
        <v>395</v>
      </c>
      <c r="F361" s="9">
        <v>1</v>
      </c>
      <c r="G361" s="9">
        <v>0</v>
      </c>
      <c r="H361" s="9">
        <v>0</v>
      </c>
      <c r="I361" s="12">
        <v>1</v>
      </c>
      <c r="J361" s="13"/>
      <c r="K361" s="19" t="s">
        <v>1196</v>
      </c>
      <c r="L361" s="9">
        <v>0</v>
      </c>
      <c r="M361" s="9">
        <v>1</v>
      </c>
      <c r="N361" s="9">
        <v>1</v>
      </c>
      <c r="O361" s="9">
        <v>1</v>
      </c>
      <c r="P361" s="9">
        <v>4</v>
      </c>
      <c r="Q361" s="9">
        <v>0</v>
      </c>
      <c r="R361" s="9">
        <v>0</v>
      </c>
      <c r="S361" s="9">
        <v>0</v>
      </c>
      <c r="T361" s="12">
        <v>7</v>
      </c>
      <c r="U361" s="13"/>
      <c r="V361" s="13"/>
      <c r="W361" s="13"/>
      <c r="X361" s="13"/>
    </row>
    <row r="362" spans="4:24" ht="13" x14ac:dyDescent="0.15">
      <c r="D362" s="32"/>
      <c r="E362" s="7" t="s">
        <v>1197</v>
      </c>
      <c r="F362" s="9">
        <v>1</v>
      </c>
      <c r="G362" s="9">
        <v>0</v>
      </c>
      <c r="H362" s="9">
        <v>0</v>
      </c>
      <c r="I362" s="12">
        <v>1</v>
      </c>
      <c r="J362" s="13"/>
      <c r="K362" s="19" t="s">
        <v>1198</v>
      </c>
      <c r="L362" s="9">
        <v>1</v>
      </c>
      <c r="M362" s="9">
        <v>0</v>
      </c>
      <c r="N362" s="9">
        <v>1</v>
      </c>
      <c r="O362" s="9">
        <v>1</v>
      </c>
      <c r="P362" s="9">
        <v>2</v>
      </c>
      <c r="Q362" s="9">
        <v>0</v>
      </c>
      <c r="R362" s="9">
        <v>0</v>
      </c>
      <c r="S362" s="9">
        <v>0</v>
      </c>
      <c r="T362" s="12">
        <v>5</v>
      </c>
      <c r="U362" s="13"/>
      <c r="V362" s="13"/>
      <c r="W362" s="13"/>
      <c r="X362" s="13"/>
    </row>
    <row r="363" spans="4:24" ht="13" x14ac:dyDescent="0.15">
      <c r="D363" s="32"/>
      <c r="E363" s="7" t="s">
        <v>71</v>
      </c>
      <c r="F363" s="9">
        <v>15</v>
      </c>
      <c r="G363" s="9">
        <v>0</v>
      </c>
      <c r="H363" s="9">
        <v>0</v>
      </c>
      <c r="I363" s="12">
        <v>15</v>
      </c>
      <c r="J363" s="13"/>
      <c r="K363" s="18" t="s">
        <v>1199</v>
      </c>
      <c r="L363" s="12">
        <v>16</v>
      </c>
      <c r="M363" s="12">
        <v>1</v>
      </c>
      <c r="N363" s="12">
        <v>59</v>
      </c>
      <c r="O363" s="12">
        <v>30</v>
      </c>
      <c r="P363" s="12">
        <v>86</v>
      </c>
      <c r="Q363" s="12">
        <v>0</v>
      </c>
      <c r="R363" s="12">
        <v>19</v>
      </c>
      <c r="S363" s="12">
        <v>0</v>
      </c>
      <c r="T363" s="12">
        <v>211</v>
      </c>
      <c r="U363" s="13"/>
      <c r="V363" s="13"/>
      <c r="W363" s="13"/>
      <c r="X363" s="13"/>
    </row>
    <row r="364" spans="4:24" ht="13" x14ac:dyDescent="0.15">
      <c r="D364" s="32"/>
      <c r="E364" s="7" t="s">
        <v>1200</v>
      </c>
      <c r="F364" s="9">
        <v>6</v>
      </c>
      <c r="G364" s="9">
        <v>0</v>
      </c>
      <c r="H364" s="9">
        <v>0</v>
      </c>
      <c r="I364" s="12">
        <v>6</v>
      </c>
      <c r="J364" s="13"/>
      <c r="K364" s="19" t="s">
        <v>1201</v>
      </c>
      <c r="L364" s="9">
        <v>0</v>
      </c>
      <c r="M364" s="9">
        <v>0</v>
      </c>
      <c r="N364" s="9">
        <v>1</v>
      </c>
      <c r="O364" s="9">
        <v>2</v>
      </c>
      <c r="P364" s="9">
        <v>0</v>
      </c>
      <c r="Q364" s="9">
        <v>0</v>
      </c>
      <c r="R364" s="9">
        <v>0</v>
      </c>
      <c r="S364" s="9">
        <v>0</v>
      </c>
      <c r="T364" s="12">
        <v>3</v>
      </c>
      <c r="U364" s="13"/>
      <c r="V364" s="13"/>
      <c r="W364" s="13"/>
      <c r="X364" s="13"/>
    </row>
    <row r="365" spans="4:24" ht="13" x14ac:dyDescent="0.15">
      <c r="D365" s="32"/>
      <c r="E365" s="7" t="s">
        <v>270</v>
      </c>
      <c r="F365" s="9">
        <v>1</v>
      </c>
      <c r="G365" s="9">
        <v>0</v>
      </c>
      <c r="H365" s="9">
        <v>0</v>
      </c>
      <c r="I365" s="12">
        <v>1</v>
      </c>
      <c r="J365" s="13"/>
      <c r="K365" s="19" t="s">
        <v>1202</v>
      </c>
      <c r="L365" s="9">
        <v>0</v>
      </c>
      <c r="M365" s="9">
        <v>0</v>
      </c>
      <c r="N365" s="9">
        <v>2</v>
      </c>
      <c r="O365" s="9">
        <v>0</v>
      </c>
      <c r="P365" s="9">
        <v>2</v>
      </c>
      <c r="Q365" s="9">
        <v>0</v>
      </c>
      <c r="R365" s="9">
        <v>0</v>
      </c>
      <c r="S365" s="9">
        <v>0</v>
      </c>
      <c r="T365" s="12">
        <v>4</v>
      </c>
      <c r="U365" s="13"/>
      <c r="V365" s="13"/>
      <c r="W365" s="13"/>
      <c r="X365" s="13"/>
    </row>
    <row r="366" spans="4:24" ht="13" x14ac:dyDescent="0.15">
      <c r="D366" s="32"/>
      <c r="E366" s="7" t="s">
        <v>119</v>
      </c>
      <c r="F366" s="9">
        <v>31</v>
      </c>
      <c r="G366" s="9">
        <v>0</v>
      </c>
      <c r="H366" s="9">
        <v>0</v>
      </c>
      <c r="I366" s="12">
        <v>31</v>
      </c>
      <c r="J366" s="13"/>
      <c r="K366" s="19" t="s">
        <v>1203</v>
      </c>
      <c r="L366" s="9">
        <v>0</v>
      </c>
      <c r="M366" s="9">
        <v>0</v>
      </c>
      <c r="N366" s="9">
        <v>4</v>
      </c>
      <c r="O366" s="9">
        <v>1</v>
      </c>
      <c r="P366" s="9">
        <v>4</v>
      </c>
      <c r="Q366" s="9">
        <v>0</v>
      </c>
      <c r="R366" s="9">
        <v>1</v>
      </c>
      <c r="S366" s="9">
        <v>0</v>
      </c>
      <c r="T366" s="12">
        <v>10</v>
      </c>
      <c r="U366" s="13"/>
      <c r="V366" s="13"/>
      <c r="W366" s="13"/>
      <c r="X366" s="13"/>
    </row>
    <row r="367" spans="4:24" ht="13" x14ac:dyDescent="0.15">
      <c r="D367" s="32"/>
      <c r="E367" s="7" t="s">
        <v>1204</v>
      </c>
      <c r="F367" s="9">
        <v>3</v>
      </c>
      <c r="G367" s="9">
        <v>0</v>
      </c>
      <c r="H367" s="9">
        <v>0</v>
      </c>
      <c r="I367" s="12">
        <v>3</v>
      </c>
      <c r="J367" s="13"/>
      <c r="K367" s="19" t="s">
        <v>1205</v>
      </c>
      <c r="L367" s="9">
        <v>0</v>
      </c>
      <c r="M367" s="9">
        <v>1</v>
      </c>
      <c r="N367" s="9">
        <v>6</v>
      </c>
      <c r="O367" s="9">
        <v>3</v>
      </c>
      <c r="P367" s="9">
        <v>5</v>
      </c>
      <c r="Q367" s="9">
        <v>0</v>
      </c>
      <c r="R367" s="9">
        <v>0</v>
      </c>
      <c r="S367" s="9">
        <v>0</v>
      </c>
      <c r="T367" s="12">
        <v>15</v>
      </c>
      <c r="U367" s="13"/>
      <c r="V367" s="13"/>
      <c r="W367" s="13"/>
      <c r="X367" s="13"/>
    </row>
    <row r="368" spans="4:24" ht="13" x14ac:dyDescent="0.15">
      <c r="D368" s="32"/>
      <c r="E368" s="7" t="s">
        <v>146</v>
      </c>
      <c r="F368" s="9">
        <v>3</v>
      </c>
      <c r="G368" s="9">
        <v>0</v>
      </c>
      <c r="H368" s="9">
        <v>0</v>
      </c>
      <c r="I368" s="12">
        <v>3</v>
      </c>
      <c r="J368" s="13"/>
      <c r="K368" s="19" t="s">
        <v>1206</v>
      </c>
      <c r="L368" s="9">
        <v>0</v>
      </c>
      <c r="M368" s="9">
        <v>0</v>
      </c>
      <c r="N368" s="9">
        <v>3</v>
      </c>
      <c r="O368" s="9">
        <v>6</v>
      </c>
      <c r="P368" s="9">
        <v>3</v>
      </c>
      <c r="Q368" s="9">
        <v>0</v>
      </c>
      <c r="R368" s="9">
        <v>0</v>
      </c>
      <c r="S368" s="9">
        <v>0</v>
      </c>
      <c r="T368" s="12">
        <v>12</v>
      </c>
      <c r="U368" s="13"/>
      <c r="V368" s="13"/>
      <c r="W368" s="13"/>
      <c r="X368" s="13"/>
    </row>
    <row r="369" spans="4:24" ht="13" x14ac:dyDescent="0.15">
      <c r="D369" s="32"/>
      <c r="E369" s="7" t="s">
        <v>93</v>
      </c>
      <c r="F369" s="9">
        <v>1</v>
      </c>
      <c r="G369" s="9">
        <v>0</v>
      </c>
      <c r="H369" s="9">
        <v>0</v>
      </c>
      <c r="I369" s="12">
        <v>1</v>
      </c>
      <c r="J369" s="13"/>
      <c r="K369" s="19" t="s">
        <v>1207</v>
      </c>
      <c r="L369" s="9">
        <v>4</v>
      </c>
      <c r="M369" s="9">
        <v>0</v>
      </c>
      <c r="N369" s="9">
        <v>6</v>
      </c>
      <c r="O369" s="9">
        <v>3</v>
      </c>
      <c r="P369" s="9">
        <v>3</v>
      </c>
      <c r="Q369" s="9">
        <v>0</v>
      </c>
      <c r="R369" s="9">
        <v>7</v>
      </c>
      <c r="S369" s="9">
        <v>0</v>
      </c>
      <c r="T369" s="12">
        <v>23</v>
      </c>
      <c r="U369" s="13"/>
      <c r="V369" s="13"/>
      <c r="W369" s="13"/>
      <c r="X369" s="13"/>
    </row>
    <row r="370" spans="4:24" ht="13" x14ac:dyDescent="0.15">
      <c r="D370" s="32"/>
      <c r="E370" s="7" t="s">
        <v>962</v>
      </c>
      <c r="F370" s="9">
        <v>47</v>
      </c>
      <c r="G370" s="9">
        <v>0</v>
      </c>
      <c r="H370" s="9">
        <v>0</v>
      </c>
      <c r="I370" s="12">
        <v>47</v>
      </c>
      <c r="J370" s="13"/>
      <c r="K370" s="19" t="s">
        <v>1208</v>
      </c>
      <c r="L370" s="9">
        <v>0</v>
      </c>
      <c r="M370" s="9">
        <v>0</v>
      </c>
      <c r="N370" s="9">
        <v>2</v>
      </c>
      <c r="O370" s="9">
        <v>0</v>
      </c>
      <c r="P370" s="9">
        <v>6</v>
      </c>
      <c r="Q370" s="9">
        <v>0</v>
      </c>
      <c r="R370" s="9">
        <v>0</v>
      </c>
      <c r="S370" s="9">
        <v>0</v>
      </c>
      <c r="T370" s="12">
        <v>8</v>
      </c>
      <c r="U370" s="13"/>
      <c r="V370" s="13"/>
      <c r="W370" s="13"/>
      <c r="X370" s="13"/>
    </row>
    <row r="371" spans="4:24" ht="13" x14ac:dyDescent="0.15">
      <c r="D371" s="32"/>
      <c r="E371" s="7" t="s">
        <v>293</v>
      </c>
      <c r="F371" s="9">
        <v>5</v>
      </c>
      <c r="G371" s="9">
        <v>0</v>
      </c>
      <c r="H371" s="9">
        <v>0</v>
      </c>
      <c r="I371" s="12">
        <v>5</v>
      </c>
      <c r="J371" s="13"/>
      <c r="K371" s="19" t="s">
        <v>1209</v>
      </c>
      <c r="L371" s="9">
        <v>0</v>
      </c>
      <c r="M371" s="9">
        <v>0</v>
      </c>
      <c r="N371" s="9">
        <v>2</v>
      </c>
      <c r="O371" s="9">
        <v>1</v>
      </c>
      <c r="P371" s="9">
        <v>14</v>
      </c>
      <c r="Q371" s="9">
        <v>0</v>
      </c>
      <c r="R371" s="9">
        <v>0</v>
      </c>
      <c r="S371" s="9">
        <v>0</v>
      </c>
      <c r="T371" s="12">
        <v>17</v>
      </c>
      <c r="U371" s="13"/>
      <c r="V371" s="13"/>
      <c r="W371" s="13"/>
      <c r="X371" s="13"/>
    </row>
    <row r="372" spans="4:24" ht="13" x14ac:dyDescent="0.15">
      <c r="D372" s="32"/>
      <c r="E372" s="7" t="s">
        <v>489</v>
      </c>
      <c r="F372" s="9">
        <v>19</v>
      </c>
      <c r="G372" s="9">
        <v>0</v>
      </c>
      <c r="H372" s="9">
        <v>0</v>
      </c>
      <c r="I372" s="12">
        <v>19</v>
      </c>
      <c r="K372" s="19" t="s">
        <v>1210</v>
      </c>
      <c r="L372" s="9">
        <v>0</v>
      </c>
      <c r="M372" s="9">
        <v>0</v>
      </c>
      <c r="N372" s="9">
        <v>0</v>
      </c>
      <c r="O372" s="9">
        <v>1</v>
      </c>
      <c r="P372" s="9">
        <v>3</v>
      </c>
      <c r="Q372" s="9">
        <v>0</v>
      </c>
      <c r="R372" s="9">
        <v>8</v>
      </c>
      <c r="S372" s="9">
        <v>0</v>
      </c>
      <c r="T372" s="12">
        <v>12</v>
      </c>
      <c r="U372" s="13"/>
      <c r="V372" s="13"/>
      <c r="W372" s="13"/>
      <c r="X372" s="13"/>
    </row>
    <row r="373" spans="4:24" ht="13" x14ac:dyDescent="0.15">
      <c r="D373" s="32"/>
      <c r="E373" s="7" t="s">
        <v>1211</v>
      </c>
      <c r="F373" s="9">
        <v>1</v>
      </c>
      <c r="G373" s="9">
        <v>0</v>
      </c>
      <c r="H373" s="9">
        <v>0</v>
      </c>
      <c r="I373" s="12">
        <v>1</v>
      </c>
      <c r="K373" s="19" t="s">
        <v>1212</v>
      </c>
      <c r="L373" s="9">
        <v>0</v>
      </c>
      <c r="M373" s="9">
        <v>0</v>
      </c>
      <c r="N373" s="9">
        <v>1</v>
      </c>
      <c r="O373" s="9">
        <v>0</v>
      </c>
      <c r="P373" s="9">
        <v>4</v>
      </c>
      <c r="Q373" s="9">
        <v>0</v>
      </c>
      <c r="R373" s="9">
        <v>0</v>
      </c>
      <c r="S373" s="9">
        <v>0</v>
      </c>
      <c r="T373" s="12">
        <v>5</v>
      </c>
      <c r="U373" s="13"/>
      <c r="V373" s="13"/>
      <c r="W373" s="13"/>
      <c r="X373" s="13"/>
    </row>
    <row r="374" spans="4:24" ht="13" x14ac:dyDescent="0.15">
      <c r="D374" s="32"/>
      <c r="E374" s="7" t="s">
        <v>1213</v>
      </c>
      <c r="F374" s="9">
        <v>1</v>
      </c>
      <c r="G374" s="9">
        <v>0</v>
      </c>
      <c r="H374" s="9">
        <v>0</v>
      </c>
      <c r="I374" s="12">
        <v>1</v>
      </c>
      <c r="K374" s="19" t="s">
        <v>1214</v>
      </c>
      <c r="L374" s="9">
        <v>0</v>
      </c>
      <c r="M374" s="9">
        <v>0</v>
      </c>
      <c r="N374" s="9">
        <v>4</v>
      </c>
      <c r="O374" s="9">
        <v>0</v>
      </c>
      <c r="P374" s="9">
        <v>2</v>
      </c>
      <c r="Q374" s="9">
        <v>0</v>
      </c>
      <c r="R374" s="9">
        <v>0</v>
      </c>
      <c r="S374" s="9">
        <v>0</v>
      </c>
      <c r="T374" s="12">
        <v>6</v>
      </c>
      <c r="U374" s="13"/>
      <c r="V374" s="13"/>
      <c r="W374" s="13"/>
      <c r="X374" s="13"/>
    </row>
    <row r="375" spans="4:24" ht="13" x14ac:dyDescent="0.15">
      <c r="D375" s="32"/>
      <c r="E375" s="7" t="s">
        <v>1215</v>
      </c>
      <c r="F375" s="9">
        <v>1</v>
      </c>
      <c r="G375" s="9">
        <v>0</v>
      </c>
      <c r="H375" s="9">
        <v>0</v>
      </c>
      <c r="I375" s="12">
        <v>1</v>
      </c>
      <c r="K375" s="19" t="s">
        <v>1216</v>
      </c>
      <c r="L375" s="9">
        <v>0</v>
      </c>
      <c r="M375" s="9">
        <v>0</v>
      </c>
      <c r="N375" s="9">
        <v>1</v>
      </c>
      <c r="O375" s="9">
        <v>0</v>
      </c>
      <c r="P375" s="9">
        <v>4</v>
      </c>
      <c r="Q375" s="9">
        <v>0</v>
      </c>
      <c r="R375" s="9">
        <v>0</v>
      </c>
      <c r="S375" s="9">
        <v>0</v>
      </c>
      <c r="T375" s="12">
        <v>5</v>
      </c>
      <c r="U375" s="13"/>
      <c r="V375" s="13"/>
      <c r="W375" s="13"/>
      <c r="X375" s="13"/>
    </row>
    <row r="376" spans="4:24" ht="13" x14ac:dyDescent="0.15">
      <c r="D376" s="32"/>
      <c r="E376" s="7" t="s">
        <v>1217</v>
      </c>
      <c r="F376" s="9">
        <v>8</v>
      </c>
      <c r="G376" s="9">
        <v>0</v>
      </c>
      <c r="H376" s="9">
        <v>0</v>
      </c>
      <c r="I376" s="12">
        <v>8</v>
      </c>
      <c r="K376" s="19" t="s">
        <v>1218</v>
      </c>
      <c r="L376" s="9">
        <v>0</v>
      </c>
      <c r="M376" s="9">
        <v>0</v>
      </c>
      <c r="N376" s="9">
        <v>3</v>
      </c>
      <c r="O376" s="9">
        <v>1</v>
      </c>
      <c r="P376" s="9">
        <v>2</v>
      </c>
      <c r="Q376" s="9">
        <v>0</v>
      </c>
      <c r="R376" s="9">
        <v>2</v>
      </c>
      <c r="S376" s="9">
        <v>0</v>
      </c>
      <c r="T376" s="12">
        <v>8</v>
      </c>
      <c r="U376" s="13"/>
      <c r="V376" s="13"/>
      <c r="W376" s="13"/>
      <c r="X376" s="13"/>
    </row>
    <row r="377" spans="4:24" ht="13" x14ac:dyDescent="0.15">
      <c r="D377" s="32"/>
      <c r="E377" s="7" t="s">
        <v>1069</v>
      </c>
      <c r="F377" s="9">
        <v>1</v>
      </c>
      <c r="G377" s="9">
        <v>0</v>
      </c>
      <c r="H377" s="9">
        <v>0</v>
      </c>
      <c r="I377" s="12">
        <v>1</v>
      </c>
      <c r="K377" s="19" t="s">
        <v>1219</v>
      </c>
      <c r="L377" s="9">
        <v>0</v>
      </c>
      <c r="M377" s="9">
        <v>0</v>
      </c>
      <c r="N377" s="9">
        <v>1</v>
      </c>
      <c r="O377" s="9">
        <v>0</v>
      </c>
      <c r="P377" s="9">
        <v>0</v>
      </c>
      <c r="Q377" s="9">
        <v>0</v>
      </c>
      <c r="R377" s="9">
        <v>0</v>
      </c>
      <c r="S377" s="9">
        <v>0</v>
      </c>
      <c r="T377" s="12">
        <v>1</v>
      </c>
      <c r="U377" s="13"/>
      <c r="V377" s="13"/>
      <c r="W377" s="13"/>
      <c r="X377" s="13"/>
    </row>
    <row r="378" spans="4:24" ht="13" x14ac:dyDescent="0.15">
      <c r="D378" s="32"/>
      <c r="E378" s="7" t="s">
        <v>56</v>
      </c>
      <c r="F378" s="9">
        <v>2</v>
      </c>
      <c r="G378" s="9">
        <v>0</v>
      </c>
      <c r="H378" s="9">
        <v>0</v>
      </c>
      <c r="I378" s="12">
        <v>2</v>
      </c>
      <c r="K378" s="19" t="s">
        <v>1220</v>
      </c>
      <c r="L378" s="9">
        <v>0</v>
      </c>
      <c r="M378" s="9">
        <v>0</v>
      </c>
      <c r="N378" s="9">
        <v>0</v>
      </c>
      <c r="O378" s="9">
        <v>1</v>
      </c>
      <c r="P378" s="9">
        <v>4</v>
      </c>
      <c r="Q378" s="9">
        <v>0</v>
      </c>
      <c r="R378" s="9">
        <v>0</v>
      </c>
      <c r="S378" s="9">
        <v>0</v>
      </c>
      <c r="T378" s="12">
        <v>5</v>
      </c>
      <c r="U378" s="13"/>
      <c r="V378" s="13"/>
      <c r="W378" s="13"/>
      <c r="X378" s="13"/>
    </row>
    <row r="379" spans="4:24" ht="13" x14ac:dyDescent="0.15">
      <c r="D379" s="32"/>
      <c r="E379" s="7" t="s">
        <v>1221</v>
      </c>
      <c r="F379" s="9">
        <v>3</v>
      </c>
      <c r="G379" s="9">
        <v>0</v>
      </c>
      <c r="H379" s="9">
        <v>0</v>
      </c>
      <c r="I379" s="12">
        <v>3</v>
      </c>
      <c r="K379" s="19" t="s">
        <v>1222</v>
      </c>
      <c r="L379" s="9">
        <v>0</v>
      </c>
      <c r="M379" s="9">
        <v>0</v>
      </c>
      <c r="N379" s="9">
        <v>2</v>
      </c>
      <c r="O379" s="9">
        <v>0</v>
      </c>
      <c r="P379" s="9">
        <v>2</v>
      </c>
      <c r="Q379" s="9">
        <v>0</v>
      </c>
      <c r="R379" s="9">
        <v>0</v>
      </c>
      <c r="S379" s="9">
        <v>0</v>
      </c>
      <c r="T379" s="12">
        <v>4</v>
      </c>
      <c r="U379" s="13"/>
      <c r="V379" s="13"/>
      <c r="W379" s="13"/>
      <c r="X379" s="13"/>
    </row>
    <row r="380" spans="4:24" ht="13" x14ac:dyDescent="0.15">
      <c r="D380" s="32"/>
      <c r="E380" s="7" t="s">
        <v>181</v>
      </c>
      <c r="F380" s="9">
        <v>15</v>
      </c>
      <c r="G380" s="9">
        <v>0</v>
      </c>
      <c r="H380" s="9">
        <v>0</v>
      </c>
      <c r="I380" s="12">
        <v>15</v>
      </c>
      <c r="K380" s="19" t="s">
        <v>1223</v>
      </c>
      <c r="L380" s="9">
        <v>0</v>
      </c>
      <c r="M380" s="9">
        <v>0</v>
      </c>
      <c r="N380" s="9">
        <v>3</v>
      </c>
      <c r="O380" s="9">
        <v>1</v>
      </c>
      <c r="P380" s="9">
        <v>4</v>
      </c>
      <c r="Q380" s="9">
        <v>0</v>
      </c>
      <c r="R380" s="9">
        <v>0</v>
      </c>
      <c r="S380" s="9">
        <v>0</v>
      </c>
      <c r="T380" s="12">
        <v>8</v>
      </c>
      <c r="U380" s="13"/>
      <c r="V380" s="13"/>
      <c r="W380" s="13"/>
      <c r="X380" s="13"/>
    </row>
    <row r="381" spans="4:24" ht="13" x14ac:dyDescent="0.15">
      <c r="D381" s="32"/>
      <c r="E381" s="7" t="s">
        <v>1224</v>
      </c>
      <c r="F381" s="9">
        <v>2</v>
      </c>
      <c r="G381" s="9">
        <v>0</v>
      </c>
      <c r="H381" s="9">
        <v>0</v>
      </c>
      <c r="I381" s="12">
        <v>2</v>
      </c>
      <c r="K381" s="19" t="s">
        <v>1225</v>
      </c>
      <c r="L381" s="9">
        <v>0</v>
      </c>
      <c r="M381" s="9">
        <v>0</v>
      </c>
      <c r="N381" s="9">
        <v>1</v>
      </c>
      <c r="O381" s="9">
        <v>1</v>
      </c>
      <c r="P381" s="9">
        <v>9</v>
      </c>
      <c r="Q381" s="9">
        <v>0</v>
      </c>
      <c r="R381" s="9">
        <v>0</v>
      </c>
      <c r="S381" s="9">
        <v>0</v>
      </c>
      <c r="T381" s="12">
        <v>11</v>
      </c>
      <c r="U381" s="13"/>
      <c r="V381" s="13"/>
      <c r="W381" s="13"/>
      <c r="X381" s="13"/>
    </row>
    <row r="382" spans="4:24" ht="13" x14ac:dyDescent="0.15">
      <c r="D382" s="32"/>
      <c r="E382" s="7" t="s">
        <v>600</v>
      </c>
      <c r="F382" s="9">
        <v>8</v>
      </c>
      <c r="G382" s="9">
        <v>0</v>
      </c>
      <c r="H382" s="9">
        <v>0</v>
      </c>
      <c r="I382" s="12">
        <v>8</v>
      </c>
      <c r="K382" s="19" t="s">
        <v>1226</v>
      </c>
      <c r="L382" s="9">
        <v>0</v>
      </c>
      <c r="M382" s="9">
        <v>0</v>
      </c>
      <c r="N382" s="9">
        <v>1</v>
      </c>
      <c r="O382" s="9">
        <v>0</v>
      </c>
      <c r="P382" s="9">
        <v>6</v>
      </c>
      <c r="Q382" s="9">
        <v>0</v>
      </c>
      <c r="R382" s="9">
        <v>0</v>
      </c>
      <c r="S382" s="9">
        <v>0</v>
      </c>
      <c r="T382" s="12">
        <v>7</v>
      </c>
      <c r="U382" s="13"/>
      <c r="V382" s="13"/>
      <c r="W382" s="13"/>
      <c r="X382" s="13"/>
    </row>
    <row r="383" spans="4:24" ht="13" x14ac:dyDescent="0.15">
      <c r="D383" s="32"/>
      <c r="E383" s="7" t="s">
        <v>1227</v>
      </c>
      <c r="F383" s="9">
        <v>1</v>
      </c>
      <c r="G383" s="9">
        <v>0</v>
      </c>
      <c r="H383" s="9">
        <v>0</v>
      </c>
      <c r="I383" s="12">
        <v>1</v>
      </c>
      <c r="K383" s="19" t="s">
        <v>1228</v>
      </c>
      <c r="L383" s="9">
        <v>0</v>
      </c>
      <c r="M383" s="9">
        <v>0</v>
      </c>
      <c r="N383" s="9">
        <v>2</v>
      </c>
      <c r="O383" s="9">
        <v>0</v>
      </c>
      <c r="P383" s="9">
        <v>1</v>
      </c>
      <c r="Q383" s="9">
        <v>0</v>
      </c>
      <c r="R383" s="9">
        <v>1</v>
      </c>
      <c r="S383" s="9">
        <v>0</v>
      </c>
      <c r="T383" s="12">
        <v>4</v>
      </c>
      <c r="U383" s="13"/>
      <c r="V383" s="13"/>
      <c r="W383" s="13"/>
      <c r="X383" s="13"/>
    </row>
    <row r="384" spans="4:24" ht="13" x14ac:dyDescent="0.15">
      <c r="D384" s="32"/>
      <c r="E384" s="7" t="s">
        <v>1229</v>
      </c>
      <c r="F384" s="9">
        <v>5</v>
      </c>
      <c r="G384" s="9">
        <v>0</v>
      </c>
      <c r="H384" s="9">
        <v>0</v>
      </c>
      <c r="I384" s="12">
        <v>5</v>
      </c>
      <c r="K384" s="19" t="s">
        <v>1230</v>
      </c>
      <c r="L384" s="9">
        <v>0</v>
      </c>
      <c r="M384" s="9">
        <v>0</v>
      </c>
      <c r="N384" s="9">
        <v>0</v>
      </c>
      <c r="O384" s="9">
        <v>4</v>
      </c>
      <c r="P384" s="9">
        <v>0</v>
      </c>
      <c r="Q384" s="9">
        <v>0</v>
      </c>
      <c r="R384" s="9">
        <v>0</v>
      </c>
      <c r="S384" s="9">
        <v>0</v>
      </c>
      <c r="T384" s="12">
        <v>4</v>
      </c>
      <c r="U384" s="13"/>
      <c r="V384" s="13"/>
      <c r="W384" s="13"/>
      <c r="X384" s="13"/>
    </row>
    <row r="385" spans="4:24" ht="13" x14ac:dyDescent="0.15">
      <c r="D385" s="32"/>
      <c r="E385" s="7" t="s">
        <v>374</v>
      </c>
      <c r="F385" s="9">
        <v>33</v>
      </c>
      <c r="G385" s="9">
        <v>0</v>
      </c>
      <c r="H385" s="9">
        <v>0</v>
      </c>
      <c r="I385" s="12">
        <v>33</v>
      </c>
      <c r="K385" s="19" t="s">
        <v>1231</v>
      </c>
      <c r="L385" s="9">
        <v>0</v>
      </c>
      <c r="M385" s="9">
        <v>0</v>
      </c>
      <c r="N385" s="9">
        <v>2</v>
      </c>
      <c r="O385" s="9">
        <v>2</v>
      </c>
      <c r="P385" s="9">
        <v>3</v>
      </c>
      <c r="Q385" s="9">
        <v>0</v>
      </c>
      <c r="R385" s="9">
        <v>0</v>
      </c>
      <c r="S385" s="9">
        <v>0</v>
      </c>
      <c r="T385" s="12">
        <v>7</v>
      </c>
      <c r="U385" s="13"/>
      <c r="V385" s="13"/>
      <c r="W385" s="13"/>
      <c r="X385" s="13"/>
    </row>
    <row r="386" spans="4:24" ht="13" x14ac:dyDescent="0.15">
      <c r="D386" s="32"/>
      <c r="E386" s="7" t="s">
        <v>1232</v>
      </c>
      <c r="F386" s="9">
        <v>1</v>
      </c>
      <c r="G386" s="9">
        <v>0</v>
      </c>
      <c r="H386" s="9">
        <v>0</v>
      </c>
      <c r="I386" s="12">
        <v>1</v>
      </c>
      <c r="K386" s="19" t="s">
        <v>1233</v>
      </c>
      <c r="L386" s="9">
        <v>6</v>
      </c>
      <c r="M386" s="9">
        <v>0</v>
      </c>
      <c r="N386" s="9">
        <v>1</v>
      </c>
      <c r="O386" s="9">
        <v>1</v>
      </c>
      <c r="P386" s="9">
        <v>1</v>
      </c>
      <c r="Q386" s="9">
        <v>0</v>
      </c>
      <c r="R386" s="9">
        <v>0</v>
      </c>
      <c r="S386" s="9">
        <v>0</v>
      </c>
      <c r="T386" s="12">
        <v>9</v>
      </c>
      <c r="U386" s="13"/>
      <c r="V386" s="13"/>
      <c r="W386" s="13"/>
      <c r="X386" s="13"/>
    </row>
    <row r="387" spans="4:24" ht="13" x14ac:dyDescent="0.15">
      <c r="D387" s="32"/>
      <c r="E387" s="7" t="s">
        <v>1234</v>
      </c>
      <c r="F387" s="9">
        <v>1</v>
      </c>
      <c r="G387" s="9">
        <v>0</v>
      </c>
      <c r="H387" s="9">
        <v>0</v>
      </c>
      <c r="I387" s="12">
        <v>1</v>
      </c>
      <c r="K387" s="19" t="s">
        <v>1235</v>
      </c>
      <c r="L387" s="9">
        <v>0</v>
      </c>
      <c r="M387" s="9">
        <v>0</v>
      </c>
      <c r="N387" s="9">
        <v>3</v>
      </c>
      <c r="O387" s="9">
        <v>0</v>
      </c>
      <c r="P387" s="9">
        <v>1</v>
      </c>
      <c r="Q387" s="9">
        <v>0</v>
      </c>
      <c r="R387" s="9">
        <v>0</v>
      </c>
      <c r="S387" s="9">
        <v>0</v>
      </c>
      <c r="T387" s="12">
        <v>4</v>
      </c>
      <c r="U387" s="13"/>
      <c r="V387" s="13"/>
      <c r="W387" s="13"/>
      <c r="X387" s="13"/>
    </row>
    <row r="388" spans="4:24" ht="13" x14ac:dyDescent="0.15">
      <c r="D388" s="32"/>
      <c r="E388" s="7" t="s">
        <v>1236</v>
      </c>
      <c r="F388" s="9">
        <v>2</v>
      </c>
      <c r="G388" s="9">
        <v>0</v>
      </c>
      <c r="H388" s="9">
        <v>0</v>
      </c>
      <c r="I388" s="12">
        <v>2</v>
      </c>
      <c r="K388" s="19" t="s">
        <v>1237</v>
      </c>
      <c r="L388" s="9">
        <v>0</v>
      </c>
      <c r="M388" s="9">
        <v>0</v>
      </c>
      <c r="N388" s="9">
        <v>2</v>
      </c>
      <c r="O388" s="9">
        <v>2</v>
      </c>
      <c r="P388" s="9">
        <v>0</v>
      </c>
      <c r="Q388" s="9">
        <v>0</v>
      </c>
      <c r="R388" s="9">
        <v>0</v>
      </c>
      <c r="S388" s="9">
        <v>0</v>
      </c>
      <c r="T388" s="12">
        <v>4</v>
      </c>
      <c r="U388" s="13"/>
      <c r="V388" s="13"/>
      <c r="W388" s="13"/>
      <c r="X388" s="13"/>
    </row>
    <row r="389" spans="4:24" ht="13" x14ac:dyDescent="0.15">
      <c r="D389" s="32"/>
      <c r="E389" s="7" t="s">
        <v>1238</v>
      </c>
      <c r="F389" s="9">
        <v>13</v>
      </c>
      <c r="G389" s="9">
        <v>0</v>
      </c>
      <c r="H389" s="9">
        <v>0</v>
      </c>
      <c r="I389" s="12">
        <v>13</v>
      </c>
      <c r="K389" s="19" t="s">
        <v>1239</v>
      </c>
      <c r="L389" s="9">
        <v>0</v>
      </c>
      <c r="M389" s="9">
        <v>0</v>
      </c>
      <c r="N389" s="9">
        <v>0</v>
      </c>
      <c r="O389" s="9">
        <v>0</v>
      </c>
      <c r="P389" s="9">
        <v>1</v>
      </c>
      <c r="Q389" s="9">
        <v>0</v>
      </c>
      <c r="R389" s="9">
        <v>0</v>
      </c>
      <c r="S389" s="9">
        <v>0</v>
      </c>
      <c r="T389" s="12">
        <v>1</v>
      </c>
      <c r="U389" s="13"/>
      <c r="V389" s="13"/>
      <c r="W389" s="13"/>
      <c r="X389" s="13"/>
    </row>
    <row r="390" spans="4:24" ht="13" x14ac:dyDescent="0.15">
      <c r="D390" s="32"/>
      <c r="E390" s="7" t="s">
        <v>49</v>
      </c>
      <c r="F390" s="9">
        <v>28</v>
      </c>
      <c r="G390" s="9">
        <v>0</v>
      </c>
      <c r="H390" s="9">
        <v>0</v>
      </c>
      <c r="I390" s="12">
        <v>28</v>
      </c>
      <c r="K390" s="19" t="s">
        <v>1240</v>
      </c>
      <c r="L390" s="9">
        <v>0</v>
      </c>
      <c r="M390" s="9">
        <v>0</v>
      </c>
      <c r="N390" s="9">
        <v>2</v>
      </c>
      <c r="O390" s="9">
        <v>0</v>
      </c>
      <c r="P390" s="9">
        <v>0</v>
      </c>
      <c r="Q390" s="9">
        <v>0</v>
      </c>
      <c r="R390" s="9">
        <v>0</v>
      </c>
      <c r="S390" s="9">
        <v>0</v>
      </c>
      <c r="T390" s="12">
        <v>2</v>
      </c>
      <c r="U390" s="13"/>
      <c r="V390" s="13"/>
      <c r="W390" s="13"/>
      <c r="X390" s="13"/>
    </row>
    <row r="391" spans="4:24" ht="13" x14ac:dyDescent="0.15">
      <c r="D391" s="32"/>
      <c r="E391" s="7" t="s">
        <v>981</v>
      </c>
      <c r="F391" s="9">
        <v>18</v>
      </c>
      <c r="G391" s="9">
        <v>0</v>
      </c>
      <c r="H391" s="9">
        <v>0</v>
      </c>
      <c r="I391" s="12">
        <v>18</v>
      </c>
      <c r="K391" s="19" t="s">
        <v>1241</v>
      </c>
      <c r="L391" s="9">
        <v>6</v>
      </c>
      <c r="M391" s="9">
        <v>0</v>
      </c>
      <c r="N391" s="9">
        <v>4</v>
      </c>
      <c r="O391" s="9">
        <v>0</v>
      </c>
      <c r="P391" s="9">
        <v>2</v>
      </c>
      <c r="Q391" s="9">
        <v>0</v>
      </c>
      <c r="R391" s="9">
        <v>0</v>
      </c>
      <c r="S391" s="9">
        <v>0</v>
      </c>
      <c r="T391" s="12">
        <v>12</v>
      </c>
      <c r="U391" s="13"/>
      <c r="V391" s="13"/>
      <c r="W391" s="13"/>
      <c r="X391" s="13"/>
    </row>
    <row r="392" spans="4:24" ht="13" x14ac:dyDescent="0.15">
      <c r="D392" s="32"/>
      <c r="E392" s="7" t="s">
        <v>315</v>
      </c>
      <c r="F392" s="9">
        <v>1</v>
      </c>
      <c r="G392" s="9">
        <v>0</v>
      </c>
      <c r="H392" s="9">
        <v>0</v>
      </c>
      <c r="I392" s="12">
        <v>1</v>
      </c>
      <c r="K392" s="18" t="s">
        <v>1242</v>
      </c>
      <c r="L392" s="12">
        <v>6</v>
      </c>
      <c r="M392" s="12">
        <v>2</v>
      </c>
      <c r="N392" s="12">
        <v>69</v>
      </c>
      <c r="O392" s="12">
        <v>59</v>
      </c>
      <c r="P392" s="12">
        <v>90</v>
      </c>
      <c r="Q392" s="12">
        <v>0</v>
      </c>
      <c r="R392" s="12">
        <v>0</v>
      </c>
      <c r="S392" s="12">
        <v>0</v>
      </c>
      <c r="T392" s="12">
        <v>226</v>
      </c>
      <c r="U392" s="13"/>
      <c r="V392" s="13"/>
      <c r="W392" s="13"/>
      <c r="X392" s="13"/>
    </row>
    <row r="393" spans="4:24" ht="13" x14ac:dyDescent="0.15">
      <c r="D393" s="32"/>
      <c r="E393" s="7" t="s">
        <v>628</v>
      </c>
      <c r="F393" s="9">
        <v>12</v>
      </c>
      <c r="G393" s="9">
        <v>0</v>
      </c>
      <c r="H393" s="9">
        <v>0</v>
      </c>
      <c r="I393" s="12">
        <v>12</v>
      </c>
      <c r="K393" s="19" t="s">
        <v>1243</v>
      </c>
      <c r="L393" s="9">
        <v>0</v>
      </c>
      <c r="M393" s="9">
        <v>1</v>
      </c>
      <c r="N393" s="9">
        <v>4</v>
      </c>
      <c r="O393" s="9">
        <v>3</v>
      </c>
      <c r="P393" s="9">
        <v>5</v>
      </c>
      <c r="Q393" s="9">
        <v>0</v>
      </c>
      <c r="R393" s="9">
        <v>0</v>
      </c>
      <c r="S393" s="9">
        <v>0</v>
      </c>
      <c r="T393" s="12">
        <v>13</v>
      </c>
      <c r="U393" s="13"/>
      <c r="V393" s="13"/>
      <c r="W393" s="13"/>
      <c r="X393" s="13"/>
    </row>
    <row r="394" spans="4:24" ht="13" x14ac:dyDescent="0.15">
      <c r="D394" s="32"/>
      <c r="E394" s="7" t="s">
        <v>905</v>
      </c>
      <c r="F394" s="9">
        <v>1</v>
      </c>
      <c r="G394" s="9">
        <v>0</v>
      </c>
      <c r="H394" s="9">
        <v>0</v>
      </c>
      <c r="I394" s="12">
        <v>1</v>
      </c>
      <c r="K394" s="19" t="s">
        <v>1244</v>
      </c>
      <c r="L394" s="9">
        <v>2</v>
      </c>
      <c r="M394" s="9">
        <v>0</v>
      </c>
      <c r="N394" s="9">
        <v>1</v>
      </c>
      <c r="O394" s="9">
        <v>2</v>
      </c>
      <c r="P394" s="9">
        <v>5</v>
      </c>
      <c r="Q394" s="9">
        <v>0</v>
      </c>
      <c r="R394" s="9">
        <v>0</v>
      </c>
      <c r="S394" s="9">
        <v>0</v>
      </c>
      <c r="T394" s="12">
        <v>10</v>
      </c>
      <c r="U394" s="13"/>
      <c r="V394" s="13"/>
      <c r="W394" s="13"/>
      <c r="X394" s="13"/>
    </row>
    <row r="395" spans="4:24" ht="13" x14ac:dyDescent="0.15">
      <c r="D395" s="32"/>
      <c r="E395" s="7" t="s">
        <v>638</v>
      </c>
      <c r="F395" s="9">
        <v>64</v>
      </c>
      <c r="G395" s="9">
        <v>0</v>
      </c>
      <c r="H395" s="9">
        <v>0</v>
      </c>
      <c r="I395" s="12">
        <v>64</v>
      </c>
      <c r="K395" s="19" t="s">
        <v>1245</v>
      </c>
      <c r="L395" s="9">
        <v>0</v>
      </c>
      <c r="M395" s="9">
        <v>0</v>
      </c>
      <c r="N395" s="9">
        <v>2</v>
      </c>
      <c r="O395" s="9">
        <v>0</v>
      </c>
      <c r="P395" s="9">
        <v>4</v>
      </c>
      <c r="Q395" s="9">
        <v>0</v>
      </c>
      <c r="R395" s="9">
        <v>0</v>
      </c>
      <c r="S395" s="9">
        <v>0</v>
      </c>
      <c r="T395" s="12">
        <v>6</v>
      </c>
      <c r="U395" s="13"/>
      <c r="V395" s="13"/>
      <c r="W395" s="13"/>
      <c r="X395" s="13"/>
    </row>
    <row r="396" spans="4:24" ht="13" x14ac:dyDescent="0.15">
      <c r="D396" s="32"/>
      <c r="E396" s="7" t="s">
        <v>478</v>
      </c>
      <c r="F396" s="9">
        <v>21</v>
      </c>
      <c r="G396" s="9">
        <v>0</v>
      </c>
      <c r="H396" s="9">
        <v>0</v>
      </c>
      <c r="I396" s="12">
        <v>21</v>
      </c>
      <c r="K396" s="19" t="s">
        <v>1246</v>
      </c>
      <c r="L396" s="9">
        <v>4</v>
      </c>
      <c r="M396" s="9">
        <v>1</v>
      </c>
      <c r="N396" s="9">
        <v>2</v>
      </c>
      <c r="O396" s="9">
        <v>5</v>
      </c>
      <c r="P396" s="9">
        <v>6</v>
      </c>
      <c r="Q396" s="9">
        <v>0</v>
      </c>
      <c r="R396" s="9">
        <v>0</v>
      </c>
      <c r="S396" s="9">
        <v>0</v>
      </c>
      <c r="T396" s="12">
        <v>18</v>
      </c>
      <c r="U396" s="13"/>
      <c r="V396" s="13"/>
      <c r="W396" s="13"/>
      <c r="X396" s="13"/>
    </row>
    <row r="397" spans="4:24" ht="13" x14ac:dyDescent="0.15">
      <c r="D397" s="32"/>
      <c r="E397" s="7" t="s">
        <v>129</v>
      </c>
      <c r="F397" s="9">
        <v>90</v>
      </c>
      <c r="G397" s="9">
        <v>0</v>
      </c>
      <c r="H397" s="9">
        <v>1</v>
      </c>
      <c r="I397" s="12">
        <v>91</v>
      </c>
      <c r="K397" s="19" t="s">
        <v>1247</v>
      </c>
      <c r="L397" s="9">
        <v>0</v>
      </c>
      <c r="M397" s="9">
        <v>0</v>
      </c>
      <c r="N397" s="9">
        <v>0</v>
      </c>
      <c r="O397" s="9">
        <v>1</v>
      </c>
      <c r="P397" s="9">
        <v>0</v>
      </c>
      <c r="Q397" s="9">
        <v>0</v>
      </c>
      <c r="R397" s="9">
        <v>0</v>
      </c>
      <c r="S397" s="9">
        <v>0</v>
      </c>
      <c r="T397" s="12">
        <v>1</v>
      </c>
      <c r="U397" s="13"/>
      <c r="V397" s="13"/>
      <c r="W397" s="13"/>
      <c r="X397" s="13"/>
    </row>
    <row r="398" spans="4:24" ht="13" x14ac:dyDescent="0.15">
      <c r="D398" s="32"/>
      <c r="E398" s="7" t="s">
        <v>655</v>
      </c>
      <c r="F398" s="9">
        <v>9</v>
      </c>
      <c r="G398" s="9">
        <v>0</v>
      </c>
      <c r="H398" s="9">
        <v>0</v>
      </c>
      <c r="I398" s="12">
        <v>9</v>
      </c>
      <c r="K398" s="19" t="s">
        <v>1248</v>
      </c>
      <c r="L398" s="9">
        <v>0</v>
      </c>
      <c r="M398" s="9">
        <v>0</v>
      </c>
      <c r="N398" s="9">
        <v>2</v>
      </c>
      <c r="O398" s="9">
        <v>1</v>
      </c>
      <c r="P398" s="9">
        <v>1</v>
      </c>
      <c r="Q398" s="9">
        <v>0</v>
      </c>
      <c r="R398" s="9">
        <v>0</v>
      </c>
      <c r="S398" s="9">
        <v>0</v>
      </c>
      <c r="T398" s="12">
        <v>4</v>
      </c>
      <c r="U398" s="13"/>
      <c r="V398" s="13"/>
      <c r="W398" s="13"/>
      <c r="X398" s="13"/>
    </row>
    <row r="399" spans="4:24" ht="13" x14ac:dyDescent="0.15">
      <c r="D399" s="32"/>
      <c r="E399" s="7" t="s">
        <v>35</v>
      </c>
      <c r="F399" s="9">
        <v>5</v>
      </c>
      <c r="G399" s="9">
        <v>0</v>
      </c>
      <c r="H399" s="9">
        <v>0</v>
      </c>
      <c r="I399" s="12">
        <v>5</v>
      </c>
      <c r="K399" s="19" t="s">
        <v>1249</v>
      </c>
      <c r="L399" s="9">
        <v>0</v>
      </c>
      <c r="M399" s="9">
        <v>0</v>
      </c>
      <c r="N399" s="9">
        <v>4</v>
      </c>
      <c r="O399" s="9">
        <v>2</v>
      </c>
      <c r="P399" s="9">
        <v>0</v>
      </c>
      <c r="Q399" s="9">
        <v>0</v>
      </c>
      <c r="R399" s="9">
        <v>0</v>
      </c>
      <c r="S399" s="9">
        <v>0</v>
      </c>
      <c r="T399" s="12">
        <v>6</v>
      </c>
      <c r="U399" s="13"/>
      <c r="V399" s="13"/>
      <c r="W399" s="13"/>
      <c r="X399" s="13"/>
    </row>
    <row r="400" spans="4:24" ht="13" x14ac:dyDescent="0.15">
      <c r="D400" s="32"/>
      <c r="E400" s="7" t="s">
        <v>276</v>
      </c>
      <c r="F400" s="9">
        <v>58</v>
      </c>
      <c r="G400" s="9">
        <v>0</v>
      </c>
      <c r="H400" s="9">
        <v>0</v>
      </c>
      <c r="I400" s="12">
        <v>58</v>
      </c>
      <c r="K400" s="19" t="s">
        <v>1250</v>
      </c>
      <c r="L400" s="9">
        <v>0</v>
      </c>
      <c r="M400" s="9">
        <v>0</v>
      </c>
      <c r="N400" s="9">
        <v>1</v>
      </c>
      <c r="O400" s="9">
        <v>1</v>
      </c>
      <c r="P400" s="9">
        <v>3</v>
      </c>
      <c r="Q400" s="9">
        <v>0</v>
      </c>
      <c r="R400" s="9">
        <v>0</v>
      </c>
      <c r="S400" s="9">
        <v>0</v>
      </c>
      <c r="T400" s="12">
        <v>5</v>
      </c>
      <c r="U400" s="13"/>
      <c r="V400" s="13"/>
      <c r="W400" s="13"/>
      <c r="X400" s="13"/>
    </row>
    <row r="401" spans="4:24" ht="13" x14ac:dyDescent="0.15">
      <c r="D401" s="33"/>
      <c r="E401" s="7" t="s">
        <v>36</v>
      </c>
      <c r="F401" s="9">
        <v>98</v>
      </c>
      <c r="G401" s="9">
        <v>0</v>
      </c>
      <c r="H401" s="9">
        <v>0</v>
      </c>
      <c r="I401" s="12">
        <v>98</v>
      </c>
      <c r="K401" s="19" t="s">
        <v>1251</v>
      </c>
      <c r="L401" s="9">
        <v>0</v>
      </c>
      <c r="M401" s="9">
        <v>0</v>
      </c>
      <c r="N401" s="9">
        <v>3</v>
      </c>
      <c r="O401" s="9">
        <v>2</v>
      </c>
      <c r="P401" s="9">
        <v>4</v>
      </c>
      <c r="Q401" s="9">
        <v>0</v>
      </c>
      <c r="R401" s="9">
        <v>0</v>
      </c>
      <c r="S401" s="9">
        <v>0</v>
      </c>
      <c r="T401" s="12">
        <v>9</v>
      </c>
      <c r="U401" s="13"/>
      <c r="V401" s="13"/>
      <c r="W401" s="13"/>
      <c r="X401" s="13"/>
    </row>
    <row r="402" spans="4:24" ht="13" x14ac:dyDescent="0.15">
      <c r="D402" s="11" t="s">
        <v>1252</v>
      </c>
      <c r="E402" s="11"/>
      <c r="F402" s="12">
        <v>727</v>
      </c>
      <c r="G402" s="12">
        <v>0</v>
      </c>
      <c r="H402" s="12">
        <v>1</v>
      </c>
      <c r="I402" s="12">
        <v>728</v>
      </c>
      <c r="K402" s="19" t="s">
        <v>1253</v>
      </c>
      <c r="L402" s="9">
        <v>0</v>
      </c>
      <c r="M402" s="9">
        <v>0</v>
      </c>
      <c r="N402" s="9">
        <v>3</v>
      </c>
      <c r="O402" s="9">
        <v>2</v>
      </c>
      <c r="P402" s="9">
        <v>2</v>
      </c>
      <c r="Q402" s="9">
        <v>0</v>
      </c>
      <c r="R402" s="9">
        <v>0</v>
      </c>
      <c r="S402" s="9">
        <v>0</v>
      </c>
      <c r="T402" s="12">
        <v>7</v>
      </c>
      <c r="U402" s="13"/>
      <c r="V402" s="13"/>
      <c r="W402" s="13"/>
      <c r="X402" s="13"/>
    </row>
    <row r="403" spans="4:24" ht="13" x14ac:dyDescent="0.15">
      <c r="K403" s="19" t="s">
        <v>1254</v>
      </c>
      <c r="L403" s="9">
        <v>0</v>
      </c>
      <c r="M403" s="9">
        <v>0</v>
      </c>
      <c r="N403" s="9">
        <v>6</v>
      </c>
      <c r="O403" s="9">
        <v>1</v>
      </c>
      <c r="P403" s="9">
        <v>4</v>
      </c>
      <c r="Q403" s="9">
        <v>0</v>
      </c>
      <c r="R403" s="9">
        <v>0</v>
      </c>
      <c r="S403" s="9">
        <v>0</v>
      </c>
      <c r="T403" s="12">
        <v>11</v>
      </c>
      <c r="U403" s="13"/>
      <c r="V403" s="13"/>
      <c r="W403" s="13"/>
      <c r="X403" s="13"/>
    </row>
    <row r="404" spans="4:24" ht="13" x14ac:dyDescent="0.15">
      <c r="K404" s="19" t="s">
        <v>1255</v>
      </c>
      <c r="L404" s="9">
        <v>0</v>
      </c>
      <c r="M404" s="9">
        <v>0</v>
      </c>
      <c r="N404" s="9">
        <v>0</v>
      </c>
      <c r="O404" s="9">
        <v>1</v>
      </c>
      <c r="P404" s="9">
        <v>0</v>
      </c>
      <c r="Q404" s="9">
        <v>0</v>
      </c>
      <c r="R404" s="9">
        <v>0</v>
      </c>
      <c r="S404" s="9">
        <v>0</v>
      </c>
      <c r="T404" s="12">
        <v>1</v>
      </c>
      <c r="U404" s="13"/>
      <c r="V404" s="13"/>
      <c r="W404" s="13"/>
      <c r="X404" s="13"/>
    </row>
    <row r="405" spans="4:24" ht="13" x14ac:dyDescent="0.15">
      <c r="K405" s="19" t="s">
        <v>1256</v>
      </c>
      <c r="L405" s="9">
        <v>0</v>
      </c>
      <c r="M405" s="9">
        <v>0</v>
      </c>
      <c r="N405" s="9">
        <v>0</v>
      </c>
      <c r="O405" s="9">
        <v>2</v>
      </c>
      <c r="P405" s="9">
        <v>2</v>
      </c>
      <c r="Q405" s="9">
        <v>0</v>
      </c>
      <c r="R405" s="9">
        <v>0</v>
      </c>
      <c r="S405" s="9">
        <v>0</v>
      </c>
      <c r="T405" s="12">
        <v>4</v>
      </c>
      <c r="U405" s="13"/>
      <c r="V405" s="13"/>
      <c r="W405" s="13"/>
      <c r="X405" s="13"/>
    </row>
    <row r="406" spans="4:24" ht="13" x14ac:dyDescent="0.15">
      <c r="K406" s="19" t="s">
        <v>1257</v>
      </c>
      <c r="L406" s="9">
        <v>0</v>
      </c>
      <c r="M406" s="9">
        <v>0</v>
      </c>
      <c r="N406" s="9">
        <v>8</v>
      </c>
      <c r="O406" s="9">
        <v>2</v>
      </c>
      <c r="P406" s="9">
        <v>1</v>
      </c>
      <c r="Q406" s="9">
        <v>0</v>
      </c>
      <c r="R406" s="9">
        <v>0</v>
      </c>
      <c r="S406" s="9">
        <v>0</v>
      </c>
      <c r="T406" s="12">
        <v>11</v>
      </c>
      <c r="U406" s="13"/>
      <c r="V406" s="13"/>
      <c r="W406" s="13"/>
      <c r="X406" s="13"/>
    </row>
    <row r="407" spans="4:24" ht="13" x14ac:dyDescent="0.15">
      <c r="K407" s="19" t="s">
        <v>1258</v>
      </c>
      <c r="L407" s="9">
        <v>0</v>
      </c>
      <c r="M407" s="9">
        <v>0</v>
      </c>
      <c r="N407" s="9">
        <v>5</v>
      </c>
      <c r="O407" s="9">
        <v>3</v>
      </c>
      <c r="P407" s="9">
        <v>1</v>
      </c>
      <c r="Q407" s="9">
        <v>0</v>
      </c>
      <c r="R407" s="9">
        <v>0</v>
      </c>
      <c r="S407" s="9">
        <v>0</v>
      </c>
      <c r="T407" s="12">
        <v>9</v>
      </c>
      <c r="U407" s="13"/>
      <c r="V407" s="13"/>
      <c r="W407" s="13"/>
      <c r="X407" s="13"/>
    </row>
    <row r="408" spans="4:24" ht="13" x14ac:dyDescent="0.15">
      <c r="K408" s="19" t="s">
        <v>1259</v>
      </c>
      <c r="L408" s="9">
        <v>0</v>
      </c>
      <c r="M408" s="9">
        <v>0</v>
      </c>
      <c r="N408" s="9">
        <v>3</v>
      </c>
      <c r="O408" s="9">
        <v>4</v>
      </c>
      <c r="P408" s="9">
        <v>6</v>
      </c>
      <c r="Q408" s="9">
        <v>0</v>
      </c>
      <c r="R408" s="9">
        <v>0</v>
      </c>
      <c r="S408" s="9">
        <v>0</v>
      </c>
      <c r="T408" s="12">
        <v>13</v>
      </c>
      <c r="U408" s="13"/>
      <c r="V408" s="13"/>
      <c r="W408" s="13"/>
      <c r="X408" s="13"/>
    </row>
    <row r="409" spans="4:24" ht="13" x14ac:dyDescent="0.15">
      <c r="K409" s="19" t="s">
        <v>1260</v>
      </c>
      <c r="L409" s="9">
        <v>0</v>
      </c>
      <c r="M409" s="9">
        <v>0</v>
      </c>
      <c r="N409" s="9">
        <v>1</v>
      </c>
      <c r="O409" s="9">
        <v>6</v>
      </c>
      <c r="P409" s="9">
        <v>4</v>
      </c>
      <c r="Q409" s="9">
        <v>0</v>
      </c>
      <c r="R409" s="9">
        <v>0</v>
      </c>
      <c r="S409" s="9">
        <v>0</v>
      </c>
      <c r="T409" s="12">
        <v>11</v>
      </c>
      <c r="U409" s="13"/>
      <c r="V409" s="13"/>
      <c r="W409" s="13"/>
      <c r="X409" s="13"/>
    </row>
    <row r="410" spans="4:24" ht="13" x14ac:dyDescent="0.15">
      <c r="K410" s="19" t="s">
        <v>1261</v>
      </c>
      <c r="L410" s="9">
        <v>0</v>
      </c>
      <c r="M410" s="9">
        <v>0</v>
      </c>
      <c r="N410" s="9">
        <v>0</v>
      </c>
      <c r="O410" s="9">
        <v>0</v>
      </c>
      <c r="P410" s="9">
        <v>5</v>
      </c>
      <c r="Q410" s="9">
        <v>0</v>
      </c>
      <c r="R410" s="9">
        <v>0</v>
      </c>
      <c r="S410" s="9">
        <v>0</v>
      </c>
      <c r="T410" s="12">
        <v>5</v>
      </c>
      <c r="U410" s="13"/>
      <c r="V410" s="13"/>
      <c r="W410" s="13"/>
      <c r="X410" s="13"/>
    </row>
    <row r="411" spans="4:24" ht="13" x14ac:dyDescent="0.15">
      <c r="K411" s="19" t="s">
        <v>1262</v>
      </c>
      <c r="L411" s="9">
        <v>0</v>
      </c>
      <c r="M411" s="9">
        <v>0</v>
      </c>
      <c r="N411" s="9">
        <v>3</v>
      </c>
      <c r="O411" s="9">
        <v>0</v>
      </c>
      <c r="P411" s="9">
        <v>0</v>
      </c>
      <c r="Q411" s="9">
        <v>0</v>
      </c>
      <c r="R411" s="9">
        <v>0</v>
      </c>
      <c r="S411" s="9">
        <v>0</v>
      </c>
      <c r="T411" s="12">
        <v>3</v>
      </c>
      <c r="U411" s="13"/>
      <c r="V411" s="13"/>
      <c r="W411" s="13"/>
      <c r="X411" s="13"/>
    </row>
    <row r="412" spans="4:24" ht="13" x14ac:dyDescent="0.15">
      <c r="K412" s="19" t="s">
        <v>1263</v>
      </c>
      <c r="L412" s="9">
        <v>0</v>
      </c>
      <c r="M412" s="9">
        <v>0</v>
      </c>
      <c r="N412" s="9">
        <v>0</v>
      </c>
      <c r="O412" s="9">
        <v>0</v>
      </c>
      <c r="P412" s="9">
        <v>3</v>
      </c>
      <c r="Q412" s="9">
        <v>0</v>
      </c>
      <c r="R412" s="9">
        <v>0</v>
      </c>
      <c r="S412" s="9">
        <v>0</v>
      </c>
      <c r="T412" s="12">
        <v>3</v>
      </c>
      <c r="U412" s="13"/>
      <c r="V412" s="13"/>
      <c r="W412" s="13"/>
      <c r="X412" s="13"/>
    </row>
    <row r="413" spans="4:24" ht="13" x14ac:dyDescent="0.15">
      <c r="K413" s="19" t="s">
        <v>1264</v>
      </c>
      <c r="L413" s="9">
        <v>0</v>
      </c>
      <c r="M413" s="9">
        <v>0</v>
      </c>
      <c r="N413" s="9">
        <v>3</v>
      </c>
      <c r="O413" s="9">
        <v>1</v>
      </c>
      <c r="P413" s="9">
        <v>4</v>
      </c>
      <c r="Q413" s="9">
        <v>0</v>
      </c>
      <c r="R413" s="9">
        <v>0</v>
      </c>
      <c r="S413" s="9">
        <v>0</v>
      </c>
      <c r="T413" s="12">
        <v>8</v>
      </c>
      <c r="U413" s="13"/>
      <c r="V413" s="13"/>
      <c r="W413" s="13"/>
      <c r="X413" s="13"/>
    </row>
    <row r="414" spans="4:24" ht="13" x14ac:dyDescent="0.15">
      <c r="K414" s="19" t="s">
        <v>1265</v>
      </c>
      <c r="L414" s="9">
        <v>0</v>
      </c>
      <c r="M414" s="9">
        <v>0</v>
      </c>
      <c r="N414" s="9">
        <v>1</v>
      </c>
      <c r="O414" s="9">
        <v>1</v>
      </c>
      <c r="P414" s="9">
        <v>2</v>
      </c>
      <c r="Q414" s="9">
        <v>0</v>
      </c>
      <c r="R414" s="9">
        <v>0</v>
      </c>
      <c r="S414" s="9">
        <v>0</v>
      </c>
      <c r="T414" s="12">
        <v>4</v>
      </c>
      <c r="U414" s="13"/>
      <c r="V414" s="13"/>
      <c r="W414" s="13"/>
      <c r="X414" s="13"/>
    </row>
    <row r="415" spans="4:24" ht="13" x14ac:dyDescent="0.15">
      <c r="K415" s="19" t="s">
        <v>1266</v>
      </c>
      <c r="L415" s="9">
        <v>0</v>
      </c>
      <c r="M415" s="9">
        <v>0</v>
      </c>
      <c r="N415" s="9">
        <v>1</v>
      </c>
      <c r="O415" s="9">
        <v>1</v>
      </c>
      <c r="P415" s="9">
        <v>3</v>
      </c>
      <c r="Q415" s="9">
        <v>0</v>
      </c>
      <c r="R415" s="9">
        <v>0</v>
      </c>
      <c r="S415" s="9">
        <v>0</v>
      </c>
      <c r="T415" s="12">
        <v>5</v>
      </c>
      <c r="U415" s="13"/>
      <c r="V415" s="13"/>
      <c r="W415" s="13"/>
      <c r="X415" s="13"/>
    </row>
    <row r="416" spans="4:24" ht="13" x14ac:dyDescent="0.15">
      <c r="K416" s="19" t="s">
        <v>1267</v>
      </c>
      <c r="L416" s="9">
        <v>0</v>
      </c>
      <c r="M416" s="9">
        <v>0</v>
      </c>
      <c r="N416" s="9">
        <v>2</v>
      </c>
      <c r="O416" s="9">
        <v>2</v>
      </c>
      <c r="P416" s="9">
        <v>7</v>
      </c>
      <c r="Q416" s="9">
        <v>0</v>
      </c>
      <c r="R416" s="9">
        <v>0</v>
      </c>
      <c r="S416" s="9">
        <v>0</v>
      </c>
      <c r="T416" s="12">
        <v>11</v>
      </c>
      <c r="U416" s="13"/>
      <c r="V416" s="13"/>
      <c r="W416" s="13"/>
      <c r="X416" s="13"/>
    </row>
    <row r="417" spans="11:24" ht="13" x14ac:dyDescent="0.15">
      <c r="K417" s="19" t="s">
        <v>1268</v>
      </c>
      <c r="L417" s="9">
        <v>0</v>
      </c>
      <c r="M417" s="9">
        <v>0</v>
      </c>
      <c r="N417" s="9">
        <v>2</v>
      </c>
      <c r="O417" s="9">
        <v>2</v>
      </c>
      <c r="P417" s="9">
        <v>4</v>
      </c>
      <c r="Q417" s="9">
        <v>0</v>
      </c>
      <c r="R417" s="9">
        <v>0</v>
      </c>
      <c r="S417" s="9">
        <v>0</v>
      </c>
      <c r="T417" s="12">
        <v>8</v>
      </c>
      <c r="U417" s="13"/>
      <c r="V417" s="13"/>
      <c r="W417" s="13"/>
      <c r="X417" s="13"/>
    </row>
    <row r="418" spans="11:24" ht="13" x14ac:dyDescent="0.15">
      <c r="K418" s="19" t="s">
        <v>1269</v>
      </c>
      <c r="L418" s="9">
        <v>0</v>
      </c>
      <c r="M418" s="9">
        <v>0</v>
      </c>
      <c r="N418" s="9">
        <v>0</v>
      </c>
      <c r="O418" s="9">
        <v>0</v>
      </c>
      <c r="P418" s="9">
        <v>1</v>
      </c>
      <c r="Q418" s="9">
        <v>0</v>
      </c>
      <c r="R418" s="9">
        <v>0</v>
      </c>
      <c r="S418" s="9">
        <v>0</v>
      </c>
      <c r="T418" s="12">
        <v>1</v>
      </c>
      <c r="U418" s="13"/>
      <c r="V418" s="13"/>
      <c r="W418" s="13"/>
      <c r="X418" s="13"/>
    </row>
    <row r="419" spans="11:24" ht="13" x14ac:dyDescent="0.15">
      <c r="K419" s="19" t="s">
        <v>1270</v>
      </c>
      <c r="L419" s="9">
        <v>0</v>
      </c>
      <c r="M419" s="9">
        <v>0</v>
      </c>
      <c r="N419" s="9">
        <v>2</v>
      </c>
      <c r="O419" s="9">
        <v>5</v>
      </c>
      <c r="P419" s="9">
        <v>3</v>
      </c>
      <c r="Q419" s="9">
        <v>0</v>
      </c>
      <c r="R419" s="9">
        <v>0</v>
      </c>
      <c r="S419" s="9">
        <v>0</v>
      </c>
      <c r="T419" s="12">
        <v>10</v>
      </c>
      <c r="U419" s="13"/>
      <c r="V419" s="13"/>
      <c r="W419" s="13"/>
      <c r="X419" s="13"/>
    </row>
    <row r="420" spans="11:24" ht="13" x14ac:dyDescent="0.15">
      <c r="K420" s="19" t="s">
        <v>1271</v>
      </c>
      <c r="L420" s="9">
        <v>0</v>
      </c>
      <c r="M420" s="9">
        <v>0</v>
      </c>
      <c r="N420" s="9">
        <v>3</v>
      </c>
      <c r="O420" s="9">
        <v>3</v>
      </c>
      <c r="P420" s="9">
        <v>5</v>
      </c>
      <c r="Q420" s="9">
        <v>0</v>
      </c>
      <c r="R420" s="9">
        <v>0</v>
      </c>
      <c r="S420" s="9">
        <v>0</v>
      </c>
      <c r="T420" s="12">
        <v>11</v>
      </c>
      <c r="U420" s="13"/>
      <c r="V420" s="13"/>
      <c r="W420" s="13"/>
      <c r="X420" s="13"/>
    </row>
    <row r="421" spans="11:24" ht="13" x14ac:dyDescent="0.15">
      <c r="K421" s="19" t="s">
        <v>1272</v>
      </c>
      <c r="L421" s="9">
        <v>0</v>
      </c>
      <c r="M421" s="9">
        <v>0</v>
      </c>
      <c r="N421" s="9">
        <v>1</v>
      </c>
      <c r="O421" s="9">
        <v>0</v>
      </c>
      <c r="P421" s="9">
        <v>3</v>
      </c>
      <c r="Q421" s="9">
        <v>0</v>
      </c>
      <c r="R421" s="9">
        <v>0</v>
      </c>
      <c r="S421" s="9">
        <v>0</v>
      </c>
      <c r="T421" s="12">
        <v>4</v>
      </c>
      <c r="U421" s="13"/>
      <c r="V421" s="13"/>
      <c r="W421" s="13"/>
      <c r="X421" s="13"/>
    </row>
    <row r="422" spans="11:24" ht="13" x14ac:dyDescent="0.15">
      <c r="K422" s="19" t="s">
        <v>1273</v>
      </c>
      <c r="L422" s="9">
        <v>0</v>
      </c>
      <c r="M422" s="9">
        <v>0</v>
      </c>
      <c r="N422" s="9">
        <v>6</v>
      </c>
      <c r="O422" s="9">
        <v>6</v>
      </c>
      <c r="P422" s="9">
        <v>2</v>
      </c>
      <c r="Q422" s="9">
        <v>0</v>
      </c>
      <c r="R422" s="9">
        <v>0</v>
      </c>
      <c r="S422" s="9">
        <v>0</v>
      </c>
      <c r="T422" s="12">
        <v>14</v>
      </c>
      <c r="U422" s="13"/>
      <c r="V422" s="13"/>
      <c r="W422" s="13"/>
      <c r="X422" s="13"/>
    </row>
    <row r="423" spans="11:24" ht="13" x14ac:dyDescent="0.15">
      <c r="K423" s="18" t="s">
        <v>1274</v>
      </c>
      <c r="L423" s="12">
        <v>0</v>
      </c>
      <c r="M423" s="12">
        <v>0</v>
      </c>
      <c r="N423" s="12">
        <v>55</v>
      </c>
      <c r="O423" s="12">
        <v>34</v>
      </c>
      <c r="P423" s="12">
        <v>78</v>
      </c>
      <c r="Q423" s="12">
        <v>0</v>
      </c>
      <c r="R423" s="12">
        <v>0</v>
      </c>
      <c r="S423" s="12">
        <v>0</v>
      </c>
      <c r="T423" s="12">
        <v>167</v>
      </c>
      <c r="U423" s="13"/>
      <c r="V423" s="13"/>
      <c r="W423" s="13"/>
      <c r="X423" s="13"/>
    </row>
    <row r="424" spans="11:24" ht="13" x14ac:dyDescent="0.15">
      <c r="K424" s="19" t="s">
        <v>1275</v>
      </c>
      <c r="L424" s="9">
        <v>0</v>
      </c>
      <c r="M424" s="9">
        <v>0</v>
      </c>
      <c r="N424" s="9">
        <v>2</v>
      </c>
      <c r="O424" s="9">
        <v>0</v>
      </c>
      <c r="P424" s="9">
        <v>5</v>
      </c>
      <c r="Q424" s="9">
        <v>0</v>
      </c>
      <c r="R424" s="9">
        <v>0</v>
      </c>
      <c r="S424" s="9">
        <v>0</v>
      </c>
      <c r="T424" s="12">
        <v>7</v>
      </c>
      <c r="U424" s="13"/>
      <c r="V424" s="13"/>
      <c r="W424" s="13"/>
      <c r="X424" s="13"/>
    </row>
    <row r="425" spans="11:24" ht="13" x14ac:dyDescent="0.15">
      <c r="K425" s="19" t="s">
        <v>1276</v>
      </c>
      <c r="L425" s="9">
        <v>0</v>
      </c>
      <c r="M425" s="9">
        <v>0</v>
      </c>
      <c r="N425" s="9">
        <v>0</v>
      </c>
      <c r="O425" s="9">
        <v>0</v>
      </c>
      <c r="P425" s="9">
        <v>2</v>
      </c>
      <c r="Q425" s="9">
        <v>0</v>
      </c>
      <c r="R425" s="9">
        <v>0</v>
      </c>
      <c r="S425" s="9">
        <v>0</v>
      </c>
      <c r="T425" s="12">
        <v>2</v>
      </c>
      <c r="U425" s="13"/>
      <c r="V425" s="13"/>
      <c r="W425" s="13"/>
      <c r="X425" s="13"/>
    </row>
    <row r="426" spans="11:24" ht="13" x14ac:dyDescent="0.15">
      <c r="K426" s="19" t="s">
        <v>1277</v>
      </c>
      <c r="L426" s="9">
        <v>0</v>
      </c>
      <c r="M426" s="9">
        <v>0</v>
      </c>
      <c r="N426" s="9">
        <v>0</v>
      </c>
      <c r="O426" s="9">
        <v>0</v>
      </c>
      <c r="P426" s="9">
        <v>1</v>
      </c>
      <c r="Q426" s="9">
        <v>0</v>
      </c>
      <c r="R426" s="9">
        <v>0</v>
      </c>
      <c r="S426" s="9">
        <v>0</v>
      </c>
      <c r="T426" s="12">
        <v>1</v>
      </c>
      <c r="U426" s="13"/>
      <c r="V426" s="13"/>
      <c r="W426" s="13"/>
      <c r="X426" s="13"/>
    </row>
    <row r="427" spans="11:24" ht="13" x14ac:dyDescent="0.15">
      <c r="K427" s="19" t="s">
        <v>1278</v>
      </c>
      <c r="L427" s="9">
        <v>0</v>
      </c>
      <c r="M427" s="9">
        <v>0</v>
      </c>
      <c r="N427" s="9">
        <v>4</v>
      </c>
      <c r="O427" s="9">
        <v>0</v>
      </c>
      <c r="P427" s="9">
        <v>0</v>
      </c>
      <c r="Q427" s="9">
        <v>0</v>
      </c>
      <c r="R427" s="9">
        <v>0</v>
      </c>
      <c r="S427" s="9">
        <v>0</v>
      </c>
      <c r="T427" s="12">
        <v>4</v>
      </c>
      <c r="U427" s="13"/>
      <c r="V427" s="13"/>
      <c r="W427" s="13"/>
      <c r="X427" s="13"/>
    </row>
    <row r="428" spans="11:24" ht="13" x14ac:dyDescent="0.15">
      <c r="K428" s="19" t="s">
        <v>1279</v>
      </c>
      <c r="L428" s="9">
        <v>0</v>
      </c>
      <c r="M428" s="9">
        <v>0</v>
      </c>
      <c r="N428" s="9">
        <v>1</v>
      </c>
      <c r="O428" s="9">
        <v>2</v>
      </c>
      <c r="P428" s="9">
        <v>8</v>
      </c>
      <c r="Q428" s="9">
        <v>0</v>
      </c>
      <c r="R428" s="9">
        <v>0</v>
      </c>
      <c r="S428" s="9">
        <v>0</v>
      </c>
      <c r="T428" s="12">
        <v>11</v>
      </c>
      <c r="U428" s="13"/>
      <c r="V428" s="13"/>
      <c r="W428" s="13"/>
      <c r="X428" s="13"/>
    </row>
    <row r="429" spans="11:24" ht="13" x14ac:dyDescent="0.15">
      <c r="K429" s="19" t="s">
        <v>1280</v>
      </c>
      <c r="L429" s="9">
        <v>0</v>
      </c>
      <c r="M429" s="9">
        <v>0</v>
      </c>
      <c r="N429" s="9">
        <v>2</v>
      </c>
      <c r="O429" s="9">
        <v>1</v>
      </c>
      <c r="P429" s="9">
        <v>8</v>
      </c>
      <c r="Q429" s="9">
        <v>0</v>
      </c>
      <c r="R429" s="9">
        <v>0</v>
      </c>
      <c r="S429" s="9">
        <v>0</v>
      </c>
      <c r="T429" s="12">
        <v>11</v>
      </c>
      <c r="U429" s="13"/>
      <c r="V429" s="13"/>
      <c r="W429" s="13"/>
      <c r="X429" s="13"/>
    </row>
    <row r="430" spans="11:24" ht="13" x14ac:dyDescent="0.15">
      <c r="K430" s="19" t="s">
        <v>1281</v>
      </c>
      <c r="L430" s="9">
        <v>0</v>
      </c>
      <c r="M430" s="9">
        <v>0</v>
      </c>
      <c r="N430" s="9">
        <v>3</v>
      </c>
      <c r="O430" s="9">
        <v>0</v>
      </c>
      <c r="P430" s="9">
        <v>4</v>
      </c>
      <c r="Q430" s="9">
        <v>0</v>
      </c>
      <c r="R430" s="9">
        <v>0</v>
      </c>
      <c r="S430" s="9">
        <v>0</v>
      </c>
      <c r="T430" s="12">
        <v>7</v>
      </c>
      <c r="U430" s="13"/>
      <c r="V430" s="13"/>
      <c r="W430" s="13"/>
      <c r="X430" s="13"/>
    </row>
    <row r="431" spans="11:24" ht="13" x14ac:dyDescent="0.15">
      <c r="K431" s="19" t="s">
        <v>1282</v>
      </c>
      <c r="L431" s="9">
        <v>0</v>
      </c>
      <c r="M431" s="9">
        <v>0</v>
      </c>
      <c r="N431" s="9">
        <v>1</v>
      </c>
      <c r="O431" s="9">
        <v>2</v>
      </c>
      <c r="P431" s="9">
        <v>5</v>
      </c>
      <c r="Q431" s="9">
        <v>0</v>
      </c>
      <c r="R431" s="9">
        <v>0</v>
      </c>
      <c r="S431" s="9">
        <v>0</v>
      </c>
      <c r="T431" s="12">
        <v>8</v>
      </c>
      <c r="U431" s="13"/>
      <c r="V431" s="13"/>
      <c r="W431" s="13"/>
      <c r="X431" s="13"/>
    </row>
    <row r="432" spans="11:24" ht="13" x14ac:dyDescent="0.15">
      <c r="K432" s="19" t="s">
        <v>1283</v>
      </c>
      <c r="L432" s="9">
        <v>0</v>
      </c>
      <c r="M432" s="9">
        <v>0</v>
      </c>
      <c r="N432" s="9">
        <v>0</v>
      </c>
      <c r="O432" s="9">
        <v>2</v>
      </c>
      <c r="P432" s="9">
        <v>0</v>
      </c>
      <c r="Q432" s="9">
        <v>0</v>
      </c>
      <c r="R432" s="9">
        <v>0</v>
      </c>
      <c r="S432" s="9">
        <v>0</v>
      </c>
      <c r="T432" s="12">
        <v>2</v>
      </c>
      <c r="U432" s="13"/>
      <c r="V432" s="13"/>
      <c r="W432" s="13"/>
      <c r="X432" s="13"/>
    </row>
    <row r="433" spans="11:24" ht="13" x14ac:dyDescent="0.15">
      <c r="K433" s="19" t="s">
        <v>1284</v>
      </c>
      <c r="L433" s="9">
        <v>0</v>
      </c>
      <c r="M433" s="9">
        <v>0</v>
      </c>
      <c r="N433" s="9">
        <v>0</v>
      </c>
      <c r="O433" s="9">
        <v>1</v>
      </c>
      <c r="P433" s="9">
        <v>1</v>
      </c>
      <c r="Q433" s="9">
        <v>0</v>
      </c>
      <c r="R433" s="9">
        <v>0</v>
      </c>
      <c r="S433" s="9">
        <v>0</v>
      </c>
      <c r="T433" s="12">
        <v>2</v>
      </c>
      <c r="U433" s="13"/>
      <c r="V433" s="13"/>
      <c r="W433" s="13"/>
      <c r="X433" s="13"/>
    </row>
    <row r="434" spans="11:24" ht="13" x14ac:dyDescent="0.15">
      <c r="K434" s="19" t="s">
        <v>1285</v>
      </c>
      <c r="L434" s="9">
        <v>0</v>
      </c>
      <c r="M434" s="9">
        <v>0</v>
      </c>
      <c r="N434" s="9">
        <v>6</v>
      </c>
      <c r="O434" s="9">
        <v>1</v>
      </c>
      <c r="P434" s="9">
        <v>1</v>
      </c>
      <c r="Q434" s="9">
        <v>0</v>
      </c>
      <c r="R434" s="9">
        <v>0</v>
      </c>
      <c r="S434" s="9">
        <v>0</v>
      </c>
      <c r="T434" s="12">
        <v>8</v>
      </c>
      <c r="U434" s="13"/>
      <c r="V434" s="13"/>
      <c r="W434" s="13"/>
      <c r="X434" s="13"/>
    </row>
    <row r="435" spans="11:24" ht="13" x14ac:dyDescent="0.15">
      <c r="K435" s="19" t="s">
        <v>1286</v>
      </c>
      <c r="L435" s="9">
        <v>0</v>
      </c>
      <c r="M435" s="9">
        <v>0</v>
      </c>
      <c r="N435" s="9">
        <v>1</v>
      </c>
      <c r="O435" s="9">
        <v>1</v>
      </c>
      <c r="P435" s="9">
        <v>7</v>
      </c>
      <c r="Q435" s="9">
        <v>0</v>
      </c>
      <c r="R435" s="9">
        <v>0</v>
      </c>
      <c r="S435" s="9">
        <v>0</v>
      </c>
      <c r="T435" s="12">
        <v>9</v>
      </c>
      <c r="U435" s="13"/>
      <c r="V435" s="13"/>
      <c r="W435" s="13"/>
      <c r="X435" s="13"/>
    </row>
    <row r="436" spans="11:24" ht="13" x14ac:dyDescent="0.15">
      <c r="K436" s="19" t="s">
        <v>1287</v>
      </c>
      <c r="L436" s="9">
        <v>0</v>
      </c>
      <c r="M436" s="9">
        <v>0</v>
      </c>
      <c r="N436" s="9">
        <v>7</v>
      </c>
      <c r="O436" s="9">
        <v>1</v>
      </c>
      <c r="P436" s="9">
        <v>0</v>
      </c>
      <c r="Q436" s="9">
        <v>0</v>
      </c>
      <c r="R436" s="9">
        <v>0</v>
      </c>
      <c r="S436" s="9">
        <v>0</v>
      </c>
      <c r="T436" s="12">
        <v>8</v>
      </c>
      <c r="U436" s="13"/>
      <c r="V436" s="13"/>
      <c r="W436" s="13"/>
      <c r="X436" s="13"/>
    </row>
    <row r="437" spans="11:24" ht="13" x14ac:dyDescent="0.15">
      <c r="K437" s="19" t="s">
        <v>1288</v>
      </c>
      <c r="L437" s="9">
        <v>0</v>
      </c>
      <c r="M437" s="9">
        <v>0</v>
      </c>
      <c r="N437" s="9">
        <v>5</v>
      </c>
      <c r="O437" s="9">
        <v>3</v>
      </c>
      <c r="P437" s="9">
        <v>3</v>
      </c>
      <c r="Q437" s="9">
        <v>0</v>
      </c>
      <c r="R437" s="9">
        <v>0</v>
      </c>
      <c r="S437" s="9">
        <v>0</v>
      </c>
      <c r="T437" s="12">
        <v>11</v>
      </c>
      <c r="U437" s="13"/>
      <c r="V437" s="13"/>
      <c r="W437" s="13"/>
      <c r="X437" s="13"/>
    </row>
    <row r="438" spans="11:24" ht="13" x14ac:dyDescent="0.15">
      <c r="K438" s="19" t="s">
        <v>1289</v>
      </c>
      <c r="L438" s="9">
        <v>0</v>
      </c>
      <c r="M438" s="9">
        <v>0</v>
      </c>
      <c r="N438" s="9">
        <v>2</v>
      </c>
      <c r="O438" s="9">
        <v>0</v>
      </c>
      <c r="P438" s="9">
        <v>0</v>
      </c>
      <c r="Q438" s="9">
        <v>0</v>
      </c>
      <c r="R438" s="9">
        <v>0</v>
      </c>
      <c r="S438" s="9">
        <v>0</v>
      </c>
      <c r="T438" s="12">
        <v>2</v>
      </c>
      <c r="U438" s="13"/>
      <c r="V438" s="13"/>
      <c r="W438" s="13"/>
      <c r="X438" s="13"/>
    </row>
    <row r="439" spans="11:24" ht="13" x14ac:dyDescent="0.15">
      <c r="K439" s="19" t="s">
        <v>1290</v>
      </c>
      <c r="L439" s="9">
        <v>0</v>
      </c>
      <c r="M439" s="9">
        <v>0</v>
      </c>
      <c r="N439" s="9">
        <v>0</v>
      </c>
      <c r="O439" s="9">
        <v>0</v>
      </c>
      <c r="P439" s="9">
        <v>1</v>
      </c>
      <c r="Q439" s="9">
        <v>0</v>
      </c>
      <c r="R439" s="9">
        <v>0</v>
      </c>
      <c r="S439" s="9">
        <v>0</v>
      </c>
      <c r="T439" s="12">
        <v>1</v>
      </c>
      <c r="U439" s="13"/>
      <c r="V439" s="13"/>
      <c r="W439" s="13"/>
      <c r="X439" s="13"/>
    </row>
    <row r="440" spans="11:24" ht="13" x14ac:dyDescent="0.15">
      <c r="K440" s="19" t="s">
        <v>1291</v>
      </c>
      <c r="L440" s="9">
        <v>0</v>
      </c>
      <c r="M440" s="9">
        <v>0</v>
      </c>
      <c r="N440" s="9">
        <v>0</v>
      </c>
      <c r="O440" s="9">
        <v>1</v>
      </c>
      <c r="P440" s="9">
        <v>1</v>
      </c>
      <c r="Q440" s="9">
        <v>0</v>
      </c>
      <c r="R440" s="9">
        <v>0</v>
      </c>
      <c r="S440" s="9">
        <v>0</v>
      </c>
      <c r="T440" s="12">
        <v>2</v>
      </c>
      <c r="U440" s="13"/>
      <c r="V440" s="13"/>
      <c r="W440" s="13"/>
      <c r="X440" s="13"/>
    </row>
    <row r="441" spans="11:24" ht="13" x14ac:dyDescent="0.15">
      <c r="K441" s="19" t="s">
        <v>1292</v>
      </c>
      <c r="L441" s="9">
        <v>0</v>
      </c>
      <c r="M441" s="9">
        <v>0</v>
      </c>
      <c r="N441" s="9">
        <v>1</v>
      </c>
      <c r="O441" s="9">
        <v>2</v>
      </c>
      <c r="P441" s="9">
        <v>1</v>
      </c>
      <c r="Q441" s="9">
        <v>0</v>
      </c>
      <c r="R441" s="9">
        <v>0</v>
      </c>
      <c r="S441" s="9">
        <v>0</v>
      </c>
      <c r="T441" s="12">
        <v>4</v>
      </c>
      <c r="U441" s="13"/>
      <c r="V441" s="13"/>
      <c r="W441" s="13"/>
      <c r="X441" s="13"/>
    </row>
    <row r="442" spans="11:24" ht="13" x14ac:dyDescent="0.15">
      <c r="K442" s="19" t="s">
        <v>1293</v>
      </c>
      <c r="L442" s="9">
        <v>0</v>
      </c>
      <c r="M442" s="9">
        <v>0</v>
      </c>
      <c r="N442" s="9">
        <v>2</v>
      </c>
      <c r="O442" s="9">
        <v>3</v>
      </c>
      <c r="P442" s="9">
        <v>10</v>
      </c>
      <c r="Q442" s="9">
        <v>0</v>
      </c>
      <c r="R442" s="9">
        <v>0</v>
      </c>
      <c r="S442" s="9">
        <v>0</v>
      </c>
      <c r="T442" s="12">
        <v>15</v>
      </c>
      <c r="U442" s="13"/>
      <c r="V442" s="13"/>
      <c r="W442" s="13"/>
      <c r="X442" s="13"/>
    </row>
    <row r="443" spans="11:24" ht="13" x14ac:dyDescent="0.15">
      <c r="K443" s="19" t="s">
        <v>1294</v>
      </c>
      <c r="L443" s="9">
        <v>0</v>
      </c>
      <c r="M443" s="9">
        <v>0</v>
      </c>
      <c r="N443" s="9">
        <v>1</v>
      </c>
      <c r="O443" s="9">
        <v>5</v>
      </c>
      <c r="P443" s="9">
        <v>1</v>
      </c>
      <c r="Q443" s="9">
        <v>0</v>
      </c>
      <c r="R443" s="9">
        <v>0</v>
      </c>
      <c r="S443" s="9">
        <v>0</v>
      </c>
      <c r="T443" s="12">
        <v>7</v>
      </c>
      <c r="U443" s="13"/>
      <c r="V443" s="13"/>
      <c r="W443" s="13"/>
      <c r="X443" s="13"/>
    </row>
    <row r="444" spans="11:24" ht="13" x14ac:dyDescent="0.15">
      <c r="K444" s="19" t="s">
        <v>1295</v>
      </c>
      <c r="L444" s="9">
        <v>0</v>
      </c>
      <c r="M444" s="9">
        <v>0</v>
      </c>
      <c r="N444" s="9">
        <v>2</v>
      </c>
      <c r="O444" s="9">
        <v>1</v>
      </c>
      <c r="P444" s="9">
        <v>1</v>
      </c>
      <c r="Q444" s="9">
        <v>0</v>
      </c>
      <c r="R444" s="9">
        <v>0</v>
      </c>
      <c r="S444" s="9">
        <v>0</v>
      </c>
      <c r="T444" s="12">
        <v>4</v>
      </c>
      <c r="U444" s="13"/>
      <c r="V444" s="13"/>
      <c r="W444" s="13"/>
      <c r="X444" s="13"/>
    </row>
    <row r="445" spans="11:24" ht="13" x14ac:dyDescent="0.15">
      <c r="K445" s="19" t="s">
        <v>1296</v>
      </c>
      <c r="L445" s="9">
        <v>0</v>
      </c>
      <c r="M445" s="9">
        <v>0</v>
      </c>
      <c r="N445" s="9">
        <v>0</v>
      </c>
      <c r="O445" s="9">
        <v>0</v>
      </c>
      <c r="P445" s="9">
        <v>4</v>
      </c>
      <c r="Q445" s="9">
        <v>0</v>
      </c>
      <c r="R445" s="9">
        <v>0</v>
      </c>
      <c r="S445" s="9">
        <v>0</v>
      </c>
      <c r="T445" s="12">
        <v>4</v>
      </c>
      <c r="U445" s="13"/>
      <c r="V445" s="13"/>
      <c r="W445" s="13"/>
      <c r="X445" s="13"/>
    </row>
    <row r="446" spans="11:24" ht="13" x14ac:dyDescent="0.15">
      <c r="K446" s="19" t="s">
        <v>1297</v>
      </c>
      <c r="L446" s="9">
        <v>0</v>
      </c>
      <c r="M446" s="9">
        <v>0</v>
      </c>
      <c r="N446" s="9">
        <v>0</v>
      </c>
      <c r="O446" s="9">
        <v>0</v>
      </c>
      <c r="P446" s="9">
        <v>2</v>
      </c>
      <c r="Q446" s="9">
        <v>0</v>
      </c>
      <c r="R446" s="9">
        <v>0</v>
      </c>
      <c r="S446" s="9">
        <v>0</v>
      </c>
      <c r="T446" s="12">
        <v>2</v>
      </c>
      <c r="U446" s="13"/>
      <c r="V446" s="13"/>
      <c r="W446" s="13"/>
      <c r="X446" s="13"/>
    </row>
    <row r="447" spans="11:24" ht="13" x14ac:dyDescent="0.15">
      <c r="K447" s="19" t="s">
        <v>1298</v>
      </c>
      <c r="L447" s="9">
        <v>0</v>
      </c>
      <c r="M447" s="9">
        <v>0</v>
      </c>
      <c r="N447" s="9">
        <v>1</v>
      </c>
      <c r="O447" s="9">
        <v>4</v>
      </c>
      <c r="P447" s="9">
        <v>0</v>
      </c>
      <c r="Q447" s="9">
        <v>0</v>
      </c>
      <c r="R447" s="9">
        <v>0</v>
      </c>
      <c r="S447" s="9">
        <v>0</v>
      </c>
      <c r="T447" s="12">
        <v>5</v>
      </c>
      <c r="U447" s="13"/>
      <c r="V447" s="13"/>
      <c r="W447" s="13"/>
      <c r="X447" s="13"/>
    </row>
    <row r="448" spans="11:24" ht="13" x14ac:dyDescent="0.15">
      <c r="K448" s="19" t="s">
        <v>1299</v>
      </c>
      <c r="L448" s="9">
        <v>0</v>
      </c>
      <c r="M448" s="9">
        <v>0</v>
      </c>
      <c r="N448" s="9">
        <v>3</v>
      </c>
      <c r="O448" s="9">
        <v>3</v>
      </c>
      <c r="P448" s="9">
        <v>6</v>
      </c>
      <c r="Q448" s="9">
        <v>0</v>
      </c>
      <c r="R448" s="9">
        <v>0</v>
      </c>
      <c r="S448" s="9">
        <v>0</v>
      </c>
      <c r="T448" s="12">
        <v>12</v>
      </c>
      <c r="U448" s="13"/>
      <c r="V448" s="13"/>
      <c r="W448" s="13"/>
      <c r="X448" s="13"/>
    </row>
    <row r="449" spans="11:24" ht="13" x14ac:dyDescent="0.15">
      <c r="K449" s="19" t="s">
        <v>1300</v>
      </c>
      <c r="L449" s="9">
        <v>0</v>
      </c>
      <c r="M449" s="9">
        <v>0</v>
      </c>
      <c r="N449" s="9">
        <v>6</v>
      </c>
      <c r="O449" s="9">
        <v>1</v>
      </c>
      <c r="P449" s="9">
        <v>2</v>
      </c>
      <c r="Q449" s="9">
        <v>0</v>
      </c>
      <c r="R449" s="9">
        <v>0</v>
      </c>
      <c r="S449" s="9">
        <v>0</v>
      </c>
      <c r="T449" s="12">
        <v>9</v>
      </c>
      <c r="U449" s="13"/>
      <c r="V449" s="13"/>
      <c r="W449" s="13"/>
      <c r="X449" s="13"/>
    </row>
    <row r="450" spans="11:24" ht="13" x14ac:dyDescent="0.15">
      <c r="K450" s="19" t="s">
        <v>1301</v>
      </c>
      <c r="L450" s="9">
        <v>0</v>
      </c>
      <c r="M450" s="9">
        <v>0</v>
      </c>
      <c r="N450" s="9">
        <v>4</v>
      </c>
      <c r="O450" s="9">
        <v>0</v>
      </c>
      <c r="P450" s="9">
        <v>3</v>
      </c>
      <c r="Q450" s="9">
        <v>0</v>
      </c>
      <c r="R450" s="9">
        <v>0</v>
      </c>
      <c r="S450" s="9">
        <v>0</v>
      </c>
      <c r="T450" s="12">
        <v>7</v>
      </c>
      <c r="U450" s="13"/>
      <c r="V450" s="13"/>
      <c r="W450" s="13"/>
      <c r="X450" s="13"/>
    </row>
    <row r="451" spans="11:24" ht="13" x14ac:dyDescent="0.15">
      <c r="K451" s="19" t="s">
        <v>1302</v>
      </c>
      <c r="L451" s="9">
        <v>0</v>
      </c>
      <c r="M451" s="9">
        <v>0</v>
      </c>
      <c r="N451" s="9">
        <v>1</v>
      </c>
      <c r="O451" s="9">
        <v>0</v>
      </c>
      <c r="P451" s="9">
        <v>1</v>
      </c>
      <c r="Q451" s="9">
        <v>0</v>
      </c>
      <c r="R451" s="9">
        <v>0</v>
      </c>
      <c r="S451" s="9">
        <v>0</v>
      </c>
      <c r="T451" s="12">
        <v>2</v>
      </c>
      <c r="U451" s="13"/>
      <c r="V451" s="13"/>
      <c r="W451" s="13"/>
      <c r="X451" s="13"/>
    </row>
    <row r="452" spans="11:24" ht="13" x14ac:dyDescent="0.15">
      <c r="K452" s="18" t="s">
        <v>1303</v>
      </c>
      <c r="L452" s="12">
        <v>0</v>
      </c>
      <c r="M452" s="12">
        <v>0</v>
      </c>
      <c r="N452" s="12">
        <v>56</v>
      </c>
      <c r="O452" s="12">
        <v>71</v>
      </c>
      <c r="P452" s="12">
        <v>73</v>
      </c>
      <c r="Q452" s="12">
        <v>0</v>
      </c>
      <c r="R452" s="12">
        <v>0</v>
      </c>
      <c r="S452" s="12">
        <v>0</v>
      </c>
      <c r="T452" s="12">
        <v>200</v>
      </c>
      <c r="U452" s="13"/>
      <c r="V452" s="13"/>
      <c r="W452" s="13"/>
      <c r="X452" s="13"/>
    </row>
    <row r="453" spans="11:24" ht="13" x14ac:dyDescent="0.15">
      <c r="K453" s="19" t="s">
        <v>1304</v>
      </c>
      <c r="L453" s="9">
        <v>0</v>
      </c>
      <c r="M453" s="9">
        <v>0</v>
      </c>
      <c r="N453" s="9">
        <v>1</v>
      </c>
      <c r="O453" s="9">
        <v>2</v>
      </c>
      <c r="P453" s="9">
        <v>1</v>
      </c>
      <c r="Q453" s="9">
        <v>0</v>
      </c>
      <c r="R453" s="9">
        <v>0</v>
      </c>
      <c r="S453" s="9">
        <v>0</v>
      </c>
      <c r="T453" s="12">
        <v>4</v>
      </c>
      <c r="U453" s="13"/>
      <c r="V453" s="13"/>
      <c r="W453" s="13"/>
      <c r="X453" s="13"/>
    </row>
    <row r="454" spans="11:24" ht="13" x14ac:dyDescent="0.15">
      <c r="K454" s="19" t="s">
        <v>1305</v>
      </c>
      <c r="L454" s="9">
        <v>0</v>
      </c>
      <c r="M454" s="9">
        <v>0</v>
      </c>
      <c r="N454" s="9">
        <v>1</v>
      </c>
      <c r="O454" s="9">
        <v>1</v>
      </c>
      <c r="P454" s="9">
        <v>0</v>
      </c>
      <c r="Q454" s="9">
        <v>0</v>
      </c>
      <c r="R454" s="9">
        <v>0</v>
      </c>
      <c r="S454" s="9">
        <v>0</v>
      </c>
      <c r="T454" s="12">
        <v>2</v>
      </c>
      <c r="U454" s="13"/>
      <c r="V454" s="13"/>
      <c r="W454" s="13"/>
      <c r="X454" s="13"/>
    </row>
    <row r="455" spans="11:24" ht="13" x14ac:dyDescent="0.15">
      <c r="K455" s="19" t="s">
        <v>1306</v>
      </c>
      <c r="L455" s="9">
        <v>0</v>
      </c>
      <c r="M455" s="9">
        <v>0</v>
      </c>
      <c r="N455" s="9">
        <v>7</v>
      </c>
      <c r="O455" s="9">
        <v>2</v>
      </c>
      <c r="P455" s="9">
        <v>5</v>
      </c>
      <c r="Q455" s="9">
        <v>0</v>
      </c>
      <c r="R455" s="9">
        <v>0</v>
      </c>
      <c r="S455" s="9">
        <v>0</v>
      </c>
      <c r="T455" s="12">
        <v>14</v>
      </c>
      <c r="U455" s="13"/>
      <c r="V455" s="13"/>
      <c r="W455" s="13"/>
      <c r="X455" s="13"/>
    </row>
    <row r="456" spans="11:24" ht="13" x14ac:dyDescent="0.15">
      <c r="K456" s="19" t="s">
        <v>1307</v>
      </c>
      <c r="L456" s="9">
        <v>0</v>
      </c>
      <c r="M456" s="9">
        <v>0</v>
      </c>
      <c r="N456" s="9">
        <v>1</v>
      </c>
      <c r="O456" s="9">
        <v>3</v>
      </c>
      <c r="P456" s="9">
        <v>2</v>
      </c>
      <c r="Q456" s="9">
        <v>0</v>
      </c>
      <c r="R456" s="9">
        <v>0</v>
      </c>
      <c r="S456" s="9">
        <v>0</v>
      </c>
      <c r="T456" s="12">
        <v>6</v>
      </c>
      <c r="U456" s="13"/>
      <c r="V456" s="13"/>
      <c r="W456" s="13"/>
      <c r="X456" s="13"/>
    </row>
    <row r="457" spans="11:24" ht="13" x14ac:dyDescent="0.15">
      <c r="K457" s="19" t="s">
        <v>1308</v>
      </c>
      <c r="L457" s="9">
        <v>0</v>
      </c>
      <c r="M457" s="9">
        <v>0</v>
      </c>
      <c r="N457" s="9">
        <v>0</v>
      </c>
      <c r="O457" s="9">
        <v>1</v>
      </c>
      <c r="P457" s="9">
        <v>4</v>
      </c>
      <c r="Q457" s="9">
        <v>0</v>
      </c>
      <c r="R457" s="9">
        <v>0</v>
      </c>
      <c r="S457" s="9">
        <v>0</v>
      </c>
      <c r="T457" s="12">
        <v>5</v>
      </c>
      <c r="U457" s="13"/>
      <c r="V457" s="13"/>
      <c r="W457" s="13"/>
      <c r="X457" s="13"/>
    </row>
    <row r="458" spans="11:24" ht="13" x14ac:dyDescent="0.15">
      <c r="K458" s="19" t="s">
        <v>1309</v>
      </c>
      <c r="L458" s="9">
        <v>0</v>
      </c>
      <c r="M458" s="9">
        <v>0</v>
      </c>
      <c r="N458" s="9">
        <v>4</v>
      </c>
      <c r="O458" s="9">
        <v>0</v>
      </c>
      <c r="P458" s="9">
        <v>3</v>
      </c>
      <c r="Q458" s="9">
        <v>0</v>
      </c>
      <c r="R458" s="9">
        <v>0</v>
      </c>
      <c r="S458" s="9">
        <v>0</v>
      </c>
      <c r="T458" s="12">
        <v>7</v>
      </c>
      <c r="U458" s="13"/>
      <c r="V458" s="13"/>
      <c r="W458" s="13"/>
      <c r="X458" s="13"/>
    </row>
    <row r="459" spans="11:24" ht="13" x14ac:dyDescent="0.15">
      <c r="K459" s="19" t="s">
        <v>1310</v>
      </c>
      <c r="L459" s="9">
        <v>0</v>
      </c>
      <c r="M459" s="9">
        <v>0</v>
      </c>
      <c r="N459" s="9">
        <v>0</v>
      </c>
      <c r="O459" s="9">
        <v>0</v>
      </c>
      <c r="P459" s="9">
        <v>1</v>
      </c>
      <c r="Q459" s="9">
        <v>0</v>
      </c>
      <c r="R459" s="9">
        <v>0</v>
      </c>
      <c r="S459" s="9">
        <v>0</v>
      </c>
      <c r="T459" s="12">
        <v>1</v>
      </c>
      <c r="U459" s="13"/>
      <c r="V459" s="13"/>
      <c r="W459" s="13"/>
      <c r="X459" s="13"/>
    </row>
    <row r="460" spans="11:24" ht="13" x14ac:dyDescent="0.15">
      <c r="K460" s="19" t="s">
        <v>1311</v>
      </c>
      <c r="L460" s="9">
        <v>0</v>
      </c>
      <c r="M460" s="9">
        <v>0</v>
      </c>
      <c r="N460" s="9">
        <v>3</v>
      </c>
      <c r="O460" s="9">
        <v>1</v>
      </c>
      <c r="P460" s="9">
        <v>0</v>
      </c>
      <c r="Q460" s="9">
        <v>0</v>
      </c>
      <c r="R460" s="9">
        <v>0</v>
      </c>
      <c r="S460" s="9">
        <v>0</v>
      </c>
      <c r="T460" s="12">
        <v>4</v>
      </c>
      <c r="U460" s="13"/>
      <c r="V460" s="13"/>
      <c r="W460" s="13"/>
      <c r="X460" s="13"/>
    </row>
    <row r="461" spans="11:24" ht="13" x14ac:dyDescent="0.15">
      <c r="K461" s="19" t="s">
        <v>1312</v>
      </c>
      <c r="L461" s="9">
        <v>0</v>
      </c>
      <c r="M461" s="9">
        <v>0</v>
      </c>
      <c r="N461" s="9">
        <v>1</v>
      </c>
      <c r="O461" s="9">
        <v>1</v>
      </c>
      <c r="P461" s="9">
        <v>7</v>
      </c>
      <c r="Q461" s="9">
        <v>0</v>
      </c>
      <c r="R461" s="9">
        <v>0</v>
      </c>
      <c r="S461" s="9">
        <v>0</v>
      </c>
      <c r="T461" s="12">
        <v>9</v>
      </c>
      <c r="U461" s="13"/>
      <c r="V461" s="13"/>
      <c r="W461" s="13"/>
      <c r="X461" s="13"/>
    </row>
    <row r="462" spans="11:24" ht="13" x14ac:dyDescent="0.15">
      <c r="K462" s="19" t="s">
        <v>1313</v>
      </c>
      <c r="L462" s="9">
        <v>0</v>
      </c>
      <c r="M462" s="9">
        <v>0</v>
      </c>
      <c r="N462" s="9">
        <v>1</v>
      </c>
      <c r="O462" s="9">
        <v>0</v>
      </c>
      <c r="P462" s="9">
        <v>5</v>
      </c>
      <c r="Q462" s="9">
        <v>0</v>
      </c>
      <c r="R462" s="9">
        <v>0</v>
      </c>
      <c r="S462" s="9">
        <v>0</v>
      </c>
      <c r="T462" s="12">
        <v>6</v>
      </c>
      <c r="U462" s="13"/>
      <c r="V462" s="13"/>
      <c r="W462" s="13"/>
      <c r="X462" s="13"/>
    </row>
    <row r="463" spans="11:24" ht="13" x14ac:dyDescent="0.15">
      <c r="K463" s="19" t="s">
        <v>1314</v>
      </c>
      <c r="L463" s="9">
        <v>0</v>
      </c>
      <c r="M463" s="9">
        <v>0</v>
      </c>
      <c r="N463" s="9">
        <v>4</v>
      </c>
      <c r="O463" s="9">
        <v>1</v>
      </c>
      <c r="P463" s="9">
        <v>4</v>
      </c>
      <c r="Q463" s="9">
        <v>0</v>
      </c>
      <c r="R463" s="9">
        <v>0</v>
      </c>
      <c r="S463" s="9">
        <v>0</v>
      </c>
      <c r="T463" s="12">
        <v>9</v>
      </c>
      <c r="U463" s="13"/>
      <c r="V463" s="13"/>
      <c r="W463" s="13"/>
    </row>
    <row r="464" spans="11:24" ht="13" x14ac:dyDescent="0.15">
      <c r="K464" s="19" t="s">
        <v>1315</v>
      </c>
      <c r="L464" s="9">
        <v>0</v>
      </c>
      <c r="M464" s="9">
        <v>0</v>
      </c>
      <c r="N464" s="9">
        <v>3</v>
      </c>
      <c r="O464" s="9">
        <v>28</v>
      </c>
      <c r="P464" s="9">
        <v>6</v>
      </c>
      <c r="Q464" s="9">
        <v>0</v>
      </c>
      <c r="R464" s="9">
        <v>0</v>
      </c>
      <c r="S464" s="9">
        <v>0</v>
      </c>
      <c r="T464" s="12">
        <v>37</v>
      </c>
      <c r="U464" s="13"/>
      <c r="V464" s="13"/>
      <c r="W464" s="13"/>
    </row>
    <row r="465" spans="11:23" ht="13" x14ac:dyDescent="0.15">
      <c r="K465" s="19" t="s">
        <v>1316</v>
      </c>
      <c r="L465" s="9">
        <v>0</v>
      </c>
      <c r="M465" s="9">
        <v>0</v>
      </c>
      <c r="N465" s="9">
        <v>0</v>
      </c>
      <c r="O465" s="9">
        <v>1</v>
      </c>
      <c r="P465" s="9">
        <v>0</v>
      </c>
      <c r="Q465" s="9">
        <v>0</v>
      </c>
      <c r="R465" s="9">
        <v>0</v>
      </c>
      <c r="S465" s="9">
        <v>0</v>
      </c>
      <c r="T465" s="12">
        <v>1</v>
      </c>
      <c r="U465" s="13"/>
      <c r="V465" s="13"/>
      <c r="W465" s="13"/>
    </row>
    <row r="466" spans="11:23" ht="13" x14ac:dyDescent="0.15">
      <c r="K466" s="19" t="s">
        <v>1317</v>
      </c>
      <c r="L466" s="9">
        <v>0</v>
      </c>
      <c r="M466" s="9">
        <v>0</v>
      </c>
      <c r="N466" s="9">
        <v>2</v>
      </c>
      <c r="O466" s="9">
        <v>2</v>
      </c>
      <c r="P466" s="9">
        <v>1</v>
      </c>
      <c r="Q466" s="9">
        <v>0</v>
      </c>
      <c r="R466" s="9">
        <v>0</v>
      </c>
      <c r="S466" s="9">
        <v>0</v>
      </c>
      <c r="T466" s="12">
        <v>5</v>
      </c>
      <c r="U466" s="13"/>
      <c r="V466" s="13"/>
      <c r="W466" s="13"/>
    </row>
    <row r="467" spans="11:23" ht="13" x14ac:dyDescent="0.15">
      <c r="K467" s="19" t="s">
        <v>1318</v>
      </c>
      <c r="L467" s="9">
        <v>0</v>
      </c>
      <c r="M467" s="9">
        <v>0</v>
      </c>
      <c r="N467" s="9">
        <v>1</v>
      </c>
      <c r="O467" s="9">
        <v>1</v>
      </c>
      <c r="P467" s="9">
        <v>1</v>
      </c>
      <c r="Q467" s="9">
        <v>0</v>
      </c>
      <c r="R467" s="9">
        <v>0</v>
      </c>
      <c r="S467" s="9">
        <v>0</v>
      </c>
      <c r="T467" s="12">
        <v>3</v>
      </c>
      <c r="U467" s="13"/>
      <c r="V467" s="13"/>
      <c r="W467" s="13"/>
    </row>
    <row r="468" spans="11:23" ht="13" x14ac:dyDescent="0.15">
      <c r="K468" s="19" t="s">
        <v>1319</v>
      </c>
      <c r="L468" s="9">
        <v>0</v>
      </c>
      <c r="M468" s="9">
        <v>0</v>
      </c>
      <c r="N468" s="9">
        <v>2</v>
      </c>
      <c r="O468" s="9">
        <v>2</v>
      </c>
      <c r="P468" s="9">
        <v>4</v>
      </c>
      <c r="Q468" s="9">
        <v>0</v>
      </c>
      <c r="R468" s="9">
        <v>0</v>
      </c>
      <c r="S468" s="9">
        <v>0</v>
      </c>
      <c r="T468" s="12">
        <v>8</v>
      </c>
      <c r="U468" s="13"/>
      <c r="V468" s="13"/>
      <c r="W468" s="13"/>
    </row>
    <row r="469" spans="11:23" ht="13" x14ac:dyDescent="0.15">
      <c r="K469" s="19" t="s">
        <v>1320</v>
      </c>
      <c r="L469" s="9">
        <v>0</v>
      </c>
      <c r="M469" s="9">
        <v>0</v>
      </c>
      <c r="N469" s="9">
        <v>6</v>
      </c>
      <c r="O469" s="9">
        <v>0</v>
      </c>
      <c r="P469" s="9">
        <v>3</v>
      </c>
      <c r="Q469" s="9">
        <v>0</v>
      </c>
      <c r="R469" s="9">
        <v>0</v>
      </c>
      <c r="S469" s="9">
        <v>0</v>
      </c>
      <c r="T469" s="12">
        <v>9</v>
      </c>
      <c r="U469" s="13"/>
      <c r="V469" s="13"/>
      <c r="W469" s="13"/>
    </row>
    <row r="470" spans="11:23" ht="13" x14ac:dyDescent="0.15">
      <c r="K470" s="19" t="s">
        <v>1321</v>
      </c>
      <c r="L470" s="9">
        <v>0</v>
      </c>
      <c r="M470" s="9">
        <v>0</v>
      </c>
      <c r="N470" s="9">
        <v>1</v>
      </c>
      <c r="O470" s="9">
        <v>4</v>
      </c>
      <c r="P470" s="9">
        <v>2</v>
      </c>
      <c r="Q470" s="9">
        <v>0</v>
      </c>
      <c r="R470" s="9">
        <v>0</v>
      </c>
      <c r="S470" s="9">
        <v>0</v>
      </c>
      <c r="T470" s="12">
        <v>7</v>
      </c>
      <c r="U470" s="13"/>
      <c r="V470" s="13"/>
      <c r="W470" s="13"/>
    </row>
    <row r="471" spans="11:23" ht="13" x14ac:dyDescent="0.15">
      <c r="K471" s="19" t="s">
        <v>1322</v>
      </c>
      <c r="L471" s="9">
        <v>0</v>
      </c>
      <c r="M471" s="9">
        <v>0</v>
      </c>
      <c r="N471" s="9">
        <v>2</v>
      </c>
      <c r="O471" s="9">
        <v>3</v>
      </c>
      <c r="P471" s="9">
        <v>3</v>
      </c>
      <c r="Q471" s="9">
        <v>0</v>
      </c>
      <c r="R471" s="9">
        <v>0</v>
      </c>
      <c r="S471" s="9">
        <v>0</v>
      </c>
      <c r="T471" s="12">
        <v>8</v>
      </c>
      <c r="U471" s="13"/>
      <c r="V471" s="13"/>
      <c r="W471" s="13"/>
    </row>
    <row r="472" spans="11:23" ht="13" x14ac:dyDescent="0.15">
      <c r="K472" s="19" t="s">
        <v>1323</v>
      </c>
      <c r="L472" s="9">
        <v>0</v>
      </c>
      <c r="M472" s="9">
        <v>0</v>
      </c>
      <c r="N472" s="9">
        <v>1</v>
      </c>
      <c r="O472" s="9">
        <v>1</v>
      </c>
      <c r="P472" s="9">
        <v>2</v>
      </c>
      <c r="Q472" s="9">
        <v>0</v>
      </c>
      <c r="R472" s="9">
        <v>0</v>
      </c>
      <c r="S472" s="9">
        <v>0</v>
      </c>
      <c r="T472" s="12">
        <v>4</v>
      </c>
      <c r="U472" s="13"/>
      <c r="V472" s="13"/>
      <c r="W472" s="13"/>
    </row>
    <row r="473" spans="11:23" ht="13" x14ac:dyDescent="0.15">
      <c r="K473" s="19" t="s">
        <v>1324</v>
      </c>
      <c r="L473" s="9">
        <v>0</v>
      </c>
      <c r="M473" s="9">
        <v>0</v>
      </c>
      <c r="N473" s="9">
        <v>1</v>
      </c>
      <c r="O473" s="9">
        <v>0</v>
      </c>
      <c r="P473" s="9">
        <v>1</v>
      </c>
      <c r="Q473" s="9">
        <v>0</v>
      </c>
      <c r="R473" s="9">
        <v>0</v>
      </c>
      <c r="S473" s="9">
        <v>0</v>
      </c>
      <c r="T473" s="12">
        <v>2</v>
      </c>
      <c r="U473" s="13"/>
      <c r="V473" s="13"/>
      <c r="W473" s="13"/>
    </row>
    <row r="474" spans="11:23" ht="13" x14ac:dyDescent="0.15">
      <c r="K474" s="19" t="s">
        <v>1325</v>
      </c>
      <c r="L474" s="9">
        <v>0</v>
      </c>
      <c r="M474" s="9">
        <v>0</v>
      </c>
      <c r="N474" s="9">
        <v>2</v>
      </c>
      <c r="O474" s="9">
        <v>6</v>
      </c>
      <c r="P474" s="9">
        <v>4</v>
      </c>
      <c r="Q474" s="9">
        <v>0</v>
      </c>
      <c r="R474" s="9">
        <v>0</v>
      </c>
      <c r="S474" s="9">
        <v>0</v>
      </c>
      <c r="T474" s="12">
        <v>12</v>
      </c>
      <c r="U474" s="13"/>
      <c r="V474" s="13"/>
      <c r="W474" s="13"/>
    </row>
    <row r="475" spans="11:23" ht="13" x14ac:dyDescent="0.15">
      <c r="K475" s="19" t="s">
        <v>1326</v>
      </c>
      <c r="L475" s="9">
        <v>0</v>
      </c>
      <c r="M475" s="9">
        <v>0</v>
      </c>
      <c r="N475" s="9">
        <v>2</v>
      </c>
      <c r="O475" s="9">
        <v>5</v>
      </c>
      <c r="P475" s="9">
        <v>6</v>
      </c>
      <c r="Q475" s="9">
        <v>0</v>
      </c>
      <c r="R475" s="9">
        <v>0</v>
      </c>
      <c r="S475" s="9">
        <v>0</v>
      </c>
      <c r="T475" s="12">
        <v>13</v>
      </c>
      <c r="U475" s="13"/>
      <c r="V475" s="13"/>
      <c r="W475" s="13"/>
    </row>
    <row r="476" spans="11:23" ht="13" x14ac:dyDescent="0.15">
      <c r="K476" s="19" t="s">
        <v>1327</v>
      </c>
      <c r="L476" s="9">
        <v>0</v>
      </c>
      <c r="M476" s="9">
        <v>0</v>
      </c>
      <c r="N476" s="9">
        <v>8</v>
      </c>
      <c r="O476" s="9">
        <v>1</v>
      </c>
      <c r="P476" s="9">
        <v>3</v>
      </c>
      <c r="Q476" s="9">
        <v>0</v>
      </c>
      <c r="R476" s="9">
        <v>0</v>
      </c>
      <c r="S476" s="9">
        <v>0</v>
      </c>
      <c r="T476" s="12">
        <v>12</v>
      </c>
      <c r="U476" s="13"/>
      <c r="V476" s="13"/>
      <c r="W476" s="13"/>
    </row>
    <row r="477" spans="11:23" ht="13" x14ac:dyDescent="0.15">
      <c r="K477" s="19" t="s">
        <v>1328</v>
      </c>
      <c r="L477" s="9">
        <v>0</v>
      </c>
      <c r="M477" s="9">
        <v>0</v>
      </c>
      <c r="N477" s="9">
        <v>2</v>
      </c>
      <c r="O477" s="9">
        <v>4</v>
      </c>
      <c r="P477" s="9">
        <v>3</v>
      </c>
      <c r="Q477" s="9">
        <v>0</v>
      </c>
      <c r="R477" s="9">
        <v>0</v>
      </c>
      <c r="S477" s="9">
        <v>0</v>
      </c>
      <c r="T477" s="12">
        <v>9</v>
      </c>
      <c r="U477" s="13"/>
      <c r="V477" s="13"/>
      <c r="W477" s="13"/>
    </row>
    <row r="478" spans="11:23" ht="13" x14ac:dyDescent="0.15">
      <c r="K478" s="19" t="s">
        <v>1329</v>
      </c>
      <c r="L478" s="9">
        <v>0</v>
      </c>
      <c r="M478" s="9">
        <v>0</v>
      </c>
      <c r="N478" s="9">
        <v>0</v>
      </c>
      <c r="O478" s="9">
        <v>1</v>
      </c>
      <c r="P478" s="9">
        <v>2</v>
      </c>
      <c r="Q478" s="9">
        <v>0</v>
      </c>
      <c r="R478" s="9">
        <v>0</v>
      </c>
      <c r="S478" s="9">
        <v>0</v>
      </c>
      <c r="T478" s="12">
        <v>3</v>
      </c>
      <c r="U478" s="13"/>
      <c r="V478" s="13"/>
      <c r="W478" s="13"/>
    </row>
    <row r="479" spans="11:23" ht="13" x14ac:dyDescent="0.15">
      <c r="K479" s="18" t="s">
        <v>1330</v>
      </c>
      <c r="L479" s="12">
        <v>0</v>
      </c>
      <c r="M479" s="12">
        <v>0</v>
      </c>
      <c r="N479" s="12">
        <v>54</v>
      </c>
      <c r="O479" s="12">
        <v>75</v>
      </c>
      <c r="P479" s="12">
        <v>45</v>
      </c>
      <c r="Q479" s="12">
        <v>0</v>
      </c>
      <c r="R479" s="12">
        <v>0</v>
      </c>
      <c r="S479" s="12">
        <v>0</v>
      </c>
      <c r="T479" s="12">
        <v>174</v>
      </c>
      <c r="U479" s="13"/>
      <c r="V479" s="13"/>
      <c r="W479" s="13"/>
    </row>
    <row r="480" spans="11:23" ht="13" x14ac:dyDescent="0.15">
      <c r="K480" s="19" t="s">
        <v>1331</v>
      </c>
      <c r="L480" s="9">
        <v>0</v>
      </c>
      <c r="M480" s="9">
        <v>0</v>
      </c>
      <c r="N480" s="9">
        <v>2</v>
      </c>
      <c r="O480" s="9">
        <v>1</v>
      </c>
      <c r="P480" s="9">
        <v>0</v>
      </c>
      <c r="Q480" s="9">
        <v>0</v>
      </c>
      <c r="R480" s="9">
        <v>0</v>
      </c>
      <c r="S480" s="9">
        <v>0</v>
      </c>
      <c r="T480" s="12">
        <v>3</v>
      </c>
      <c r="U480" s="13"/>
      <c r="V480" s="13"/>
      <c r="W480" s="13"/>
    </row>
    <row r="481" spans="11:23" ht="13" x14ac:dyDescent="0.15">
      <c r="K481" s="19" t="s">
        <v>1332</v>
      </c>
      <c r="L481" s="9">
        <v>0</v>
      </c>
      <c r="M481" s="9">
        <v>0</v>
      </c>
      <c r="N481" s="9">
        <v>2</v>
      </c>
      <c r="O481" s="9">
        <v>1</v>
      </c>
      <c r="P481" s="9">
        <v>0</v>
      </c>
      <c r="Q481" s="9">
        <v>0</v>
      </c>
      <c r="R481" s="9">
        <v>0</v>
      </c>
      <c r="S481" s="9">
        <v>0</v>
      </c>
      <c r="T481" s="12">
        <v>3</v>
      </c>
      <c r="U481" s="13"/>
      <c r="V481" s="13"/>
      <c r="W481" s="13"/>
    </row>
    <row r="482" spans="11:23" ht="13" x14ac:dyDescent="0.15">
      <c r="K482" s="19" t="s">
        <v>1333</v>
      </c>
      <c r="L482" s="9">
        <v>0</v>
      </c>
      <c r="M482" s="9">
        <v>0</v>
      </c>
      <c r="N482" s="9">
        <v>3</v>
      </c>
      <c r="O482" s="9">
        <v>2</v>
      </c>
      <c r="P482" s="9">
        <v>1</v>
      </c>
      <c r="Q482" s="9">
        <v>0</v>
      </c>
      <c r="R482" s="9">
        <v>0</v>
      </c>
      <c r="S482" s="9">
        <v>0</v>
      </c>
      <c r="T482" s="12">
        <v>6</v>
      </c>
      <c r="U482" s="13"/>
      <c r="V482" s="13"/>
      <c r="W482" s="13"/>
    </row>
    <row r="483" spans="11:23" ht="13" x14ac:dyDescent="0.15">
      <c r="K483" s="19" t="s">
        <v>1334</v>
      </c>
      <c r="L483" s="9">
        <v>0</v>
      </c>
      <c r="M483" s="9">
        <v>0</v>
      </c>
      <c r="N483" s="9">
        <v>1</v>
      </c>
      <c r="O483" s="9">
        <v>0</v>
      </c>
      <c r="P483" s="9">
        <v>1</v>
      </c>
      <c r="Q483" s="9">
        <v>0</v>
      </c>
      <c r="R483" s="9">
        <v>0</v>
      </c>
      <c r="S483" s="9">
        <v>0</v>
      </c>
      <c r="T483" s="12">
        <v>2</v>
      </c>
      <c r="U483" s="13"/>
      <c r="V483" s="13"/>
      <c r="W483" s="13"/>
    </row>
    <row r="484" spans="11:23" ht="13" x14ac:dyDescent="0.15">
      <c r="K484" s="19" t="s">
        <v>1335</v>
      </c>
      <c r="L484" s="9">
        <v>0</v>
      </c>
      <c r="M484" s="9">
        <v>0</v>
      </c>
      <c r="N484" s="9">
        <v>3</v>
      </c>
      <c r="O484" s="9">
        <v>6</v>
      </c>
      <c r="P484" s="9">
        <v>0</v>
      </c>
      <c r="Q484" s="9">
        <v>0</v>
      </c>
      <c r="R484" s="9">
        <v>0</v>
      </c>
      <c r="S484" s="9">
        <v>0</v>
      </c>
      <c r="T484" s="12">
        <v>9</v>
      </c>
      <c r="U484" s="13"/>
      <c r="V484" s="13"/>
      <c r="W484" s="13"/>
    </row>
    <row r="485" spans="11:23" ht="13" x14ac:dyDescent="0.15">
      <c r="K485" s="19" t="s">
        <v>1336</v>
      </c>
      <c r="L485" s="9">
        <v>0</v>
      </c>
      <c r="M485" s="9">
        <v>0</v>
      </c>
      <c r="N485" s="9">
        <v>1</v>
      </c>
      <c r="O485" s="9">
        <v>6</v>
      </c>
      <c r="P485" s="9">
        <v>2</v>
      </c>
      <c r="Q485" s="9">
        <v>0</v>
      </c>
      <c r="R485" s="9">
        <v>0</v>
      </c>
      <c r="S485" s="9">
        <v>0</v>
      </c>
      <c r="T485" s="12">
        <v>9</v>
      </c>
      <c r="U485" s="13"/>
      <c r="V485" s="13"/>
      <c r="W485" s="13"/>
    </row>
    <row r="486" spans="11:23" ht="13" x14ac:dyDescent="0.15">
      <c r="K486" s="19" t="s">
        <v>1337</v>
      </c>
      <c r="L486" s="9">
        <v>0</v>
      </c>
      <c r="M486" s="9">
        <v>0</v>
      </c>
      <c r="N486" s="9">
        <v>3</v>
      </c>
      <c r="O486" s="9">
        <v>0</v>
      </c>
      <c r="P486" s="9">
        <v>4</v>
      </c>
      <c r="Q486" s="9">
        <v>0</v>
      </c>
      <c r="R486" s="9">
        <v>0</v>
      </c>
      <c r="S486" s="9">
        <v>0</v>
      </c>
      <c r="T486" s="12">
        <v>7</v>
      </c>
      <c r="U486" s="13"/>
      <c r="V486" s="13"/>
      <c r="W486" s="13"/>
    </row>
    <row r="487" spans="11:23" ht="13" x14ac:dyDescent="0.15">
      <c r="K487" s="19" t="s">
        <v>1338</v>
      </c>
      <c r="L487" s="9">
        <v>0</v>
      </c>
      <c r="M487" s="9">
        <v>0</v>
      </c>
      <c r="N487" s="9">
        <v>2</v>
      </c>
      <c r="O487" s="9">
        <v>0</v>
      </c>
      <c r="P487" s="9">
        <v>5</v>
      </c>
      <c r="Q487" s="9">
        <v>0</v>
      </c>
      <c r="R487" s="9">
        <v>0</v>
      </c>
      <c r="S487" s="9">
        <v>0</v>
      </c>
      <c r="T487" s="12">
        <v>7</v>
      </c>
      <c r="U487" s="13"/>
      <c r="V487" s="13"/>
      <c r="W487" s="13"/>
    </row>
    <row r="488" spans="11:23" ht="13" x14ac:dyDescent="0.15">
      <c r="K488" s="19" t="s">
        <v>1339</v>
      </c>
      <c r="L488" s="9">
        <v>0</v>
      </c>
      <c r="M488" s="9">
        <v>0</v>
      </c>
      <c r="N488" s="9">
        <v>2</v>
      </c>
      <c r="O488" s="9">
        <v>4</v>
      </c>
      <c r="P488" s="9">
        <v>0</v>
      </c>
      <c r="Q488" s="9">
        <v>0</v>
      </c>
      <c r="R488" s="9">
        <v>0</v>
      </c>
      <c r="S488" s="9">
        <v>0</v>
      </c>
      <c r="T488" s="12">
        <v>6</v>
      </c>
      <c r="U488" s="13"/>
      <c r="V488" s="13"/>
      <c r="W488" s="13"/>
    </row>
    <row r="489" spans="11:23" ht="13" x14ac:dyDescent="0.15">
      <c r="K489" s="19" t="s">
        <v>1340</v>
      </c>
      <c r="L489" s="9">
        <v>0</v>
      </c>
      <c r="M489" s="9">
        <v>0</v>
      </c>
      <c r="N489" s="9">
        <v>1</v>
      </c>
      <c r="O489" s="9">
        <v>2</v>
      </c>
      <c r="P489" s="9">
        <v>0</v>
      </c>
      <c r="Q489" s="9">
        <v>0</v>
      </c>
      <c r="R489" s="9">
        <v>0</v>
      </c>
      <c r="S489" s="9">
        <v>0</v>
      </c>
      <c r="T489" s="12">
        <v>3</v>
      </c>
      <c r="U489" s="13"/>
      <c r="V489" s="13"/>
      <c r="W489" s="13"/>
    </row>
    <row r="490" spans="11:23" ht="13" x14ac:dyDescent="0.15">
      <c r="K490" s="19" t="s">
        <v>1341</v>
      </c>
      <c r="L490" s="9">
        <v>0</v>
      </c>
      <c r="M490" s="9">
        <v>0</v>
      </c>
      <c r="N490" s="9">
        <v>2</v>
      </c>
      <c r="O490" s="9">
        <v>2</v>
      </c>
      <c r="P490" s="9">
        <v>1</v>
      </c>
      <c r="Q490" s="9">
        <v>0</v>
      </c>
      <c r="R490" s="9">
        <v>0</v>
      </c>
      <c r="S490" s="9">
        <v>0</v>
      </c>
      <c r="T490" s="12">
        <v>5</v>
      </c>
      <c r="U490" s="13"/>
      <c r="V490" s="13"/>
      <c r="W490" s="13"/>
    </row>
    <row r="491" spans="11:23" ht="13" x14ac:dyDescent="0.15">
      <c r="K491" s="19" t="s">
        <v>1342</v>
      </c>
      <c r="L491" s="9">
        <v>0</v>
      </c>
      <c r="M491" s="9">
        <v>0</v>
      </c>
      <c r="N491" s="9">
        <v>2</v>
      </c>
      <c r="O491" s="9">
        <v>5</v>
      </c>
      <c r="P491" s="9">
        <v>4</v>
      </c>
      <c r="Q491" s="9">
        <v>0</v>
      </c>
      <c r="R491" s="9">
        <v>0</v>
      </c>
      <c r="S491" s="9">
        <v>0</v>
      </c>
      <c r="T491" s="12">
        <v>11</v>
      </c>
      <c r="U491" s="13"/>
      <c r="V491" s="13"/>
      <c r="W491" s="13"/>
    </row>
    <row r="492" spans="11:23" ht="13" x14ac:dyDescent="0.15">
      <c r="K492" s="19" t="s">
        <v>1343</v>
      </c>
      <c r="L492" s="9">
        <v>0</v>
      </c>
      <c r="M492" s="9">
        <v>0</v>
      </c>
      <c r="N492" s="9">
        <v>1</v>
      </c>
      <c r="O492" s="9">
        <v>1</v>
      </c>
      <c r="P492" s="9">
        <v>2</v>
      </c>
      <c r="Q492" s="9">
        <v>0</v>
      </c>
      <c r="R492" s="9">
        <v>0</v>
      </c>
      <c r="S492" s="9">
        <v>0</v>
      </c>
      <c r="T492" s="12">
        <v>4</v>
      </c>
      <c r="U492" s="13"/>
      <c r="V492" s="13"/>
      <c r="W492" s="13"/>
    </row>
    <row r="493" spans="11:23" ht="13" x14ac:dyDescent="0.15">
      <c r="K493" s="19" t="s">
        <v>1344</v>
      </c>
      <c r="L493" s="9">
        <v>0</v>
      </c>
      <c r="M493" s="9">
        <v>0</v>
      </c>
      <c r="N493" s="9">
        <v>3</v>
      </c>
      <c r="O493" s="9">
        <v>5</v>
      </c>
      <c r="P493" s="9">
        <v>0</v>
      </c>
      <c r="Q493" s="9">
        <v>0</v>
      </c>
      <c r="R493" s="9">
        <v>0</v>
      </c>
      <c r="S493" s="9">
        <v>0</v>
      </c>
      <c r="T493" s="12">
        <v>8</v>
      </c>
      <c r="U493" s="13"/>
    </row>
    <row r="494" spans="11:23" ht="13" x14ac:dyDescent="0.15">
      <c r="K494" s="19" t="s">
        <v>1345</v>
      </c>
      <c r="L494" s="9">
        <v>0</v>
      </c>
      <c r="M494" s="9">
        <v>0</v>
      </c>
      <c r="N494" s="9">
        <v>3</v>
      </c>
      <c r="O494" s="9">
        <v>2</v>
      </c>
      <c r="P494" s="9">
        <v>0</v>
      </c>
      <c r="Q494" s="9">
        <v>0</v>
      </c>
      <c r="R494" s="9">
        <v>0</v>
      </c>
      <c r="S494" s="9">
        <v>0</v>
      </c>
      <c r="T494" s="12">
        <v>5</v>
      </c>
      <c r="U494" s="13"/>
    </row>
    <row r="495" spans="11:23" ht="13" x14ac:dyDescent="0.15">
      <c r="K495" s="19" t="s">
        <v>1346</v>
      </c>
      <c r="L495" s="9">
        <v>0</v>
      </c>
      <c r="M495" s="9">
        <v>0</v>
      </c>
      <c r="N495" s="9">
        <v>1</v>
      </c>
      <c r="O495" s="9">
        <v>0</v>
      </c>
      <c r="P495" s="9">
        <v>0</v>
      </c>
      <c r="Q495" s="9">
        <v>0</v>
      </c>
      <c r="R495" s="9">
        <v>0</v>
      </c>
      <c r="S495" s="9">
        <v>0</v>
      </c>
      <c r="T495" s="12">
        <v>1</v>
      </c>
      <c r="U495" s="13"/>
    </row>
    <row r="496" spans="11:23" ht="13" x14ac:dyDescent="0.15">
      <c r="K496" s="19" t="s">
        <v>1347</v>
      </c>
      <c r="L496" s="9">
        <v>0</v>
      </c>
      <c r="M496" s="9">
        <v>0</v>
      </c>
      <c r="N496" s="9">
        <v>2</v>
      </c>
      <c r="O496" s="9">
        <v>2</v>
      </c>
      <c r="P496" s="9">
        <v>0</v>
      </c>
      <c r="Q496" s="9">
        <v>0</v>
      </c>
      <c r="R496" s="9">
        <v>0</v>
      </c>
      <c r="S496" s="9">
        <v>0</v>
      </c>
      <c r="T496" s="12">
        <v>4</v>
      </c>
      <c r="U496" s="13"/>
    </row>
    <row r="497" spans="11:21" ht="13" x14ac:dyDescent="0.15">
      <c r="K497" s="19" t="s">
        <v>1348</v>
      </c>
      <c r="L497" s="9">
        <v>0</v>
      </c>
      <c r="M497" s="9">
        <v>0</v>
      </c>
      <c r="N497" s="9">
        <v>1</v>
      </c>
      <c r="O497" s="9">
        <v>5</v>
      </c>
      <c r="P497" s="9">
        <v>11</v>
      </c>
      <c r="Q497" s="9">
        <v>0</v>
      </c>
      <c r="R497" s="9">
        <v>0</v>
      </c>
      <c r="S497" s="9">
        <v>0</v>
      </c>
      <c r="T497" s="12">
        <v>17</v>
      </c>
      <c r="U497" s="13"/>
    </row>
    <row r="498" spans="11:21" ht="13" x14ac:dyDescent="0.15">
      <c r="K498" s="19" t="s">
        <v>1349</v>
      </c>
      <c r="L498" s="9">
        <v>0</v>
      </c>
      <c r="M498" s="9">
        <v>0</v>
      </c>
      <c r="N498" s="9">
        <v>2</v>
      </c>
      <c r="O498" s="9">
        <v>3</v>
      </c>
      <c r="P498" s="9">
        <v>0</v>
      </c>
      <c r="Q498" s="9">
        <v>0</v>
      </c>
      <c r="R498" s="9">
        <v>0</v>
      </c>
      <c r="S498" s="9">
        <v>0</v>
      </c>
      <c r="T498" s="12">
        <v>5</v>
      </c>
      <c r="U498" s="13"/>
    </row>
    <row r="499" spans="11:21" ht="13" x14ac:dyDescent="0.15">
      <c r="K499" s="19" t="s">
        <v>1350</v>
      </c>
      <c r="L499" s="9">
        <v>0</v>
      </c>
      <c r="M499" s="9">
        <v>0</v>
      </c>
      <c r="N499" s="9">
        <v>1</v>
      </c>
      <c r="O499" s="9">
        <v>3</v>
      </c>
      <c r="P499" s="9">
        <v>2</v>
      </c>
      <c r="Q499" s="9">
        <v>0</v>
      </c>
      <c r="R499" s="9">
        <v>0</v>
      </c>
      <c r="S499" s="9">
        <v>0</v>
      </c>
      <c r="T499" s="12">
        <v>6</v>
      </c>
      <c r="U499" s="13"/>
    </row>
    <row r="500" spans="11:21" ht="13" x14ac:dyDescent="0.15">
      <c r="K500" s="19" t="s">
        <v>1351</v>
      </c>
      <c r="L500" s="9">
        <v>0</v>
      </c>
      <c r="M500" s="9">
        <v>0</v>
      </c>
      <c r="N500" s="9">
        <v>2</v>
      </c>
      <c r="O500" s="9">
        <v>5</v>
      </c>
      <c r="P500" s="9">
        <v>0</v>
      </c>
      <c r="Q500" s="9">
        <v>0</v>
      </c>
      <c r="R500" s="9">
        <v>0</v>
      </c>
      <c r="S500" s="9">
        <v>0</v>
      </c>
      <c r="T500" s="12">
        <v>7</v>
      </c>
      <c r="U500" s="13"/>
    </row>
    <row r="501" spans="11:21" ht="13" x14ac:dyDescent="0.15">
      <c r="K501" s="19" t="s">
        <v>1352</v>
      </c>
      <c r="L501" s="9">
        <v>0</v>
      </c>
      <c r="M501" s="9">
        <v>0</v>
      </c>
      <c r="N501" s="9">
        <v>1</v>
      </c>
      <c r="O501" s="9">
        <v>3</v>
      </c>
      <c r="P501" s="9">
        <v>0</v>
      </c>
      <c r="Q501" s="9">
        <v>0</v>
      </c>
      <c r="R501" s="9">
        <v>0</v>
      </c>
      <c r="S501" s="9">
        <v>0</v>
      </c>
      <c r="T501" s="12">
        <v>4</v>
      </c>
      <c r="U501" s="13"/>
    </row>
    <row r="502" spans="11:21" ht="13" x14ac:dyDescent="0.15">
      <c r="K502" s="19" t="s">
        <v>1353</v>
      </c>
      <c r="L502" s="9">
        <v>0</v>
      </c>
      <c r="M502" s="9">
        <v>0</v>
      </c>
      <c r="N502" s="9">
        <v>0</v>
      </c>
      <c r="O502" s="9">
        <v>2</v>
      </c>
      <c r="P502" s="9">
        <v>0</v>
      </c>
      <c r="Q502" s="9">
        <v>0</v>
      </c>
      <c r="R502" s="9">
        <v>0</v>
      </c>
      <c r="S502" s="9">
        <v>0</v>
      </c>
      <c r="T502" s="12">
        <v>2</v>
      </c>
      <c r="U502" s="13"/>
    </row>
    <row r="503" spans="11:21" ht="13" x14ac:dyDescent="0.15">
      <c r="K503" s="19" t="s">
        <v>1354</v>
      </c>
      <c r="L503" s="9">
        <v>0</v>
      </c>
      <c r="M503" s="9">
        <v>0</v>
      </c>
      <c r="N503" s="9">
        <v>0</v>
      </c>
      <c r="O503" s="9">
        <v>1</v>
      </c>
      <c r="P503" s="9">
        <v>0</v>
      </c>
      <c r="Q503" s="9">
        <v>0</v>
      </c>
      <c r="R503" s="9">
        <v>0</v>
      </c>
      <c r="S503" s="9">
        <v>0</v>
      </c>
      <c r="T503" s="12">
        <v>1</v>
      </c>
      <c r="U503" s="13"/>
    </row>
    <row r="504" spans="11:21" ht="13" x14ac:dyDescent="0.15">
      <c r="K504" s="19" t="s">
        <v>1355</v>
      </c>
      <c r="L504" s="9">
        <v>0</v>
      </c>
      <c r="M504" s="9">
        <v>0</v>
      </c>
      <c r="N504" s="9">
        <v>1</v>
      </c>
      <c r="O504" s="9">
        <v>1</v>
      </c>
      <c r="P504" s="9">
        <v>2</v>
      </c>
      <c r="Q504" s="9">
        <v>0</v>
      </c>
      <c r="R504" s="9">
        <v>0</v>
      </c>
      <c r="S504" s="9">
        <v>0</v>
      </c>
      <c r="T504" s="12">
        <v>4</v>
      </c>
      <c r="U504" s="13"/>
    </row>
    <row r="505" spans="11:21" ht="13" x14ac:dyDescent="0.15">
      <c r="K505" s="19" t="s">
        <v>1356</v>
      </c>
      <c r="L505" s="9">
        <v>0</v>
      </c>
      <c r="M505" s="9">
        <v>0</v>
      </c>
      <c r="N505" s="9">
        <v>6</v>
      </c>
      <c r="O505" s="9">
        <v>5</v>
      </c>
      <c r="P505" s="9">
        <v>2</v>
      </c>
      <c r="Q505" s="9">
        <v>0</v>
      </c>
      <c r="R505" s="9">
        <v>0</v>
      </c>
      <c r="S505" s="9">
        <v>0</v>
      </c>
      <c r="T505" s="12">
        <v>13</v>
      </c>
      <c r="U505" s="13"/>
    </row>
    <row r="506" spans="11:21" ht="13" x14ac:dyDescent="0.15">
      <c r="K506" s="19" t="s">
        <v>1357</v>
      </c>
      <c r="L506" s="9">
        <v>0</v>
      </c>
      <c r="M506" s="9">
        <v>0</v>
      </c>
      <c r="N506" s="9">
        <v>2</v>
      </c>
      <c r="O506" s="9">
        <v>5</v>
      </c>
      <c r="P506" s="9">
        <v>7</v>
      </c>
      <c r="Q506" s="9">
        <v>0</v>
      </c>
      <c r="R506" s="9">
        <v>0</v>
      </c>
      <c r="S506" s="9">
        <v>0</v>
      </c>
      <c r="T506" s="12">
        <v>14</v>
      </c>
      <c r="U506" s="13"/>
    </row>
    <row r="507" spans="11:21" ht="13" x14ac:dyDescent="0.15">
      <c r="K507" s="19" t="s">
        <v>1358</v>
      </c>
      <c r="L507" s="9">
        <v>0</v>
      </c>
      <c r="M507" s="9">
        <v>0</v>
      </c>
      <c r="N507" s="9">
        <v>4</v>
      </c>
      <c r="O507" s="9">
        <v>3</v>
      </c>
      <c r="P507" s="9">
        <v>1</v>
      </c>
      <c r="Q507" s="9">
        <v>0</v>
      </c>
      <c r="R507" s="9">
        <v>0</v>
      </c>
      <c r="S507" s="9">
        <v>0</v>
      </c>
      <c r="T507" s="12">
        <v>8</v>
      </c>
      <c r="U507" s="13"/>
    </row>
    <row r="508" spans="11:21" ht="13" x14ac:dyDescent="0.15">
      <c r="K508" s="18" t="s">
        <v>1359</v>
      </c>
      <c r="L508" s="12">
        <v>0</v>
      </c>
      <c r="M508" s="12">
        <v>0</v>
      </c>
      <c r="N508" s="12">
        <v>80</v>
      </c>
      <c r="O508" s="12">
        <v>90</v>
      </c>
      <c r="P508" s="12">
        <v>60</v>
      </c>
      <c r="Q508" s="12">
        <v>0</v>
      </c>
      <c r="R508" s="12">
        <v>0</v>
      </c>
      <c r="S508" s="12">
        <v>0</v>
      </c>
      <c r="T508" s="12">
        <v>230</v>
      </c>
      <c r="U508" s="13"/>
    </row>
    <row r="509" spans="11:21" ht="13" x14ac:dyDescent="0.15">
      <c r="K509" s="19" t="s">
        <v>1360</v>
      </c>
      <c r="L509" s="9">
        <v>0</v>
      </c>
      <c r="M509" s="9">
        <v>0</v>
      </c>
      <c r="N509" s="9">
        <v>5</v>
      </c>
      <c r="O509" s="9">
        <v>4</v>
      </c>
      <c r="P509" s="9">
        <v>0</v>
      </c>
      <c r="Q509" s="9">
        <v>0</v>
      </c>
      <c r="R509" s="9">
        <v>0</v>
      </c>
      <c r="S509" s="9">
        <v>0</v>
      </c>
      <c r="T509" s="12">
        <v>9</v>
      </c>
      <c r="U509" s="13"/>
    </row>
    <row r="510" spans="11:21" ht="13" x14ac:dyDescent="0.15">
      <c r="K510" s="19" t="s">
        <v>1361</v>
      </c>
      <c r="L510" s="9">
        <v>0</v>
      </c>
      <c r="M510" s="9">
        <v>0</v>
      </c>
      <c r="N510" s="9">
        <v>1</v>
      </c>
      <c r="O510" s="9">
        <v>0</v>
      </c>
      <c r="P510" s="9">
        <v>0</v>
      </c>
      <c r="Q510" s="9">
        <v>0</v>
      </c>
      <c r="R510" s="9">
        <v>0</v>
      </c>
      <c r="S510" s="9">
        <v>0</v>
      </c>
      <c r="T510" s="12">
        <v>1</v>
      </c>
      <c r="U510" s="13"/>
    </row>
    <row r="511" spans="11:21" ht="13" x14ac:dyDescent="0.15">
      <c r="K511" s="19" t="s">
        <v>1362</v>
      </c>
      <c r="L511" s="9">
        <v>0</v>
      </c>
      <c r="M511" s="9">
        <v>0</v>
      </c>
      <c r="N511" s="9">
        <v>0</v>
      </c>
      <c r="O511" s="9">
        <v>5</v>
      </c>
      <c r="P511" s="9">
        <v>1</v>
      </c>
      <c r="Q511" s="9">
        <v>0</v>
      </c>
      <c r="R511" s="9">
        <v>0</v>
      </c>
      <c r="S511" s="9">
        <v>0</v>
      </c>
      <c r="T511" s="12">
        <v>6</v>
      </c>
      <c r="U511" s="13"/>
    </row>
    <row r="512" spans="11:21" ht="13" x14ac:dyDescent="0.15">
      <c r="K512" s="19" t="s">
        <v>1363</v>
      </c>
      <c r="L512" s="9">
        <v>0</v>
      </c>
      <c r="M512" s="9">
        <v>0</v>
      </c>
      <c r="N512" s="9">
        <v>3</v>
      </c>
      <c r="O512" s="9">
        <v>1</v>
      </c>
      <c r="P512" s="9">
        <v>1</v>
      </c>
      <c r="Q512" s="9">
        <v>0</v>
      </c>
      <c r="R512" s="9">
        <v>0</v>
      </c>
      <c r="S512" s="9">
        <v>0</v>
      </c>
      <c r="T512" s="12">
        <v>5</v>
      </c>
      <c r="U512" s="13"/>
    </row>
    <row r="513" spans="11:21" ht="13" x14ac:dyDescent="0.15">
      <c r="K513" s="19" t="s">
        <v>1364</v>
      </c>
      <c r="L513" s="9">
        <v>0</v>
      </c>
      <c r="M513" s="9">
        <v>0</v>
      </c>
      <c r="N513" s="9">
        <v>2</v>
      </c>
      <c r="O513" s="9">
        <v>5</v>
      </c>
      <c r="P513" s="9">
        <v>1</v>
      </c>
      <c r="Q513" s="9">
        <v>0</v>
      </c>
      <c r="R513" s="9">
        <v>0</v>
      </c>
      <c r="S513" s="9">
        <v>0</v>
      </c>
      <c r="T513" s="12">
        <v>8</v>
      </c>
      <c r="U513" s="13"/>
    </row>
    <row r="514" spans="11:21" ht="13" x14ac:dyDescent="0.15">
      <c r="K514" s="19" t="s">
        <v>1365</v>
      </c>
      <c r="L514" s="9">
        <v>0</v>
      </c>
      <c r="M514" s="9">
        <v>0</v>
      </c>
      <c r="N514" s="9">
        <v>1</v>
      </c>
      <c r="O514" s="9">
        <v>2</v>
      </c>
      <c r="P514" s="9">
        <v>1</v>
      </c>
      <c r="Q514" s="9">
        <v>0</v>
      </c>
      <c r="R514" s="9">
        <v>0</v>
      </c>
      <c r="S514" s="9">
        <v>0</v>
      </c>
      <c r="T514" s="12">
        <v>4</v>
      </c>
      <c r="U514" s="13"/>
    </row>
    <row r="515" spans="11:21" ht="13" x14ac:dyDescent="0.15">
      <c r="K515" s="19" t="s">
        <v>1366</v>
      </c>
      <c r="L515" s="9">
        <v>0</v>
      </c>
      <c r="M515" s="9">
        <v>0</v>
      </c>
      <c r="N515" s="9">
        <v>1</v>
      </c>
      <c r="O515" s="9">
        <v>1</v>
      </c>
      <c r="P515" s="9">
        <v>1</v>
      </c>
      <c r="Q515" s="9">
        <v>0</v>
      </c>
      <c r="R515" s="9">
        <v>0</v>
      </c>
      <c r="S515" s="9">
        <v>0</v>
      </c>
      <c r="T515" s="12">
        <v>3</v>
      </c>
      <c r="U515" s="13"/>
    </row>
    <row r="516" spans="11:21" ht="13" x14ac:dyDescent="0.15">
      <c r="K516" s="19" t="s">
        <v>1367</v>
      </c>
      <c r="L516" s="9">
        <v>0</v>
      </c>
      <c r="M516" s="9">
        <v>0</v>
      </c>
      <c r="N516" s="9">
        <v>18</v>
      </c>
      <c r="O516" s="9">
        <v>6</v>
      </c>
      <c r="P516" s="9">
        <v>2</v>
      </c>
      <c r="Q516" s="9">
        <v>0</v>
      </c>
      <c r="R516" s="9">
        <v>0</v>
      </c>
      <c r="S516" s="9">
        <v>0</v>
      </c>
      <c r="T516" s="12">
        <v>26</v>
      </c>
      <c r="U516" s="13"/>
    </row>
    <row r="517" spans="11:21" ht="13" x14ac:dyDescent="0.15">
      <c r="K517" s="19" t="s">
        <v>1368</v>
      </c>
      <c r="L517" s="9">
        <v>0</v>
      </c>
      <c r="M517" s="9">
        <v>0</v>
      </c>
      <c r="N517" s="9">
        <v>2</v>
      </c>
      <c r="O517" s="9">
        <v>0</v>
      </c>
      <c r="P517" s="9">
        <v>0</v>
      </c>
      <c r="Q517" s="9">
        <v>0</v>
      </c>
      <c r="R517" s="9">
        <v>0</v>
      </c>
      <c r="S517" s="9">
        <v>0</v>
      </c>
      <c r="T517" s="12">
        <v>2</v>
      </c>
      <c r="U517" s="13"/>
    </row>
    <row r="518" spans="11:21" ht="13" x14ac:dyDescent="0.15">
      <c r="K518" s="19" t="s">
        <v>1369</v>
      </c>
      <c r="L518" s="9">
        <v>0</v>
      </c>
      <c r="M518" s="9">
        <v>0</v>
      </c>
      <c r="N518" s="9">
        <v>1</v>
      </c>
      <c r="O518" s="9">
        <v>1</v>
      </c>
      <c r="P518" s="9">
        <v>1</v>
      </c>
      <c r="Q518" s="9">
        <v>0</v>
      </c>
      <c r="R518" s="9">
        <v>0</v>
      </c>
      <c r="S518" s="9">
        <v>0</v>
      </c>
      <c r="T518" s="12">
        <v>3</v>
      </c>
      <c r="U518" s="13"/>
    </row>
    <row r="519" spans="11:21" ht="13" x14ac:dyDescent="0.15">
      <c r="K519" s="19" t="s">
        <v>1370</v>
      </c>
      <c r="L519" s="9">
        <v>0</v>
      </c>
      <c r="M519" s="9">
        <v>0</v>
      </c>
      <c r="N519" s="9">
        <v>4</v>
      </c>
      <c r="O519" s="9">
        <v>5</v>
      </c>
      <c r="P519" s="9">
        <v>1</v>
      </c>
      <c r="Q519" s="9">
        <v>0</v>
      </c>
      <c r="R519" s="9">
        <v>0</v>
      </c>
      <c r="S519" s="9">
        <v>0</v>
      </c>
      <c r="T519" s="12">
        <v>10</v>
      </c>
      <c r="U519" s="13"/>
    </row>
    <row r="520" spans="11:21" ht="13" x14ac:dyDescent="0.15">
      <c r="K520" s="19" t="s">
        <v>1371</v>
      </c>
      <c r="L520" s="9">
        <v>0</v>
      </c>
      <c r="M520" s="9">
        <v>0</v>
      </c>
      <c r="N520" s="9">
        <v>1</v>
      </c>
      <c r="O520" s="9">
        <v>5</v>
      </c>
      <c r="P520" s="9">
        <v>0</v>
      </c>
      <c r="Q520" s="9">
        <v>0</v>
      </c>
      <c r="R520" s="9">
        <v>0</v>
      </c>
      <c r="S520" s="9">
        <v>0</v>
      </c>
      <c r="T520" s="12">
        <v>6</v>
      </c>
      <c r="U520" s="13"/>
    </row>
    <row r="521" spans="11:21" ht="13" x14ac:dyDescent="0.15">
      <c r="K521" s="19" t="s">
        <v>1372</v>
      </c>
      <c r="L521" s="9">
        <v>0</v>
      </c>
      <c r="M521" s="9">
        <v>0</v>
      </c>
      <c r="N521" s="9">
        <v>3</v>
      </c>
      <c r="O521" s="9">
        <v>10</v>
      </c>
      <c r="P521" s="9">
        <v>7</v>
      </c>
      <c r="Q521" s="9">
        <v>0</v>
      </c>
      <c r="R521" s="9">
        <v>0</v>
      </c>
      <c r="S521" s="9">
        <v>0</v>
      </c>
      <c r="T521" s="12">
        <v>20</v>
      </c>
      <c r="U521" s="13"/>
    </row>
    <row r="522" spans="11:21" ht="13" x14ac:dyDescent="0.15">
      <c r="K522" s="19" t="s">
        <v>1373</v>
      </c>
      <c r="L522" s="9">
        <v>0</v>
      </c>
      <c r="M522" s="9">
        <v>0</v>
      </c>
      <c r="N522" s="9">
        <v>2</v>
      </c>
      <c r="O522" s="9">
        <v>7</v>
      </c>
      <c r="P522" s="9">
        <v>2</v>
      </c>
      <c r="Q522" s="9">
        <v>0</v>
      </c>
      <c r="R522" s="9">
        <v>0</v>
      </c>
      <c r="S522" s="9">
        <v>0</v>
      </c>
      <c r="T522" s="12">
        <v>11</v>
      </c>
      <c r="U522" s="13"/>
    </row>
    <row r="523" spans="11:21" ht="13" x14ac:dyDescent="0.15">
      <c r="K523" s="19" t="s">
        <v>1374</v>
      </c>
      <c r="L523" s="9">
        <v>0</v>
      </c>
      <c r="M523" s="9">
        <v>0</v>
      </c>
      <c r="N523" s="9">
        <v>0</v>
      </c>
      <c r="O523" s="9">
        <v>4</v>
      </c>
      <c r="P523" s="9">
        <v>1</v>
      </c>
      <c r="Q523" s="9">
        <v>0</v>
      </c>
      <c r="R523" s="9">
        <v>0</v>
      </c>
      <c r="S523" s="9">
        <v>0</v>
      </c>
      <c r="T523" s="12">
        <v>5</v>
      </c>
      <c r="U523" s="13"/>
    </row>
    <row r="524" spans="11:21" ht="13" x14ac:dyDescent="0.15">
      <c r="K524" s="19" t="s">
        <v>1375</v>
      </c>
      <c r="L524" s="9">
        <v>0</v>
      </c>
      <c r="M524" s="9">
        <v>0</v>
      </c>
      <c r="N524" s="9">
        <v>2</v>
      </c>
      <c r="O524" s="9">
        <v>0</v>
      </c>
      <c r="P524" s="9">
        <v>2</v>
      </c>
      <c r="Q524" s="9">
        <v>0</v>
      </c>
      <c r="R524" s="9">
        <v>0</v>
      </c>
      <c r="S524" s="9">
        <v>0</v>
      </c>
      <c r="T524" s="12">
        <v>4</v>
      </c>
      <c r="U524" s="13"/>
    </row>
    <row r="525" spans="11:21" ht="13" x14ac:dyDescent="0.15">
      <c r="K525" s="19" t="s">
        <v>1376</v>
      </c>
      <c r="L525" s="9">
        <v>0</v>
      </c>
      <c r="M525" s="9">
        <v>0</v>
      </c>
      <c r="N525" s="9">
        <v>2</v>
      </c>
      <c r="O525" s="9">
        <v>4</v>
      </c>
      <c r="P525" s="9">
        <v>6</v>
      </c>
      <c r="Q525" s="9">
        <v>0</v>
      </c>
      <c r="R525" s="9">
        <v>0</v>
      </c>
      <c r="S525" s="9">
        <v>0</v>
      </c>
      <c r="T525" s="12">
        <v>12</v>
      </c>
      <c r="U525" s="13"/>
    </row>
    <row r="526" spans="11:21" ht="13" x14ac:dyDescent="0.15">
      <c r="K526" s="19" t="s">
        <v>1377</v>
      </c>
      <c r="L526" s="9">
        <v>0</v>
      </c>
      <c r="M526" s="9">
        <v>0</v>
      </c>
      <c r="N526" s="9">
        <v>4</v>
      </c>
      <c r="O526" s="9">
        <v>4</v>
      </c>
      <c r="P526" s="9">
        <v>2</v>
      </c>
      <c r="Q526" s="9">
        <v>0</v>
      </c>
      <c r="R526" s="9">
        <v>0</v>
      </c>
      <c r="S526" s="9">
        <v>0</v>
      </c>
      <c r="T526" s="12">
        <v>10</v>
      </c>
      <c r="U526" s="13"/>
    </row>
    <row r="527" spans="11:21" ht="13" x14ac:dyDescent="0.15">
      <c r="K527" s="19" t="s">
        <v>1378</v>
      </c>
      <c r="L527" s="9">
        <v>0</v>
      </c>
      <c r="M527" s="9">
        <v>0</v>
      </c>
      <c r="N527" s="9">
        <v>1</v>
      </c>
      <c r="O527" s="9">
        <v>3</v>
      </c>
      <c r="P527" s="9">
        <v>1</v>
      </c>
      <c r="Q527" s="9">
        <v>0</v>
      </c>
      <c r="R527" s="9">
        <v>0</v>
      </c>
      <c r="S527" s="9">
        <v>0</v>
      </c>
      <c r="T527" s="12">
        <v>5</v>
      </c>
      <c r="U527" s="13"/>
    </row>
    <row r="528" spans="11:21" ht="13" x14ac:dyDescent="0.15">
      <c r="K528" s="19" t="s">
        <v>1379</v>
      </c>
      <c r="L528" s="9">
        <v>0</v>
      </c>
      <c r="M528" s="9">
        <v>0</v>
      </c>
      <c r="N528" s="9">
        <v>4</v>
      </c>
      <c r="O528" s="9">
        <v>1</v>
      </c>
      <c r="P528" s="9">
        <v>4</v>
      </c>
      <c r="Q528" s="9">
        <v>0</v>
      </c>
      <c r="R528" s="9">
        <v>0</v>
      </c>
      <c r="S528" s="9">
        <v>0</v>
      </c>
      <c r="T528" s="12">
        <v>9</v>
      </c>
      <c r="U528" s="13"/>
    </row>
    <row r="529" spans="11:21" ht="13" x14ac:dyDescent="0.15">
      <c r="K529" s="19" t="s">
        <v>1380</v>
      </c>
      <c r="L529" s="9">
        <v>0</v>
      </c>
      <c r="M529" s="9">
        <v>0</v>
      </c>
      <c r="N529" s="9">
        <v>2</v>
      </c>
      <c r="O529" s="9">
        <v>1</v>
      </c>
      <c r="P529" s="9">
        <v>1</v>
      </c>
      <c r="Q529" s="9">
        <v>0</v>
      </c>
      <c r="R529" s="9">
        <v>0</v>
      </c>
      <c r="S529" s="9">
        <v>0</v>
      </c>
      <c r="T529" s="12">
        <v>4</v>
      </c>
      <c r="U529" s="13"/>
    </row>
    <row r="530" spans="11:21" ht="13" x14ac:dyDescent="0.15">
      <c r="K530" s="19" t="s">
        <v>1381</v>
      </c>
      <c r="L530" s="9">
        <v>0</v>
      </c>
      <c r="M530" s="9">
        <v>0</v>
      </c>
      <c r="N530" s="9">
        <v>2</v>
      </c>
      <c r="O530" s="9">
        <v>0</v>
      </c>
      <c r="P530" s="9">
        <v>0</v>
      </c>
      <c r="Q530" s="9">
        <v>0</v>
      </c>
      <c r="R530" s="9">
        <v>0</v>
      </c>
      <c r="S530" s="9">
        <v>0</v>
      </c>
      <c r="T530" s="12">
        <v>2</v>
      </c>
      <c r="U530" s="13"/>
    </row>
    <row r="531" spans="11:21" ht="13" x14ac:dyDescent="0.15">
      <c r="K531" s="19" t="s">
        <v>1382</v>
      </c>
      <c r="L531" s="9">
        <v>0</v>
      </c>
      <c r="M531" s="9">
        <v>0</v>
      </c>
      <c r="N531" s="9">
        <v>3</v>
      </c>
      <c r="O531" s="9">
        <v>3</v>
      </c>
      <c r="P531" s="9">
        <v>3</v>
      </c>
      <c r="Q531" s="9">
        <v>0</v>
      </c>
      <c r="R531" s="9">
        <v>0</v>
      </c>
      <c r="S531" s="9">
        <v>0</v>
      </c>
      <c r="T531" s="12">
        <v>9</v>
      </c>
      <c r="U531" s="13"/>
    </row>
    <row r="532" spans="11:21" ht="13" x14ac:dyDescent="0.15">
      <c r="K532" s="19" t="s">
        <v>1383</v>
      </c>
      <c r="L532" s="9">
        <v>0</v>
      </c>
      <c r="M532" s="9">
        <v>0</v>
      </c>
      <c r="N532" s="9">
        <v>2</v>
      </c>
      <c r="O532" s="9">
        <v>2</v>
      </c>
      <c r="P532" s="9">
        <v>4</v>
      </c>
      <c r="Q532" s="9">
        <v>0</v>
      </c>
      <c r="R532" s="9">
        <v>0</v>
      </c>
      <c r="S532" s="9">
        <v>0</v>
      </c>
      <c r="T532" s="12">
        <v>8</v>
      </c>
      <c r="U532" s="13"/>
    </row>
    <row r="533" spans="11:21" ht="13" x14ac:dyDescent="0.15">
      <c r="K533" s="19" t="s">
        <v>1384</v>
      </c>
      <c r="L533" s="9">
        <v>0</v>
      </c>
      <c r="M533" s="9">
        <v>0</v>
      </c>
      <c r="N533" s="9">
        <v>2</v>
      </c>
      <c r="O533" s="9">
        <v>3</v>
      </c>
      <c r="P533" s="9">
        <v>10</v>
      </c>
      <c r="Q533" s="9">
        <v>0</v>
      </c>
      <c r="R533" s="9">
        <v>0</v>
      </c>
      <c r="S533" s="9">
        <v>0</v>
      </c>
      <c r="T533" s="12">
        <v>15</v>
      </c>
      <c r="U533" s="13"/>
    </row>
    <row r="534" spans="11:21" ht="13" x14ac:dyDescent="0.15">
      <c r="K534" s="19" t="s">
        <v>1390</v>
      </c>
      <c r="L534" s="9">
        <v>0</v>
      </c>
      <c r="M534" s="9">
        <v>0</v>
      </c>
      <c r="N534" s="9">
        <v>3</v>
      </c>
      <c r="O534" s="9">
        <v>4</v>
      </c>
      <c r="P534" s="9">
        <v>5</v>
      </c>
      <c r="Q534" s="9">
        <v>0</v>
      </c>
      <c r="R534" s="9">
        <v>0</v>
      </c>
      <c r="S534" s="9">
        <v>0</v>
      </c>
      <c r="T534" s="12">
        <v>12</v>
      </c>
      <c r="U534" s="13"/>
    </row>
    <row r="535" spans="11:21" ht="13" x14ac:dyDescent="0.15">
      <c r="K535" s="19" t="s">
        <v>1391</v>
      </c>
      <c r="L535" s="9">
        <v>0</v>
      </c>
      <c r="M535" s="9">
        <v>0</v>
      </c>
      <c r="N535" s="9">
        <v>4</v>
      </c>
      <c r="O535" s="9">
        <v>7</v>
      </c>
      <c r="P535" s="9">
        <v>1</v>
      </c>
      <c r="Q535" s="9">
        <v>0</v>
      </c>
      <c r="R535" s="9">
        <v>0</v>
      </c>
      <c r="S535" s="9">
        <v>0</v>
      </c>
      <c r="T535" s="12">
        <v>12</v>
      </c>
      <c r="U535" s="13"/>
    </row>
    <row r="536" spans="11:21" ht="13" x14ac:dyDescent="0.15">
      <c r="K536" s="19" t="s">
        <v>1394</v>
      </c>
      <c r="L536" s="9">
        <v>0</v>
      </c>
      <c r="M536" s="9">
        <v>0</v>
      </c>
      <c r="N536" s="9">
        <v>1</v>
      </c>
      <c r="O536" s="9">
        <v>0</v>
      </c>
      <c r="P536" s="9">
        <v>0</v>
      </c>
      <c r="Q536" s="9">
        <v>0</v>
      </c>
      <c r="R536" s="9">
        <v>0</v>
      </c>
      <c r="S536" s="9">
        <v>0</v>
      </c>
      <c r="T536" s="12">
        <v>1</v>
      </c>
      <c r="U536" s="13"/>
    </row>
    <row r="537" spans="11:21" ht="13" x14ac:dyDescent="0.15">
      <c r="K537" s="19" t="s">
        <v>1397</v>
      </c>
      <c r="L537" s="9">
        <v>0</v>
      </c>
      <c r="M537" s="9">
        <v>0</v>
      </c>
      <c r="N537" s="9">
        <v>4</v>
      </c>
      <c r="O537" s="9">
        <v>2</v>
      </c>
      <c r="P537" s="9">
        <v>2</v>
      </c>
      <c r="Q537" s="9">
        <v>0</v>
      </c>
      <c r="R537" s="9">
        <v>0</v>
      </c>
      <c r="S537" s="9">
        <v>0</v>
      </c>
      <c r="T537" s="12">
        <v>8</v>
      </c>
      <c r="U537" s="13"/>
    </row>
    <row r="538" spans="11:21" ht="13" x14ac:dyDescent="0.15">
      <c r="K538" s="18" t="s">
        <v>1398</v>
      </c>
      <c r="L538" s="12">
        <v>0</v>
      </c>
      <c r="M538" s="12">
        <v>0</v>
      </c>
      <c r="N538" s="12">
        <v>165</v>
      </c>
      <c r="O538" s="12">
        <v>97</v>
      </c>
      <c r="P538" s="12">
        <v>45</v>
      </c>
      <c r="Q538" s="12">
        <v>0</v>
      </c>
      <c r="R538" s="12">
        <v>0</v>
      </c>
      <c r="S538" s="12">
        <v>0</v>
      </c>
      <c r="T538" s="12">
        <v>307</v>
      </c>
      <c r="U538" s="13"/>
    </row>
    <row r="539" spans="11:21" ht="13" x14ac:dyDescent="0.15">
      <c r="K539" s="19" t="s">
        <v>1399</v>
      </c>
      <c r="L539" s="9">
        <v>0</v>
      </c>
      <c r="M539" s="9">
        <v>0</v>
      </c>
      <c r="N539" s="9">
        <v>1</v>
      </c>
      <c r="O539" s="9">
        <v>4</v>
      </c>
      <c r="P539" s="9">
        <v>7</v>
      </c>
      <c r="Q539" s="9">
        <v>0</v>
      </c>
      <c r="R539" s="9">
        <v>0</v>
      </c>
      <c r="S539" s="9">
        <v>0</v>
      </c>
      <c r="T539" s="12">
        <v>12</v>
      </c>
      <c r="U539" s="13"/>
    </row>
    <row r="540" spans="11:21" ht="13" x14ac:dyDescent="0.15">
      <c r="K540" s="19" t="s">
        <v>1403</v>
      </c>
      <c r="L540" s="9">
        <v>0</v>
      </c>
      <c r="M540" s="9">
        <v>0</v>
      </c>
      <c r="N540" s="9">
        <v>3</v>
      </c>
      <c r="O540" s="9">
        <v>1</v>
      </c>
      <c r="P540" s="9">
        <v>2</v>
      </c>
      <c r="Q540" s="9">
        <v>0</v>
      </c>
      <c r="R540" s="9">
        <v>0</v>
      </c>
      <c r="S540" s="9">
        <v>0</v>
      </c>
      <c r="T540" s="12">
        <v>6</v>
      </c>
      <c r="U540" s="13"/>
    </row>
    <row r="541" spans="11:21" ht="13" x14ac:dyDescent="0.15">
      <c r="K541" s="19" t="s">
        <v>1405</v>
      </c>
      <c r="L541" s="9">
        <v>0</v>
      </c>
      <c r="M541" s="9">
        <v>0</v>
      </c>
      <c r="N541" s="9">
        <v>3</v>
      </c>
      <c r="O541" s="9">
        <v>0</v>
      </c>
      <c r="P541" s="9">
        <v>3</v>
      </c>
      <c r="Q541" s="9">
        <v>0</v>
      </c>
      <c r="R541" s="9">
        <v>0</v>
      </c>
      <c r="S541" s="9">
        <v>0</v>
      </c>
      <c r="T541" s="12">
        <v>6</v>
      </c>
      <c r="U541" s="13"/>
    </row>
    <row r="542" spans="11:21" ht="13" x14ac:dyDescent="0.15">
      <c r="K542" s="19" t="s">
        <v>1406</v>
      </c>
      <c r="L542" s="9">
        <v>0</v>
      </c>
      <c r="M542" s="9">
        <v>0</v>
      </c>
      <c r="N542" s="9">
        <v>3</v>
      </c>
      <c r="O542" s="9">
        <v>3</v>
      </c>
      <c r="P542" s="9">
        <v>3</v>
      </c>
      <c r="Q542" s="9">
        <v>0</v>
      </c>
      <c r="R542" s="9">
        <v>0</v>
      </c>
      <c r="S542" s="9">
        <v>0</v>
      </c>
      <c r="T542" s="12">
        <v>9</v>
      </c>
      <c r="U542" s="13"/>
    </row>
    <row r="543" spans="11:21" ht="13" x14ac:dyDescent="0.15">
      <c r="K543" s="19" t="s">
        <v>1408</v>
      </c>
      <c r="L543" s="9">
        <v>0</v>
      </c>
      <c r="M543" s="9">
        <v>0</v>
      </c>
      <c r="N543" s="9">
        <v>3</v>
      </c>
      <c r="O543" s="9">
        <v>55</v>
      </c>
      <c r="P543" s="9">
        <v>10</v>
      </c>
      <c r="Q543" s="9">
        <v>0</v>
      </c>
      <c r="R543" s="9">
        <v>0</v>
      </c>
      <c r="S543" s="9">
        <v>0</v>
      </c>
      <c r="T543" s="12">
        <v>68</v>
      </c>
      <c r="U543" s="13"/>
    </row>
    <row r="544" spans="11:21" ht="13" x14ac:dyDescent="0.15">
      <c r="K544" s="19" t="s">
        <v>1410</v>
      </c>
      <c r="L544" s="9">
        <v>0</v>
      </c>
      <c r="M544" s="9">
        <v>0</v>
      </c>
      <c r="N544" s="9">
        <v>1</v>
      </c>
      <c r="O544" s="9">
        <v>0</v>
      </c>
      <c r="P544" s="9">
        <v>0</v>
      </c>
      <c r="Q544" s="9">
        <v>0</v>
      </c>
      <c r="R544" s="9">
        <v>0</v>
      </c>
      <c r="S544" s="9">
        <v>0</v>
      </c>
      <c r="T544" s="12">
        <v>1</v>
      </c>
      <c r="U544" s="13"/>
    </row>
    <row r="545" spans="11:21" ht="13" x14ac:dyDescent="0.15">
      <c r="K545" s="19" t="s">
        <v>1411</v>
      </c>
      <c r="L545" s="9">
        <v>0</v>
      </c>
      <c r="M545" s="9">
        <v>0</v>
      </c>
      <c r="N545" s="9">
        <v>3</v>
      </c>
      <c r="O545" s="9">
        <v>0</v>
      </c>
      <c r="P545" s="9">
        <v>1</v>
      </c>
      <c r="Q545" s="9">
        <v>0</v>
      </c>
      <c r="R545" s="9">
        <v>0</v>
      </c>
      <c r="S545" s="9">
        <v>0</v>
      </c>
      <c r="T545" s="12">
        <v>4</v>
      </c>
      <c r="U545" s="13"/>
    </row>
    <row r="546" spans="11:21" ht="13" x14ac:dyDescent="0.15">
      <c r="K546" s="19" t="s">
        <v>1413</v>
      </c>
      <c r="L546" s="9">
        <v>0</v>
      </c>
      <c r="M546" s="9">
        <v>0</v>
      </c>
      <c r="N546" s="9">
        <v>8</v>
      </c>
      <c r="O546" s="9">
        <v>1</v>
      </c>
      <c r="P546" s="9">
        <v>0</v>
      </c>
      <c r="Q546" s="9">
        <v>0</v>
      </c>
      <c r="R546" s="9">
        <v>0</v>
      </c>
      <c r="S546" s="9">
        <v>0</v>
      </c>
      <c r="T546" s="12">
        <v>9</v>
      </c>
      <c r="U546" s="13"/>
    </row>
    <row r="547" spans="11:21" ht="13" x14ac:dyDescent="0.15">
      <c r="K547" s="19" t="s">
        <v>1417</v>
      </c>
      <c r="L547" s="9">
        <v>0</v>
      </c>
      <c r="M547" s="9">
        <v>0</v>
      </c>
      <c r="N547" s="9">
        <v>9</v>
      </c>
      <c r="O547" s="9">
        <v>2</v>
      </c>
      <c r="P547" s="9">
        <v>5</v>
      </c>
      <c r="Q547" s="9">
        <v>0</v>
      </c>
      <c r="R547" s="9">
        <v>0</v>
      </c>
      <c r="S547" s="9">
        <v>0</v>
      </c>
      <c r="T547" s="12">
        <v>16</v>
      </c>
      <c r="U547" s="13"/>
    </row>
    <row r="548" spans="11:21" ht="13" x14ac:dyDescent="0.15">
      <c r="K548" s="19" t="s">
        <v>1418</v>
      </c>
      <c r="L548" s="9">
        <v>0</v>
      </c>
      <c r="M548" s="9">
        <v>0</v>
      </c>
      <c r="N548" s="9">
        <v>5</v>
      </c>
      <c r="O548" s="9">
        <v>17</v>
      </c>
      <c r="P548" s="9">
        <v>6</v>
      </c>
      <c r="Q548" s="9">
        <v>0</v>
      </c>
      <c r="R548" s="9">
        <v>0</v>
      </c>
      <c r="S548" s="9">
        <v>0</v>
      </c>
      <c r="T548" s="12">
        <v>28</v>
      </c>
      <c r="U548" s="13"/>
    </row>
    <row r="549" spans="11:21" ht="13" x14ac:dyDescent="0.15">
      <c r="K549" s="19" t="s">
        <v>1421</v>
      </c>
      <c r="L549" s="9">
        <v>0</v>
      </c>
      <c r="M549" s="9">
        <v>0</v>
      </c>
      <c r="N549" s="9">
        <v>5</v>
      </c>
      <c r="O549" s="9">
        <v>3</v>
      </c>
      <c r="P549" s="9">
        <v>2</v>
      </c>
      <c r="Q549" s="9">
        <v>0</v>
      </c>
      <c r="R549" s="9">
        <v>0</v>
      </c>
      <c r="S549" s="9">
        <v>0</v>
      </c>
      <c r="T549" s="12">
        <v>10</v>
      </c>
      <c r="U549" s="13"/>
    </row>
    <row r="550" spans="11:21" ht="13" x14ac:dyDescent="0.15">
      <c r="K550" s="19" t="s">
        <v>1423</v>
      </c>
      <c r="L550" s="9">
        <v>0</v>
      </c>
      <c r="M550" s="9">
        <v>0</v>
      </c>
      <c r="N550" s="9">
        <v>119</v>
      </c>
      <c r="O550" s="9">
        <v>6</v>
      </c>
      <c r="P550" s="9">
        <v>0</v>
      </c>
      <c r="Q550" s="9">
        <v>0</v>
      </c>
      <c r="R550" s="9">
        <v>0</v>
      </c>
      <c r="S550" s="9">
        <v>0</v>
      </c>
      <c r="T550" s="12">
        <v>125</v>
      </c>
      <c r="U550" s="13"/>
    </row>
    <row r="551" spans="11:21" ht="13" x14ac:dyDescent="0.15">
      <c r="K551" s="19" t="s">
        <v>1424</v>
      </c>
      <c r="L551" s="9">
        <v>0</v>
      </c>
      <c r="M551" s="9">
        <v>0</v>
      </c>
      <c r="N551" s="9">
        <v>1</v>
      </c>
      <c r="O551" s="9">
        <v>1</v>
      </c>
      <c r="P551" s="9">
        <v>3</v>
      </c>
      <c r="Q551" s="9">
        <v>0</v>
      </c>
      <c r="R551" s="9">
        <v>0</v>
      </c>
      <c r="S551" s="9">
        <v>0</v>
      </c>
      <c r="T551" s="12">
        <v>5</v>
      </c>
      <c r="U551" s="13"/>
    </row>
    <row r="552" spans="11:21" ht="13" x14ac:dyDescent="0.15">
      <c r="K552" s="19" t="s">
        <v>1425</v>
      </c>
      <c r="L552" s="9">
        <v>0</v>
      </c>
      <c r="M552" s="9">
        <v>0</v>
      </c>
      <c r="N552" s="9">
        <v>0</v>
      </c>
      <c r="O552" s="9">
        <v>3</v>
      </c>
      <c r="P552" s="9">
        <v>3</v>
      </c>
      <c r="Q552" s="9">
        <v>0</v>
      </c>
      <c r="R552" s="9">
        <v>0</v>
      </c>
      <c r="S552" s="9">
        <v>0</v>
      </c>
      <c r="T552" s="12">
        <v>6</v>
      </c>
      <c r="U552" s="13"/>
    </row>
    <row r="553" spans="11:21" ht="13" x14ac:dyDescent="0.15">
      <c r="K553" s="19" t="s">
        <v>1426</v>
      </c>
      <c r="L553" s="9">
        <v>0</v>
      </c>
      <c r="M553" s="9">
        <v>0</v>
      </c>
      <c r="N553" s="9">
        <v>1</v>
      </c>
      <c r="O553" s="9">
        <v>0</v>
      </c>
      <c r="P553" s="9">
        <v>0</v>
      </c>
      <c r="Q553" s="9">
        <v>0</v>
      </c>
      <c r="R553" s="9">
        <v>0</v>
      </c>
      <c r="S553" s="9">
        <v>0</v>
      </c>
      <c r="T553" s="12">
        <v>1</v>
      </c>
      <c r="U553" s="13"/>
    </row>
    <row r="554" spans="11:21" ht="13" x14ac:dyDescent="0.15">
      <c r="K554" s="19" t="s">
        <v>1428</v>
      </c>
      <c r="L554" s="9">
        <v>0</v>
      </c>
      <c r="M554" s="9">
        <v>0</v>
      </c>
      <c r="N554" s="9">
        <v>0</v>
      </c>
      <c r="O554" s="9">
        <v>1</v>
      </c>
      <c r="P554" s="9">
        <v>0</v>
      </c>
      <c r="Q554" s="9">
        <v>0</v>
      </c>
      <c r="R554" s="9">
        <v>0</v>
      </c>
      <c r="S554" s="9">
        <v>0</v>
      </c>
      <c r="T554" s="12">
        <v>1</v>
      </c>
      <c r="U554" s="13"/>
    </row>
    <row r="555" spans="11:21" ht="13" x14ac:dyDescent="0.15">
      <c r="K555" s="18" t="s">
        <v>1429</v>
      </c>
      <c r="L555" s="12">
        <v>0</v>
      </c>
      <c r="M555" s="12">
        <v>1</v>
      </c>
      <c r="N555" s="12">
        <v>12</v>
      </c>
      <c r="O555" s="12">
        <v>4</v>
      </c>
      <c r="P555" s="12">
        <v>2</v>
      </c>
      <c r="Q555" s="12">
        <v>0</v>
      </c>
      <c r="R555" s="12">
        <v>0</v>
      </c>
      <c r="S555" s="12">
        <v>0</v>
      </c>
      <c r="T555" s="12">
        <v>19</v>
      </c>
      <c r="U555" s="13"/>
    </row>
    <row r="556" spans="11:21" ht="13" x14ac:dyDescent="0.15">
      <c r="K556" s="19" t="s">
        <v>1433</v>
      </c>
      <c r="L556" s="9">
        <v>0</v>
      </c>
      <c r="M556" s="9">
        <v>0</v>
      </c>
      <c r="N556" s="9">
        <v>0</v>
      </c>
      <c r="O556" s="9">
        <v>1</v>
      </c>
      <c r="P556" s="9">
        <v>0</v>
      </c>
      <c r="Q556" s="9">
        <v>0</v>
      </c>
      <c r="R556" s="9">
        <v>0</v>
      </c>
      <c r="S556" s="9">
        <v>0</v>
      </c>
      <c r="T556" s="12">
        <v>1</v>
      </c>
    </row>
    <row r="557" spans="11:21" ht="13" x14ac:dyDescent="0.15">
      <c r="K557" s="19" t="s">
        <v>1435</v>
      </c>
      <c r="L557" s="9">
        <v>0</v>
      </c>
      <c r="M557" s="9">
        <v>0</v>
      </c>
      <c r="N557" s="9">
        <v>3</v>
      </c>
      <c r="O557" s="9">
        <v>0</v>
      </c>
      <c r="P557" s="9">
        <v>0</v>
      </c>
      <c r="Q557" s="9">
        <v>0</v>
      </c>
      <c r="R557" s="9">
        <v>0</v>
      </c>
      <c r="S557" s="9">
        <v>0</v>
      </c>
      <c r="T557" s="12">
        <v>3</v>
      </c>
    </row>
    <row r="558" spans="11:21" ht="13" x14ac:dyDescent="0.15">
      <c r="K558" s="19" t="s">
        <v>1436</v>
      </c>
      <c r="L558" s="9">
        <v>0</v>
      </c>
      <c r="M558" s="9">
        <v>0</v>
      </c>
      <c r="N558" s="9">
        <v>4</v>
      </c>
      <c r="O558" s="9">
        <v>0</v>
      </c>
      <c r="P558" s="9">
        <v>0</v>
      </c>
      <c r="Q558" s="9">
        <v>0</v>
      </c>
      <c r="R558" s="9">
        <v>0</v>
      </c>
      <c r="S558" s="9">
        <v>0</v>
      </c>
      <c r="T558" s="12">
        <v>4</v>
      </c>
    </row>
    <row r="559" spans="11:21" ht="13" x14ac:dyDescent="0.15">
      <c r="K559" s="19" t="s">
        <v>1438</v>
      </c>
      <c r="L559" s="9">
        <v>0</v>
      </c>
      <c r="M559" s="9">
        <v>1</v>
      </c>
      <c r="N559" s="9">
        <v>4</v>
      </c>
      <c r="O559" s="9">
        <v>2</v>
      </c>
      <c r="P559" s="9">
        <v>1</v>
      </c>
      <c r="Q559" s="9">
        <v>0</v>
      </c>
      <c r="R559" s="9">
        <v>0</v>
      </c>
      <c r="S559" s="9">
        <v>0</v>
      </c>
      <c r="T559" s="12">
        <v>8</v>
      </c>
    </row>
    <row r="560" spans="11:21" ht="13" x14ac:dyDescent="0.15">
      <c r="K560" s="19" t="s">
        <v>1442</v>
      </c>
      <c r="L560" s="9">
        <v>0</v>
      </c>
      <c r="M560" s="9">
        <v>0</v>
      </c>
      <c r="N560" s="9">
        <v>1</v>
      </c>
      <c r="O560" s="9">
        <v>0</v>
      </c>
      <c r="P560" s="9">
        <v>1</v>
      </c>
      <c r="Q560" s="9">
        <v>0</v>
      </c>
      <c r="R560" s="9">
        <v>0</v>
      </c>
      <c r="S560" s="9">
        <v>0</v>
      </c>
      <c r="T560" s="12">
        <v>2</v>
      </c>
    </row>
    <row r="561" spans="11:20" ht="13" x14ac:dyDescent="0.15">
      <c r="K561" s="19" t="s">
        <v>1443</v>
      </c>
      <c r="L561" s="9">
        <v>0</v>
      </c>
      <c r="M561" s="9">
        <v>0</v>
      </c>
      <c r="N561" s="9">
        <v>0</v>
      </c>
      <c r="O561" s="9">
        <v>1</v>
      </c>
      <c r="P561" s="9">
        <v>0</v>
      </c>
      <c r="Q561" s="9">
        <v>0</v>
      </c>
      <c r="R561" s="9">
        <v>0</v>
      </c>
      <c r="S561" s="9">
        <v>0</v>
      </c>
      <c r="T561" s="12">
        <v>1</v>
      </c>
    </row>
  </sheetData>
  <mergeCells count="17">
    <mergeCell ref="A1:B1"/>
    <mergeCell ref="D1:I1"/>
    <mergeCell ref="K1:N1"/>
    <mergeCell ref="D4:D5"/>
    <mergeCell ref="A7:B7"/>
    <mergeCell ref="K13:T13"/>
    <mergeCell ref="A18:B18"/>
    <mergeCell ref="D330:D341"/>
    <mergeCell ref="D343:D350"/>
    <mergeCell ref="D352:D401"/>
    <mergeCell ref="D7:D17"/>
    <mergeCell ref="D19:D22"/>
    <mergeCell ref="D24:D44"/>
    <mergeCell ref="D48:D137"/>
    <mergeCell ref="D139:D230"/>
    <mergeCell ref="D232:D294"/>
    <mergeCell ref="D296:D32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I53"/>
  <sheetViews>
    <sheetView workbookViewId="0"/>
  </sheetViews>
  <sheetFormatPr baseColWidth="10" defaultColWidth="12.6640625" defaultRowHeight="15.75" customHeight="1" x14ac:dyDescent="0.15"/>
  <cols>
    <col min="1" max="1" width="14.83203125" customWidth="1"/>
    <col min="2" max="2" width="5.1640625" customWidth="1"/>
    <col min="3" max="3" width="7.1640625" customWidth="1"/>
    <col min="4" max="4" width="3" customWidth="1"/>
    <col min="5" max="5" width="4.5" customWidth="1"/>
    <col min="6" max="6" width="7.1640625" customWidth="1"/>
    <col min="7" max="7" width="3.83203125" customWidth="1"/>
    <col min="8" max="8" width="4.33203125" customWidth="1"/>
    <col min="9" max="9" width="8" customWidth="1"/>
    <col min="10" max="10" width="3.83203125" customWidth="1"/>
    <col min="11" max="11" width="4.1640625" customWidth="1"/>
    <col min="12" max="12" width="7.1640625" customWidth="1"/>
    <col min="13" max="13" width="4.1640625" customWidth="1"/>
    <col min="14" max="14" width="3.83203125" customWidth="1"/>
    <col min="15" max="15" width="8.1640625" customWidth="1"/>
    <col min="16" max="16" width="4.83203125" customWidth="1"/>
    <col min="17" max="17" width="7.6640625" customWidth="1"/>
    <col min="18" max="18" width="6.5" customWidth="1"/>
    <col min="19" max="19" width="7.83203125" customWidth="1"/>
    <col min="20" max="20" width="8.1640625" customWidth="1"/>
    <col min="21" max="21" width="13" customWidth="1"/>
    <col min="22" max="22" width="14" customWidth="1"/>
    <col min="23" max="23" width="9.1640625" customWidth="1"/>
    <col min="24" max="25" width="1.83203125" customWidth="1"/>
    <col min="26" max="28" width="2.6640625" customWidth="1"/>
    <col min="29" max="35" width="1.83203125" customWidth="1"/>
  </cols>
  <sheetData>
    <row r="1" spans="1:23" ht="15.75" customHeight="1" x14ac:dyDescent="0.15">
      <c r="A1" s="2"/>
      <c r="B1" s="2"/>
      <c r="C1" s="2"/>
      <c r="D1" s="2"/>
      <c r="E1" s="2"/>
      <c r="F1" s="2"/>
      <c r="G1" s="2"/>
      <c r="H1" s="2"/>
      <c r="I1" s="2"/>
      <c r="J1" s="2"/>
      <c r="K1" s="2"/>
      <c r="L1" s="2"/>
      <c r="M1" s="2"/>
      <c r="N1" s="2"/>
      <c r="O1" s="2"/>
      <c r="P1" s="2"/>
      <c r="Q1" s="2"/>
      <c r="R1" s="2"/>
      <c r="S1" s="2"/>
      <c r="T1" s="2"/>
      <c r="U1" s="2"/>
      <c r="V1" s="2"/>
      <c r="W1" s="2"/>
    </row>
    <row r="2" spans="1:23" ht="15.75" customHeight="1" x14ac:dyDescent="0.15">
      <c r="A2" s="2"/>
      <c r="B2" s="2"/>
      <c r="C2" s="2"/>
      <c r="D2" s="2"/>
      <c r="E2" s="2"/>
      <c r="F2" s="2"/>
      <c r="G2" s="2"/>
      <c r="H2" s="2"/>
      <c r="I2" s="2"/>
      <c r="J2" s="2"/>
      <c r="K2" s="2"/>
      <c r="L2" s="2"/>
    </row>
    <row r="3" spans="1:23" ht="15.75" customHeight="1" x14ac:dyDescent="0.15">
      <c r="A3" s="2"/>
      <c r="B3" s="2"/>
      <c r="C3" s="20"/>
      <c r="D3" s="2"/>
      <c r="F3" s="20"/>
      <c r="G3" s="2"/>
      <c r="I3" s="20"/>
      <c r="J3" s="2"/>
      <c r="L3" s="20"/>
    </row>
    <row r="4" spans="1:23" ht="15.75" customHeight="1" x14ac:dyDescent="0.15">
      <c r="A4" s="2"/>
      <c r="B4" s="2"/>
      <c r="C4" s="20"/>
      <c r="D4" s="2"/>
      <c r="F4" s="20"/>
      <c r="G4" s="2"/>
      <c r="I4" s="20"/>
      <c r="J4" s="2"/>
      <c r="L4" s="20"/>
    </row>
    <row r="5" spans="1:23" ht="15.75" customHeight="1" x14ac:dyDescent="0.15">
      <c r="A5" s="2"/>
      <c r="B5" s="2"/>
      <c r="C5" s="20"/>
      <c r="D5" s="2"/>
      <c r="F5" s="20"/>
      <c r="G5" s="2"/>
      <c r="I5" s="20"/>
      <c r="J5" s="2"/>
      <c r="L5" s="20"/>
    </row>
    <row r="6" spans="1:23" ht="15.75" customHeight="1" x14ac:dyDescent="0.15">
      <c r="A6" s="2"/>
      <c r="B6" s="2"/>
      <c r="C6" s="20"/>
      <c r="D6" s="2"/>
      <c r="F6" s="20"/>
      <c r="G6" s="2"/>
      <c r="I6" s="20"/>
      <c r="J6" s="2"/>
      <c r="L6" s="20"/>
    </row>
    <row r="7" spans="1:23" ht="15.75" customHeight="1" x14ac:dyDescent="0.15">
      <c r="A7" s="2"/>
      <c r="B7" s="2"/>
      <c r="C7" s="20"/>
      <c r="G7" s="2"/>
      <c r="I7" s="20"/>
      <c r="J7" s="2"/>
      <c r="L7" s="20"/>
    </row>
    <row r="8" spans="1:23" ht="15.75" customHeight="1" x14ac:dyDescent="0.15">
      <c r="A8" s="2"/>
      <c r="B8" s="2"/>
      <c r="G8" s="2"/>
      <c r="I8" s="20"/>
      <c r="J8" s="2"/>
      <c r="L8" s="20"/>
    </row>
    <row r="9" spans="1:23" ht="15.75" customHeight="1" x14ac:dyDescent="0.15">
      <c r="A9" s="2"/>
      <c r="B9" s="2"/>
      <c r="J9" s="2"/>
      <c r="L9" s="20"/>
    </row>
    <row r="10" spans="1:23" ht="15.75" customHeight="1" x14ac:dyDescent="0.15">
      <c r="A10" s="2"/>
      <c r="B10" s="2"/>
      <c r="J10" s="2"/>
      <c r="L10" s="20"/>
    </row>
    <row r="11" spans="1:23" ht="15.75" customHeight="1" x14ac:dyDescent="0.15">
      <c r="A11" s="2"/>
      <c r="B11" s="2"/>
      <c r="J11" s="2"/>
      <c r="L11" s="20"/>
    </row>
    <row r="12" spans="1:23" ht="15.75" customHeight="1" x14ac:dyDescent="0.15">
      <c r="A12" s="2"/>
      <c r="B12" s="2"/>
      <c r="J12" s="2"/>
      <c r="L12" s="20"/>
    </row>
    <row r="13" spans="1:23" ht="15.75" customHeight="1" x14ac:dyDescent="0.15">
      <c r="A13" s="2"/>
      <c r="B13" s="2"/>
      <c r="J13" s="2"/>
      <c r="L13" s="20"/>
    </row>
    <row r="14" spans="1:23" ht="15.75" customHeight="1" x14ac:dyDescent="0.15">
      <c r="A14" s="2"/>
      <c r="B14" s="2"/>
      <c r="J14" s="2"/>
      <c r="L14" s="20"/>
    </row>
    <row r="15" spans="1:23" ht="15.75" customHeight="1" x14ac:dyDescent="0.15">
      <c r="A15" s="2"/>
      <c r="B15" s="2"/>
      <c r="J15" s="2"/>
      <c r="L15" s="20"/>
    </row>
    <row r="16" spans="1:23" ht="15.75" customHeight="1" x14ac:dyDescent="0.15">
      <c r="A16" s="2"/>
      <c r="B16" s="2"/>
      <c r="J16" s="2"/>
      <c r="L16" s="20"/>
    </row>
    <row r="17" spans="1:35" ht="15.75" customHeight="1" x14ac:dyDescent="0.15">
      <c r="A17" s="2"/>
      <c r="B17" s="2"/>
      <c r="J17" s="2"/>
      <c r="L17" s="20"/>
    </row>
    <row r="18" spans="1:35" ht="15.75" customHeight="1" x14ac:dyDescent="0.15">
      <c r="A18" s="2"/>
      <c r="B18" s="2"/>
      <c r="J18" s="2"/>
      <c r="L18" s="20"/>
    </row>
    <row r="19" spans="1:35" ht="15.75" customHeight="1" x14ac:dyDescent="0.15">
      <c r="A19" s="2"/>
      <c r="B19" s="2"/>
      <c r="J19" s="2"/>
      <c r="L19" s="20"/>
    </row>
    <row r="20" spans="1:35" ht="15.75" customHeight="1" x14ac:dyDescent="0.15">
      <c r="A20" s="2"/>
      <c r="B20" s="2"/>
      <c r="J20" s="2"/>
      <c r="L20" s="20"/>
    </row>
    <row r="21" spans="1:35" ht="15.75" customHeight="1" x14ac:dyDescent="0.15">
      <c r="A21" s="2"/>
      <c r="B21" s="2"/>
      <c r="J21" s="2"/>
      <c r="L21" s="20"/>
    </row>
    <row r="22" spans="1:35" ht="15.75" customHeight="1" x14ac:dyDescent="0.15">
      <c r="A22" s="2"/>
      <c r="B22" s="2"/>
      <c r="J22" s="2"/>
      <c r="L22" s="20"/>
    </row>
    <row r="23" spans="1:35" ht="15.75" customHeight="1" x14ac:dyDescent="0.15">
      <c r="A23" s="2"/>
      <c r="B23" s="2"/>
      <c r="J23" s="2"/>
      <c r="L23" s="20"/>
    </row>
    <row r="24" spans="1:35" ht="15.75" customHeight="1" x14ac:dyDescent="0.15">
      <c r="A24" s="2"/>
      <c r="B24" s="2"/>
      <c r="J24" s="2"/>
      <c r="L24" s="20"/>
    </row>
    <row r="25" spans="1:35" ht="15.75" customHeight="1" x14ac:dyDescent="0.15">
      <c r="A25" s="2"/>
      <c r="B25" s="2"/>
    </row>
    <row r="26" spans="1:35" ht="15.75" customHeight="1" x14ac:dyDescent="0.15">
      <c r="A26" s="2"/>
      <c r="B26" s="2"/>
      <c r="C26" s="2"/>
      <c r="M26" s="2"/>
      <c r="N26" s="2"/>
      <c r="O26" s="2"/>
      <c r="P26" s="2"/>
      <c r="Q26" s="2"/>
      <c r="R26" s="2"/>
      <c r="S26" s="2"/>
      <c r="T26" s="2"/>
      <c r="U26" s="2"/>
      <c r="V26" s="2"/>
      <c r="W26" s="2"/>
      <c r="X26" s="2"/>
      <c r="Y26" s="2"/>
      <c r="Z26" s="2"/>
      <c r="AA26" s="2"/>
      <c r="AB26" s="2"/>
      <c r="AC26" s="2"/>
      <c r="AD26" s="2"/>
      <c r="AE26" s="2"/>
      <c r="AF26" s="2"/>
      <c r="AG26" s="2"/>
      <c r="AH26" s="2"/>
      <c r="AI26" s="2"/>
    </row>
    <row r="27" spans="1:35" ht="15.75" customHeight="1" x14ac:dyDescent="0.15">
      <c r="A27" s="2"/>
      <c r="B27" s="2"/>
      <c r="M27" s="2"/>
    </row>
    <row r="28" spans="1:35" ht="15.75" customHeight="1" x14ac:dyDescent="0.15">
      <c r="A28" s="2"/>
      <c r="B28" s="2"/>
      <c r="M28" s="2"/>
    </row>
    <row r="29" spans="1:35" ht="15.75" customHeight="1" x14ac:dyDescent="0.15">
      <c r="A29" s="2"/>
      <c r="B29" s="2"/>
      <c r="M29" s="2"/>
    </row>
    <row r="30" spans="1:35" ht="15.75" customHeight="1" x14ac:dyDescent="0.15">
      <c r="A30" s="2"/>
      <c r="B30" s="2"/>
      <c r="C30" s="2"/>
      <c r="D30" s="2"/>
      <c r="E30" s="2"/>
      <c r="F30" s="2"/>
      <c r="G30" s="2"/>
      <c r="H30" s="2"/>
      <c r="I30" s="2"/>
      <c r="J30" s="2"/>
      <c r="K30" s="2"/>
      <c r="L30" s="2"/>
      <c r="M30" s="2"/>
      <c r="N30" s="2"/>
      <c r="O30" s="2"/>
      <c r="P30" s="2"/>
      <c r="Q30" s="2"/>
      <c r="R30" s="2"/>
      <c r="S30" s="2"/>
      <c r="T30" s="2"/>
      <c r="U30" s="2"/>
      <c r="V30" s="2"/>
      <c r="W30" s="2"/>
    </row>
    <row r="31" spans="1:35" ht="15.75" customHeight="1" x14ac:dyDescent="0.15">
      <c r="A31" s="2"/>
      <c r="B31" s="2"/>
      <c r="M31" s="2"/>
    </row>
    <row r="32" spans="1:35" ht="15.75" customHeight="1" x14ac:dyDescent="0.15">
      <c r="A32" s="2"/>
      <c r="B32" s="2"/>
      <c r="M32" s="2"/>
    </row>
    <row r="33" spans="1:2" ht="15.75" customHeight="1" x14ac:dyDescent="0.15">
      <c r="A33" s="2"/>
      <c r="B33" s="2"/>
    </row>
    <row r="34" spans="1:2" ht="15.75" customHeight="1" x14ac:dyDescent="0.15">
      <c r="A34" s="2"/>
      <c r="B34" s="2"/>
    </row>
    <row r="35" spans="1:2" ht="15.75" customHeight="1" x14ac:dyDescent="0.15">
      <c r="A35" s="2"/>
      <c r="B35" s="2"/>
    </row>
    <row r="36" spans="1:2" ht="15.75" customHeight="1" x14ac:dyDescent="0.15">
      <c r="A36" s="2"/>
      <c r="B36" s="2"/>
    </row>
    <row r="37" spans="1:2" ht="15.75" customHeight="1" x14ac:dyDescent="0.15">
      <c r="A37" s="2"/>
      <c r="B37" s="2"/>
    </row>
    <row r="38" spans="1:2" ht="15.75" customHeight="1" x14ac:dyDescent="0.15">
      <c r="A38" s="2"/>
      <c r="B38" s="2"/>
    </row>
    <row r="39" spans="1:2" ht="15.75" customHeight="1" x14ac:dyDescent="0.15">
      <c r="A39" s="2"/>
      <c r="B39" s="2"/>
    </row>
    <row r="40" spans="1:2" ht="15.75" customHeight="1" x14ac:dyDescent="0.15">
      <c r="A40" s="2"/>
      <c r="B40" s="2"/>
    </row>
    <row r="41" spans="1:2" ht="15.75" customHeight="1" x14ac:dyDescent="0.15">
      <c r="A41" s="2"/>
      <c r="B41" s="2"/>
    </row>
    <row r="42" spans="1:2" ht="15.75" customHeight="1" x14ac:dyDescent="0.15">
      <c r="A42" s="2"/>
      <c r="B42" s="2"/>
    </row>
    <row r="43" spans="1:2" ht="15.75" customHeight="1" x14ac:dyDescent="0.15">
      <c r="A43" s="2"/>
      <c r="B43" s="2"/>
    </row>
    <row r="44" spans="1:2" ht="15.75" customHeight="1" x14ac:dyDescent="0.15">
      <c r="A44" s="2"/>
      <c r="B44" s="2"/>
    </row>
    <row r="45" spans="1:2" ht="15.75" customHeight="1" x14ac:dyDescent="0.15">
      <c r="A45" s="2"/>
      <c r="B45" s="2"/>
    </row>
    <row r="46" spans="1:2" ht="15.75" customHeight="1" x14ac:dyDescent="0.15">
      <c r="A46" s="2"/>
      <c r="B46" s="2"/>
    </row>
    <row r="47" spans="1:2" ht="15.75" customHeight="1" x14ac:dyDescent="0.15">
      <c r="A47" s="2"/>
      <c r="B47" s="2"/>
    </row>
    <row r="48" spans="1:2" ht="15.75" customHeight="1" x14ac:dyDescent="0.15">
      <c r="A48" s="2"/>
      <c r="B48" s="2"/>
    </row>
    <row r="49" spans="1:2" ht="15.75" customHeight="1" x14ac:dyDescent="0.15">
      <c r="A49" s="2"/>
      <c r="B49" s="2"/>
    </row>
    <row r="50" spans="1:2" ht="15.75" customHeight="1" x14ac:dyDescent="0.15">
      <c r="A50" s="2"/>
      <c r="B50" s="2"/>
    </row>
    <row r="51" spans="1:2" ht="15.75" customHeight="1" x14ac:dyDescent="0.15">
      <c r="A51" s="2"/>
      <c r="B51" s="2"/>
    </row>
    <row r="52" spans="1:2" ht="15.75" customHeight="1" x14ac:dyDescent="0.15">
      <c r="A52" s="2"/>
      <c r="B52" s="2"/>
    </row>
    <row r="53" spans="1:2" ht="15.75" customHeight="1" x14ac:dyDescent="0.15">
      <c r="A53" s="2"/>
      <c r="B53" s="2"/>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Jira Tickets</vt:lpstr>
      <vt:lpstr>Sumary</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Hưng. Đoàn Việt – OM</cp:lastModifiedBy>
  <dcterms:modified xsi:type="dcterms:W3CDTF">2026-10-02T10:06:26Z</dcterms:modified>
</cp:coreProperties>
</file>